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RANESHKRITHIK\Excel_Financial_Modelling\"/>
    </mc:Choice>
  </mc:AlternateContent>
  <bookViews>
    <workbookView xWindow="0" yWindow="0" windowWidth="9000" windowHeight="4980" firstSheet="6" activeTab="6"/>
  </bookViews>
  <sheets>
    <sheet name="Revenue driver" sheetId="1" state="hidden" r:id="rId1"/>
    <sheet name="Working Capital" sheetId="10" state="hidden" r:id="rId2"/>
    <sheet name="Schedules" sheetId="8" state="hidden" r:id="rId3"/>
    <sheet name="Data_Sheet" sheetId="20" state="hidden" r:id="rId4"/>
    <sheet name="Front Page" sheetId="24" r:id="rId5"/>
    <sheet name="Index" sheetId="25" r:id="rId6"/>
    <sheet name="Introduction" sheetId="14" r:id="rId7"/>
    <sheet name="Operating and Financial Summary" sheetId="21" r:id="rId8"/>
    <sheet name="Common Size Statements" sheetId="22" r:id="rId9"/>
    <sheet name="Ratio Analysis" sheetId="23" r:id="rId10"/>
    <sheet name="P &amp; L" sheetId="5" r:id="rId11"/>
    <sheet name="BS" sheetId="7" r:id="rId12"/>
    <sheet name="Cash flow statement" sheetId="11" r:id="rId13"/>
    <sheet name="DCF Valuation" sheetId="13" r:id="rId14"/>
  </sheets>
  <definedNames>
    <definedName name="_xlchart.v1.0" hidden="1">Data_Sheet!$O$2</definedName>
    <definedName name="_xlchart.v1.1" hidden="1">Data_Sheet!$P$1:$U$1</definedName>
    <definedName name="_xlchart.v1.2" hidden="1">Data_Sheet!$P$2:$U$2</definedName>
    <definedName name="ExternalData_1" localSheetId="3" hidden="1">Data_Sheet!$A$1:$G$1593</definedName>
    <definedName name="_xlnm.Print_Area" localSheetId="11">BS!$A$1:$U$66</definedName>
    <definedName name="_xlnm.Print_Area" localSheetId="12">'Cash flow statement'!$A$1:$U$72</definedName>
    <definedName name="_xlnm.Print_Area" localSheetId="8">'Common Size Statements'!$A$1:$J$72</definedName>
    <definedName name="_xlnm.Print_Area" localSheetId="13">'DCF Valuation'!$A$1:$V$54</definedName>
    <definedName name="_xlnm.Print_Area" localSheetId="4">'Front Page'!$A$1:$L$87</definedName>
    <definedName name="_xlnm.Print_Area" localSheetId="5">Index!$A$1:$L$75</definedName>
    <definedName name="_xlnm.Print_Area" localSheetId="6">Introduction!$A$1:$L$83</definedName>
    <definedName name="_xlnm.Print_Area" localSheetId="7">'Operating and Financial Summary'!$A$1:$R$57</definedName>
    <definedName name="_xlnm.Print_Area" localSheetId="10">'P &amp; L'!$A$1:$U$40</definedName>
    <definedName name="_xlnm.Print_Area" localSheetId="9">'Ratio Analysis'!$A$1:$L$67</definedName>
    <definedName name="_xlnm.Print_Area" localSheetId="0">'Revenue driver'!$A$3:$T$21</definedName>
    <definedName name="_xlnm.Print_Area" localSheetId="2">Schedules!$A$3:$T$81</definedName>
    <definedName name="_xlnm.Print_Area" localSheetId="1">'Working Capital'!$A$3:$Q$58</definedName>
  </definedNames>
  <calcPr calcId="162913"/>
  <pivotCaches>
    <pivotCache cacheId="2" r:id="rId15"/>
    <pivotCache cacheId="3" r:id="rId1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1" i="13" l="1"/>
  <c r="C29" i="13"/>
  <c r="I48" i="23"/>
  <c r="H48" i="23"/>
  <c r="G48" i="23"/>
  <c r="F48" i="23"/>
  <c r="E48" i="23"/>
  <c r="D48" i="23"/>
  <c r="C48" i="23"/>
  <c r="I46" i="23"/>
  <c r="H46" i="23"/>
  <c r="G46" i="23"/>
  <c r="F46" i="23"/>
  <c r="E46" i="23"/>
  <c r="D46" i="23"/>
  <c r="C46" i="23"/>
  <c r="E38" i="23"/>
  <c r="F38" i="23"/>
  <c r="G38" i="23"/>
  <c r="H38" i="23"/>
  <c r="I38" i="23"/>
  <c r="D38" i="23"/>
  <c r="E29" i="23"/>
  <c r="F29" i="23"/>
  <c r="G29" i="23"/>
  <c r="H29" i="23"/>
  <c r="I29" i="23"/>
  <c r="D29" i="23"/>
  <c r="D66" i="23" l="1"/>
  <c r="E66" i="23"/>
  <c r="F66" i="23"/>
  <c r="G66" i="23"/>
  <c r="H66" i="23"/>
  <c r="I66" i="23"/>
  <c r="C66" i="23"/>
  <c r="D65" i="23"/>
  <c r="E65" i="23"/>
  <c r="F65" i="23"/>
  <c r="G65" i="23"/>
  <c r="H65" i="23"/>
  <c r="I65" i="23"/>
  <c r="C65" i="23"/>
  <c r="D64" i="23"/>
  <c r="E64" i="23"/>
  <c r="F64" i="23"/>
  <c r="G64" i="23"/>
  <c r="H64" i="23"/>
  <c r="I64" i="23"/>
  <c r="C64" i="23"/>
  <c r="E63" i="23"/>
  <c r="F63" i="23"/>
  <c r="G63" i="23"/>
  <c r="H63" i="23"/>
  <c r="I63" i="23"/>
  <c r="D63" i="23"/>
  <c r="E61" i="23"/>
  <c r="F61" i="23"/>
  <c r="G61" i="23"/>
  <c r="H61" i="23"/>
  <c r="I61" i="23"/>
  <c r="D61" i="23"/>
  <c r="E60" i="23"/>
  <c r="F60" i="23"/>
  <c r="G60" i="23"/>
  <c r="H60" i="23"/>
  <c r="I60" i="23"/>
  <c r="D60" i="23"/>
  <c r="H59" i="23"/>
  <c r="I59" i="23"/>
  <c r="D58" i="23"/>
  <c r="E58" i="23" s="1"/>
  <c r="F58" i="23" s="1"/>
  <c r="G58" i="23" s="1"/>
  <c r="H58" i="23" s="1"/>
  <c r="I58" i="23" s="1"/>
  <c r="E53" i="23"/>
  <c r="F53" i="23"/>
  <c r="G53" i="23"/>
  <c r="H53" i="23"/>
  <c r="I53" i="23"/>
  <c r="D53" i="23"/>
  <c r="D52" i="23"/>
  <c r="E52" i="23" s="1"/>
  <c r="F52" i="23" s="1"/>
  <c r="G52" i="23" s="1"/>
  <c r="H52" i="23" s="1"/>
  <c r="I52" i="23" s="1"/>
  <c r="D49" i="23"/>
  <c r="E49" i="23"/>
  <c r="F49" i="23"/>
  <c r="G49" i="23"/>
  <c r="H49" i="23"/>
  <c r="I49" i="23"/>
  <c r="C49" i="23"/>
  <c r="I47" i="23"/>
  <c r="H47" i="23"/>
  <c r="I45" i="23"/>
  <c r="H45" i="23"/>
  <c r="G45" i="23"/>
  <c r="F45" i="23"/>
  <c r="E45" i="23"/>
  <c r="D45" i="23"/>
  <c r="C45" i="23"/>
  <c r="D43" i="23"/>
  <c r="E43" i="23" s="1"/>
  <c r="F43" i="23" s="1"/>
  <c r="G43" i="23" s="1"/>
  <c r="H43" i="23" s="1"/>
  <c r="I43" i="23" s="1"/>
  <c r="E40" i="23"/>
  <c r="E55" i="23" s="1"/>
  <c r="F40" i="23"/>
  <c r="F55" i="23" s="1"/>
  <c r="G40" i="23"/>
  <c r="G55" i="23" s="1"/>
  <c r="H40" i="23"/>
  <c r="H55" i="23" s="1"/>
  <c r="I40" i="23"/>
  <c r="I55" i="23" s="1"/>
  <c r="D40" i="23"/>
  <c r="D55" i="23" s="1"/>
  <c r="E39" i="23"/>
  <c r="F39" i="23"/>
  <c r="G39" i="23"/>
  <c r="H39" i="23"/>
  <c r="I39" i="23"/>
  <c r="D39" i="23"/>
  <c r="E37" i="23"/>
  <c r="F37" i="23"/>
  <c r="G37" i="23"/>
  <c r="H37" i="23"/>
  <c r="I37" i="23"/>
  <c r="D37" i="23"/>
  <c r="D36" i="23"/>
  <c r="E36" i="23" s="1"/>
  <c r="F36" i="23" s="1"/>
  <c r="G36" i="23" s="1"/>
  <c r="H36" i="23" s="1"/>
  <c r="I36" i="23" s="1"/>
  <c r="D31" i="23"/>
  <c r="E31" i="23" s="1"/>
  <c r="F31" i="23" s="1"/>
  <c r="G31" i="23" s="1"/>
  <c r="H31" i="23" s="1"/>
  <c r="I31" i="23" s="1"/>
  <c r="H28" i="23"/>
  <c r="H54" i="23" s="1"/>
  <c r="I28" i="23"/>
  <c r="I54" i="23" s="1"/>
  <c r="D24" i="23"/>
  <c r="E24" i="23" s="1"/>
  <c r="F24" i="23" s="1"/>
  <c r="G24" i="23" s="1"/>
  <c r="H24" i="23" s="1"/>
  <c r="I24" i="23" s="1"/>
  <c r="D21" i="23"/>
  <c r="E21" i="23"/>
  <c r="F21" i="23"/>
  <c r="G21" i="23"/>
  <c r="H21" i="23"/>
  <c r="I21" i="23"/>
  <c r="C21" i="23"/>
  <c r="D20" i="23"/>
  <c r="E20" i="23"/>
  <c r="F20" i="23"/>
  <c r="G20" i="23"/>
  <c r="H20" i="23"/>
  <c r="I20" i="23"/>
  <c r="C20" i="23"/>
  <c r="D19" i="23"/>
  <c r="E19" i="23"/>
  <c r="F19" i="23"/>
  <c r="G19" i="23"/>
  <c r="H19" i="23"/>
  <c r="I19" i="23"/>
  <c r="C19" i="23"/>
  <c r="D18" i="23"/>
  <c r="E18" i="23" s="1"/>
  <c r="F18" i="23" s="1"/>
  <c r="G18" i="23" s="1"/>
  <c r="H18" i="23" s="1"/>
  <c r="I18" i="23" s="1"/>
  <c r="I56" i="23" l="1"/>
  <c r="H56" i="23"/>
  <c r="D12" i="23"/>
  <c r="E12" i="23" s="1"/>
  <c r="F12" i="23" s="1"/>
  <c r="G12" i="23" s="1"/>
  <c r="H12" i="23" s="1"/>
  <c r="I12" i="23" s="1"/>
  <c r="D5" i="23"/>
  <c r="E5" i="23" s="1"/>
  <c r="F5" i="23" s="1"/>
  <c r="G5" i="23" s="1"/>
  <c r="H5" i="23" s="1"/>
  <c r="I5" i="23" s="1"/>
  <c r="D28" i="22"/>
  <c r="E28" i="22" s="1"/>
  <c r="F28" i="22" s="1"/>
  <c r="G28" i="22" s="1"/>
  <c r="H28" i="22" s="1"/>
  <c r="I28" i="22" s="1"/>
  <c r="D52" i="22"/>
  <c r="E52" i="22"/>
  <c r="F52" i="22"/>
  <c r="G52" i="22"/>
  <c r="H52" i="22"/>
  <c r="I52" i="22"/>
  <c r="D53" i="22"/>
  <c r="E53" i="22"/>
  <c r="F53" i="22"/>
  <c r="G53" i="22"/>
  <c r="H53" i="22"/>
  <c r="I53" i="22"/>
  <c r="C53" i="22"/>
  <c r="C52" i="22"/>
  <c r="D55" i="22"/>
  <c r="E55" i="22"/>
  <c r="F55" i="22"/>
  <c r="G55" i="22"/>
  <c r="H55" i="22"/>
  <c r="I55" i="22"/>
  <c r="C55" i="22"/>
  <c r="D56" i="22"/>
  <c r="E56" i="22"/>
  <c r="F56" i="22"/>
  <c r="G56" i="22"/>
  <c r="H56" i="22"/>
  <c r="I56" i="22"/>
  <c r="C56" i="22"/>
  <c r="D60" i="22"/>
  <c r="E60" i="22"/>
  <c r="F60" i="22"/>
  <c r="G60" i="22"/>
  <c r="H60" i="22"/>
  <c r="I60" i="22"/>
  <c r="D61" i="22"/>
  <c r="E61" i="22"/>
  <c r="F61" i="22"/>
  <c r="G61" i="22"/>
  <c r="H61" i="22"/>
  <c r="I61" i="22"/>
  <c r="C60" i="22"/>
  <c r="C61" i="22"/>
  <c r="D62" i="22"/>
  <c r="E62" i="22"/>
  <c r="F62" i="22"/>
  <c r="G62" i="22"/>
  <c r="H62" i="22"/>
  <c r="I62" i="22"/>
  <c r="C62" i="22"/>
  <c r="D65" i="22"/>
  <c r="E65" i="22"/>
  <c r="F65" i="22"/>
  <c r="G65" i="22"/>
  <c r="H65" i="22"/>
  <c r="I65" i="22"/>
  <c r="D66" i="22"/>
  <c r="E66" i="22"/>
  <c r="F66" i="22"/>
  <c r="G66" i="22"/>
  <c r="H66" i="22"/>
  <c r="I66" i="22"/>
  <c r="D67" i="22"/>
  <c r="E67" i="22"/>
  <c r="F67" i="22"/>
  <c r="G67" i="22"/>
  <c r="H67" i="22"/>
  <c r="I67" i="22"/>
  <c r="C65" i="22"/>
  <c r="C66" i="22"/>
  <c r="C67" i="22"/>
  <c r="D68" i="22"/>
  <c r="E68" i="22"/>
  <c r="F68" i="22"/>
  <c r="G68" i="22"/>
  <c r="H68" i="22"/>
  <c r="I68" i="22"/>
  <c r="C68" i="22"/>
  <c r="D71" i="22"/>
  <c r="E71" i="22"/>
  <c r="F71" i="22"/>
  <c r="G71" i="22"/>
  <c r="H71" i="22"/>
  <c r="I71" i="22"/>
  <c r="C71" i="22"/>
  <c r="D31" i="22"/>
  <c r="E31" i="22"/>
  <c r="F31" i="22"/>
  <c r="G31" i="22"/>
  <c r="H31" i="22"/>
  <c r="I31" i="22"/>
  <c r="D32" i="22"/>
  <c r="E32" i="22"/>
  <c r="F32" i="22"/>
  <c r="G32" i="22"/>
  <c r="H32" i="22"/>
  <c r="I32" i="22"/>
  <c r="D33" i="22"/>
  <c r="E33" i="22"/>
  <c r="F33" i="22"/>
  <c r="G33" i="22"/>
  <c r="H33" i="22"/>
  <c r="I33" i="22"/>
  <c r="D34" i="22"/>
  <c r="E34" i="22"/>
  <c r="F34" i="22"/>
  <c r="G34" i="22"/>
  <c r="H34" i="22"/>
  <c r="I34" i="22"/>
  <c r="D35" i="22"/>
  <c r="E35" i="22"/>
  <c r="F35" i="22"/>
  <c r="G35" i="22"/>
  <c r="H35" i="22"/>
  <c r="I35" i="22"/>
  <c r="D36" i="22"/>
  <c r="E36" i="22"/>
  <c r="F36" i="22"/>
  <c r="G36" i="22"/>
  <c r="H36" i="22"/>
  <c r="I36" i="22"/>
  <c r="D38" i="22"/>
  <c r="E38" i="22"/>
  <c r="F38" i="22"/>
  <c r="G38" i="22"/>
  <c r="H38" i="22"/>
  <c r="I38" i="22"/>
  <c r="D39" i="22"/>
  <c r="E39" i="22"/>
  <c r="F39" i="22"/>
  <c r="G39" i="22"/>
  <c r="H39" i="22"/>
  <c r="I39" i="22"/>
  <c r="D40" i="22"/>
  <c r="E40" i="22"/>
  <c r="F40" i="22"/>
  <c r="G40" i="22"/>
  <c r="H40" i="22"/>
  <c r="I40" i="22"/>
  <c r="C40" i="22"/>
  <c r="C32" i="22"/>
  <c r="C33" i="22"/>
  <c r="C34" i="22"/>
  <c r="C35" i="22"/>
  <c r="C36" i="22"/>
  <c r="C38" i="22"/>
  <c r="C39" i="22"/>
  <c r="C31" i="22"/>
  <c r="D41" i="22"/>
  <c r="E41" i="22"/>
  <c r="F41" i="22"/>
  <c r="G41" i="22"/>
  <c r="H41" i="22"/>
  <c r="I41" i="22"/>
  <c r="C41" i="22"/>
  <c r="D43" i="22"/>
  <c r="E43" i="22"/>
  <c r="F43" i="22"/>
  <c r="G43" i="22"/>
  <c r="H43" i="22"/>
  <c r="I43" i="22"/>
  <c r="D45" i="22"/>
  <c r="E45" i="22"/>
  <c r="F45" i="22"/>
  <c r="G45" i="22"/>
  <c r="H45" i="22"/>
  <c r="I45" i="22"/>
  <c r="C45" i="22"/>
  <c r="C43" i="22"/>
  <c r="D46" i="22"/>
  <c r="E46" i="22"/>
  <c r="F46" i="22"/>
  <c r="G46" i="22"/>
  <c r="H46" i="22"/>
  <c r="I46" i="22"/>
  <c r="C46" i="22"/>
  <c r="D48" i="22"/>
  <c r="E48" i="22"/>
  <c r="F48" i="22"/>
  <c r="G48" i="22"/>
  <c r="H48" i="22"/>
  <c r="I48" i="22"/>
  <c r="C48" i="22"/>
  <c r="H20" i="22"/>
  <c r="I20" i="22"/>
  <c r="H21" i="22"/>
  <c r="I21" i="22"/>
  <c r="H19" i="22"/>
  <c r="I19" i="22"/>
  <c r="H17" i="22"/>
  <c r="I17" i="22"/>
  <c r="H16" i="22"/>
  <c r="I16" i="22"/>
  <c r="H14" i="22"/>
  <c r="I14" i="22"/>
  <c r="H12" i="22"/>
  <c r="I12" i="22"/>
  <c r="H11" i="22"/>
  <c r="I11" i="22"/>
  <c r="H6" i="22"/>
  <c r="I6" i="22"/>
  <c r="H7" i="22"/>
  <c r="I7" i="22"/>
  <c r="H8" i="22"/>
  <c r="I8" i="22"/>
  <c r="D5" i="22"/>
  <c r="E5" i="22" s="1"/>
  <c r="F5" i="22" s="1"/>
  <c r="G5" i="22" s="1"/>
  <c r="H5" i="22" s="1"/>
  <c r="I5" i="22" s="1"/>
  <c r="R73" i="8"/>
  <c r="S73" i="8" s="1"/>
  <c r="T73" i="8" s="1"/>
  <c r="Q73" i="8"/>
  <c r="M73" i="8"/>
  <c r="L73" i="8"/>
  <c r="K73" i="8"/>
  <c r="Q37" i="20"/>
  <c r="R37" i="20"/>
  <c r="S37" i="20"/>
  <c r="T37" i="20"/>
  <c r="U37" i="20"/>
  <c r="P37" i="20"/>
  <c r="P32" i="20"/>
  <c r="P33" i="20" s="1"/>
  <c r="Q32" i="20"/>
  <c r="Q33" i="20" s="1"/>
  <c r="R32" i="20"/>
  <c r="R33" i="20" s="1"/>
  <c r="S32" i="20"/>
  <c r="S33" i="20" s="1"/>
  <c r="T32" i="20"/>
  <c r="T33" i="20" s="1"/>
  <c r="U32" i="20"/>
  <c r="U33" i="20" s="1"/>
  <c r="C44" i="13"/>
  <c r="P28" i="20"/>
  <c r="Q28" i="20"/>
  <c r="R28" i="20"/>
  <c r="S28" i="20"/>
  <c r="T28" i="20"/>
  <c r="U28" i="20"/>
  <c r="I70" i="22" l="1"/>
  <c r="H70" i="22"/>
  <c r="G70" i="22"/>
  <c r="F70" i="22"/>
  <c r="E70" i="22"/>
  <c r="D70" i="22"/>
  <c r="C70" i="22"/>
  <c r="C54" i="22"/>
  <c r="G54" i="22"/>
  <c r="F54" i="22"/>
  <c r="E54" i="22"/>
  <c r="H54" i="22"/>
  <c r="I54" i="22"/>
  <c r="D54" i="22"/>
  <c r="T38" i="20"/>
  <c r="U38" i="20"/>
  <c r="P38" i="20"/>
  <c r="R38" i="20"/>
  <c r="Q38" i="20"/>
  <c r="S38" i="20"/>
  <c r="J37" i="14"/>
  <c r="J33" i="14"/>
  <c r="I2" i="20"/>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J1592" i="20"/>
  <c r="J1591" i="20"/>
  <c r="J1590" i="20"/>
  <c r="J1589" i="20"/>
  <c r="J1588" i="20"/>
  <c r="J1587" i="20"/>
  <c r="J1586" i="20"/>
  <c r="J1585" i="20"/>
  <c r="J1584" i="20"/>
  <c r="J1583" i="20"/>
  <c r="J1582" i="20"/>
  <c r="J1581" i="20"/>
  <c r="J1580" i="20"/>
  <c r="J1579" i="20"/>
  <c r="J1578" i="20"/>
  <c r="J1577" i="20"/>
  <c r="J1576" i="20"/>
  <c r="J1575" i="20"/>
  <c r="J1574" i="20"/>
  <c r="J1573" i="20"/>
  <c r="J1572" i="20"/>
  <c r="J1571" i="20"/>
  <c r="J1570" i="20"/>
  <c r="J1569" i="20"/>
  <c r="J1568" i="20"/>
  <c r="J1567" i="20"/>
  <c r="J1566" i="20"/>
  <c r="J1565" i="20"/>
  <c r="J1564" i="20"/>
  <c r="J1563" i="20"/>
  <c r="J1562" i="20"/>
  <c r="J1561" i="20"/>
  <c r="J1560" i="20"/>
  <c r="J1559" i="20"/>
  <c r="J1558" i="20"/>
  <c r="J1557" i="20"/>
  <c r="J1556" i="20"/>
  <c r="J1555" i="20"/>
  <c r="J1554" i="20"/>
  <c r="J1553" i="20"/>
  <c r="J1552" i="20"/>
  <c r="J1551" i="20"/>
  <c r="J1550" i="20"/>
  <c r="J1549" i="20"/>
  <c r="J1548" i="20"/>
  <c r="J1547" i="20"/>
  <c r="J1546" i="20"/>
  <c r="J1545" i="20"/>
  <c r="J1544" i="20"/>
  <c r="J1543" i="20"/>
  <c r="J1542" i="20"/>
  <c r="J1541" i="20"/>
  <c r="J1540" i="20"/>
  <c r="J1539" i="20"/>
  <c r="J1538" i="20"/>
  <c r="J1537" i="20"/>
  <c r="J1536" i="20"/>
  <c r="J1535" i="20"/>
  <c r="J1534" i="20"/>
  <c r="J1533" i="20"/>
  <c r="J1532" i="20"/>
  <c r="J1531" i="20"/>
  <c r="J1530" i="20"/>
  <c r="J1529" i="20"/>
  <c r="J1528" i="20"/>
  <c r="J1527" i="20"/>
  <c r="J1526" i="20"/>
  <c r="J1525" i="20"/>
  <c r="J1524" i="20"/>
  <c r="J1523" i="20"/>
  <c r="J1522" i="20"/>
  <c r="J1521" i="20"/>
  <c r="J1520" i="20"/>
  <c r="J1519" i="20"/>
  <c r="J1518" i="20"/>
  <c r="J1517" i="20"/>
  <c r="J1516" i="20"/>
  <c r="J1515" i="20"/>
  <c r="J1514" i="20"/>
  <c r="J1513" i="20"/>
  <c r="J1512" i="20"/>
  <c r="J1511" i="20"/>
  <c r="J1510" i="20"/>
  <c r="J1509" i="20"/>
  <c r="J1508" i="20"/>
  <c r="J1507" i="20"/>
  <c r="J1506" i="20"/>
  <c r="J1505" i="20"/>
  <c r="J1504" i="20"/>
  <c r="J1503" i="20"/>
  <c r="J1502" i="20"/>
  <c r="J1501" i="20"/>
  <c r="J1500" i="20"/>
  <c r="J1499" i="20"/>
  <c r="J1498" i="20"/>
  <c r="J1497" i="20"/>
  <c r="J1496" i="20"/>
  <c r="J1495" i="20"/>
  <c r="J1494" i="20"/>
  <c r="J1493" i="20"/>
  <c r="J1492" i="20"/>
  <c r="J1491" i="20"/>
  <c r="J1490" i="20"/>
  <c r="J1489" i="20"/>
  <c r="J1488" i="20"/>
  <c r="J1487" i="20"/>
  <c r="J1486" i="20"/>
  <c r="J1485" i="20"/>
  <c r="J1484" i="20"/>
  <c r="J1483" i="20"/>
  <c r="J1482" i="20"/>
  <c r="J1481" i="20"/>
  <c r="J1480" i="20"/>
  <c r="J1479" i="20"/>
  <c r="J1478" i="20"/>
  <c r="J1477" i="20"/>
  <c r="J1476" i="20"/>
  <c r="J1475" i="20"/>
  <c r="J1474" i="20"/>
  <c r="J1473" i="20"/>
  <c r="J1472" i="20"/>
  <c r="J1471" i="20"/>
  <c r="J1470" i="20"/>
  <c r="J1469" i="20"/>
  <c r="J1468" i="20"/>
  <c r="J1467" i="20"/>
  <c r="J1466" i="20"/>
  <c r="J1465" i="20"/>
  <c r="J1464" i="20"/>
  <c r="J1463" i="20"/>
  <c r="J1462" i="20"/>
  <c r="J1461" i="20"/>
  <c r="J1460" i="20"/>
  <c r="J1459" i="20"/>
  <c r="J1458" i="20"/>
  <c r="J1457" i="20"/>
  <c r="J1456" i="20"/>
  <c r="J1455" i="20"/>
  <c r="J1454" i="20"/>
  <c r="J1453" i="20"/>
  <c r="J1452" i="20"/>
  <c r="J1451" i="20"/>
  <c r="J1450" i="20"/>
  <c r="J1449" i="20"/>
  <c r="J1448" i="20"/>
  <c r="J1447" i="20"/>
  <c r="J1446" i="20"/>
  <c r="J1445" i="20"/>
  <c r="J1444" i="20"/>
  <c r="J1443" i="20"/>
  <c r="J1442" i="20"/>
  <c r="J1441" i="20"/>
  <c r="J1440" i="20"/>
  <c r="J1439" i="20"/>
  <c r="J1438" i="20"/>
  <c r="J1437" i="20"/>
  <c r="J1436" i="20"/>
  <c r="J1435" i="20"/>
  <c r="J1434" i="20"/>
  <c r="J1433" i="20"/>
  <c r="J1432" i="20"/>
  <c r="J1431" i="20"/>
  <c r="J1430" i="20"/>
  <c r="J1429" i="20"/>
  <c r="J1428" i="20"/>
  <c r="J1427" i="20"/>
  <c r="J1426" i="20"/>
  <c r="J1425" i="20"/>
  <c r="J1424" i="20"/>
  <c r="J1423" i="20"/>
  <c r="J1422" i="20"/>
  <c r="J1421" i="20"/>
  <c r="J1420" i="20"/>
  <c r="J1419" i="20"/>
  <c r="J1418" i="20"/>
  <c r="J1417" i="20"/>
  <c r="J1416" i="20"/>
  <c r="J1415" i="20"/>
  <c r="J1414" i="20"/>
  <c r="J1413" i="20"/>
  <c r="J1412" i="20"/>
  <c r="J1411" i="20"/>
  <c r="J1410" i="20"/>
  <c r="J1409" i="20"/>
  <c r="J1408" i="20"/>
  <c r="J1407" i="20"/>
  <c r="J1406" i="20"/>
  <c r="J1405" i="20"/>
  <c r="J1404" i="20"/>
  <c r="J1403" i="20"/>
  <c r="J1402" i="20"/>
  <c r="J1401" i="20"/>
  <c r="J1400" i="20"/>
  <c r="J1399" i="20"/>
  <c r="J1398" i="20"/>
  <c r="J1397" i="20"/>
  <c r="J1396" i="20"/>
  <c r="J1395" i="20"/>
  <c r="J1394" i="20"/>
  <c r="J1393" i="20"/>
  <c r="J1392" i="20"/>
  <c r="J1391" i="20"/>
  <c r="J1390" i="20"/>
  <c r="J1389" i="20"/>
  <c r="J1388" i="20"/>
  <c r="J1387" i="20"/>
  <c r="J1386" i="20"/>
  <c r="J1385" i="20"/>
  <c r="J1384" i="20"/>
  <c r="J1383" i="20"/>
  <c r="J1382" i="20"/>
  <c r="J1381" i="20"/>
  <c r="J1380" i="20"/>
  <c r="J1379" i="20"/>
  <c r="J1378" i="20"/>
  <c r="J1377" i="20"/>
  <c r="J1376" i="20"/>
  <c r="J1375" i="20"/>
  <c r="J1374" i="20"/>
  <c r="J1373" i="20"/>
  <c r="J1372" i="20"/>
  <c r="J1371" i="20"/>
  <c r="J1370" i="20"/>
  <c r="J1369" i="20"/>
  <c r="J1368" i="20"/>
  <c r="J1367" i="20"/>
  <c r="J1366" i="20"/>
  <c r="J1365" i="20"/>
  <c r="J1364" i="20"/>
  <c r="J1363" i="20"/>
  <c r="J1362" i="20"/>
  <c r="J1361" i="20"/>
  <c r="J1360" i="20"/>
  <c r="J1359" i="20"/>
  <c r="J1358" i="20"/>
  <c r="J1357" i="20"/>
  <c r="J1356" i="20"/>
  <c r="J1355" i="20"/>
  <c r="J1354" i="20"/>
  <c r="J1353" i="20"/>
  <c r="J1352" i="20"/>
  <c r="J1351" i="20"/>
  <c r="J1350" i="20"/>
  <c r="J1349" i="20"/>
  <c r="J1348" i="20"/>
  <c r="J1347" i="20"/>
  <c r="J1346" i="20"/>
  <c r="J1345" i="20"/>
  <c r="J1344" i="20"/>
  <c r="J1343" i="20"/>
  <c r="J1342" i="20"/>
  <c r="J1341" i="20"/>
  <c r="J1340" i="20"/>
  <c r="J1339" i="20"/>
  <c r="J1338" i="20"/>
  <c r="J1337" i="20"/>
  <c r="J1336" i="20"/>
  <c r="J1335" i="20"/>
  <c r="J1334" i="20"/>
  <c r="J1333" i="20"/>
  <c r="J1332" i="20"/>
  <c r="J1331" i="20"/>
  <c r="J1330" i="20"/>
  <c r="J1329" i="20"/>
  <c r="J1328" i="20"/>
  <c r="J1327" i="20"/>
  <c r="J1326" i="20"/>
  <c r="J1325" i="20"/>
  <c r="J1324" i="20"/>
  <c r="J1323" i="20"/>
  <c r="J1322" i="20"/>
  <c r="J1321" i="20"/>
  <c r="J1320" i="20"/>
  <c r="J1319" i="20"/>
  <c r="J1318" i="20"/>
  <c r="J1317" i="20"/>
  <c r="J1316" i="20"/>
  <c r="J1315" i="20"/>
  <c r="J1314" i="20"/>
  <c r="J1313" i="20"/>
  <c r="J1312" i="20"/>
  <c r="J1311" i="20"/>
  <c r="J1310" i="20"/>
  <c r="J1309" i="20"/>
  <c r="J1308" i="20"/>
  <c r="J1307" i="20"/>
  <c r="J1306" i="20"/>
  <c r="J1305" i="20"/>
  <c r="J1304" i="20"/>
  <c r="J1303" i="20"/>
  <c r="J1302" i="20"/>
  <c r="J1301" i="20"/>
  <c r="J1300" i="20"/>
  <c r="J1299" i="20"/>
  <c r="J1298" i="20"/>
  <c r="J1297" i="20"/>
  <c r="J1296" i="20"/>
  <c r="J1295" i="20"/>
  <c r="J1294" i="20"/>
  <c r="J1293" i="20"/>
  <c r="J1292" i="20"/>
  <c r="J1291" i="20"/>
  <c r="J1290" i="20"/>
  <c r="J1289" i="20"/>
  <c r="J1288" i="20"/>
  <c r="J1287" i="20"/>
  <c r="J1286" i="20"/>
  <c r="J1285" i="20"/>
  <c r="J1284" i="20"/>
  <c r="J1283" i="20"/>
  <c r="J1282" i="20"/>
  <c r="J1281" i="20"/>
  <c r="J1280" i="20"/>
  <c r="J1279" i="20"/>
  <c r="J1278" i="20"/>
  <c r="J1277" i="20"/>
  <c r="J1276" i="20"/>
  <c r="J1275" i="20"/>
  <c r="J1274" i="20"/>
  <c r="J1273" i="20"/>
  <c r="J1272" i="20"/>
  <c r="J1271" i="20"/>
  <c r="J1270" i="20"/>
  <c r="J1269" i="20"/>
  <c r="J1268" i="20"/>
  <c r="J1267" i="20"/>
  <c r="J1266" i="20"/>
  <c r="J1265" i="20"/>
  <c r="J1264" i="20"/>
  <c r="J1263" i="20"/>
  <c r="J1262" i="20"/>
  <c r="J1261" i="20"/>
  <c r="J1260" i="20"/>
  <c r="J1259" i="20"/>
  <c r="J1258" i="20"/>
  <c r="J1257" i="20"/>
  <c r="J1256" i="20"/>
  <c r="J1255" i="20"/>
  <c r="J1254" i="20"/>
  <c r="J1253" i="20"/>
  <c r="J1252" i="20"/>
  <c r="J1251" i="20"/>
  <c r="J1250" i="20"/>
  <c r="J1249" i="20"/>
  <c r="J1248" i="20"/>
  <c r="J1247" i="20"/>
  <c r="J1246" i="20"/>
  <c r="J1245" i="20"/>
  <c r="J1244" i="20"/>
  <c r="J1243" i="20"/>
  <c r="J1242" i="20"/>
  <c r="J1241" i="20"/>
  <c r="J1240" i="20"/>
  <c r="J1239" i="20"/>
  <c r="J1238" i="20"/>
  <c r="J1237" i="20"/>
  <c r="J1236" i="20"/>
  <c r="J1235" i="20"/>
  <c r="J1234" i="20"/>
  <c r="J1233" i="20"/>
  <c r="J1232" i="20"/>
  <c r="J1231" i="20"/>
  <c r="J1230" i="20"/>
  <c r="J1229" i="20"/>
  <c r="J1228" i="20"/>
  <c r="J1227" i="20"/>
  <c r="J1226" i="20"/>
  <c r="J1225" i="20"/>
  <c r="J1224" i="20"/>
  <c r="J1223" i="20"/>
  <c r="J1222" i="20"/>
  <c r="J1221" i="20"/>
  <c r="J1220" i="20"/>
  <c r="J1219" i="20"/>
  <c r="J1218" i="20"/>
  <c r="J1217" i="20"/>
  <c r="J1216" i="20"/>
  <c r="J1215" i="20"/>
  <c r="J1214" i="20"/>
  <c r="J1213" i="20"/>
  <c r="J1212" i="20"/>
  <c r="J1211" i="20"/>
  <c r="J1210" i="20"/>
  <c r="J1209" i="20"/>
  <c r="J1208" i="20"/>
  <c r="J1207" i="20"/>
  <c r="J1206" i="20"/>
  <c r="J1205" i="20"/>
  <c r="J1204" i="20"/>
  <c r="J1203" i="20"/>
  <c r="J1202" i="20"/>
  <c r="J1201" i="20"/>
  <c r="J1200" i="20"/>
  <c r="J1199" i="20"/>
  <c r="J1198" i="20"/>
  <c r="J1197" i="20"/>
  <c r="J1196" i="20"/>
  <c r="J1195" i="20"/>
  <c r="J1194" i="20"/>
  <c r="J1193" i="20"/>
  <c r="J1192" i="20"/>
  <c r="J1191" i="20"/>
  <c r="J1190" i="20"/>
  <c r="J1189" i="20"/>
  <c r="J1188" i="20"/>
  <c r="J1187" i="20"/>
  <c r="J1186" i="20"/>
  <c r="J1185" i="20"/>
  <c r="J1184" i="20"/>
  <c r="J1183" i="20"/>
  <c r="J1182" i="20"/>
  <c r="J1181" i="20"/>
  <c r="J1180" i="20"/>
  <c r="J1179" i="20"/>
  <c r="J1178" i="20"/>
  <c r="J1177" i="20"/>
  <c r="J1176" i="20"/>
  <c r="J1175" i="20"/>
  <c r="J1174" i="20"/>
  <c r="J1173" i="20"/>
  <c r="J1172" i="20"/>
  <c r="J1171" i="20"/>
  <c r="J1170" i="20"/>
  <c r="J1169" i="20"/>
  <c r="J1168" i="20"/>
  <c r="J1167" i="20"/>
  <c r="J1166" i="20"/>
  <c r="J1165" i="20"/>
  <c r="J1164" i="20"/>
  <c r="J1163" i="20"/>
  <c r="J1162" i="20"/>
  <c r="J1161" i="20"/>
  <c r="J1160" i="20"/>
  <c r="J1159" i="20"/>
  <c r="J1158" i="20"/>
  <c r="J1157" i="20"/>
  <c r="J1156" i="20"/>
  <c r="J1155" i="20"/>
  <c r="J1154" i="20"/>
  <c r="J1153" i="20"/>
  <c r="J1152" i="20"/>
  <c r="J1151" i="20"/>
  <c r="J1150" i="20"/>
  <c r="J1149" i="20"/>
  <c r="J1148" i="20"/>
  <c r="J1147" i="20"/>
  <c r="J1146" i="20"/>
  <c r="J1145" i="20"/>
  <c r="J1144" i="20"/>
  <c r="J1143" i="20"/>
  <c r="J1142" i="20"/>
  <c r="J1141" i="20"/>
  <c r="J1140" i="20"/>
  <c r="J1139" i="20"/>
  <c r="J1138" i="20"/>
  <c r="J1137" i="20"/>
  <c r="J1136" i="20"/>
  <c r="J1135" i="20"/>
  <c r="J1134" i="20"/>
  <c r="J1133" i="20"/>
  <c r="J1132" i="20"/>
  <c r="J1131" i="20"/>
  <c r="J1130" i="20"/>
  <c r="J1129" i="20"/>
  <c r="J1128" i="20"/>
  <c r="J1127" i="20"/>
  <c r="J1126" i="20"/>
  <c r="J1125" i="20"/>
  <c r="J1124" i="20"/>
  <c r="J1123" i="20"/>
  <c r="J1122" i="20"/>
  <c r="J1121" i="20"/>
  <c r="J1120" i="20"/>
  <c r="J1119" i="20"/>
  <c r="J1118" i="20"/>
  <c r="J1117" i="20"/>
  <c r="J1116" i="20"/>
  <c r="J1115" i="20"/>
  <c r="J1114" i="20"/>
  <c r="J1113" i="20"/>
  <c r="J1112" i="20"/>
  <c r="J1111" i="20"/>
  <c r="J1110" i="20"/>
  <c r="J1109" i="20"/>
  <c r="J1108" i="20"/>
  <c r="J1107" i="20"/>
  <c r="J1106" i="20"/>
  <c r="J1105" i="20"/>
  <c r="J1104" i="20"/>
  <c r="J1103" i="20"/>
  <c r="J1102" i="20"/>
  <c r="J1101" i="20"/>
  <c r="J1100" i="20"/>
  <c r="J1099" i="20"/>
  <c r="J1098" i="20"/>
  <c r="J1097" i="20"/>
  <c r="J1096" i="20"/>
  <c r="J1095" i="20"/>
  <c r="J1094" i="20"/>
  <c r="J1093" i="20"/>
  <c r="J1092" i="20"/>
  <c r="J1091" i="20"/>
  <c r="J1090" i="20"/>
  <c r="J1089" i="20"/>
  <c r="J1088" i="20"/>
  <c r="J1087" i="20"/>
  <c r="J1086" i="20"/>
  <c r="J1085" i="20"/>
  <c r="J1084" i="20"/>
  <c r="J1083" i="20"/>
  <c r="J1082" i="20"/>
  <c r="J1081" i="20"/>
  <c r="J1080" i="20"/>
  <c r="J1079" i="20"/>
  <c r="J1078" i="20"/>
  <c r="J1077" i="20"/>
  <c r="J1076" i="20"/>
  <c r="J1075" i="20"/>
  <c r="J1074" i="20"/>
  <c r="J1073" i="20"/>
  <c r="J1072" i="20"/>
  <c r="J1071" i="20"/>
  <c r="J1070" i="20"/>
  <c r="J1069" i="20"/>
  <c r="J1068" i="20"/>
  <c r="J1067" i="20"/>
  <c r="J1066" i="20"/>
  <c r="J1065" i="20"/>
  <c r="J1064" i="20"/>
  <c r="J1063" i="20"/>
  <c r="J1062" i="20"/>
  <c r="J1061" i="20"/>
  <c r="J1060" i="20"/>
  <c r="J1059" i="20"/>
  <c r="J1058" i="20"/>
  <c r="J1057" i="20"/>
  <c r="J1056" i="20"/>
  <c r="J1055" i="20"/>
  <c r="J1054" i="20"/>
  <c r="J1053" i="20"/>
  <c r="J1052" i="20"/>
  <c r="J1051" i="20"/>
  <c r="J1050" i="20"/>
  <c r="J1049" i="20"/>
  <c r="J1048" i="20"/>
  <c r="J1047" i="20"/>
  <c r="J1046" i="20"/>
  <c r="J1045" i="20"/>
  <c r="J1044" i="20"/>
  <c r="J1043" i="20"/>
  <c r="J1042" i="20"/>
  <c r="J1041" i="20"/>
  <c r="J1040" i="20"/>
  <c r="J1039" i="20"/>
  <c r="J1038" i="20"/>
  <c r="J1037" i="20"/>
  <c r="J1036" i="20"/>
  <c r="J1035" i="20"/>
  <c r="J1034" i="20"/>
  <c r="J1033" i="20"/>
  <c r="J1032" i="20"/>
  <c r="J1031" i="20"/>
  <c r="J1030" i="20"/>
  <c r="J1029" i="20"/>
  <c r="J1028" i="20"/>
  <c r="J1027" i="20"/>
  <c r="J1026" i="20"/>
  <c r="J1025" i="20"/>
  <c r="J1024" i="20"/>
  <c r="J1023" i="20"/>
  <c r="J1022" i="20"/>
  <c r="J1021" i="20"/>
  <c r="J1020" i="20"/>
  <c r="J1019" i="20"/>
  <c r="J1018" i="20"/>
  <c r="J1017" i="20"/>
  <c r="J1016" i="20"/>
  <c r="J1015" i="20"/>
  <c r="J1014" i="20"/>
  <c r="J1013" i="20"/>
  <c r="J1012" i="20"/>
  <c r="J1011" i="20"/>
  <c r="J1010" i="20"/>
  <c r="J1009" i="20"/>
  <c r="J1008" i="20"/>
  <c r="J1007" i="20"/>
  <c r="J1006" i="20"/>
  <c r="J1005" i="20"/>
  <c r="J1004" i="20"/>
  <c r="J1003" i="20"/>
  <c r="J1002" i="20"/>
  <c r="J1001" i="20"/>
  <c r="J1000" i="20"/>
  <c r="J999" i="20"/>
  <c r="J998" i="20"/>
  <c r="J997" i="20"/>
  <c r="J996" i="20"/>
  <c r="J995" i="20"/>
  <c r="J994" i="20"/>
  <c r="J993" i="20"/>
  <c r="J992" i="20"/>
  <c r="J991" i="20"/>
  <c r="J990" i="20"/>
  <c r="J989" i="20"/>
  <c r="J988" i="20"/>
  <c r="J987" i="20"/>
  <c r="J986" i="20"/>
  <c r="J985" i="20"/>
  <c r="J984" i="20"/>
  <c r="J983" i="20"/>
  <c r="J982" i="20"/>
  <c r="J981" i="20"/>
  <c r="J980" i="20"/>
  <c r="J979" i="20"/>
  <c r="J978" i="20"/>
  <c r="J977" i="20"/>
  <c r="J976" i="20"/>
  <c r="J975" i="20"/>
  <c r="J974" i="20"/>
  <c r="J973" i="20"/>
  <c r="J972" i="20"/>
  <c r="J971" i="20"/>
  <c r="J970" i="20"/>
  <c r="J969" i="20"/>
  <c r="J968" i="20"/>
  <c r="J967" i="20"/>
  <c r="J966" i="20"/>
  <c r="J965" i="20"/>
  <c r="J964" i="20"/>
  <c r="J963" i="20"/>
  <c r="J962" i="20"/>
  <c r="J961" i="20"/>
  <c r="J960" i="20"/>
  <c r="J959" i="20"/>
  <c r="J958" i="20"/>
  <c r="J957" i="20"/>
  <c r="J956" i="20"/>
  <c r="J955" i="20"/>
  <c r="J954" i="20"/>
  <c r="J953" i="20"/>
  <c r="J952" i="20"/>
  <c r="J951" i="20"/>
  <c r="J950" i="20"/>
  <c r="J949" i="20"/>
  <c r="J948" i="20"/>
  <c r="J947" i="20"/>
  <c r="J946" i="20"/>
  <c r="J945" i="20"/>
  <c r="J944" i="20"/>
  <c r="J943" i="20"/>
  <c r="J942" i="20"/>
  <c r="J941" i="20"/>
  <c r="J940" i="20"/>
  <c r="J939" i="20"/>
  <c r="J938" i="20"/>
  <c r="J937" i="20"/>
  <c r="J936" i="20"/>
  <c r="J935" i="20"/>
  <c r="J934" i="20"/>
  <c r="J933" i="20"/>
  <c r="J932" i="20"/>
  <c r="J931" i="20"/>
  <c r="J930" i="20"/>
  <c r="J929" i="20"/>
  <c r="J928" i="20"/>
  <c r="J927" i="20"/>
  <c r="J926" i="20"/>
  <c r="J925" i="20"/>
  <c r="J924" i="20"/>
  <c r="J923" i="20"/>
  <c r="J922" i="20"/>
  <c r="J921" i="20"/>
  <c r="J920" i="20"/>
  <c r="J919" i="20"/>
  <c r="J918" i="20"/>
  <c r="J917" i="20"/>
  <c r="J916" i="20"/>
  <c r="J915" i="20"/>
  <c r="J914" i="20"/>
  <c r="J913" i="20"/>
  <c r="J912" i="20"/>
  <c r="J911" i="20"/>
  <c r="J910" i="20"/>
  <c r="J909" i="20"/>
  <c r="J908" i="20"/>
  <c r="J907" i="20"/>
  <c r="J906" i="20"/>
  <c r="J905" i="20"/>
  <c r="J904" i="20"/>
  <c r="J903" i="20"/>
  <c r="J902" i="20"/>
  <c r="J901" i="20"/>
  <c r="J900" i="20"/>
  <c r="J899" i="20"/>
  <c r="J898" i="20"/>
  <c r="J897" i="20"/>
  <c r="J896" i="20"/>
  <c r="J895" i="20"/>
  <c r="J894" i="20"/>
  <c r="J893" i="20"/>
  <c r="J892" i="20"/>
  <c r="J891" i="20"/>
  <c r="J890" i="20"/>
  <c r="J889" i="20"/>
  <c r="J888" i="20"/>
  <c r="J887" i="20"/>
  <c r="J886" i="20"/>
  <c r="J885" i="20"/>
  <c r="J884" i="20"/>
  <c r="J883" i="20"/>
  <c r="J882" i="20"/>
  <c r="J881" i="20"/>
  <c r="J880" i="20"/>
  <c r="J879" i="20"/>
  <c r="J878" i="20"/>
  <c r="J877" i="20"/>
  <c r="J876" i="20"/>
  <c r="J875" i="20"/>
  <c r="J874" i="20"/>
  <c r="J873" i="20"/>
  <c r="J872" i="20"/>
  <c r="J871" i="20"/>
  <c r="J870" i="20"/>
  <c r="J869" i="20"/>
  <c r="J868" i="20"/>
  <c r="J867" i="20"/>
  <c r="J866" i="20"/>
  <c r="J865" i="20"/>
  <c r="J864" i="20"/>
  <c r="J863" i="20"/>
  <c r="J862" i="20"/>
  <c r="J861" i="20"/>
  <c r="J860" i="20"/>
  <c r="J859" i="20"/>
  <c r="J858" i="20"/>
  <c r="J857" i="20"/>
  <c r="J856" i="20"/>
  <c r="J855" i="20"/>
  <c r="J854" i="20"/>
  <c r="J853" i="20"/>
  <c r="J852" i="20"/>
  <c r="J851" i="20"/>
  <c r="J850" i="20"/>
  <c r="J849" i="20"/>
  <c r="J848" i="20"/>
  <c r="J847" i="20"/>
  <c r="J846" i="20"/>
  <c r="J845" i="20"/>
  <c r="J844" i="20"/>
  <c r="J843" i="20"/>
  <c r="J842" i="20"/>
  <c r="J841" i="20"/>
  <c r="J840" i="20"/>
  <c r="J839" i="20"/>
  <c r="J838" i="20"/>
  <c r="J837" i="20"/>
  <c r="J836" i="20"/>
  <c r="J835" i="20"/>
  <c r="J834" i="20"/>
  <c r="J833" i="20"/>
  <c r="J832" i="20"/>
  <c r="J831" i="20"/>
  <c r="J830" i="20"/>
  <c r="J829" i="20"/>
  <c r="J828" i="20"/>
  <c r="J827" i="20"/>
  <c r="J826" i="20"/>
  <c r="J825" i="20"/>
  <c r="J824" i="20"/>
  <c r="J823" i="20"/>
  <c r="J822" i="20"/>
  <c r="J821" i="20"/>
  <c r="J820" i="20"/>
  <c r="J819" i="20"/>
  <c r="J818" i="20"/>
  <c r="J817" i="20"/>
  <c r="J816" i="20"/>
  <c r="J815" i="20"/>
  <c r="J814" i="20"/>
  <c r="J813" i="20"/>
  <c r="J812" i="20"/>
  <c r="J811" i="20"/>
  <c r="J810" i="20"/>
  <c r="J809" i="20"/>
  <c r="J808" i="20"/>
  <c r="J807" i="20"/>
  <c r="J806" i="20"/>
  <c r="J805" i="20"/>
  <c r="J804" i="20"/>
  <c r="J803" i="20"/>
  <c r="J802" i="20"/>
  <c r="J801" i="20"/>
  <c r="J800" i="20"/>
  <c r="J799" i="20"/>
  <c r="J798" i="20"/>
  <c r="J797" i="20"/>
  <c r="J796" i="20"/>
  <c r="J795" i="20"/>
  <c r="J794" i="20"/>
  <c r="J793" i="20"/>
  <c r="J792" i="20"/>
  <c r="J791" i="20"/>
  <c r="J790" i="20"/>
  <c r="J789" i="20"/>
  <c r="J788" i="20"/>
  <c r="J787" i="20"/>
  <c r="J786" i="20"/>
  <c r="J785" i="20"/>
  <c r="J784" i="20"/>
  <c r="J783" i="20"/>
  <c r="J782" i="20"/>
  <c r="J781" i="20"/>
  <c r="J780" i="20"/>
  <c r="J779" i="20"/>
  <c r="J778" i="20"/>
  <c r="J777" i="20"/>
  <c r="J776" i="20"/>
  <c r="J775" i="20"/>
  <c r="J774" i="20"/>
  <c r="J773" i="20"/>
  <c r="J772" i="20"/>
  <c r="J771" i="20"/>
  <c r="J770" i="20"/>
  <c r="J769" i="20"/>
  <c r="J768" i="20"/>
  <c r="J767" i="20"/>
  <c r="J766" i="20"/>
  <c r="J765" i="20"/>
  <c r="J764" i="20"/>
  <c r="J763" i="20"/>
  <c r="J762" i="20"/>
  <c r="J761" i="20"/>
  <c r="J760" i="20"/>
  <c r="J759" i="20"/>
  <c r="J758" i="20"/>
  <c r="J757" i="20"/>
  <c r="J756" i="20"/>
  <c r="J755" i="20"/>
  <c r="J754" i="20"/>
  <c r="J753" i="20"/>
  <c r="J752" i="20"/>
  <c r="J751" i="20"/>
  <c r="J750" i="20"/>
  <c r="J749" i="20"/>
  <c r="J748" i="20"/>
  <c r="J747" i="20"/>
  <c r="J746" i="20"/>
  <c r="J745" i="20"/>
  <c r="J744" i="20"/>
  <c r="J743" i="20"/>
  <c r="J742" i="20"/>
  <c r="J741" i="20"/>
  <c r="J740" i="20"/>
  <c r="J739" i="20"/>
  <c r="J738" i="20"/>
  <c r="J737" i="20"/>
  <c r="J736" i="20"/>
  <c r="J735" i="20"/>
  <c r="J734" i="20"/>
  <c r="J733" i="20"/>
  <c r="J732" i="20"/>
  <c r="J731" i="20"/>
  <c r="J730" i="20"/>
  <c r="J729" i="20"/>
  <c r="J728" i="20"/>
  <c r="J727" i="20"/>
  <c r="J726" i="20"/>
  <c r="J725" i="20"/>
  <c r="J724" i="20"/>
  <c r="J723" i="20"/>
  <c r="J722" i="20"/>
  <c r="J721" i="20"/>
  <c r="J720" i="20"/>
  <c r="J719" i="20"/>
  <c r="J718" i="20"/>
  <c r="J717" i="20"/>
  <c r="J716" i="20"/>
  <c r="J715" i="20"/>
  <c r="J714" i="20"/>
  <c r="J713" i="20"/>
  <c r="J712" i="20"/>
  <c r="J711" i="20"/>
  <c r="J710" i="20"/>
  <c r="J709" i="20"/>
  <c r="J708" i="20"/>
  <c r="J707" i="20"/>
  <c r="J706" i="20"/>
  <c r="J705" i="20"/>
  <c r="J704" i="20"/>
  <c r="J703" i="20"/>
  <c r="J702" i="20"/>
  <c r="J701" i="20"/>
  <c r="J700" i="20"/>
  <c r="J699" i="20"/>
  <c r="J698" i="20"/>
  <c r="J697" i="20"/>
  <c r="J696" i="20"/>
  <c r="J695" i="20"/>
  <c r="J694" i="20"/>
  <c r="J693" i="20"/>
  <c r="J692" i="20"/>
  <c r="J691" i="20"/>
  <c r="J690" i="20"/>
  <c r="J689" i="20"/>
  <c r="J688" i="20"/>
  <c r="J687" i="20"/>
  <c r="J686" i="20"/>
  <c r="J685" i="20"/>
  <c r="J684" i="20"/>
  <c r="J683" i="20"/>
  <c r="J682" i="20"/>
  <c r="J681" i="20"/>
  <c r="J680" i="20"/>
  <c r="J679" i="20"/>
  <c r="J678" i="20"/>
  <c r="J677" i="20"/>
  <c r="J676" i="20"/>
  <c r="J675" i="20"/>
  <c r="J674" i="20"/>
  <c r="J673" i="20"/>
  <c r="J672" i="20"/>
  <c r="J671" i="20"/>
  <c r="J670" i="20"/>
  <c r="J669" i="20"/>
  <c r="J668" i="20"/>
  <c r="J667" i="20"/>
  <c r="J666" i="20"/>
  <c r="J665" i="20"/>
  <c r="J664" i="20"/>
  <c r="J663" i="20"/>
  <c r="J662" i="20"/>
  <c r="J661" i="20"/>
  <c r="J660" i="20"/>
  <c r="J659" i="20"/>
  <c r="J658" i="20"/>
  <c r="J657" i="20"/>
  <c r="J656" i="20"/>
  <c r="J655" i="20"/>
  <c r="J654" i="20"/>
  <c r="J653" i="20"/>
  <c r="J652" i="20"/>
  <c r="J651" i="20"/>
  <c r="J650" i="20"/>
  <c r="J649" i="20"/>
  <c r="J648" i="20"/>
  <c r="J647" i="20"/>
  <c r="J646" i="20"/>
  <c r="J645" i="20"/>
  <c r="J644" i="20"/>
  <c r="J643" i="20"/>
  <c r="J642" i="20"/>
  <c r="J641" i="20"/>
  <c r="J640" i="20"/>
  <c r="J639" i="20"/>
  <c r="J638" i="20"/>
  <c r="J637" i="20"/>
  <c r="J636" i="20"/>
  <c r="J635" i="20"/>
  <c r="J634" i="20"/>
  <c r="J633" i="20"/>
  <c r="J632" i="20"/>
  <c r="J631" i="20"/>
  <c r="J630" i="20"/>
  <c r="J629" i="20"/>
  <c r="J628" i="20"/>
  <c r="J627" i="20"/>
  <c r="J626" i="20"/>
  <c r="J625" i="20"/>
  <c r="J624" i="20"/>
  <c r="J623" i="20"/>
  <c r="J622" i="20"/>
  <c r="J621" i="20"/>
  <c r="J620" i="20"/>
  <c r="J619" i="20"/>
  <c r="J618" i="20"/>
  <c r="J617" i="20"/>
  <c r="J616" i="20"/>
  <c r="J615" i="20"/>
  <c r="J614" i="20"/>
  <c r="J613" i="20"/>
  <c r="J612" i="20"/>
  <c r="J611" i="20"/>
  <c r="J610" i="20"/>
  <c r="J609" i="20"/>
  <c r="J608" i="20"/>
  <c r="J607" i="20"/>
  <c r="J606" i="20"/>
  <c r="J605" i="20"/>
  <c r="J604" i="20"/>
  <c r="J603" i="20"/>
  <c r="J602" i="20"/>
  <c r="J601" i="20"/>
  <c r="J600" i="20"/>
  <c r="J599" i="20"/>
  <c r="J598" i="20"/>
  <c r="J597" i="20"/>
  <c r="J596" i="20"/>
  <c r="J595" i="20"/>
  <c r="J594" i="20"/>
  <c r="J593" i="20"/>
  <c r="J592" i="20"/>
  <c r="J591" i="20"/>
  <c r="J590" i="20"/>
  <c r="J589" i="20"/>
  <c r="J588" i="20"/>
  <c r="J587" i="20"/>
  <c r="J586" i="20"/>
  <c r="J585" i="20"/>
  <c r="J584" i="20"/>
  <c r="J583" i="20"/>
  <c r="J582" i="20"/>
  <c r="J581" i="20"/>
  <c r="J580" i="20"/>
  <c r="J579" i="20"/>
  <c r="J578" i="20"/>
  <c r="J577" i="20"/>
  <c r="J576" i="20"/>
  <c r="J575" i="20"/>
  <c r="J574" i="20"/>
  <c r="J573" i="20"/>
  <c r="J572" i="20"/>
  <c r="J571" i="20"/>
  <c r="J570" i="20"/>
  <c r="J569" i="20"/>
  <c r="J568" i="20"/>
  <c r="J567" i="20"/>
  <c r="J566" i="20"/>
  <c r="J565" i="20"/>
  <c r="J564" i="20"/>
  <c r="J563" i="20"/>
  <c r="J562" i="20"/>
  <c r="J561" i="20"/>
  <c r="J560" i="20"/>
  <c r="J559" i="20"/>
  <c r="J558" i="20"/>
  <c r="J557" i="20"/>
  <c r="J556" i="20"/>
  <c r="J555" i="20"/>
  <c r="J554" i="20"/>
  <c r="J553" i="20"/>
  <c r="J552" i="20"/>
  <c r="J551" i="20"/>
  <c r="J550" i="20"/>
  <c r="J549" i="20"/>
  <c r="J548" i="20"/>
  <c r="J547" i="20"/>
  <c r="J546" i="20"/>
  <c r="J545" i="20"/>
  <c r="J544" i="20"/>
  <c r="J543" i="20"/>
  <c r="J542" i="20"/>
  <c r="J541" i="20"/>
  <c r="J540" i="20"/>
  <c r="J539" i="20"/>
  <c r="J538" i="20"/>
  <c r="J537" i="20"/>
  <c r="J536" i="20"/>
  <c r="J535" i="20"/>
  <c r="J534" i="20"/>
  <c r="J533" i="20"/>
  <c r="J532" i="20"/>
  <c r="J531" i="20"/>
  <c r="J530" i="20"/>
  <c r="J529" i="20"/>
  <c r="J528" i="20"/>
  <c r="J527" i="20"/>
  <c r="J526" i="20"/>
  <c r="J525" i="20"/>
  <c r="J524" i="20"/>
  <c r="J523" i="20"/>
  <c r="J522" i="20"/>
  <c r="J521" i="20"/>
  <c r="J520" i="20"/>
  <c r="J519" i="20"/>
  <c r="J518" i="20"/>
  <c r="J517" i="20"/>
  <c r="J516" i="20"/>
  <c r="J515" i="20"/>
  <c r="J514" i="20"/>
  <c r="J513" i="20"/>
  <c r="J512" i="20"/>
  <c r="J511" i="20"/>
  <c r="J510" i="20"/>
  <c r="J509" i="20"/>
  <c r="J508" i="20"/>
  <c r="J507" i="20"/>
  <c r="J506" i="20"/>
  <c r="J505" i="20"/>
  <c r="J504" i="20"/>
  <c r="J503" i="20"/>
  <c r="J502" i="20"/>
  <c r="J501" i="20"/>
  <c r="J500" i="20"/>
  <c r="J499" i="20"/>
  <c r="J498" i="20"/>
  <c r="J497" i="20"/>
  <c r="J496" i="20"/>
  <c r="J495" i="20"/>
  <c r="J494" i="20"/>
  <c r="J493" i="20"/>
  <c r="J492" i="20"/>
  <c r="J491" i="20"/>
  <c r="J490" i="20"/>
  <c r="J489" i="20"/>
  <c r="J488" i="20"/>
  <c r="J487" i="20"/>
  <c r="J486" i="20"/>
  <c r="J485" i="20"/>
  <c r="J484" i="20"/>
  <c r="J483" i="20"/>
  <c r="J482" i="20"/>
  <c r="J481" i="20"/>
  <c r="J480" i="20"/>
  <c r="J479" i="20"/>
  <c r="J478" i="20"/>
  <c r="J477" i="20"/>
  <c r="J476" i="20"/>
  <c r="J475" i="20"/>
  <c r="J474" i="20"/>
  <c r="J473" i="20"/>
  <c r="J472" i="20"/>
  <c r="J471" i="20"/>
  <c r="J470" i="20"/>
  <c r="J469" i="20"/>
  <c r="J468" i="20"/>
  <c r="J467" i="20"/>
  <c r="J466" i="20"/>
  <c r="J465" i="20"/>
  <c r="J464" i="20"/>
  <c r="J463" i="20"/>
  <c r="J462" i="20"/>
  <c r="J461" i="20"/>
  <c r="J460" i="20"/>
  <c r="J459" i="20"/>
  <c r="J458" i="20"/>
  <c r="J457" i="20"/>
  <c r="J456" i="20"/>
  <c r="J455" i="20"/>
  <c r="J454" i="20"/>
  <c r="J453" i="20"/>
  <c r="J452" i="20"/>
  <c r="J451" i="20"/>
  <c r="J450" i="20"/>
  <c r="J449" i="20"/>
  <c r="J448" i="20"/>
  <c r="J447" i="20"/>
  <c r="J446" i="20"/>
  <c r="J445" i="20"/>
  <c r="J444" i="20"/>
  <c r="J443" i="20"/>
  <c r="J442" i="20"/>
  <c r="J441" i="20"/>
  <c r="J440" i="20"/>
  <c r="J439" i="20"/>
  <c r="J438" i="20"/>
  <c r="J437" i="20"/>
  <c r="J436" i="20"/>
  <c r="J435" i="20"/>
  <c r="J434" i="20"/>
  <c r="J433" i="20"/>
  <c r="J432" i="20"/>
  <c r="J431" i="20"/>
  <c r="J430" i="20"/>
  <c r="J429" i="20"/>
  <c r="J428" i="20"/>
  <c r="J427" i="20"/>
  <c r="J426" i="20"/>
  <c r="J425" i="20"/>
  <c r="J424" i="20"/>
  <c r="J423" i="20"/>
  <c r="J422" i="20"/>
  <c r="J421" i="20"/>
  <c r="J420" i="20"/>
  <c r="J419" i="20"/>
  <c r="J418" i="20"/>
  <c r="J417" i="20"/>
  <c r="J416" i="20"/>
  <c r="J415" i="20"/>
  <c r="J414" i="20"/>
  <c r="J413" i="20"/>
  <c r="J412" i="20"/>
  <c r="J411" i="20"/>
  <c r="J410" i="20"/>
  <c r="J409" i="20"/>
  <c r="J408" i="20"/>
  <c r="J407" i="20"/>
  <c r="J406" i="20"/>
  <c r="J405" i="20"/>
  <c r="J404" i="20"/>
  <c r="J403" i="20"/>
  <c r="J402" i="20"/>
  <c r="J401" i="20"/>
  <c r="J400" i="20"/>
  <c r="J399" i="20"/>
  <c r="J398" i="20"/>
  <c r="J397" i="20"/>
  <c r="J396" i="20"/>
  <c r="J395" i="20"/>
  <c r="J394" i="20"/>
  <c r="J393" i="20"/>
  <c r="J392" i="20"/>
  <c r="J391" i="20"/>
  <c r="J390" i="20"/>
  <c r="J389" i="20"/>
  <c r="J388" i="20"/>
  <c r="J387" i="20"/>
  <c r="J386" i="20"/>
  <c r="J385" i="20"/>
  <c r="J384" i="20"/>
  <c r="J383" i="20"/>
  <c r="J382" i="20"/>
  <c r="J381" i="20"/>
  <c r="J380" i="20"/>
  <c r="J379" i="20"/>
  <c r="J378" i="20"/>
  <c r="J377" i="20"/>
  <c r="J376" i="20"/>
  <c r="J375" i="20"/>
  <c r="J374" i="20"/>
  <c r="J373" i="20"/>
  <c r="J372" i="20"/>
  <c r="J371" i="20"/>
  <c r="J370" i="20"/>
  <c r="J369" i="20"/>
  <c r="J368" i="20"/>
  <c r="J367" i="20"/>
  <c r="J366" i="20"/>
  <c r="J365" i="20"/>
  <c r="J364" i="20"/>
  <c r="J363" i="20"/>
  <c r="J362" i="20"/>
  <c r="J361" i="20"/>
  <c r="J360" i="20"/>
  <c r="J359" i="20"/>
  <c r="J358" i="20"/>
  <c r="J357" i="20"/>
  <c r="J356" i="20"/>
  <c r="J355" i="20"/>
  <c r="J354" i="20"/>
  <c r="J353" i="20"/>
  <c r="J352" i="20"/>
  <c r="J351" i="20"/>
  <c r="J350" i="20"/>
  <c r="J349" i="20"/>
  <c r="J348" i="20"/>
  <c r="J347" i="20"/>
  <c r="J346" i="20"/>
  <c r="J345" i="20"/>
  <c r="J344" i="20"/>
  <c r="J343" i="20"/>
  <c r="J342" i="20"/>
  <c r="J341" i="20"/>
  <c r="J340" i="20"/>
  <c r="J339" i="20"/>
  <c r="J338" i="20"/>
  <c r="J337" i="20"/>
  <c r="J336" i="20"/>
  <c r="J335" i="20"/>
  <c r="J334" i="20"/>
  <c r="J333" i="20"/>
  <c r="J332" i="20"/>
  <c r="J331" i="20"/>
  <c r="J330" i="20"/>
  <c r="J329" i="20"/>
  <c r="J328" i="20"/>
  <c r="J327" i="20"/>
  <c r="J326" i="20"/>
  <c r="J325" i="20"/>
  <c r="J324" i="20"/>
  <c r="J323" i="20"/>
  <c r="J322" i="20"/>
  <c r="J321" i="20"/>
  <c r="J320" i="20"/>
  <c r="J319" i="20"/>
  <c r="J318" i="20"/>
  <c r="J317" i="20"/>
  <c r="J316" i="20"/>
  <c r="J315" i="20"/>
  <c r="J314" i="20"/>
  <c r="J313" i="20"/>
  <c r="J312" i="20"/>
  <c r="J311" i="20"/>
  <c r="J310" i="20"/>
  <c r="J309" i="20"/>
  <c r="J308" i="20"/>
  <c r="J307" i="20"/>
  <c r="J306" i="20"/>
  <c r="J305" i="20"/>
  <c r="J304" i="20"/>
  <c r="J303" i="20"/>
  <c r="J302" i="20"/>
  <c r="J301" i="20"/>
  <c r="J300" i="20"/>
  <c r="J299" i="20"/>
  <c r="J298" i="20"/>
  <c r="J297" i="20"/>
  <c r="J296" i="20"/>
  <c r="J295" i="20"/>
  <c r="J294" i="20"/>
  <c r="J293" i="20"/>
  <c r="J292" i="20"/>
  <c r="J291" i="20"/>
  <c r="J290" i="20"/>
  <c r="J289" i="20"/>
  <c r="J288" i="20"/>
  <c r="J287" i="20"/>
  <c r="J286" i="20"/>
  <c r="J285" i="20"/>
  <c r="J284" i="20"/>
  <c r="J283" i="20"/>
  <c r="J282" i="20"/>
  <c r="J281" i="20"/>
  <c r="J280" i="20"/>
  <c r="J279" i="20"/>
  <c r="J278" i="20"/>
  <c r="J277" i="20"/>
  <c r="J276" i="20"/>
  <c r="J275" i="20"/>
  <c r="J274" i="20"/>
  <c r="J273" i="20"/>
  <c r="J272" i="20"/>
  <c r="J271" i="20"/>
  <c r="J270" i="20"/>
  <c r="J269" i="20"/>
  <c r="J268" i="20"/>
  <c r="J267" i="20"/>
  <c r="J266" i="20"/>
  <c r="J265" i="20"/>
  <c r="J264" i="20"/>
  <c r="J263" i="20"/>
  <c r="J262" i="20"/>
  <c r="J261" i="20"/>
  <c r="J260" i="20"/>
  <c r="J259" i="20"/>
  <c r="J258" i="20"/>
  <c r="J257" i="20"/>
  <c r="J256" i="20"/>
  <c r="J255" i="20"/>
  <c r="J254" i="20"/>
  <c r="J253" i="20"/>
  <c r="J252" i="20"/>
  <c r="J251" i="20"/>
  <c r="J250" i="20"/>
  <c r="J249" i="20"/>
  <c r="J248" i="20"/>
  <c r="J247" i="20"/>
  <c r="J246" i="20"/>
  <c r="J245" i="20"/>
  <c r="J244" i="20"/>
  <c r="J243" i="20"/>
  <c r="J242" i="20"/>
  <c r="J241" i="20"/>
  <c r="J240" i="20"/>
  <c r="J239" i="20"/>
  <c r="J238" i="20"/>
  <c r="J237" i="20"/>
  <c r="J236" i="20"/>
  <c r="J235" i="20"/>
  <c r="J234" i="20"/>
  <c r="J233" i="20"/>
  <c r="J232" i="20"/>
  <c r="J231" i="20"/>
  <c r="J230" i="20"/>
  <c r="J229" i="20"/>
  <c r="J228" i="20"/>
  <c r="J227" i="20"/>
  <c r="J226" i="20"/>
  <c r="J225" i="20"/>
  <c r="J224" i="20"/>
  <c r="J223" i="20"/>
  <c r="J222" i="20"/>
  <c r="J221" i="20"/>
  <c r="J220" i="20"/>
  <c r="J219" i="20"/>
  <c r="J218" i="20"/>
  <c r="J217" i="20"/>
  <c r="J216" i="20"/>
  <c r="J215" i="20"/>
  <c r="J214" i="20"/>
  <c r="J213" i="20"/>
  <c r="J212" i="20"/>
  <c r="J211" i="20"/>
  <c r="J210" i="20"/>
  <c r="J209" i="20"/>
  <c r="J208" i="20"/>
  <c r="J207" i="20"/>
  <c r="J206" i="20"/>
  <c r="J205" i="20"/>
  <c r="J204" i="20"/>
  <c r="J203" i="20"/>
  <c r="J202" i="20"/>
  <c r="J201" i="20"/>
  <c r="J200" i="20"/>
  <c r="J199" i="20"/>
  <c r="J198" i="20"/>
  <c r="J197" i="20"/>
  <c r="J196" i="20"/>
  <c r="J195" i="20"/>
  <c r="J194" i="20"/>
  <c r="J193" i="20"/>
  <c r="J192" i="20"/>
  <c r="J191" i="20"/>
  <c r="J190" i="20"/>
  <c r="J189" i="20"/>
  <c r="J188" i="20"/>
  <c r="J187" i="20"/>
  <c r="J186" i="20"/>
  <c r="J185" i="20"/>
  <c r="J184" i="20"/>
  <c r="J183" i="20"/>
  <c r="J182" i="20"/>
  <c r="J181" i="20"/>
  <c r="J180" i="20"/>
  <c r="J179" i="20"/>
  <c r="J178" i="20"/>
  <c r="J177" i="20"/>
  <c r="J176" i="20"/>
  <c r="J175" i="20"/>
  <c r="J174" i="20"/>
  <c r="J173" i="20"/>
  <c r="J172" i="20"/>
  <c r="J171" i="20"/>
  <c r="J170" i="20"/>
  <c r="J169" i="20"/>
  <c r="J168" i="20"/>
  <c r="J167" i="20"/>
  <c r="J166" i="20"/>
  <c r="J165" i="20"/>
  <c r="J164" i="20"/>
  <c r="J163" i="20"/>
  <c r="J162" i="20"/>
  <c r="J161" i="20"/>
  <c r="J160" i="20"/>
  <c r="J159" i="20"/>
  <c r="J158" i="20"/>
  <c r="J157" i="20"/>
  <c r="J156" i="20"/>
  <c r="J155" i="20"/>
  <c r="J154" i="20"/>
  <c r="J153" i="20"/>
  <c r="J152" i="20"/>
  <c r="J151" i="20"/>
  <c r="J150" i="20"/>
  <c r="J149" i="20"/>
  <c r="J148" i="20"/>
  <c r="J147" i="20"/>
  <c r="J146" i="20"/>
  <c r="J145" i="20"/>
  <c r="J144" i="20"/>
  <c r="J143" i="20"/>
  <c r="J142" i="20"/>
  <c r="J141" i="20"/>
  <c r="J140" i="20"/>
  <c r="J139" i="20"/>
  <c r="J138" i="20"/>
  <c r="J137" i="20"/>
  <c r="J136" i="20"/>
  <c r="J135" i="20"/>
  <c r="J134" i="20"/>
  <c r="J133" i="20"/>
  <c r="J132" i="20"/>
  <c r="J131" i="20"/>
  <c r="J130" i="20"/>
  <c r="J129" i="20"/>
  <c r="J128" i="20"/>
  <c r="J127" i="20"/>
  <c r="J126" i="20"/>
  <c r="J125" i="20"/>
  <c r="J124" i="20"/>
  <c r="J123" i="20"/>
  <c r="J122" i="20"/>
  <c r="J121" i="20"/>
  <c r="J120" i="20"/>
  <c r="J119" i="20"/>
  <c r="J118" i="20"/>
  <c r="J117" i="20"/>
  <c r="J116" i="20"/>
  <c r="J115" i="20"/>
  <c r="J114" i="20"/>
  <c r="J113" i="20"/>
  <c r="J112" i="20"/>
  <c r="J111" i="20"/>
  <c r="J110" i="20"/>
  <c r="J109" i="20"/>
  <c r="J108" i="20"/>
  <c r="J107" i="20"/>
  <c r="J106" i="20"/>
  <c r="J105" i="20"/>
  <c r="J104" i="20"/>
  <c r="J103" i="20"/>
  <c r="J102" i="20"/>
  <c r="J101" i="20"/>
  <c r="J100" i="20"/>
  <c r="J99" i="20"/>
  <c r="J98" i="20"/>
  <c r="J97" i="20"/>
  <c r="J96" i="20"/>
  <c r="J95" i="20"/>
  <c r="J94" i="20"/>
  <c r="J93" i="20"/>
  <c r="J92" i="20"/>
  <c r="J91" i="20"/>
  <c r="J90" i="20"/>
  <c r="J89" i="20"/>
  <c r="J88" i="20"/>
  <c r="J87" i="20"/>
  <c r="J86" i="20"/>
  <c r="J85" i="20"/>
  <c r="J84" i="20"/>
  <c r="J83" i="20"/>
  <c r="J82" i="20"/>
  <c r="J81" i="20"/>
  <c r="J80" i="20"/>
  <c r="J79" i="20"/>
  <c r="J78" i="20"/>
  <c r="J77" i="20"/>
  <c r="J76" i="20"/>
  <c r="J75" i="20"/>
  <c r="J74" i="20"/>
  <c r="J73" i="20"/>
  <c r="J72" i="20"/>
  <c r="J71" i="20"/>
  <c r="J70" i="20"/>
  <c r="J69" i="20"/>
  <c r="J68" i="20"/>
  <c r="J67" i="20"/>
  <c r="J66" i="20"/>
  <c r="J65" i="20"/>
  <c r="J64" i="20"/>
  <c r="J63" i="20"/>
  <c r="J62" i="20"/>
  <c r="J61" i="20"/>
  <c r="J60" i="20"/>
  <c r="J59" i="20"/>
  <c r="J58" i="20"/>
  <c r="J57" i="20"/>
  <c r="J56" i="20"/>
  <c r="J55" i="20"/>
  <c r="J54" i="20"/>
  <c r="J53" i="20"/>
  <c r="J52" i="20"/>
  <c r="J51" i="20"/>
  <c r="J50" i="20"/>
  <c r="J49" i="20"/>
  <c r="J48" i="20"/>
  <c r="J47" i="20"/>
  <c r="J46" i="20"/>
  <c r="J45" i="20"/>
  <c r="J44" i="20"/>
  <c r="J43" i="20"/>
  <c r="J42" i="20"/>
  <c r="J41" i="20"/>
  <c r="J40" i="20"/>
  <c r="J39" i="20"/>
  <c r="J38" i="20"/>
  <c r="J37" i="20"/>
  <c r="J36" i="20"/>
  <c r="J35" i="20"/>
  <c r="J34" i="20"/>
  <c r="J33" i="20"/>
  <c r="J32" i="20"/>
  <c r="J31" i="20"/>
  <c r="J30" i="20"/>
  <c r="J29" i="20"/>
  <c r="J28" i="20"/>
  <c r="J27" i="20"/>
  <c r="J26" i="20"/>
  <c r="J25" i="20"/>
  <c r="J24" i="20"/>
  <c r="J23" i="20"/>
  <c r="J22" i="20"/>
  <c r="J21" i="20"/>
  <c r="J20" i="20"/>
  <c r="J19" i="20"/>
  <c r="J18" i="20"/>
  <c r="J17" i="20"/>
  <c r="J16" i="20"/>
  <c r="J15" i="20"/>
  <c r="J14" i="20"/>
  <c r="J13" i="20"/>
  <c r="J12" i="20"/>
  <c r="J11" i="20"/>
  <c r="J10" i="20"/>
  <c r="J9" i="20"/>
  <c r="J8" i="20"/>
  <c r="J7" i="20"/>
  <c r="J6" i="20"/>
  <c r="J5" i="20"/>
  <c r="J4" i="20"/>
  <c r="J3" i="20"/>
  <c r="J2" i="20"/>
  <c r="J1593" i="20"/>
  <c r="H1592" i="20"/>
  <c r="H1591" i="20"/>
  <c r="H1590" i="20"/>
  <c r="H1589" i="20"/>
  <c r="H1588" i="20"/>
  <c r="H1587" i="20"/>
  <c r="H1586" i="20"/>
  <c r="H1585" i="20"/>
  <c r="H1584" i="20"/>
  <c r="H1583" i="20"/>
  <c r="H1582" i="20"/>
  <c r="H1581" i="20"/>
  <c r="H1580" i="20"/>
  <c r="H1579" i="20"/>
  <c r="H1578" i="20"/>
  <c r="H1577" i="20"/>
  <c r="H1576" i="20"/>
  <c r="H1575" i="20"/>
  <c r="H1574" i="20"/>
  <c r="H1573" i="20"/>
  <c r="H1572" i="20"/>
  <c r="H1571" i="20"/>
  <c r="H1570" i="20"/>
  <c r="H1569" i="20"/>
  <c r="H1568" i="20"/>
  <c r="H1567" i="20"/>
  <c r="H1566" i="20"/>
  <c r="H1565" i="20"/>
  <c r="H1564" i="20"/>
  <c r="H1563" i="20"/>
  <c r="H1562" i="20"/>
  <c r="H1561" i="20"/>
  <c r="H1560" i="20"/>
  <c r="H1559" i="20"/>
  <c r="H1558" i="20"/>
  <c r="H1557" i="20"/>
  <c r="H1556" i="20"/>
  <c r="H1555" i="20"/>
  <c r="H1554" i="20"/>
  <c r="H1553" i="20"/>
  <c r="H1552" i="20"/>
  <c r="H1551" i="20"/>
  <c r="H1550" i="20"/>
  <c r="H1549" i="20"/>
  <c r="H1548" i="20"/>
  <c r="H1547" i="20"/>
  <c r="H1546" i="20"/>
  <c r="H1545" i="20"/>
  <c r="H1544" i="20"/>
  <c r="H1543" i="20"/>
  <c r="H1542" i="20"/>
  <c r="H1541" i="20"/>
  <c r="H1540" i="20"/>
  <c r="H1539" i="20"/>
  <c r="H1538" i="20"/>
  <c r="H1537" i="20"/>
  <c r="H1536" i="20"/>
  <c r="H1535" i="20"/>
  <c r="H1534" i="20"/>
  <c r="H1533" i="20"/>
  <c r="H1532" i="20"/>
  <c r="H1531" i="20"/>
  <c r="H1530" i="20"/>
  <c r="H1529" i="20"/>
  <c r="H1528" i="20"/>
  <c r="H1527" i="20"/>
  <c r="H1526" i="20"/>
  <c r="H1525" i="20"/>
  <c r="H1524" i="20"/>
  <c r="H1523" i="20"/>
  <c r="H1522" i="20"/>
  <c r="H1521" i="20"/>
  <c r="H1520" i="20"/>
  <c r="H1519" i="20"/>
  <c r="H1518" i="20"/>
  <c r="H1517" i="20"/>
  <c r="H1516" i="20"/>
  <c r="H1515" i="20"/>
  <c r="H1514" i="20"/>
  <c r="H1513" i="20"/>
  <c r="H1512" i="20"/>
  <c r="H1511" i="20"/>
  <c r="H1510" i="20"/>
  <c r="H1509" i="20"/>
  <c r="H1508" i="20"/>
  <c r="H1507" i="20"/>
  <c r="H1506" i="20"/>
  <c r="H1505" i="20"/>
  <c r="H1504" i="20"/>
  <c r="H1503" i="20"/>
  <c r="H1502" i="20"/>
  <c r="H1501" i="20"/>
  <c r="H1500" i="20"/>
  <c r="H1499" i="20"/>
  <c r="H1498" i="20"/>
  <c r="H1497" i="20"/>
  <c r="H1496" i="20"/>
  <c r="H1495" i="20"/>
  <c r="H1494" i="20"/>
  <c r="H1493" i="20"/>
  <c r="H1492" i="20"/>
  <c r="H1491" i="20"/>
  <c r="H1490" i="20"/>
  <c r="H1489" i="20"/>
  <c r="H1488" i="20"/>
  <c r="H1487" i="20"/>
  <c r="H1486" i="20"/>
  <c r="H1485" i="20"/>
  <c r="H1484" i="20"/>
  <c r="H1483" i="20"/>
  <c r="H1482" i="20"/>
  <c r="H1481" i="20"/>
  <c r="H1480" i="20"/>
  <c r="H1479" i="20"/>
  <c r="H1478" i="20"/>
  <c r="H1477" i="20"/>
  <c r="H1476" i="20"/>
  <c r="H1475" i="20"/>
  <c r="H1474" i="20"/>
  <c r="H1473" i="20"/>
  <c r="H1472" i="20"/>
  <c r="H1471" i="20"/>
  <c r="H1470" i="20"/>
  <c r="H1469" i="20"/>
  <c r="H1468" i="20"/>
  <c r="H1467" i="20"/>
  <c r="H1466" i="20"/>
  <c r="H1465" i="20"/>
  <c r="H1464" i="20"/>
  <c r="H1463" i="20"/>
  <c r="H1462" i="20"/>
  <c r="H1461" i="20"/>
  <c r="H1460" i="20"/>
  <c r="H1459" i="20"/>
  <c r="H1458" i="20"/>
  <c r="H1457" i="20"/>
  <c r="H1456" i="20"/>
  <c r="H1455" i="20"/>
  <c r="H1454" i="20"/>
  <c r="H1453" i="20"/>
  <c r="H1452" i="20"/>
  <c r="H1451" i="20"/>
  <c r="H1450" i="20"/>
  <c r="H1449" i="20"/>
  <c r="H1448" i="20"/>
  <c r="H1447" i="20"/>
  <c r="H1446" i="20"/>
  <c r="H1445" i="20"/>
  <c r="H1444" i="20"/>
  <c r="H1443" i="20"/>
  <c r="H1442" i="20"/>
  <c r="H1441" i="20"/>
  <c r="H1440" i="20"/>
  <c r="H1439" i="20"/>
  <c r="H1438" i="20"/>
  <c r="H1437" i="20"/>
  <c r="H1436" i="20"/>
  <c r="H1435" i="20"/>
  <c r="H1434" i="20"/>
  <c r="H1433" i="20"/>
  <c r="H1432" i="20"/>
  <c r="H1431" i="20"/>
  <c r="H1430" i="20"/>
  <c r="H1429" i="20"/>
  <c r="H1428" i="20"/>
  <c r="H1427" i="20"/>
  <c r="H1426" i="20"/>
  <c r="H1425" i="20"/>
  <c r="H1424" i="20"/>
  <c r="H1423" i="20"/>
  <c r="H1422" i="20"/>
  <c r="H1421" i="20"/>
  <c r="H1420" i="20"/>
  <c r="H1419" i="20"/>
  <c r="H1418" i="20"/>
  <c r="H1417" i="20"/>
  <c r="H1416" i="20"/>
  <c r="H1415" i="20"/>
  <c r="H1414" i="20"/>
  <c r="H1413" i="20"/>
  <c r="H1412" i="20"/>
  <c r="H1411" i="20"/>
  <c r="H1410" i="20"/>
  <c r="H1409" i="20"/>
  <c r="H1408" i="20"/>
  <c r="H1407" i="20"/>
  <c r="H1406" i="20"/>
  <c r="H1405" i="20"/>
  <c r="H1404" i="20"/>
  <c r="H1403" i="20"/>
  <c r="H1402" i="20"/>
  <c r="H1401" i="20"/>
  <c r="H1400" i="20"/>
  <c r="H1399" i="20"/>
  <c r="H1398" i="20"/>
  <c r="H1397" i="20"/>
  <c r="H1396" i="20"/>
  <c r="H1395" i="20"/>
  <c r="H1394" i="20"/>
  <c r="H1393" i="20"/>
  <c r="H1392" i="20"/>
  <c r="H1391" i="20"/>
  <c r="H1390" i="20"/>
  <c r="H1389" i="20"/>
  <c r="H1388" i="20"/>
  <c r="H1387" i="20"/>
  <c r="H1386" i="20"/>
  <c r="H1385" i="20"/>
  <c r="H1384" i="20"/>
  <c r="H1383" i="20"/>
  <c r="H1382" i="20"/>
  <c r="H1381" i="20"/>
  <c r="H1380" i="20"/>
  <c r="H1379" i="20"/>
  <c r="H1378" i="20"/>
  <c r="H1377" i="20"/>
  <c r="H1376" i="20"/>
  <c r="H1375" i="20"/>
  <c r="H1374" i="20"/>
  <c r="H1373" i="20"/>
  <c r="H1372" i="20"/>
  <c r="H1371" i="20"/>
  <c r="H1370" i="20"/>
  <c r="H1369" i="20"/>
  <c r="H1368" i="20"/>
  <c r="H1367" i="20"/>
  <c r="H1366" i="20"/>
  <c r="H1365" i="20"/>
  <c r="H1364" i="20"/>
  <c r="H1363" i="20"/>
  <c r="H1362" i="20"/>
  <c r="H1361" i="20"/>
  <c r="H1360" i="20"/>
  <c r="H1359" i="20"/>
  <c r="H1358" i="20"/>
  <c r="H1357" i="20"/>
  <c r="H1356" i="20"/>
  <c r="H1355" i="20"/>
  <c r="H1354" i="20"/>
  <c r="H1353" i="20"/>
  <c r="H1352" i="20"/>
  <c r="H1351" i="20"/>
  <c r="H1350" i="20"/>
  <c r="H1349" i="20"/>
  <c r="H1348" i="20"/>
  <c r="H1347" i="20"/>
  <c r="H1346" i="20"/>
  <c r="H1345" i="20"/>
  <c r="H1344" i="20"/>
  <c r="H1343" i="20"/>
  <c r="H1342" i="20"/>
  <c r="H1341" i="20"/>
  <c r="H1340" i="20"/>
  <c r="H1339" i="20"/>
  <c r="H1338" i="20"/>
  <c r="H1337" i="20"/>
  <c r="H1336" i="20"/>
  <c r="H1335" i="20"/>
  <c r="H1334" i="20"/>
  <c r="H1333" i="20"/>
  <c r="H1332" i="20"/>
  <c r="H1331" i="20"/>
  <c r="H1330" i="20"/>
  <c r="H1329" i="20"/>
  <c r="H1328" i="20"/>
  <c r="H1327" i="20"/>
  <c r="H1326" i="20"/>
  <c r="H1325" i="20"/>
  <c r="H1324" i="20"/>
  <c r="H1323" i="20"/>
  <c r="H1322" i="20"/>
  <c r="H1321" i="20"/>
  <c r="H1320" i="20"/>
  <c r="H1319" i="20"/>
  <c r="H1318" i="20"/>
  <c r="H1317" i="20"/>
  <c r="H1316" i="20"/>
  <c r="H1315" i="20"/>
  <c r="H1314" i="20"/>
  <c r="H1313" i="20"/>
  <c r="H1312" i="20"/>
  <c r="H1311" i="20"/>
  <c r="H1310" i="20"/>
  <c r="H1309" i="20"/>
  <c r="H1308" i="20"/>
  <c r="H1307" i="20"/>
  <c r="H1306" i="20"/>
  <c r="H1305" i="20"/>
  <c r="H1304" i="20"/>
  <c r="H1303" i="20"/>
  <c r="H1302" i="20"/>
  <c r="H1301" i="20"/>
  <c r="H1300" i="20"/>
  <c r="H1299" i="20"/>
  <c r="H1298" i="20"/>
  <c r="H1297" i="20"/>
  <c r="H1296" i="20"/>
  <c r="H1295" i="20"/>
  <c r="H1294" i="20"/>
  <c r="H1293" i="20"/>
  <c r="H1292" i="20"/>
  <c r="H1291" i="20"/>
  <c r="H1290" i="20"/>
  <c r="H1289" i="20"/>
  <c r="H1288" i="20"/>
  <c r="H1287" i="20"/>
  <c r="H1286" i="20"/>
  <c r="H1285" i="20"/>
  <c r="H1284" i="20"/>
  <c r="H1283" i="20"/>
  <c r="H1282" i="20"/>
  <c r="H1281" i="20"/>
  <c r="H1280" i="20"/>
  <c r="H1279" i="20"/>
  <c r="H1278" i="20"/>
  <c r="H1277" i="20"/>
  <c r="H1276" i="20"/>
  <c r="H1275" i="20"/>
  <c r="H1274" i="20"/>
  <c r="H1273" i="20"/>
  <c r="H1272" i="20"/>
  <c r="H1271" i="20"/>
  <c r="H1270" i="20"/>
  <c r="H1269" i="20"/>
  <c r="H1268" i="20"/>
  <c r="H1267" i="20"/>
  <c r="H1266" i="20"/>
  <c r="H1265" i="20"/>
  <c r="H1264" i="20"/>
  <c r="H1263" i="20"/>
  <c r="H1262" i="20"/>
  <c r="H1261" i="20"/>
  <c r="H1260" i="20"/>
  <c r="H1259" i="20"/>
  <c r="H1258" i="20"/>
  <c r="H1257" i="20"/>
  <c r="H1256" i="20"/>
  <c r="H1255" i="20"/>
  <c r="H1254" i="20"/>
  <c r="H1253" i="20"/>
  <c r="H1252" i="20"/>
  <c r="H1251" i="20"/>
  <c r="H1250" i="20"/>
  <c r="H1249" i="20"/>
  <c r="H1248" i="20"/>
  <c r="H1247" i="20"/>
  <c r="H1246" i="20"/>
  <c r="H1245" i="20"/>
  <c r="H1244" i="20"/>
  <c r="H1243" i="20"/>
  <c r="H1242" i="20"/>
  <c r="H1241" i="20"/>
  <c r="H1240" i="20"/>
  <c r="H1239" i="20"/>
  <c r="H1238" i="20"/>
  <c r="H1237" i="20"/>
  <c r="H1236" i="20"/>
  <c r="H1235" i="20"/>
  <c r="H1234" i="20"/>
  <c r="H1233" i="20"/>
  <c r="H1232" i="20"/>
  <c r="H1231" i="20"/>
  <c r="H1230" i="20"/>
  <c r="H1229" i="20"/>
  <c r="H1228" i="20"/>
  <c r="H1227" i="20"/>
  <c r="H1226" i="20"/>
  <c r="H1225" i="20"/>
  <c r="H1224" i="20"/>
  <c r="H1223" i="20"/>
  <c r="H1222" i="20"/>
  <c r="H1221" i="20"/>
  <c r="H1220" i="20"/>
  <c r="H1219" i="20"/>
  <c r="H1218" i="20"/>
  <c r="H1217" i="20"/>
  <c r="H1216" i="20"/>
  <c r="H1215" i="20"/>
  <c r="H1214" i="20"/>
  <c r="H1213" i="20"/>
  <c r="H1212" i="20"/>
  <c r="H1211" i="20"/>
  <c r="H1210" i="20"/>
  <c r="H1209" i="20"/>
  <c r="H1208" i="20"/>
  <c r="H1207" i="20"/>
  <c r="H1206" i="20"/>
  <c r="H1205" i="20"/>
  <c r="H1204" i="20"/>
  <c r="H1203" i="20"/>
  <c r="H1202" i="20"/>
  <c r="H1201" i="20"/>
  <c r="H1200" i="20"/>
  <c r="H1199" i="20"/>
  <c r="H1198" i="20"/>
  <c r="H1197" i="20"/>
  <c r="H1196" i="20"/>
  <c r="H1195" i="20"/>
  <c r="H1194" i="20"/>
  <c r="H1193" i="20"/>
  <c r="H1192" i="20"/>
  <c r="H1191" i="20"/>
  <c r="H1190" i="20"/>
  <c r="H1189" i="20"/>
  <c r="H1188" i="20"/>
  <c r="H1187" i="20"/>
  <c r="H1186" i="20"/>
  <c r="H1185" i="20"/>
  <c r="H1184" i="20"/>
  <c r="H1183" i="20"/>
  <c r="H1182" i="20"/>
  <c r="H1181" i="20"/>
  <c r="H1180" i="20"/>
  <c r="H1179" i="20"/>
  <c r="H1178" i="20"/>
  <c r="H1177" i="20"/>
  <c r="H1176" i="20"/>
  <c r="H1175" i="20"/>
  <c r="H1174" i="20"/>
  <c r="H1173" i="20"/>
  <c r="H1172" i="20"/>
  <c r="H1171" i="20"/>
  <c r="H1170" i="20"/>
  <c r="H1169" i="20"/>
  <c r="H1168" i="20"/>
  <c r="H1167" i="20"/>
  <c r="H1166" i="20"/>
  <c r="H1165" i="20"/>
  <c r="H1164" i="20"/>
  <c r="H1163" i="20"/>
  <c r="H1162" i="20"/>
  <c r="H1161" i="20"/>
  <c r="H1160" i="20"/>
  <c r="H1159" i="20"/>
  <c r="H1158" i="20"/>
  <c r="H1157" i="20"/>
  <c r="H1156" i="20"/>
  <c r="H1155" i="20"/>
  <c r="H1154" i="20"/>
  <c r="H1153" i="20"/>
  <c r="H1152" i="20"/>
  <c r="H1151" i="20"/>
  <c r="H1150" i="20"/>
  <c r="H1149" i="20"/>
  <c r="H1148" i="20"/>
  <c r="H1147" i="20"/>
  <c r="H1146" i="20"/>
  <c r="H1145" i="20"/>
  <c r="H1144" i="20"/>
  <c r="H1143" i="20"/>
  <c r="H1142" i="20"/>
  <c r="H1141" i="20"/>
  <c r="H1140" i="20"/>
  <c r="H1139" i="20"/>
  <c r="H1138" i="20"/>
  <c r="H1137" i="20"/>
  <c r="H1136" i="20"/>
  <c r="H1135" i="20"/>
  <c r="H1134" i="20"/>
  <c r="H1133" i="20"/>
  <c r="H1132" i="20"/>
  <c r="H1131" i="20"/>
  <c r="H1130" i="20"/>
  <c r="H1129" i="20"/>
  <c r="H1128" i="20"/>
  <c r="H1127" i="20"/>
  <c r="H1126" i="20"/>
  <c r="H1125" i="20"/>
  <c r="H1124" i="20"/>
  <c r="H1123" i="20"/>
  <c r="H1122" i="20"/>
  <c r="H1121" i="20"/>
  <c r="H1120" i="20"/>
  <c r="H1119" i="20"/>
  <c r="H1118" i="20"/>
  <c r="H1117" i="20"/>
  <c r="H1116" i="20"/>
  <c r="H1115" i="20"/>
  <c r="H1114" i="20"/>
  <c r="H1113" i="20"/>
  <c r="H1112" i="20"/>
  <c r="H1111" i="20"/>
  <c r="H1110" i="20"/>
  <c r="H1109" i="20"/>
  <c r="H1108" i="20"/>
  <c r="H1107" i="20"/>
  <c r="H1106" i="20"/>
  <c r="H1105" i="20"/>
  <c r="H1104" i="20"/>
  <c r="H1103" i="20"/>
  <c r="H1102" i="20"/>
  <c r="H1101" i="20"/>
  <c r="H1100" i="20"/>
  <c r="H1099" i="20"/>
  <c r="H1098" i="20"/>
  <c r="H1097" i="20"/>
  <c r="H1096" i="20"/>
  <c r="H1095" i="20"/>
  <c r="H1094" i="20"/>
  <c r="H1093" i="20"/>
  <c r="H1092" i="20"/>
  <c r="H1091" i="20"/>
  <c r="H1090" i="20"/>
  <c r="H1089" i="20"/>
  <c r="H1088" i="20"/>
  <c r="H1087" i="20"/>
  <c r="H1086" i="20"/>
  <c r="H1085" i="20"/>
  <c r="H1084" i="20"/>
  <c r="H1083" i="20"/>
  <c r="H1082" i="20"/>
  <c r="H1081" i="20"/>
  <c r="H1080" i="20"/>
  <c r="H1079" i="20"/>
  <c r="H1078" i="20"/>
  <c r="H1077" i="20"/>
  <c r="H1076" i="20"/>
  <c r="H1075" i="20"/>
  <c r="H1074" i="20"/>
  <c r="H1073" i="20"/>
  <c r="H1072" i="20"/>
  <c r="H1071" i="20"/>
  <c r="H1070" i="20"/>
  <c r="H1069" i="20"/>
  <c r="H1068" i="20"/>
  <c r="H1067" i="20"/>
  <c r="H1066" i="20"/>
  <c r="H1065" i="20"/>
  <c r="H1064" i="20"/>
  <c r="H1063" i="20"/>
  <c r="H1062" i="20"/>
  <c r="H1061" i="20"/>
  <c r="H1060" i="20"/>
  <c r="H1059" i="20"/>
  <c r="H1058" i="20"/>
  <c r="H1057" i="20"/>
  <c r="H1056" i="20"/>
  <c r="H1055" i="20"/>
  <c r="H1054" i="20"/>
  <c r="H1053" i="20"/>
  <c r="H1052" i="20"/>
  <c r="H1051" i="20"/>
  <c r="H1050" i="20"/>
  <c r="H1049" i="20"/>
  <c r="H1048" i="20"/>
  <c r="H1047" i="20"/>
  <c r="H1046" i="20"/>
  <c r="H1045" i="20"/>
  <c r="H1044" i="20"/>
  <c r="H1043" i="20"/>
  <c r="H1042" i="20"/>
  <c r="H1041" i="20"/>
  <c r="H1040" i="20"/>
  <c r="H1039" i="20"/>
  <c r="H1038" i="20"/>
  <c r="H1037" i="20"/>
  <c r="H1036" i="20"/>
  <c r="H1035" i="20"/>
  <c r="H1034" i="20"/>
  <c r="H1033" i="20"/>
  <c r="H1032" i="20"/>
  <c r="H1031" i="20"/>
  <c r="H1030" i="20"/>
  <c r="H1029" i="20"/>
  <c r="H1028" i="20"/>
  <c r="H1027" i="20"/>
  <c r="H1026" i="20"/>
  <c r="H1025" i="20"/>
  <c r="H1024" i="20"/>
  <c r="H1023" i="20"/>
  <c r="H1022" i="20"/>
  <c r="H1021" i="20"/>
  <c r="H1020" i="20"/>
  <c r="H1019" i="20"/>
  <c r="H1018" i="20"/>
  <c r="H1017" i="20"/>
  <c r="H1016" i="20"/>
  <c r="H1015" i="20"/>
  <c r="H1014" i="20"/>
  <c r="H1013" i="20"/>
  <c r="H1012" i="20"/>
  <c r="H1011" i="20"/>
  <c r="H1010" i="20"/>
  <c r="H1009" i="20"/>
  <c r="H1008" i="20"/>
  <c r="H1007" i="20"/>
  <c r="H1006" i="20"/>
  <c r="H1005" i="20"/>
  <c r="H1004" i="20"/>
  <c r="H1003" i="20"/>
  <c r="H1002" i="20"/>
  <c r="H1001" i="20"/>
  <c r="H1000" i="20"/>
  <c r="H999" i="20"/>
  <c r="H998" i="20"/>
  <c r="H997" i="20"/>
  <c r="H996" i="20"/>
  <c r="H995" i="20"/>
  <c r="H994" i="20"/>
  <c r="H993" i="20"/>
  <c r="H992" i="20"/>
  <c r="H991" i="20"/>
  <c r="H990" i="20"/>
  <c r="H989" i="20"/>
  <c r="H988" i="20"/>
  <c r="H987" i="20"/>
  <c r="H986" i="20"/>
  <c r="H985" i="20"/>
  <c r="H984" i="20"/>
  <c r="H983" i="20"/>
  <c r="H982" i="20"/>
  <c r="H981" i="20"/>
  <c r="H980" i="20"/>
  <c r="H979" i="20"/>
  <c r="H978" i="20"/>
  <c r="H977" i="20"/>
  <c r="H976" i="20"/>
  <c r="H975" i="20"/>
  <c r="H974" i="20"/>
  <c r="H973" i="20"/>
  <c r="H972" i="20"/>
  <c r="H971" i="20"/>
  <c r="H970" i="20"/>
  <c r="H969" i="20"/>
  <c r="H968" i="20"/>
  <c r="H967" i="20"/>
  <c r="H966" i="20"/>
  <c r="H965" i="20"/>
  <c r="H964" i="20"/>
  <c r="H963" i="20"/>
  <c r="H962" i="20"/>
  <c r="H961" i="20"/>
  <c r="H960" i="20"/>
  <c r="H959" i="20"/>
  <c r="H958" i="20"/>
  <c r="H957" i="20"/>
  <c r="H956" i="20"/>
  <c r="H955" i="20"/>
  <c r="H954" i="20"/>
  <c r="H953" i="20"/>
  <c r="H952" i="20"/>
  <c r="H951" i="20"/>
  <c r="H950" i="20"/>
  <c r="H949" i="20"/>
  <c r="H948" i="20"/>
  <c r="H947" i="20"/>
  <c r="H946" i="20"/>
  <c r="H945" i="20"/>
  <c r="H944" i="20"/>
  <c r="H943" i="20"/>
  <c r="H942" i="20"/>
  <c r="H941" i="20"/>
  <c r="H940" i="20"/>
  <c r="H939" i="20"/>
  <c r="H938" i="20"/>
  <c r="H937" i="20"/>
  <c r="H936" i="20"/>
  <c r="H935" i="20"/>
  <c r="H934" i="20"/>
  <c r="H933" i="20"/>
  <c r="H932" i="20"/>
  <c r="H931" i="20"/>
  <c r="H930" i="20"/>
  <c r="H929" i="20"/>
  <c r="H928" i="20"/>
  <c r="H927" i="20"/>
  <c r="H926" i="20"/>
  <c r="H925" i="20"/>
  <c r="H924" i="20"/>
  <c r="H923" i="20"/>
  <c r="H922" i="20"/>
  <c r="H921" i="20"/>
  <c r="H920" i="20"/>
  <c r="H919" i="20"/>
  <c r="H918" i="20"/>
  <c r="H917" i="20"/>
  <c r="H916" i="20"/>
  <c r="H915" i="20"/>
  <c r="H914" i="20"/>
  <c r="H913" i="20"/>
  <c r="H912" i="20"/>
  <c r="H911" i="20"/>
  <c r="H910" i="20"/>
  <c r="H909" i="20"/>
  <c r="H908" i="20"/>
  <c r="H907" i="20"/>
  <c r="H906" i="20"/>
  <c r="H905" i="20"/>
  <c r="H904" i="20"/>
  <c r="H903" i="20"/>
  <c r="H902" i="20"/>
  <c r="H901" i="20"/>
  <c r="H900" i="20"/>
  <c r="H899" i="20"/>
  <c r="H898" i="20"/>
  <c r="H897" i="20"/>
  <c r="H896" i="20"/>
  <c r="H895" i="20"/>
  <c r="H894" i="20"/>
  <c r="H893" i="20"/>
  <c r="H892" i="20"/>
  <c r="H891" i="20"/>
  <c r="H890" i="20"/>
  <c r="H889" i="20"/>
  <c r="H888" i="20"/>
  <c r="H887" i="20"/>
  <c r="H886" i="20"/>
  <c r="H885" i="20"/>
  <c r="H884" i="20"/>
  <c r="H883" i="20"/>
  <c r="H882" i="20"/>
  <c r="H881" i="20"/>
  <c r="H880" i="20"/>
  <c r="H879" i="20"/>
  <c r="H878" i="20"/>
  <c r="H877" i="20"/>
  <c r="H876" i="20"/>
  <c r="H875" i="20"/>
  <c r="H874" i="20"/>
  <c r="H873" i="20"/>
  <c r="H872" i="20"/>
  <c r="H871" i="20"/>
  <c r="H870" i="20"/>
  <c r="H869" i="20"/>
  <c r="H868" i="20"/>
  <c r="H867" i="20"/>
  <c r="H866" i="20"/>
  <c r="H865" i="20"/>
  <c r="H864" i="20"/>
  <c r="H863" i="20"/>
  <c r="H862" i="20"/>
  <c r="H861" i="20"/>
  <c r="H860" i="20"/>
  <c r="H859" i="20"/>
  <c r="H858" i="20"/>
  <c r="H857" i="20"/>
  <c r="H856" i="20"/>
  <c r="H855" i="20"/>
  <c r="H854" i="20"/>
  <c r="H853" i="20"/>
  <c r="H852" i="20"/>
  <c r="H851" i="20"/>
  <c r="H850" i="20"/>
  <c r="H849" i="20"/>
  <c r="H848" i="20"/>
  <c r="H847" i="20"/>
  <c r="H846" i="20"/>
  <c r="H845" i="20"/>
  <c r="H844" i="20"/>
  <c r="H843" i="20"/>
  <c r="H842" i="20"/>
  <c r="H841" i="20"/>
  <c r="H840" i="20"/>
  <c r="H839" i="20"/>
  <c r="H838" i="20"/>
  <c r="H837" i="20"/>
  <c r="H836" i="20"/>
  <c r="H835" i="20"/>
  <c r="H834" i="20"/>
  <c r="H833" i="20"/>
  <c r="H832" i="20"/>
  <c r="H831" i="20"/>
  <c r="H830" i="20"/>
  <c r="H829" i="20"/>
  <c r="H828" i="20"/>
  <c r="H827" i="20"/>
  <c r="H826" i="20"/>
  <c r="H825" i="20"/>
  <c r="H824" i="20"/>
  <c r="H823" i="20"/>
  <c r="H822" i="20"/>
  <c r="H821" i="20"/>
  <c r="H820" i="20"/>
  <c r="H819" i="20"/>
  <c r="H818" i="20"/>
  <c r="H817" i="20"/>
  <c r="H816" i="20"/>
  <c r="H815" i="20"/>
  <c r="H814" i="20"/>
  <c r="H813" i="20"/>
  <c r="H812" i="20"/>
  <c r="H811" i="20"/>
  <c r="H810" i="20"/>
  <c r="H809" i="20"/>
  <c r="H808" i="20"/>
  <c r="H807" i="20"/>
  <c r="H806" i="20"/>
  <c r="H805" i="20"/>
  <c r="H804" i="20"/>
  <c r="H803" i="20"/>
  <c r="H802" i="20"/>
  <c r="H801" i="20"/>
  <c r="H800" i="20"/>
  <c r="H799" i="20"/>
  <c r="H798" i="20"/>
  <c r="H797" i="20"/>
  <c r="H796" i="20"/>
  <c r="H795" i="20"/>
  <c r="H794" i="20"/>
  <c r="H793" i="20"/>
  <c r="H792" i="20"/>
  <c r="H791" i="20"/>
  <c r="H790" i="20"/>
  <c r="H789" i="20"/>
  <c r="H788" i="20"/>
  <c r="H787" i="20"/>
  <c r="H786" i="20"/>
  <c r="H785" i="20"/>
  <c r="H784" i="20"/>
  <c r="H783" i="20"/>
  <c r="H782" i="20"/>
  <c r="H781" i="20"/>
  <c r="H780" i="20"/>
  <c r="H779" i="20"/>
  <c r="H778" i="20"/>
  <c r="H777" i="20"/>
  <c r="H776" i="20"/>
  <c r="H775" i="20"/>
  <c r="H774" i="20"/>
  <c r="H773" i="20"/>
  <c r="H772" i="20"/>
  <c r="H771" i="20"/>
  <c r="H770" i="20"/>
  <c r="H769" i="20"/>
  <c r="H768" i="20"/>
  <c r="H767" i="20"/>
  <c r="H766" i="20"/>
  <c r="H765" i="20"/>
  <c r="H764" i="20"/>
  <c r="H763" i="20"/>
  <c r="H762" i="20"/>
  <c r="H761" i="20"/>
  <c r="H760" i="20"/>
  <c r="H759" i="20"/>
  <c r="H758" i="20"/>
  <c r="H757" i="20"/>
  <c r="H756" i="20"/>
  <c r="H755" i="20"/>
  <c r="H754" i="20"/>
  <c r="H753" i="20"/>
  <c r="H752" i="20"/>
  <c r="H751" i="20"/>
  <c r="H750" i="20"/>
  <c r="H749" i="20"/>
  <c r="H748" i="20"/>
  <c r="H747" i="20"/>
  <c r="H746" i="20"/>
  <c r="H745" i="20"/>
  <c r="H744" i="20"/>
  <c r="H743" i="20"/>
  <c r="H742" i="20"/>
  <c r="H741" i="20"/>
  <c r="H740" i="20"/>
  <c r="H739" i="20"/>
  <c r="H738" i="20"/>
  <c r="H737" i="20"/>
  <c r="H736" i="20"/>
  <c r="H735" i="20"/>
  <c r="H734" i="20"/>
  <c r="H733" i="20"/>
  <c r="H732" i="20"/>
  <c r="H731" i="20"/>
  <c r="H730" i="20"/>
  <c r="H729" i="20"/>
  <c r="H728" i="20"/>
  <c r="H727" i="20"/>
  <c r="H726" i="20"/>
  <c r="H725" i="20"/>
  <c r="H724" i="20"/>
  <c r="H723" i="20"/>
  <c r="H722" i="20"/>
  <c r="H721" i="20"/>
  <c r="H720" i="20"/>
  <c r="H719" i="20"/>
  <c r="H718" i="20"/>
  <c r="H717" i="20"/>
  <c r="H716" i="20"/>
  <c r="H715" i="20"/>
  <c r="H714" i="20"/>
  <c r="H713" i="20"/>
  <c r="H712" i="20"/>
  <c r="H711" i="20"/>
  <c r="H710" i="20"/>
  <c r="H709" i="20"/>
  <c r="H708" i="20"/>
  <c r="H707" i="20"/>
  <c r="H706" i="20"/>
  <c r="H705" i="20"/>
  <c r="H704" i="20"/>
  <c r="H703" i="20"/>
  <c r="H702" i="20"/>
  <c r="H701" i="20"/>
  <c r="H700" i="20"/>
  <c r="H699" i="20"/>
  <c r="H698" i="20"/>
  <c r="H697" i="20"/>
  <c r="H696" i="20"/>
  <c r="H695" i="20"/>
  <c r="H694" i="20"/>
  <c r="H693" i="20"/>
  <c r="H692" i="20"/>
  <c r="H691" i="20"/>
  <c r="H690" i="20"/>
  <c r="H689" i="20"/>
  <c r="H688" i="20"/>
  <c r="H687" i="20"/>
  <c r="H686" i="20"/>
  <c r="H685" i="20"/>
  <c r="H684" i="20"/>
  <c r="H683" i="20"/>
  <c r="H682" i="20"/>
  <c r="H681" i="20"/>
  <c r="H680" i="20"/>
  <c r="H679" i="20"/>
  <c r="H678" i="20"/>
  <c r="H677" i="20"/>
  <c r="H676" i="20"/>
  <c r="H675" i="20"/>
  <c r="H674" i="20"/>
  <c r="H673" i="20"/>
  <c r="H672" i="20"/>
  <c r="H671" i="20"/>
  <c r="H670" i="20"/>
  <c r="H669" i="20"/>
  <c r="H668" i="20"/>
  <c r="H667" i="20"/>
  <c r="H666" i="20"/>
  <c r="H665" i="20"/>
  <c r="H664" i="20"/>
  <c r="H663" i="20"/>
  <c r="H662" i="20"/>
  <c r="H661" i="20"/>
  <c r="H660" i="20"/>
  <c r="H659" i="20"/>
  <c r="H658" i="20"/>
  <c r="H657" i="20"/>
  <c r="H656" i="20"/>
  <c r="H655" i="20"/>
  <c r="H654" i="20"/>
  <c r="H653" i="20"/>
  <c r="H652" i="20"/>
  <c r="H651" i="20"/>
  <c r="H650" i="20"/>
  <c r="H649" i="20"/>
  <c r="H648" i="20"/>
  <c r="H647" i="20"/>
  <c r="H646" i="20"/>
  <c r="H645" i="20"/>
  <c r="H644" i="20"/>
  <c r="H643" i="20"/>
  <c r="H642" i="20"/>
  <c r="H641" i="20"/>
  <c r="H640" i="20"/>
  <c r="H639" i="20"/>
  <c r="H638" i="20"/>
  <c r="H637" i="20"/>
  <c r="H636" i="20"/>
  <c r="H635" i="20"/>
  <c r="H634" i="20"/>
  <c r="H633" i="20"/>
  <c r="H632" i="20"/>
  <c r="H631" i="20"/>
  <c r="H630" i="20"/>
  <c r="H629" i="20"/>
  <c r="H628" i="20"/>
  <c r="H627" i="20"/>
  <c r="H626" i="20"/>
  <c r="H625" i="20"/>
  <c r="H624" i="20"/>
  <c r="H623" i="20"/>
  <c r="H622" i="20"/>
  <c r="H621" i="20"/>
  <c r="H620" i="20"/>
  <c r="H619" i="20"/>
  <c r="H618" i="20"/>
  <c r="H617" i="20"/>
  <c r="H616" i="20"/>
  <c r="H615" i="20"/>
  <c r="H614" i="20"/>
  <c r="H613" i="20"/>
  <c r="H612" i="20"/>
  <c r="H611" i="20"/>
  <c r="H610" i="20"/>
  <c r="H609" i="20"/>
  <c r="H608" i="20"/>
  <c r="H607" i="20"/>
  <c r="H606" i="20"/>
  <c r="H605" i="20"/>
  <c r="H604" i="20"/>
  <c r="H603" i="20"/>
  <c r="H602" i="20"/>
  <c r="H601" i="20"/>
  <c r="H600" i="20"/>
  <c r="H599" i="20"/>
  <c r="H598" i="20"/>
  <c r="H597" i="20"/>
  <c r="H596" i="20"/>
  <c r="H595"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H547" i="20"/>
  <c r="H546" i="20"/>
  <c r="H545" i="20"/>
  <c r="H544"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94" i="20"/>
  <c r="H493" i="20"/>
  <c r="H492" i="20"/>
  <c r="H491" i="20"/>
  <c r="H490" i="20"/>
  <c r="H489" i="20"/>
  <c r="H488" i="20"/>
  <c r="H487" i="20"/>
  <c r="H486"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H441" i="20"/>
  <c r="H440" i="20"/>
  <c r="H439" i="20"/>
  <c r="H438" i="20"/>
  <c r="H437" i="20"/>
  <c r="H436" i="20"/>
  <c r="H435" i="20"/>
  <c r="H434" i="20"/>
  <c r="H433" i="20"/>
  <c r="H432" i="20"/>
  <c r="H431" i="20"/>
  <c r="H430" i="20"/>
  <c r="H429" i="20"/>
  <c r="H428" i="20"/>
  <c r="H427" i="20"/>
  <c r="H426" i="20"/>
  <c r="H425" i="20"/>
  <c r="H424" i="20"/>
  <c r="H423" i="20"/>
  <c r="H422" i="20"/>
  <c r="H421" i="20"/>
  <c r="H420" i="20"/>
  <c r="H419" i="20"/>
  <c r="H418" i="20"/>
  <c r="H417"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7" i="20"/>
  <c r="H326" i="20"/>
  <c r="H325" i="20"/>
  <c r="H324"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80" i="20"/>
  <c r="H279" i="20"/>
  <c r="H278" i="20"/>
  <c r="H277" i="20"/>
  <c r="H276" i="20"/>
  <c r="H275" i="20"/>
  <c r="H274" i="20"/>
  <c r="H273" i="20"/>
  <c r="H272" i="20"/>
  <c r="H271" i="20"/>
  <c r="H270" i="20"/>
  <c r="H269" i="20"/>
  <c r="H268" i="20"/>
  <c r="H267"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H238" i="20"/>
  <c r="H237" i="20"/>
  <c r="H236" i="20"/>
  <c r="H235" i="20"/>
  <c r="H234" i="20"/>
  <c r="H233" i="20"/>
  <c r="H232" i="20"/>
  <c r="H231" i="20"/>
  <c r="H230"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H137" i="20"/>
  <c r="H136" i="20"/>
  <c r="H135" i="20"/>
  <c r="H134" i="20"/>
  <c r="H133" i="20"/>
  <c r="H132" i="20"/>
  <c r="H131" i="20"/>
  <c r="H130" i="20"/>
  <c r="H129" i="20"/>
  <c r="H128" i="20"/>
  <c r="H127" i="20"/>
  <c r="H126" i="20"/>
  <c r="H125" i="20"/>
  <c r="H124" i="20"/>
  <c r="H123" i="20"/>
  <c r="H122" i="20"/>
  <c r="H121" i="20"/>
  <c r="H120" i="20"/>
  <c r="H119" i="20"/>
  <c r="H118" i="20"/>
  <c r="H117" i="20"/>
  <c r="H116" i="20"/>
  <c r="H115" i="20"/>
  <c r="H114" i="20"/>
  <c r="H113" i="20"/>
  <c r="H112" i="20"/>
  <c r="H111" i="20"/>
  <c r="H110" i="20"/>
  <c r="H109" i="20"/>
  <c r="H108" i="20"/>
  <c r="H107" i="20"/>
  <c r="H106" i="20"/>
  <c r="H105" i="20"/>
  <c r="H104" i="20"/>
  <c r="H103" i="20"/>
  <c r="H102" i="20"/>
  <c r="H101" i="20"/>
  <c r="H100" i="20"/>
  <c r="H99" i="20"/>
  <c r="H98" i="20"/>
  <c r="H97" i="20"/>
  <c r="H96" i="20"/>
  <c r="H95" i="20"/>
  <c r="H94" i="20"/>
  <c r="H93" i="20"/>
  <c r="H92" i="20"/>
  <c r="H91" i="20"/>
  <c r="H90" i="20"/>
  <c r="H89" i="20"/>
  <c r="H88" i="20"/>
  <c r="H87" i="20"/>
  <c r="H86" i="20"/>
  <c r="H85" i="20"/>
  <c r="H84" i="20"/>
  <c r="H83" i="20"/>
  <c r="H82" i="20"/>
  <c r="H81" i="20"/>
  <c r="H80" i="20"/>
  <c r="H79" i="20"/>
  <c r="H78" i="20"/>
  <c r="H77" i="20"/>
  <c r="H76" i="20"/>
  <c r="H75" i="20"/>
  <c r="H74" i="20"/>
  <c r="H73" i="20"/>
  <c r="H72" i="20"/>
  <c r="H71" i="20"/>
  <c r="H70" i="20"/>
  <c r="H69" i="20"/>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8" i="20"/>
  <c r="H7" i="20"/>
  <c r="H6" i="20"/>
  <c r="H5" i="20"/>
  <c r="H4" i="20"/>
  <c r="H3" i="20"/>
  <c r="H2" i="20"/>
  <c r="H1593" i="20"/>
  <c r="E51" i="14"/>
  <c r="J29" i="14" l="1"/>
  <c r="I29" i="14"/>
  <c r="H29" i="14"/>
  <c r="G29" i="14"/>
  <c r="F29" i="14"/>
  <c r="E29" i="14"/>
  <c r="D29" i="14"/>
  <c r="J28" i="14"/>
  <c r="I28" i="14"/>
  <c r="H28" i="14"/>
  <c r="G28" i="14"/>
  <c r="F28" i="14"/>
  <c r="E28" i="14"/>
  <c r="D28" i="14"/>
  <c r="J25" i="14"/>
  <c r="J30" i="14" s="1"/>
  <c r="I25" i="14"/>
  <c r="H25" i="14"/>
  <c r="H30" i="14" s="1"/>
  <c r="G25" i="14"/>
  <c r="G30" i="14" s="1"/>
  <c r="F25" i="14"/>
  <c r="F30" i="14" s="1"/>
  <c r="E25" i="14"/>
  <c r="E30" i="14" s="1"/>
  <c r="D25" i="14"/>
  <c r="D30" i="14" s="1"/>
  <c r="J18" i="14"/>
  <c r="I18" i="14"/>
  <c r="E17" i="14"/>
  <c r="F17" i="14" s="1"/>
  <c r="G17" i="14" s="1"/>
  <c r="H17" i="14" s="1"/>
  <c r="I17" i="14" s="1"/>
  <c r="J17" i="14" s="1"/>
  <c r="C50" i="13"/>
  <c r="C45" i="13"/>
  <c r="J36" i="14" s="1"/>
  <c r="C41" i="13"/>
  <c r="J34" i="14" s="1"/>
  <c r="J35" i="14" s="1"/>
  <c r="C37" i="13"/>
  <c r="C25" i="13" s="1"/>
  <c r="C18" i="13"/>
  <c r="C9" i="13"/>
  <c r="C8" i="13"/>
  <c r="C7" i="13"/>
  <c r="E5" i="13"/>
  <c r="F5" i="13" s="1"/>
  <c r="G5" i="13" s="1"/>
  <c r="H5" i="13" s="1"/>
  <c r="I5" i="13" s="1"/>
  <c r="J5" i="13" s="1"/>
  <c r="K5" i="13" s="1"/>
  <c r="L5" i="13" s="1"/>
  <c r="M5" i="13" s="1"/>
  <c r="N5" i="13" s="1"/>
  <c r="K65" i="11"/>
  <c r="I62" i="11"/>
  <c r="H62" i="11"/>
  <c r="G62" i="11"/>
  <c r="F62" i="11"/>
  <c r="E62" i="11"/>
  <c r="D62" i="11"/>
  <c r="C62" i="11"/>
  <c r="T61" i="11"/>
  <c r="S61" i="11"/>
  <c r="R61" i="11"/>
  <c r="Q61" i="11"/>
  <c r="P61" i="11"/>
  <c r="O61" i="11"/>
  <c r="N61" i="11"/>
  <c r="M61" i="11"/>
  <c r="L61" i="11"/>
  <c r="K61" i="11"/>
  <c r="T55" i="11"/>
  <c r="S55" i="11"/>
  <c r="R55" i="11"/>
  <c r="Q55" i="11"/>
  <c r="P55" i="11"/>
  <c r="O55" i="11"/>
  <c r="N55" i="11"/>
  <c r="M55" i="11"/>
  <c r="L55" i="11"/>
  <c r="K55" i="11"/>
  <c r="I45" i="11"/>
  <c r="H45" i="11"/>
  <c r="G45" i="11"/>
  <c r="F45" i="11"/>
  <c r="E45" i="11"/>
  <c r="D45" i="11"/>
  <c r="C45" i="11"/>
  <c r="I34" i="11"/>
  <c r="H34" i="11"/>
  <c r="G34" i="11"/>
  <c r="F34" i="11"/>
  <c r="E34" i="11"/>
  <c r="D34" i="11"/>
  <c r="C34" i="11"/>
  <c r="I32" i="11"/>
  <c r="H32" i="11"/>
  <c r="G32" i="11"/>
  <c r="F32" i="11"/>
  <c r="E32" i="11"/>
  <c r="D32" i="11"/>
  <c r="C32" i="11"/>
  <c r="T31" i="11"/>
  <c r="S31" i="11"/>
  <c r="R31" i="11"/>
  <c r="Q31" i="11"/>
  <c r="P31" i="11"/>
  <c r="O31" i="11"/>
  <c r="N31" i="11"/>
  <c r="M31" i="11"/>
  <c r="L31" i="11"/>
  <c r="K31" i="11"/>
  <c r="T29" i="11"/>
  <c r="S29" i="11"/>
  <c r="R29" i="11"/>
  <c r="Q29" i="11"/>
  <c r="P29" i="11"/>
  <c r="O29" i="11"/>
  <c r="N29" i="11"/>
  <c r="M29" i="11"/>
  <c r="L29" i="11"/>
  <c r="K29" i="11"/>
  <c r="T28" i="11"/>
  <c r="S28" i="11"/>
  <c r="R28" i="11"/>
  <c r="Q28" i="11"/>
  <c r="P28" i="11"/>
  <c r="O28" i="11"/>
  <c r="N28" i="11"/>
  <c r="M28" i="11"/>
  <c r="L28" i="11"/>
  <c r="K28" i="11"/>
  <c r="T27" i="11"/>
  <c r="S27" i="11"/>
  <c r="R27" i="11"/>
  <c r="Q27" i="11"/>
  <c r="P27" i="11"/>
  <c r="O27" i="11"/>
  <c r="N27" i="11"/>
  <c r="M27" i="11"/>
  <c r="L27" i="11"/>
  <c r="K27" i="11"/>
  <c r="K24" i="11"/>
  <c r="I17" i="11"/>
  <c r="H17" i="11"/>
  <c r="G17" i="11"/>
  <c r="F17" i="11"/>
  <c r="E17" i="11"/>
  <c r="D17" i="11"/>
  <c r="C17" i="11"/>
  <c r="C12" i="11"/>
  <c r="T6" i="11"/>
  <c r="S6" i="11"/>
  <c r="R6" i="11"/>
  <c r="Q6" i="11"/>
  <c r="P6" i="11"/>
  <c r="O6" i="11"/>
  <c r="N6" i="11"/>
  <c r="M6" i="11"/>
  <c r="L6" i="11"/>
  <c r="K6" i="11"/>
  <c r="I6" i="11"/>
  <c r="H6" i="11"/>
  <c r="G6" i="11"/>
  <c r="F6" i="11"/>
  <c r="E6" i="11"/>
  <c r="D6" i="11"/>
  <c r="I65" i="7"/>
  <c r="H65" i="7"/>
  <c r="G65" i="7"/>
  <c r="F65" i="7"/>
  <c r="E65" i="7"/>
  <c r="D65" i="7"/>
  <c r="C65" i="7"/>
  <c r="I64" i="7"/>
  <c r="H64" i="7"/>
  <c r="G64" i="7"/>
  <c r="F64" i="7"/>
  <c r="E64" i="7"/>
  <c r="D64" i="7"/>
  <c r="C64" i="7"/>
  <c r="I62" i="7"/>
  <c r="H62" i="7"/>
  <c r="G62" i="7"/>
  <c r="F62" i="7"/>
  <c r="E62" i="7"/>
  <c r="D62" i="7"/>
  <c r="C62" i="7"/>
  <c r="I50" i="7"/>
  <c r="H50" i="7"/>
  <c r="G50" i="7"/>
  <c r="F50" i="7"/>
  <c r="E50" i="7"/>
  <c r="D50" i="7"/>
  <c r="C50" i="7"/>
  <c r="K48" i="7"/>
  <c r="K23" i="11" s="1"/>
  <c r="K47" i="7"/>
  <c r="L47" i="7" s="1"/>
  <c r="I42" i="7"/>
  <c r="H42" i="7"/>
  <c r="G42" i="7"/>
  <c r="F42" i="7"/>
  <c r="E42" i="7"/>
  <c r="D42" i="7"/>
  <c r="C42" i="7"/>
  <c r="T41" i="7"/>
  <c r="S41" i="7"/>
  <c r="R41" i="7"/>
  <c r="Q41" i="7"/>
  <c r="P41" i="7"/>
  <c r="O41" i="7"/>
  <c r="N41" i="7"/>
  <c r="M41" i="7"/>
  <c r="L41" i="7"/>
  <c r="K41" i="7"/>
  <c r="I40" i="7"/>
  <c r="H40" i="7"/>
  <c r="G40" i="7"/>
  <c r="F40" i="7"/>
  <c r="E40" i="7"/>
  <c r="D40" i="7"/>
  <c r="C40" i="7"/>
  <c r="T38" i="7"/>
  <c r="S38" i="7"/>
  <c r="R38" i="7"/>
  <c r="Q38" i="7"/>
  <c r="P38" i="7"/>
  <c r="O38" i="7"/>
  <c r="N38" i="7"/>
  <c r="M38" i="7"/>
  <c r="L38" i="7"/>
  <c r="K38" i="7"/>
  <c r="I34" i="7"/>
  <c r="H34" i="7"/>
  <c r="G34" i="7"/>
  <c r="F34" i="7"/>
  <c r="E34" i="7"/>
  <c r="D34" i="7"/>
  <c r="C34" i="7"/>
  <c r="I32" i="7"/>
  <c r="H32" i="7"/>
  <c r="G32" i="7"/>
  <c r="F32" i="7"/>
  <c r="E32" i="7"/>
  <c r="D32" i="7"/>
  <c r="C32" i="7"/>
  <c r="T30" i="7"/>
  <c r="S30" i="7"/>
  <c r="R30" i="7"/>
  <c r="Q30" i="7"/>
  <c r="P30" i="7"/>
  <c r="O30" i="7"/>
  <c r="N30" i="7"/>
  <c r="M30" i="7"/>
  <c r="L30" i="7"/>
  <c r="K30" i="7"/>
  <c r="T29" i="7"/>
  <c r="S29" i="7"/>
  <c r="R29" i="7"/>
  <c r="Q29" i="7"/>
  <c r="P29" i="7"/>
  <c r="O29" i="7"/>
  <c r="N29" i="7"/>
  <c r="M29" i="7"/>
  <c r="L29" i="7"/>
  <c r="K29" i="7"/>
  <c r="T26" i="7"/>
  <c r="S26" i="7"/>
  <c r="R26" i="7"/>
  <c r="Q26" i="7"/>
  <c r="P26" i="7"/>
  <c r="O26" i="7"/>
  <c r="N26" i="7"/>
  <c r="M26" i="7"/>
  <c r="L26" i="7"/>
  <c r="K26" i="7"/>
  <c r="I22" i="7"/>
  <c r="H22" i="7"/>
  <c r="G22" i="7"/>
  <c r="F22" i="7"/>
  <c r="E22" i="7"/>
  <c r="D22" i="7"/>
  <c r="C22" i="7"/>
  <c r="T21" i="7"/>
  <c r="S21" i="7"/>
  <c r="R21" i="7"/>
  <c r="Q21" i="7"/>
  <c r="P21" i="7"/>
  <c r="O21" i="7"/>
  <c r="N21" i="7"/>
  <c r="M21" i="7"/>
  <c r="L21" i="7"/>
  <c r="K21" i="7"/>
  <c r="T20" i="7"/>
  <c r="S20" i="7"/>
  <c r="R20" i="7"/>
  <c r="Q20" i="7"/>
  <c r="P20" i="7"/>
  <c r="O20" i="7"/>
  <c r="N20" i="7"/>
  <c r="M20" i="7"/>
  <c r="L20" i="7"/>
  <c r="K20" i="7"/>
  <c r="T19" i="7"/>
  <c r="S19" i="7"/>
  <c r="R19" i="7"/>
  <c r="Q19" i="7"/>
  <c r="P19" i="7"/>
  <c r="O19" i="7"/>
  <c r="N19" i="7"/>
  <c r="M19" i="7"/>
  <c r="L19" i="7"/>
  <c r="K19" i="7"/>
  <c r="T18" i="7"/>
  <c r="S18" i="7"/>
  <c r="R18" i="7"/>
  <c r="Q18" i="7"/>
  <c r="P18" i="7"/>
  <c r="O18" i="7"/>
  <c r="N18" i="7"/>
  <c r="M18" i="7"/>
  <c r="L18" i="7"/>
  <c r="K18" i="7"/>
  <c r="T17" i="7"/>
  <c r="S17" i="7"/>
  <c r="R17" i="7"/>
  <c r="Q17" i="7"/>
  <c r="P17" i="7"/>
  <c r="O17" i="7"/>
  <c r="N17" i="7"/>
  <c r="M17" i="7"/>
  <c r="L17" i="7"/>
  <c r="K17" i="7"/>
  <c r="T15" i="7"/>
  <c r="S15" i="7"/>
  <c r="R15" i="7"/>
  <c r="Q15" i="7"/>
  <c r="P15" i="7"/>
  <c r="O15" i="7"/>
  <c r="N15" i="7"/>
  <c r="M15" i="7"/>
  <c r="L15" i="7"/>
  <c r="K15" i="7"/>
  <c r="T14" i="7"/>
  <c r="S14" i="7"/>
  <c r="R14" i="7"/>
  <c r="Q14" i="7"/>
  <c r="P14" i="7"/>
  <c r="O14" i="7"/>
  <c r="N14" i="7"/>
  <c r="M14" i="7"/>
  <c r="L14" i="7"/>
  <c r="K14" i="7"/>
  <c r="T13" i="7"/>
  <c r="S13" i="7"/>
  <c r="R13" i="7"/>
  <c r="Q13" i="7"/>
  <c r="P13" i="7"/>
  <c r="O13" i="7"/>
  <c r="N13" i="7"/>
  <c r="M13" i="7"/>
  <c r="L13" i="7"/>
  <c r="K13" i="7"/>
  <c r="T7" i="7"/>
  <c r="S7" i="7"/>
  <c r="R7" i="7"/>
  <c r="Q7" i="7"/>
  <c r="P7" i="7"/>
  <c r="O7" i="7"/>
  <c r="N7" i="7"/>
  <c r="M7" i="7"/>
  <c r="L7" i="7"/>
  <c r="K7" i="7"/>
  <c r="I7" i="7"/>
  <c r="H7" i="7"/>
  <c r="G7" i="7"/>
  <c r="F7" i="7"/>
  <c r="E7" i="7"/>
  <c r="D7" i="7"/>
  <c r="T37" i="5"/>
  <c r="S37" i="5"/>
  <c r="R37" i="5"/>
  <c r="Q37" i="5"/>
  <c r="P37" i="5"/>
  <c r="O37" i="5"/>
  <c r="N37" i="5"/>
  <c r="M37" i="5"/>
  <c r="L37" i="5"/>
  <c r="K37" i="5"/>
  <c r="I37" i="5"/>
  <c r="H37" i="5"/>
  <c r="G37" i="5"/>
  <c r="F37" i="5"/>
  <c r="E37" i="5"/>
  <c r="D37" i="5"/>
  <c r="C37" i="5"/>
  <c r="T35" i="5"/>
  <c r="S35" i="5"/>
  <c r="R35" i="5"/>
  <c r="Q35" i="5"/>
  <c r="P35" i="5"/>
  <c r="O35" i="5"/>
  <c r="N35" i="5"/>
  <c r="M35" i="5"/>
  <c r="L35" i="5"/>
  <c r="K35" i="5"/>
  <c r="I35" i="5"/>
  <c r="H35" i="5"/>
  <c r="G35" i="5"/>
  <c r="F35" i="5"/>
  <c r="E35" i="5"/>
  <c r="D35" i="5"/>
  <c r="C35" i="5"/>
  <c r="I30" i="5"/>
  <c r="H30" i="5"/>
  <c r="H22" i="22" s="1"/>
  <c r="G30" i="5"/>
  <c r="F30" i="5"/>
  <c r="E30" i="5"/>
  <c r="D30" i="5"/>
  <c r="C30" i="5"/>
  <c r="I25" i="5"/>
  <c r="H25" i="5"/>
  <c r="I17" i="5"/>
  <c r="H17" i="5"/>
  <c r="I11" i="5"/>
  <c r="H11" i="5"/>
  <c r="G11" i="5"/>
  <c r="G9" i="22" s="1"/>
  <c r="F11" i="5"/>
  <c r="E11" i="5"/>
  <c r="D11" i="5"/>
  <c r="C11" i="5"/>
  <c r="G8" i="5"/>
  <c r="F8" i="5"/>
  <c r="E8" i="5"/>
  <c r="D8" i="5"/>
  <c r="C8" i="5"/>
  <c r="T7" i="5"/>
  <c r="S7" i="5"/>
  <c r="R7" i="5"/>
  <c r="Q7" i="5"/>
  <c r="P7" i="5"/>
  <c r="O7" i="5"/>
  <c r="N7" i="5"/>
  <c r="M7" i="5"/>
  <c r="L7" i="5"/>
  <c r="K7" i="5"/>
  <c r="I7" i="5"/>
  <c r="H7" i="5"/>
  <c r="G7" i="5"/>
  <c r="F7" i="5"/>
  <c r="E7" i="5"/>
  <c r="D7" i="5"/>
  <c r="T75" i="8"/>
  <c r="S75" i="8"/>
  <c r="R75" i="8"/>
  <c r="Q75" i="8"/>
  <c r="P75" i="8"/>
  <c r="O75" i="8"/>
  <c r="N75" i="8"/>
  <c r="M75" i="8"/>
  <c r="L75" i="8"/>
  <c r="K75" i="8"/>
  <c r="T74" i="8"/>
  <c r="S74" i="8"/>
  <c r="R74" i="8"/>
  <c r="Q74" i="8"/>
  <c r="P74" i="8"/>
  <c r="O74" i="8"/>
  <c r="N74" i="8"/>
  <c r="M74" i="8"/>
  <c r="L74" i="8"/>
  <c r="K74" i="8"/>
  <c r="N73" i="8"/>
  <c r="O73" i="8" s="1"/>
  <c r="P73" i="8" s="1"/>
  <c r="I68" i="8"/>
  <c r="H68" i="8"/>
  <c r="G68" i="8"/>
  <c r="F68" i="8"/>
  <c r="E68" i="8"/>
  <c r="D68" i="8"/>
  <c r="C68" i="8"/>
  <c r="T67" i="8"/>
  <c r="S67" i="8"/>
  <c r="R67" i="8"/>
  <c r="Q67" i="8"/>
  <c r="P67" i="8"/>
  <c r="O67" i="8"/>
  <c r="N67" i="8"/>
  <c r="M67" i="8"/>
  <c r="L67" i="8"/>
  <c r="K67" i="8"/>
  <c r="T66" i="8"/>
  <c r="S66" i="8"/>
  <c r="R66" i="8"/>
  <c r="Q66" i="8"/>
  <c r="P66" i="8"/>
  <c r="O66" i="8"/>
  <c r="N66" i="8"/>
  <c r="M66" i="8"/>
  <c r="L66" i="8"/>
  <c r="K66" i="8"/>
  <c r="I60" i="8"/>
  <c r="H60" i="8"/>
  <c r="G60" i="8"/>
  <c r="F60" i="8"/>
  <c r="E60" i="8"/>
  <c r="D60" i="8"/>
  <c r="C60" i="8"/>
  <c r="I59" i="8"/>
  <c r="H59" i="8"/>
  <c r="G59" i="8"/>
  <c r="F59" i="8"/>
  <c r="E59" i="8"/>
  <c r="D59" i="8"/>
  <c r="C59" i="8"/>
  <c r="I58" i="8"/>
  <c r="H58" i="8"/>
  <c r="G58" i="8"/>
  <c r="F58" i="8"/>
  <c r="E58" i="8"/>
  <c r="D58" i="8"/>
  <c r="C58" i="8"/>
  <c r="T58" i="8" s="1"/>
  <c r="T55" i="8"/>
  <c r="S55" i="8"/>
  <c r="R55" i="8"/>
  <c r="Q55" i="8"/>
  <c r="P55" i="8"/>
  <c r="O55" i="8"/>
  <c r="N55" i="8"/>
  <c r="M55" i="8"/>
  <c r="L55" i="8"/>
  <c r="K55" i="8"/>
  <c r="T39" i="8"/>
  <c r="S39" i="8"/>
  <c r="R39" i="8"/>
  <c r="Q39" i="8"/>
  <c r="P39" i="8"/>
  <c r="O39" i="8"/>
  <c r="N39" i="8"/>
  <c r="M39" i="8"/>
  <c r="L39" i="8"/>
  <c r="K39" i="8"/>
  <c r="I34" i="8"/>
  <c r="H34" i="8"/>
  <c r="G34" i="8"/>
  <c r="F34" i="8"/>
  <c r="E34" i="8"/>
  <c r="D34" i="8"/>
  <c r="C34" i="8"/>
  <c r="I33" i="8"/>
  <c r="K40" i="8" s="1"/>
  <c r="K59" i="11" s="1"/>
  <c r="H33" i="8"/>
  <c r="G33" i="8"/>
  <c r="F33" i="8"/>
  <c r="E33" i="8"/>
  <c r="D33" i="8"/>
  <c r="C33" i="8"/>
  <c r="L30" i="8"/>
  <c r="K30" i="8"/>
  <c r="K28" i="8" s="1"/>
  <c r="K8" i="8" s="1"/>
  <c r="I30" i="8"/>
  <c r="H30" i="8"/>
  <c r="G30" i="8"/>
  <c r="F30" i="8"/>
  <c r="E30" i="8"/>
  <c r="D30" i="8"/>
  <c r="K26" i="8"/>
  <c r="I23" i="8"/>
  <c r="H23" i="8"/>
  <c r="G23" i="8"/>
  <c r="F23" i="8"/>
  <c r="E23" i="8"/>
  <c r="D23" i="8"/>
  <c r="I22" i="8"/>
  <c r="K18" i="8" s="1"/>
  <c r="H22" i="8"/>
  <c r="G22" i="8"/>
  <c r="F22" i="8"/>
  <c r="E22" i="8"/>
  <c r="D22" i="8"/>
  <c r="C22" i="8"/>
  <c r="I15" i="8"/>
  <c r="H15" i="8"/>
  <c r="G15" i="8"/>
  <c r="F15" i="8"/>
  <c r="E15" i="8"/>
  <c r="D15" i="8"/>
  <c r="C15" i="8"/>
  <c r="T13" i="8"/>
  <c r="S13" i="8"/>
  <c r="R13" i="8"/>
  <c r="Q13" i="8"/>
  <c r="P13" i="8"/>
  <c r="O13" i="8"/>
  <c r="N13" i="8"/>
  <c r="M13" i="8"/>
  <c r="L13" i="8"/>
  <c r="L14" i="8" s="1"/>
  <c r="K13" i="8"/>
  <c r="K27" i="8" s="1"/>
  <c r="I13" i="8"/>
  <c r="I14" i="8" s="1"/>
  <c r="H13" i="8"/>
  <c r="H14" i="8" s="1"/>
  <c r="C13" i="8"/>
  <c r="I10" i="8"/>
  <c r="H10" i="8"/>
  <c r="G10" i="8"/>
  <c r="F10" i="8"/>
  <c r="E10" i="8"/>
  <c r="D10" i="8"/>
  <c r="C10" i="8"/>
  <c r="K7" i="8"/>
  <c r="I7" i="8"/>
  <c r="H7" i="8"/>
  <c r="G7" i="8"/>
  <c r="F7" i="8"/>
  <c r="E7" i="8"/>
  <c r="D7" i="8"/>
  <c r="C7" i="8"/>
  <c r="T4" i="8"/>
  <c r="S4" i="8"/>
  <c r="R4" i="8"/>
  <c r="Q4" i="8"/>
  <c r="P4" i="8"/>
  <c r="O4" i="8"/>
  <c r="N4" i="8"/>
  <c r="M4" i="8"/>
  <c r="L4" i="8"/>
  <c r="K4" i="8"/>
  <c r="I4" i="8"/>
  <c r="H4" i="8"/>
  <c r="G4" i="8"/>
  <c r="F4" i="8"/>
  <c r="E4" i="8"/>
  <c r="D4" i="8"/>
  <c r="I56" i="10"/>
  <c r="I57" i="10" s="1"/>
  <c r="H56" i="10"/>
  <c r="H57" i="10" s="1"/>
  <c r="G56" i="10"/>
  <c r="F56" i="10"/>
  <c r="E56" i="10"/>
  <c r="D56" i="10"/>
  <c r="C56" i="10"/>
  <c r="I51" i="10"/>
  <c r="H51" i="10"/>
  <c r="I50" i="10"/>
  <c r="H50" i="10"/>
  <c r="I48" i="10"/>
  <c r="H48" i="10"/>
  <c r="G48" i="10"/>
  <c r="F48" i="10"/>
  <c r="E48" i="10"/>
  <c r="D48" i="10"/>
  <c r="C48" i="10"/>
  <c r="I41" i="10"/>
  <c r="H41" i="10"/>
  <c r="G41" i="10"/>
  <c r="F41" i="10"/>
  <c r="E41" i="10"/>
  <c r="D41" i="10"/>
  <c r="C41" i="10"/>
  <c r="C42" i="10" s="1"/>
  <c r="I40" i="10"/>
  <c r="H40" i="10"/>
  <c r="G40" i="10"/>
  <c r="G42" i="10" s="1"/>
  <c r="F40" i="10"/>
  <c r="F42" i="10" s="1"/>
  <c r="E40" i="10"/>
  <c r="D40" i="10"/>
  <c r="D42" i="10" s="1"/>
  <c r="C40" i="10"/>
  <c r="I36" i="10"/>
  <c r="I37" i="10" s="1"/>
  <c r="H36" i="10"/>
  <c r="H37" i="10" s="1"/>
  <c r="G36" i="10"/>
  <c r="G37" i="10" s="1"/>
  <c r="F36" i="10"/>
  <c r="F37" i="10" s="1"/>
  <c r="E36" i="10"/>
  <c r="E37" i="10" s="1"/>
  <c r="D36" i="10"/>
  <c r="D37" i="10" s="1"/>
  <c r="C36" i="10"/>
  <c r="C37" i="10" s="1"/>
  <c r="J32" i="10"/>
  <c r="I31" i="10"/>
  <c r="H31" i="10"/>
  <c r="G31" i="10"/>
  <c r="F31" i="10"/>
  <c r="E31" i="10"/>
  <c r="D31" i="10"/>
  <c r="C31" i="10"/>
  <c r="J25" i="10"/>
  <c r="I25" i="10"/>
  <c r="G25" i="10"/>
  <c r="F25" i="10"/>
  <c r="I20" i="10"/>
  <c r="H20" i="10"/>
  <c r="G20" i="10"/>
  <c r="F20" i="10"/>
  <c r="E20" i="10"/>
  <c r="D20" i="10"/>
  <c r="C20" i="10"/>
  <c r="C21" i="10" s="1"/>
  <c r="I19" i="10"/>
  <c r="H19" i="10"/>
  <c r="H21" i="10" s="1"/>
  <c r="G19" i="10"/>
  <c r="G21" i="10" s="1"/>
  <c r="H24" i="10" s="1"/>
  <c r="F19" i="10"/>
  <c r="E19" i="10"/>
  <c r="D19" i="10"/>
  <c r="C19" i="10"/>
  <c r="I14" i="10"/>
  <c r="H14" i="10"/>
  <c r="I13" i="10"/>
  <c r="H13" i="10"/>
  <c r="G13" i="10"/>
  <c r="F13" i="10"/>
  <c r="E13" i="10"/>
  <c r="D13" i="10"/>
  <c r="I8" i="10"/>
  <c r="G8" i="10"/>
  <c r="I7" i="10"/>
  <c r="H7" i="10"/>
  <c r="G7" i="10"/>
  <c r="F7" i="10"/>
  <c r="E7" i="10"/>
  <c r="D7" i="10"/>
  <c r="T4" i="10"/>
  <c r="S4" i="10"/>
  <c r="R4" i="10"/>
  <c r="Q4" i="10"/>
  <c r="P4" i="10"/>
  <c r="O4" i="10"/>
  <c r="N4" i="10"/>
  <c r="M4" i="10"/>
  <c r="L4" i="10"/>
  <c r="K4" i="10"/>
  <c r="I4" i="10"/>
  <c r="H4" i="10"/>
  <c r="G4" i="10"/>
  <c r="F4" i="10"/>
  <c r="E4" i="10"/>
  <c r="D4" i="10"/>
  <c r="O3" i="10"/>
  <c r="N3" i="10"/>
  <c r="M3" i="10"/>
  <c r="L3" i="10"/>
  <c r="K3" i="10"/>
  <c r="I3" i="10"/>
  <c r="H3" i="10"/>
  <c r="G3" i="10"/>
  <c r="F3" i="10"/>
  <c r="E3" i="10"/>
  <c r="D3" i="10"/>
  <c r="C3" i="10"/>
  <c r="I13" i="1"/>
  <c r="H13" i="1"/>
  <c r="G13" i="1"/>
  <c r="G14" i="1" s="1"/>
  <c r="F13" i="1"/>
  <c r="F14" i="1" s="1"/>
  <c r="E13" i="1"/>
  <c r="D13" i="1"/>
  <c r="I10" i="1"/>
  <c r="I11" i="1" s="1"/>
  <c r="H10" i="1"/>
  <c r="G10" i="1"/>
  <c r="F10" i="1"/>
  <c r="E10" i="1"/>
  <c r="D10" i="1"/>
  <c r="K9" i="1"/>
  <c r="L9" i="1" s="1"/>
  <c r="M9" i="1" s="1"/>
  <c r="N9" i="1" s="1"/>
  <c r="O9" i="1" s="1"/>
  <c r="P9" i="1" s="1"/>
  <c r="Q9" i="1" s="1"/>
  <c r="R9" i="1" s="1"/>
  <c r="S9" i="1" s="1"/>
  <c r="T9" i="1" s="1"/>
  <c r="H8" i="1"/>
  <c r="G8" i="1"/>
  <c r="G13" i="8" s="1"/>
  <c r="G14" i="8" s="1"/>
  <c r="F8" i="1"/>
  <c r="F13" i="8" s="1"/>
  <c r="F14" i="8" s="1"/>
  <c r="E8" i="1"/>
  <c r="D8" i="1"/>
  <c r="D13" i="8" s="1"/>
  <c r="D14" i="8" s="1"/>
  <c r="K7" i="1"/>
  <c r="L7" i="1" s="1"/>
  <c r="M7" i="1" s="1"/>
  <c r="N7" i="1" s="1"/>
  <c r="O7" i="1" s="1"/>
  <c r="P7" i="1" s="1"/>
  <c r="Q7" i="1" s="1"/>
  <c r="R7" i="1" s="1"/>
  <c r="S7" i="1" s="1"/>
  <c r="T7" i="1" s="1"/>
  <c r="D4" i="1"/>
  <c r="E4" i="1" s="1"/>
  <c r="F4" i="1" s="1"/>
  <c r="G4" i="1" s="1"/>
  <c r="H4" i="1" s="1"/>
  <c r="I4" i="1" s="1"/>
  <c r="K4" i="1" s="1"/>
  <c r="J38" i="14" l="1"/>
  <c r="I21" i="10"/>
  <c r="D21" i="10"/>
  <c r="F21" i="10"/>
  <c r="I24" i="10"/>
  <c r="D35" i="8"/>
  <c r="D36" i="8" s="1"/>
  <c r="F35" i="8"/>
  <c r="F70" i="8" s="1"/>
  <c r="G35" i="8"/>
  <c r="G36" i="8" s="1"/>
  <c r="H15" i="10"/>
  <c r="H16" i="10" s="1"/>
  <c r="I15" i="10"/>
  <c r="I16" i="10" s="1"/>
  <c r="K58" i="8"/>
  <c r="S60" i="8"/>
  <c r="F36" i="8"/>
  <c r="E35" i="8"/>
  <c r="E36" i="8" s="1"/>
  <c r="L58" i="8"/>
  <c r="L37" i="10"/>
  <c r="M58" i="8"/>
  <c r="F22" i="10"/>
  <c r="M60" i="8"/>
  <c r="I42" i="10"/>
  <c r="G18" i="14"/>
  <c r="F28" i="23"/>
  <c r="F54" i="23" s="1"/>
  <c r="F56" i="23" s="1"/>
  <c r="F59" i="23"/>
  <c r="F47" i="23"/>
  <c r="F6" i="22"/>
  <c r="F8" i="22"/>
  <c r="F19" i="22"/>
  <c r="F12" i="22"/>
  <c r="F17" i="22"/>
  <c r="F14" i="22"/>
  <c r="F20" i="22"/>
  <c r="F11" i="22"/>
  <c r="F7" i="22"/>
  <c r="F16" i="22"/>
  <c r="F21" i="22"/>
  <c r="G10" i="22"/>
  <c r="D18" i="14"/>
  <c r="C47" i="23"/>
  <c r="C59" i="23"/>
  <c r="C16" i="22"/>
  <c r="C7" i="22"/>
  <c r="C14" i="22"/>
  <c r="C19" i="22"/>
  <c r="C20" i="22"/>
  <c r="C12" i="22"/>
  <c r="C21" i="22"/>
  <c r="C8" i="22"/>
  <c r="C6" i="22"/>
  <c r="C11" i="22"/>
  <c r="C17" i="22"/>
  <c r="E18" i="14"/>
  <c r="E19" i="14" s="1"/>
  <c r="D47" i="23"/>
  <c r="D59" i="23"/>
  <c r="D28" i="23"/>
  <c r="D54" i="23" s="1"/>
  <c r="D56" i="23" s="1"/>
  <c r="D17" i="22"/>
  <c r="D19" i="22"/>
  <c r="D14" i="22"/>
  <c r="D20" i="22"/>
  <c r="D11" i="22"/>
  <c r="D7" i="22"/>
  <c r="D16" i="22"/>
  <c r="D21" i="22"/>
  <c r="D12" i="22"/>
  <c r="D6" i="22"/>
  <c r="D8" i="22"/>
  <c r="F18" i="14"/>
  <c r="E47" i="23"/>
  <c r="E28" i="23"/>
  <c r="E54" i="23" s="1"/>
  <c r="E56" i="23" s="1"/>
  <c r="E59" i="23"/>
  <c r="E21" i="22"/>
  <c r="E12" i="22"/>
  <c r="E17" i="22"/>
  <c r="E14" i="22"/>
  <c r="E20" i="22"/>
  <c r="E11" i="22"/>
  <c r="E19" i="22"/>
  <c r="E7" i="22"/>
  <c r="E16" i="22"/>
  <c r="E6" i="22"/>
  <c r="E8" i="22"/>
  <c r="G50" i="10"/>
  <c r="G28" i="23"/>
  <c r="G54" i="23" s="1"/>
  <c r="G56" i="23" s="1"/>
  <c r="G59" i="23"/>
  <c r="G47" i="23"/>
  <c r="G20" i="22"/>
  <c r="G19" i="22"/>
  <c r="G21" i="22"/>
  <c r="G12" i="22"/>
  <c r="G6" i="22"/>
  <c r="G8" i="22"/>
  <c r="G17" i="22"/>
  <c r="G14" i="22"/>
  <c r="G11" i="22"/>
  <c r="G7" i="22"/>
  <c r="G16" i="22"/>
  <c r="C9" i="22"/>
  <c r="C10" i="22" s="1"/>
  <c r="C13" i="22" s="1"/>
  <c r="D9" i="22"/>
  <c r="C32" i="10"/>
  <c r="C33" i="10" s="1"/>
  <c r="C22" i="22"/>
  <c r="G32" i="10"/>
  <c r="G22" i="22"/>
  <c r="I32" i="10"/>
  <c r="I22" i="22"/>
  <c r="D32" i="10"/>
  <c r="D33" i="10" s="1"/>
  <c r="D22" i="22"/>
  <c r="E32" i="10"/>
  <c r="E33" i="10" s="1"/>
  <c r="E22" i="22"/>
  <c r="H32" i="10"/>
  <c r="H33" i="10" s="1"/>
  <c r="F32" i="10"/>
  <c r="F33" i="10" s="1"/>
  <c r="F22" i="22"/>
  <c r="E8" i="10"/>
  <c r="E9" i="10" s="1"/>
  <c r="E10" i="10" s="1"/>
  <c r="E9" i="22"/>
  <c r="F8" i="10"/>
  <c r="F9" i="10" s="1"/>
  <c r="F10" i="10" s="1"/>
  <c r="F9" i="22"/>
  <c r="I12" i="5"/>
  <c r="I16" i="5" s="1"/>
  <c r="I9" i="22"/>
  <c r="I10" i="22" s="1"/>
  <c r="I13" i="22" s="1"/>
  <c r="I15" i="22" s="1"/>
  <c r="I18" i="22" s="1"/>
  <c r="I23" i="22" s="1"/>
  <c r="H8" i="10"/>
  <c r="H9" i="10" s="1"/>
  <c r="H10" i="10" s="1"/>
  <c r="H9" i="22"/>
  <c r="H10" i="22" s="1"/>
  <c r="H13" i="22" s="1"/>
  <c r="H15" i="22" s="1"/>
  <c r="H18" i="22" s="1"/>
  <c r="C46" i="13"/>
  <c r="N52" i="13"/>
  <c r="N53" i="13" s="1"/>
  <c r="C42" i="13"/>
  <c r="I13" i="5"/>
  <c r="J20" i="14" s="1"/>
  <c r="N30" i="8"/>
  <c r="M30" i="8"/>
  <c r="P30" i="8"/>
  <c r="O30" i="8"/>
  <c r="D24" i="10"/>
  <c r="C22" i="10"/>
  <c r="K9" i="8"/>
  <c r="M37" i="10"/>
  <c r="H22" i="10"/>
  <c r="K37" i="10"/>
  <c r="K36" i="10" s="1"/>
  <c r="K58" i="7" s="1"/>
  <c r="K21" i="11" s="1"/>
  <c r="S37" i="10"/>
  <c r="R37" i="10"/>
  <c r="Q37" i="10"/>
  <c r="P37" i="10"/>
  <c r="H35" i="8"/>
  <c r="H36" i="8" s="1"/>
  <c r="K60" i="8"/>
  <c r="T37" i="10"/>
  <c r="K20" i="8"/>
  <c r="K22" i="8" s="1"/>
  <c r="R59" i="8"/>
  <c r="L60" i="8"/>
  <c r="G24" i="10"/>
  <c r="G26" i="10" s="1"/>
  <c r="G27" i="10" s="1"/>
  <c r="I35" i="8"/>
  <c r="I41" i="8" s="1"/>
  <c r="K38" i="8" s="1"/>
  <c r="K41" i="8" s="1"/>
  <c r="S58" i="8"/>
  <c r="M47" i="7"/>
  <c r="L24" i="11"/>
  <c r="I22" i="10"/>
  <c r="N37" i="10"/>
  <c r="D22" i="10"/>
  <c r="S59" i="8"/>
  <c r="K29" i="8"/>
  <c r="K11" i="7" s="1"/>
  <c r="T60" i="8"/>
  <c r="G22" i="10"/>
  <c r="O37" i="10"/>
  <c r="E21" i="10"/>
  <c r="F24" i="10" s="1"/>
  <c r="F26" i="10" s="1"/>
  <c r="F27" i="10" s="1"/>
  <c r="E22" i="10"/>
  <c r="C35" i="8"/>
  <c r="C36" i="8" s="1"/>
  <c r="I26" i="10"/>
  <c r="I27" i="10" s="1"/>
  <c r="N58" i="8"/>
  <c r="I9" i="10"/>
  <c r="I10" i="10" s="1"/>
  <c r="G33" i="10"/>
  <c r="E42" i="10"/>
  <c r="P58" i="8"/>
  <c r="P60" i="8"/>
  <c r="G9" i="10"/>
  <c r="G10" i="10" s="1"/>
  <c r="N60" i="8"/>
  <c r="O58" i="8"/>
  <c r="O60" i="8"/>
  <c r="L48" i="7"/>
  <c r="Q58" i="8"/>
  <c r="Q60" i="8"/>
  <c r="R58" i="8"/>
  <c r="R60" i="8"/>
  <c r="H42" i="10"/>
  <c r="I33" i="10"/>
  <c r="F11" i="1"/>
  <c r="H14" i="1"/>
  <c r="G11" i="1"/>
  <c r="I14" i="1"/>
  <c r="H11" i="1"/>
  <c r="E11" i="1"/>
  <c r="E14" i="1"/>
  <c r="D11" i="1"/>
  <c r="L4" i="1"/>
  <c r="K14" i="1"/>
  <c r="K13" i="1" s="1"/>
  <c r="K6" i="1" s="1"/>
  <c r="K8" i="5" s="1"/>
  <c r="K12" i="5" s="1"/>
  <c r="K11" i="5" s="1"/>
  <c r="E13" i="8"/>
  <c r="E14" i="8" s="1"/>
  <c r="D51" i="10"/>
  <c r="D57" i="10"/>
  <c r="E51" i="10"/>
  <c r="E57" i="10"/>
  <c r="F51" i="10"/>
  <c r="F57" i="10"/>
  <c r="M14" i="8"/>
  <c r="N14" i="8" s="1"/>
  <c r="O14" i="8" s="1"/>
  <c r="P14" i="8" s="1"/>
  <c r="Q14" i="8" s="1"/>
  <c r="R14" i="8" s="1"/>
  <c r="S14" i="8" s="1"/>
  <c r="T14" i="8" s="1"/>
  <c r="T27" i="8" s="1"/>
  <c r="T41" i="11" s="1"/>
  <c r="N8" i="13" s="1"/>
  <c r="E17" i="5"/>
  <c r="F17" i="5"/>
  <c r="C17" i="5"/>
  <c r="D17" i="5"/>
  <c r="C12" i="5"/>
  <c r="C13" i="5" s="1"/>
  <c r="D20" i="14" s="1"/>
  <c r="D14" i="10"/>
  <c r="D15" i="10" s="1"/>
  <c r="D16" i="10" s="1"/>
  <c r="D12" i="5"/>
  <c r="D16" i="5" s="1"/>
  <c r="E14" i="10"/>
  <c r="E15" i="10" s="1"/>
  <c r="E16" i="10" s="1"/>
  <c r="P59" i="8"/>
  <c r="G12" i="5"/>
  <c r="G16" i="5" s="1"/>
  <c r="G17" i="5"/>
  <c r="H18" i="14"/>
  <c r="H19" i="14" s="1"/>
  <c r="G14" i="10"/>
  <c r="G15" i="10" s="1"/>
  <c r="G16" i="10" s="1"/>
  <c r="G25" i="5"/>
  <c r="Q59" i="8"/>
  <c r="G51" i="10"/>
  <c r="K59" i="8"/>
  <c r="T59" i="8"/>
  <c r="O59" i="8"/>
  <c r="N59" i="8"/>
  <c r="L59" i="8"/>
  <c r="M59" i="8"/>
  <c r="G57" i="10"/>
  <c r="L27" i="8"/>
  <c r="D50" i="10"/>
  <c r="D25" i="5"/>
  <c r="C57" i="10"/>
  <c r="C25" i="5"/>
  <c r="C50" i="10"/>
  <c r="E25" i="5"/>
  <c r="E50" i="10"/>
  <c r="L28" i="8"/>
  <c r="L8" i="8" s="1"/>
  <c r="K41" i="11"/>
  <c r="E8" i="13" s="1"/>
  <c r="C51" i="10"/>
  <c r="F25" i="5"/>
  <c r="F50" i="10"/>
  <c r="F14" i="10"/>
  <c r="F15" i="10" s="1"/>
  <c r="D8" i="10"/>
  <c r="D9" i="10" s="1"/>
  <c r="D25" i="10"/>
  <c r="E12" i="5"/>
  <c r="E25" i="10"/>
  <c r="F12" i="5"/>
  <c r="H12" i="5"/>
  <c r="H25" i="10"/>
  <c r="H26" i="10" s="1"/>
  <c r="H27" i="10" s="1"/>
  <c r="E26" i="14"/>
  <c r="I26" i="14"/>
  <c r="G26" i="14"/>
  <c r="J19" i="14"/>
  <c r="H26" i="14"/>
  <c r="F19" i="14"/>
  <c r="G19" i="14"/>
  <c r="F26" i="14"/>
  <c r="I30" i="14"/>
  <c r="J26" i="14"/>
  <c r="E52" i="13"/>
  <c r="E53" i="13" s="1"/>
  <c r="K52" i="13"/>
  <c r="K53" i="13" s="1"/>
  <c r="L52" i="13"/>
  <c r="L53" i="13" s="1"/>
  <c r="M52" i="13"/>
  <c r="M53" i="13" s="1"/>
  <c r="F52" i="13"/>
  <c r="F53" i="13" s="1"/>
  <c r="G52" i="13"/>
  <c r="G53" i="13" s="1"/>
  <c r="H52" i="13"/>
  <c r="H53" i="13" s="1"/>
  <c r="I52" i="13"/>
  <c r="I53" i="13" s="1"/>
  <c r="J52" i="13"/>
  <c r="J53" i="13" s="1"/>
  <c r="C48" i="13" l="1"/>
  <c r="C24" i="13" s="1"/>
  <c r="D26" i="10"/>
  <c r="D27" i="10" s="1"/>
  <c r="G70" i="8"/>
  <c r="E24" i="10"/>
  <c r="C17" i="13"/>
  <c r="H70" i="8"/>
  <c r="I70" i="8"/>
  <c r="Q70" i="8" s="1"/>
  <c r="I36" i="8"/>
  <c r="T36" i="8" s="1"/>
  <c r="Q42" i="10"/>
  <c r="O42" i="10"/>
  <c r="M33" i="10"/>
  <c r="D10" i="22"/>
  <c r="D13" i="22" s="1"/>
  <c r="D15" i="22" s="1"/>
  <c r="F10" i="22"/>
  <c r="F13" i="22" s="1"/>
  <c r="F15" i="22" s="1"/>
  <c r="F18" i="22" s="1"/>
  <c r="F23" i="22" s="1"/>
  <c r="R42" i="10"/>
  <c r="S42" i="10"/>
  <c r="C15" i="22"/>
  <c r="C18" i="22" s="1"/>
  <c r="G13" i="22"/>
  <c r="G15" i="22" s="1"/>
  <c r="G18" i="22" s="1"/>
  <c r="P42" i="10"/>
  <c r="N42" i="10"/>
  <c r="E10" i="22"/>
  <c r="E13" i="22" s="1"/>
  <c r="E15" i="22" s="1"/>
  <c r="E18" i="22" s="1"/>
  <c r="E23" i="22" s="1"/>
  <c r="O33" i="10"/>
  <c r="I20" i="5"/>
  <c r="I13" i="23"/>
  <c r="I50" i="23"/>
  <c r="G18" i="5"/>
  <c r="H21" i="14" s="1"/>
  <c r="G50" i="23"/>
  <c r="G13" i="23"/>
  <c r="G13" i="5"/>
  <c r="H20" i="14" s="1"/>
  <c r="D20" i="5"/>
  <c r="D41" i="23" s="1"/>
  <c r="D13" i="23"/>
  <c r="D50" i="23"/>
  <c r="I19" i="14"/>
  <c r="G46" i="14"/>
  <c r="G47" i="14"/>
  <c r="G48" i="14"/>
  <c r="G49" i="14"/>
  <c r="G33" i="14"/>
  <c r="G35" i="14"/>
  <c r="G36" i="14"/>
  <c r="G37" i="14"/>
  <c r="G45" i="14"/>
  <c r="G38" i="14"/>
  <c r="G50" i="14"/>
  <c r="G39" i="14"/>
  <c r="G40" i="14"/>
  <c r="G41" i="14"/>
  <c r="G42" i="14"/>
  <c r="G43" i="14"/>
  <c r="G44" i="14"/>
  <c r="I18" i="5"/>
  <c r="J21" i="14" s="1"/>
  <c r="I21" i="5"/>
  <c r="J22" i="14" s="1"/>
  <c r="Q33" i="10"/>
  <c r="C23" i="22"/>
  <c r="H23" i="22"/>
  <c r="G23" i="22"/>
  <c r="D18" i="22"/>
  <c r="Q30" i="8"/>
  <c r="P36" i="8"/>
  <c r="O36" i="8"/>
  <c r="N36" i="8"/>
  <c r="M36" i="8"/>
  <c r="L18" i="8"/>
  <c r="K12" i="7"/>
  <c r="N33" i="10"/>
  <c r="S9" i="10"/>
  <c r="P33" i="10"/>
  <c r="K53" i="8"/>
  <c r="T33" i="10"/>
  <c r="R33" i="10"/>
  <c r="N47" i="7"/>
  <c r="M24" i="11"/>
  <c r="K33" i="10"/>
  <c r="L22" i="10"/>
  <c r="K22" i="10"/>
  <c r="T22" i="10"/>
  <c r="R22" i="10"/>
  <c r="S22" i="10"/>
  <c r="Q22" i="10"/>
  <c r="P22" i="10"/>
  <c r="O22" i="10"/>
  <c r="N22" i="10"/>
  <c r="M22" i="10"/>
  <c r="K19" i="5"/>
  <c r="S33" i="10"/>
  <c r="L26" i="8"/>
  <c r="L29" i="8" s="1"/>
  <c r="L11" i="7" s="1"/>
  <c r="K11" i="8"/>
  <c r="Q9" i="10"/>
  <c r="L33" i="10"/>
  <c r="L23" i="11"/>
  <c r="M48" i="7"/>
  <c r="L38" i="8"/>
  <c r="K35" i="8"/>
  <c r="T70" i="8"/>
  <c r="M70" i="8"/>
  <c r="K70" i="8"/>
  <c r="E26" i="10"/>
  <c r="E27" i="10" s="1"/>
  <c r="N27" i="10" s="1"/>
  <c r="N26" i="10" s="1"/>
  <c r="T42" i="10"/>
  <c r="M42" i="10"/>
  <c r="L42" i="10"/>
  <c r="K42" i="10"/>
  <c r="K14" i="10"/>
  <c r="K16" i="5"/>
  <c r="N27" i="8"/>
  <c r="O28" i="8" s="1"/>
  <c r="O8" i="8" s="1"/>
  <c r="O36" i="10" s="1"/>
  <c r="O58" i="7" s="1"/>
  <c r="M4" i="1"/>
  <c r="L14" i="1"/>
  <c r="L13" i="1" s="1"/>
  <c r="L6" i="1" s="1"/>
  <c r="L8" i="5" s="1"/>
  <c r="Q27" i="8"/>
  <c r="Q41" i="11" s="1"/>
  <c r="K8" i="13" s="1"/>
  <c r="N41" i="11"/>
  <c r="H8" i="13" s="1"/>
  <c r="S27" i="8"/>
  <c r="R27" i="8"/>
  <c r="R41" i="11" s="1"/>
  <c r="L8" i="13" s="1"/>
  <c r="C16" i="5"/>
  <c r="O27" i="8"/>
  <c r="L17" i="5"/>
  <c r="D13" i="5"/>
  <c r="E20" i="14" s="1"/>
  <c r="P27" i="8"/>
  <c r="P41" i="11" s="1"/>
  <c r="J8" i="13" s="1"/>
  <c r="M27" i="8"/>
  <c r="D18" i="5"/>
  <c r="E21" i="14" s="1"/>
  <c r="Q15" i="10"/>
  <c r="R15" i="10"/>
  <c r="R9" i="10"/>
  <c r="S17" i="5"/>
  <c r="G20" i="5"/>
  <c r="M9" i="10"/>
  <c r="P17" i="5"/>
  <c r="P9" i="10"/>
  <c r="M17" i="5"/>
  <c r="T9" i="10"/>
  <c r="S15" i="10"/>
  <c r="P15" i="10"/>
  <c r="N15" i="10"/>
  <c r="K15" i="10"/>
  <c r="F16" i="10"/>
  <c r="M15" i="10"/>
  <c r="L15" i="10"/>
  <c r="S50" i="10"/>
  <c r="R50" i="10"/>
  <c r="Q50" i="10"/>
  <c r="P50" i="10"/>
  <c r="N50" i="10"/>
  <c r="T50" i="10"/>
  <c r="O50" i="10"/>
  <c r="M50" i="10"/>
  <c r="L50" i="10"/>
  <c r="K50" i="10"/>
  <c r="K45" i="10" s="1"/>
  <c r="O17" i="5"/>
  <c r="D10" i="10"/>
  <c r="O10" i="10" s="1"/>
  <c r="S25" i="5"/>
  <c r="R25" i="5"/>
  <c r="Q25" i="5"/>
  <c r="P25" i="5"/>
  <c r="O25" i="5"/>
  <c r="M25" i="5"/>
  <c r="L25" i="5"/>
  <c r="K25" i="5"/>
  <c r="K23" i="5" s="1"/>
  <c r="T25" i="5"/>
  <c r="N25" i="5"/>
  <c r="Q17" i="5"/>
  <c r="N9" i="10"/>
  <c r="P57" i="10"/>
  <c r="O57" i="10"/>
  <c r="N57" i="10"/>
  <c r="M57" i="10"/>
  <c r="R57" i="10"/>
  <c r="Q57" i="10"/>
  <c r="K57" i="10"/>
  <c r="K56" i="10" s="1"/>
  <c r="K31" i="7" s="1"/>
  <c r="L57" i="10"/>
  <c r="S57" i="10"/>
  <c r="T57" i="10"/>
  <c r="N17" i="5"/>
  <c r="O9" i="10"/>
  <c r="N51" i="10"/>
  <c r="M51" i="10"/>
  <c r="L51" i="10"/>
  <c r="K51" i="10"/>
  <c r="K46" i="10" s="1"/>
  <c r="T51" i="10"/>
  <c r="P51" i="10"/>
  <c r="S51" i="10"/>
  <c r="Q51" i="10"/>
  <c r="O51" i="10"/>
  <c r="R51" i="10"/>
  <c r="R17" i="5"/>
  <c r="S41" i="11"/>
  <c r="M8" i="13" s="1"/>
  <c r="T17" i="5"/>
  <c r="K25" i="10"/>
  <c r="K8" i="10"/>
  <c r="L36" i="10"/>
  <c r="L58" i="7" s="1"/>
  <c r="L21" i="11" s="1"/>
  <c r="M28" i="8"/>
  <c r="M8" i="8" s="1"/>
  <c r="M36" i="10" s="1"/>
  <c r="M58" i="7" s="1"/>
  <c r="L41" i="11"/>
  <c r="F8" i="13" s="1"/>
  <c r="K17" i="5"/>
  <c r="K14" i="5" s="1"/>
  <c r="K41" i="10" s="1"/>
  <c r="K9" i="10"/>
  <c r="T15" i="10"/>
  <c r="L9" i="10"/>
  <c r="O15" i="10"/>
  <c r="C26" i="13"/>
  <c r="F16" i="5"/>
  <c r="F13" i="5"/>
  <c r="G20" i="14" s="1"/>
  <c r="E16" i="5"/>
  <c r="E13" i="5"/>
  <c r="F20" i="14" s="1"/>
  <c r="H13" i="5"/>
  <c r="I20" i="14" s="1"/>
  <c r="H16" i="5"/>
  <c r="L70" i="8" l="1"/>
  <c r="S70" i="8"/>
  <c r="Q36" i="8"/>
  <c r="N70" i="8"/>
  <c r="R36" i="8"/>
  <c r="O70" i="8"/>
  <c r="K36" i="8"/>
  <c r="P70" i="8"/>
  <c r="L36" i="8"/>
  <c r="S27" i="10"/>
  <c r="S26" i="10" s="1"/>
  <c r="O27" i="10"/>
  <c r="O26" i="10" s="1"/>
  <c r="R70" i="8"/>
  <c r="S36" i="8"/>
  <c r="K40" i="10"/>
  <c r="K60" i="7" s="1"/>
  <c r="K20" i="11" s="1"/>
  <c r="D24" i="5"/>
  <c r="D21" i="5"/>
  <c r="E22" i="14" s="1"/>
  <c r="P10" i="10"/>
  <c r="Q10" i="10"/>
  <c r="M10" i="10"/>
  <c r="E13" i="23"/>
  <c r="E50" i="23"/>
  <c r="F50" i="23"/>
  <c r="F13" i="23"/>
  <c r="C20" i="5"/>
  <c r="C41" i="23" s="1"/>
  <c r="C50" i="23"/>
  <c r="R10" i="10"/>
  <c r="K10" i="10"/>
  <c r="K7" i="10" s="1"/>
  <c r="K24" i="7" s="1"/>
  <c r="K26" i="11" s="1"/>
  <c r="G21" i="5"/>
  <c r="H22" i="14" s="1"/>
  <c r="G41" i="23"/>
  <c r="N10" i="10"/>
  <c r="H50" i="23"/>
  <c r="H13" i="23"/>
  <c r="I24" i="5"/>
  <c r="I41" i="23"/>
  <c r="G51" i="14"/>
  <c r="S10" i="10"/>
  <c r="T10" i="10"/>
  <c r="D23" i="22"/>
  <c r="K20" i="5"/>
  <c r="K21" i="5" s="1"/>
  <c r="R30" i="8"/>
  <c r="R28" i="8" s="1"/>
  <c r="R8" i="8" s="1"/>
  <c r="R36" i="10" s="1"/>
  <c r="R58" i="7" s="1"/>
  <c r="L20" i="8"/>
  <c r="L22" i="8" s="1"/>
  <c r="M23" i="11"/>
  <c r="N48" i="7"/>
  <c r="M27" i="10"/>
  <c r="M26" i="10" s="1"/>
  <c r="L27" i="10"/>
  <c r="L26" i="10" s="1"/>
  <c r="P27" i="10"/>
  <c r="P26" i="10" s="1"/>
  <c r="K33" i="8"/>
  <c r="K34" i="8" s="1"/>
  <c r="K46" i="7" s="1"/>
  <c r="L7" i="8"/>
  <c r="L9" i="8" s="1"/>
  <c r="K10" i="7"/>
  <c r="T27" i="10"/>
  <c r="T26" i="10" s="1"/>
  <c r="K27" i="10"/>
  <c r="K26" i="10" s="1"/>
  <c r="K24" i="10" s="1"/>
  <c r="K21" i="10" s="1"/>
  <c r="K19" i="10" s="1"/>
  <c r="K56" i="7" s="1"/>
  <c r="Q27" i="10"/>
  <c r="Q26" i="10" s="1"/>
  <c r="K65" i="8"/>
  <c r="R27" i="10"/>
  <c r="R26" i="10" s="1"/>
  <c r="E7" i="13"/>
  <c r="K10" i="11"/>
  <c r="O47" i="7"/>
  <c r="N24" i="11"/>
  <c r="L14" i="5"/>
  <c r="L41" i="10" s="1"/>
  <c r="L40" i="10" s="1"/>
  <c r="L60" i="7" s="1"/>
  <c r="Q28" i="8"/>
  <c r="Q8" i="8" s="1"/>
  <c r="Q36" i="10" s="1"/>
  <c r="Q58" i="7" s="1"/>
  <c r="N4" i="1"/>
  <c r="M14" i="1"/>
  <c r="M13" i="1" s="1"/>
  <c r="M6" i="1" s="1"/>
  <c r="M8" i="5" s="1"/>
  <c r="M46" i="10" s="1"/>
  <c r="C18" i="5"/>
  <c r="D21" i="14" s="1"/>
  <c r="N28" i="8"/>
  <c r="N8" i="8" s="1"/>
  <c r="N36" i="10" s="1"/>
  <c r="N58" i="7" s="1"/>
  <c r="O21" i="11" s="1"/>
  <c r="M41" i="11"/>
  <c r="G8" i="13" s="1"/>
  <c r="M26" i="8"/>
  <c r="M29" i="8" s="1"/>
  <c r="O41" i="11"/>
  <c r="I8" i="13" s="1"/>
  <c r="P28" i="8"/>
  <c r="P8" i="8" s="1"/>
  <c r="P36" i="10" s="1"/>
  <c r="P58" i="7" s="1"/>
  <c r="P21" i="11" s="1"/>
  <c r="G24" i="5"/>
  <c r="G26" i="5" s="1"/>
  <c r="H23" i="14" s="1"/>
  <c r="M21" i="11"/>
  <c r="K15" i="5"/>
  <c r="L46" i="10"/>
  <c r="K52" i="8"/>
  <c r="L12" i="5"/>
  <c r="L11" i="5" s="1"/>
  <c r="L16" i="5"/>
  <c r="L14" i="10"/>
  <c r="L23" i="5"/>
  <c r="L10" i="10"/>
  <c r="L56" i="10"/>
  <c r="L31" i="7" s="1"/>
  <c r="K30" i="11"/>
  <c r="K12" i="11"/>
  <c r="K39" i="11" s="1"/>
  <c r="K45" i="11" s="1"/>
  <c r="P16" i="10"/>
  <c r="S16" i="10"/>
  <c r="O16" i="10"/>
  <c r="N16" i="10"/>
  <c r="L16" i="10"/>
  <c r="M16" i="10"/>
  <c r="Q16" i="10"/>
  <c r="K16" i="10"/>
  <c r="K13" i="10" s="1"/>
  <c r="K27" i="7" s="1"/>
  <c r="R16" i="10"/>
  <c r="T16" i="10"/>
  <c r="L45" i="10"/>
  <c r="F18" i="5"/>
  <c r="G21" i="14" s="1"/>
  <c r="F20" i="5"/>
  <c r="F41" i="23" s="1"/>
  <c r="E18" i="5"/>
  <c r="F21" i="14" s="1"/>
  <c r="E20" i="5"/>
  <c r="E41" i="23" s="1"/>
  <c r="H18" i="5"/>
  <c r="I21" i="14" s="1"/>
  <c r="H20" i="5"/>
  <c r="H41" i="23" s="1"/>
  <c r="D31" i="5"/>
  <c r="D26" i="5"/>
  <c r="E23" i="14" s="1"/>
  <c r="D32" i="5"/>
  <c r="L19" i="5" l="1"/>
  <c r="L10" i="11" s="1"/>
  <c r="L20" i="11"/>
  <c r="C21" i="5"/>
  <c r="D22" i="14" s="1"/>
  <c r="C24" i="5"/>
  <c r="L52" i="8"/>
  <c r="P36" i="20"/>
  <c r="P39" i="20" s="1"/>
  <c r="D62" i="23"/>
  <c r="D14" i="23"/>
  <c r="D16" i="23"/>
  <c r="I31" i="5"/>
  <c r="C28" i="13" s="1"/>
  <c r="E6" i="13" s="1"/>
  <c r="I26" i="5"/>
  <c r="J23" i="14" s="1"/>
  <c r="I32" i="5"/>
  <c r="R21" i="11"/>
  <c r="S30" i="8"/>
  <c r="S28" i="8" s="1"/>
  <c r="S8" i="8" s="1"/>
  <c r="S36" i="10" s="1"/>
  <c r="S58" i="7" s="1"/>
  <c r="S21" i="11" s="1"/>
  <c r="T30" i="8"/>
  <c r="T28" i="8" s="1"/>
  <c r="T8" i="8" s="1"/>
  <c r="T36" i="10" s="1"/>
  <c r="T58" i="7" s="1"/>
  <c r="L11" i="8"/>
  <c r="L10" i="7" s="1"/>
  <c r="M18" i="8"/>
  <c r="L12" i="7"/>
  <c r="L53" i="8" s="1"/>
  <c r="K60" i="11"/>
  <c r="K62" i="11" s="1"/>
  <c r="K68" i="8"/>
  <c r="K22" i="5" s="1"/>
  <c r="N23" i="11"/>
  <c r="O48" i="7"/>
  <c r="K20" i="10"/>
  <c r="K57" i="7" s="1"/>
  <c r="K19" i="11" s="1"/>
  <c r="K44" i="8"/>
  <c r="K56" i="8" s="1"/>
  <c r="K49" i="7" s="1"/>
  <c r="K50" i="7" s="1"/>
  <c r="K22" i="7"/>
  <c r="P47" i="7"/>
  <c r="O24" i="11"/>
  <c r="K54" i="7"/>
  <c r="L40" i="8"/>
  <c r="O4" i="1"/>
  <c r="N14" i="1"/>
  <c r="N13" i="1" s="1"/>
  <c r="N6" i="1" s="1"/>
  <c r="N8" i="5" s="1"/>
  <c r="G31" i="5"/>
  <c r="N21" i="11"/>
  <c r="G32" i="5"/>
  <c r="Q21" i="11"/>
  <c r="M14" i="5"/>
  <c r="M41" i="10" s="1"/>
  <c r="M40" i="10" s="1"/>
  <c r="M60" i="7" s="1"/>
  <c r="M20" i="11" s="1"/>
  <c r="M45" i="10"/>
  <c r="M56" i="10"/>
  <c r="M31" i="7" s="1"/>
  <c r="M30" i="11" s="1"/>
  <c r="L13" i="10"/>
  <c r="L27" i="7" s="1"/>
  <c r="L25" i="11" s="1"/>
  <c r="M11" i="7"/>
  <c r="N26" i="8"/>
  <c r="N29" i="8" s="1"/>
  <c r="L15" i="5"/>
  <c r="K25" i="11"/>
  <c r="L30" i="11"/>
  <c r="L12" i="11"/>
  <c r="L39" i="11" s="1"/>
  <c r="L45" i="11" s="1"/>
  <c r="L25" i="10"/>
  <c r="L24" i="10" s="1"/>
  <c r="L21" i="10" s="1"/>
  <c r="L8" i="10"/>
  <c r="L7" i="10" s="1"/>
  <c r="L24" i="7" s="1"/>
  <c r="M16" i="5"/>
  <c r="M23" i="5"/>
  <c r="M12" i="5"/>
  <c r="M14" i="10"/>
  <c r="M13" i="10" s="1"/>
  <c r="M27" i="7" s="1"/>
  <c r="E24" i="5"/>
  <c r="E21" i="5"/>
  <c r="F22" i="14" s="1"/>
  <c r="F24" i="5"/>
  <c r="F21" i="5"/>
  <c r="G22" i="14" s="1"/>
  <c r="C26" i="5"/>
  <c r="D23" i="14" s="1"/>
  <c r="C31" i="5"/>
  <c r="C32" i="5"/>
  <c r="C62" i="23" s="1"/>
  <c r="H24" i="5"/>
  <c r="H21" i="5"/>
  <c r="I22" i="14" s="1"/>
  <c r="D33" i="5"/>
  <c r="E24" i="14" s="1"/>
  <c r="D52" i="10"/>
  <c r="L20" i="5" l="1"/>
  <c r="L21" i="5" s="1"/>
  <c r="F7" i="13"/>
  <c r="S36" i="20"/>
  <c r="S39" i="20" s="1"/>
  <c r="G14" i="23"/>
  <c r="G62" i="23"/>
  <c r="G16" i="23"/>
  <c r="U36" i="20"/>
  <c r="I14" i="23"/>
  <c r="I62" i="23"/>
  <c r="I16" i="23"/>
  <c r="I52" i="10"/>
  <c r="K52" i="10" s="1"/>
  <c r="L52" i="10" s="1"/>
  <c r="M52" i="10" s="1"/>
  <c r="I33" i="5"/>
  <c r="J24" i="14" s="1"/>
  <c r="P40" i="20"/>
  <c r="S17" i="13"/>
  <c r="C6" i="13"/>
  <c r="C10" i="13" s="1"/>
  <c r="G52" i="10"/>
  <c r="T21" i="11"/>
  <c r="M7" i="8"/>
  <c r="M9" i="8" s="1"/>
  <c r="O23" i="11"/>
  <c r="P48" i="7"/>
  <c r="P24" i="11"/>
  <c r="Q47" i="7"/>
  <c r="L59" i="11"/>
  <c r="L41" i="8"/>
  <c r="K11" i="11"/>
  <c r="K24" i="5"/>
  <c r="M20" i="8"/>
  <c r="M22" i="8"/>
  <c r="M52" i="8"/>
  <c r="G33" i="5"/>
  <c r="H24" i="14" s="1"/>
  <c r="M25" i="11"/>
  <c r="P4" i="1"/>
  <c r="O14" i="1"/>
  <c r="O13" i="1" s="1"/>
  <c r="O6" i="1" s="1"/>
  <c r="O8" i="5" s="1"/>
  <c r="M15" i="5"/>
  <c r="L26" i="11"/>
  <c r="L19" i="10"/>
  <c r="L56" i="7" s="1"/>
  <c r="N11" i="7"/>
  <c r="O26" i="8"/>
  <c r="O29" i="8" s="1"/>
  <c r="M12" i="11"/>
  <c r="M39" i="11" s="1"/>
  <c r="M45" i="11" s="1"/>
  <c r="M11" i="5"/>
  <c r="N16" i="5"/>
  <c r="N23" i="5"/>
  <c r="N12" i="5"/>
  <c r="N11" i="5" s="1"/>
  <c r="N14" i="10"/>
  <c r="N13" i="10" s="1"/>
  <c r="N27" i="7" s="1"/>
  <c r="N25" i="11" s="1"/>
  <c r="N14" i="5"/>
  <c r="N46" i="10"/>
  <c r="N45" i="10"/>
  <c r="N56" i="10"/>
  <c r="N31" i="7" s="1"/>
  <c r="L44" i="8"/>
  <c r="L56" i="8" s="1"/>
  <c r="L49" i="7" s="1"/>
  <c r="L22" i="7"/>
  <c r="F31" i="5"/>
  <c r="F32" i="5"/>
  <c r="F26" i="5"/>
  <c r="G23" i="14" s="1"/>
  <c r="E26" i="5"/>
  <c r="F23" i="14" s="1"/>
  <c r="E32" i="5"/>
  <c r="E31" i="5"/>
  <c r="H32" i="5"/>
  <c r="H31" i="5"/>
  <c r="H26" i="5"/>
  <c r="I23" i="14" s="1"/>
  <c r="C33" i="5"/>
  <c r="D24" i="14" s="1"/>
  <c r="C52" i="10"/>
  <c r="F6" i="13" l="1"/>
  <c r="T36" i="20"/>
  <c r="T39" i="20" s="1"/>
  <c r="H14" i="23"/>
  <c r="H62" i="23"/>
  <c r="H16" i="23"/>
  <c r="Q36" i="20"/>
  <c r="E14" i="23"/>
  <c r="E62" i="23"/>
  <c r="E16" i="23"/>
  <c r="S40" i="20"/>
  <c r="R36" i="20"/>
  <c r="R39" i="20" s="1"/>
  <c r="F16" i="23"/>
  <c r="F14" i="23"/>
  <c r="F62" i="23"/>
  <c r="U39" i="20"/>
  <c r="U40" i="20"/>
  <c r="M19" i="5"/>
  <c r="M10" i="11" s="1"/>
  <c r="Q24" i="11"/>
  <c r="R47" i="7"/>
  <c r="P23" i="11"/>
  <c r="Q48" i="7"/>
  <c r="N18" i="8"/>
  <c r="M12" i="7"/>
  <c r="M53" i="8" s="1"/>
  <c r="K8" i="11"/>
  <c r="K17" i="11" s="1"/>
  <c r="K30" i="5"/>
  <c r="K26" i="5"/>
  <c r="M38" i="8"/>
  <c r="L35" i="8"/>
  <c r="L20" i="10"/>
  <c r="L57" i="7" s="1"/>
  <c r="L19" i="11" s="1"/>
  <c r="Q4" i="1"/>
  <c r="P14" i="1"/>
  <c r="P13" i="1" s="1"/>
  <c r="P6" i="1" s="1"/>
  <c r="P8" i="5" s="1"/>
  <c r="N41" i="10"/>
  <c r="N40" i="10" s="1"/>
  <c r="N60" i="7" s="1"/>
  <c r="N20" i="11" s="1"/>
  <c r="N52" i="8"/>
  <c r="Q39" i="20"/>
  <c r="Q40" i="20"/>
  <c r="N15" i="5"/>
  <c r="N12" i="11"/>
  <c r="N39" i="11" s="1"/>
  <c r="N45" i="11" s="1"/>
  <c r="M11" i="8"/>
  <c r="N8" i="10"/>
  <c r="N7" i="10" s="1"/>
  <c r="N24" i="7" s="1"/>
  <c r="N25" i="10"/>
  <c r="N24" i="10" s="1"/>
  <c r="N21" i="10" s="1"/>
  <c r="M25" i="10"/>
  <c r="M24" i="10" s="1"/>
  <c r="M21" i="10" s="1"/>
  <c r="M8" i="10"/>
  <c r="M7" i="10" s="1"/>
  <c r="M24" i="7" s="1"/>
  <c r="P26" i="8"/>
  <c r="P29" i="8" s="1"/>
  <c r="O11" i="7"/>
  <c r="N30" i="11"/>
  <c r="O16" i="5"/>
  <c r="O23" i="5"/>
  <c r="O14" i="10"/>
  <c r="O13" i="10" s="1"/>
  <c r="O27" i="7" s="1"/>
  <c r="O12" i="5"/>
  <c r="O11" i="5" s="1"/>
  <c r="O14" i="5"/>
  <c r="O45" i="10"/>
  <c r="O56" i="10"/>
  <c r="O31" i="7" s="1"/>
  <c r="O30" i="11" s="1"/>
  <c r="O46" i="10"/>
  <c r="E52" i="10"/>
  <c r="E33" i="5"/>
  <c r="F24" i="14" s="1"/>
  <c r="F33" i="5"/>
  <c r="G24" i="14" s="1"/>
  <c r="F52" i="10"/>
  <c r="H52" i="10"/>
  <c r="H33" i="5"/>
  <c r="I24" i="14" s="1"/>
  <c r="N52" i="10"/>
  <c r="T40" i="20" l="1"/>
  <c r="R40" i="20"/>
  <c r="G7" i="13"/>
  <c r="M20" i="5"/>
  <c r="G6" i="13" s="1"/>
  <c r="K32" i="5"/>
  <c r="K32" i="10"/>
  <c r="K31" i="10" s="1"/>
  <c r="K61" i="7" s="1"/>
  <c r="K33" i="11" s="1"/>
  <c r="N20" i="8"/>
  <c r="N22" i="8" s="1"/>
  <c r="Q23" i="11"/>
  <c r="R48" i="7"/>
  <c r="R24" i="11"/>
  <c r="S47" i="7"/>
  <c r="L65" i="8"/>
  <c r="L33" i="8"/>
  <c r="R4" i="1"/>
  <c r="Q14" i="1"/>
  <c r="Q13" i="1" s="1"/>
  <c r="Q6" i="1" s="1"/>
  <c r="Q8" i="5" s="1"/>
  <c r="M19" i="10"/>
  <c r="M56" i="7" s="1"/>
  <c r="P16" i="5"/>
  <c r="P23" i="5"/>
  <c r="P14" i="10"/>
  <c r="P13" i="10" s="1"/>
  <c r="P27" i="7" s="1"/>
  <c r="P12" i="5"/>
  <c r="P14" i="5"/>
  <c r="P46" i="10"/>
  <c r="P56" i="10"/>
  <c r="P31" i="7" s="1"/>
  <c r="P30" i="11" s="1"/>
  <c r="P45" i="10"/>
  <c r="N26" i="11"/>
  <c r="M26" i="11"/>
  <c r="Q26" i="8"/>
  <c r="Q29" i="8" s="1"/>
  <c r="P11" i="7"/>
  <c r="O12" i="11"/>
  <c r="O39" i="11" s="1"/>
  <c r="O45" i="11" s="1"/>
  <c r="N19" i="10"/>
  <c r="N56" i="7" s="1"/>
  <c r="O41" i="10"/>
  <c r="O40" i="10" s="1"/>
  <c r="O60" i="7" s="1"/>
  <c r="O20" i="11" s="1"/>
  <c r="O52" i="8"/>
  <c r="O25" i="10"/>
  <c r="O24" i="10" s="1"/>
  <c r="O21" i="10" s="1"/>
  <c r="O8" i="10"/>
  <c r="O7" i="10" s="1"/>
  <c r="O24" i="7" s="1"/>
  <c r="O26" i="11" s="1"/>
  <c r="O25" i="11"/>
  <c r="O15" i="5"/>
  <c r="M10" i="7"/>
  <c r="N7" i="8"/>
  <c r="O52" i="10"/>
  <c r="M21" i="5" l="1"/>
  <c r="K39" i="7"/>
  <c r="K36" i="5"/>
  <c r="K47" i="10"/>
  <c r="K48" i="10" s="1"/>
  <c r="K59" i="7" s="1"/>
  <c r="K38" i="5"/>
  <c r="K33" i="5"/>
  <c r="L54" i="7"/>
  <c r="M40" i="8"/>
  <c r="L60" i="11"/>
  <c r="L62" i="11" s="1"/>
  <c r="L68" i="8"/>
  <c r="L22" i="5" s="1"/>
  <c r="L34" i="8"/>
  <c r="L46" i="7" s="1"/>
  <c r="L50" i="7" s="1"/>
  <c r="S24" i="11"/>
  <c r="T47" i="7"/>
  <c r="T24" i="11" s="1"/>
  <c r="S48" i="7"/>
  <c r="R23" i="11"/>
  <c r="O18" i="8"/>
  <c r="N12" i="7"/>
  <c r="N53" i="8" s="1"/>
  <c r="R14" i="1"/>
  <c r="R13" i="1" s="1"/>
  <c r="R6" i="1" s="1"/>
  <c r="R8" i="5" s="1"/>
  <c r="S4" i="1"/>
  <c r="N20" i="10"/>
  <c r="N57" i="7" s="1"/>
  <c r="Q16" i="5"/>
  <c r="Q14" i="10"/>
  <c r="Q13" i="10" s="1"/>
  <c r="Q27" i="7" s="1"/>
  <c r="Q25" i="11" s="1"/>
  <c r="Q23" i="5"/>
  <c r="Q12" i="5"/>
  <c r="Q46" i="10"/>
  <c r="Q14" i="5"/>
  <c r="Q56" i="10"/>
  <c r="Q31" i="7" s="1"/>
  <c r="Q45" i="10"/>
  <c r="P41" i="10"/>
  <c r="P40" i="10" s="1"/>
  <c r="P60" i="7" s="1"/>
  <c r="P20" i="11" s="1"/>
  <c r="P52" i="8"/>
  <c r="P15" i="5"/>
  <c r="P12" i="11"/>
  <c r="P39" i="11" s="1"/>
  <c r="P45" i="11" s="1"/>
  <c r="P11" i="5"/>
  <c r="N9" i="8"/>
  <c r="N19" i="5" s="1"/>
  <c r="M44" i="8"/>
  <c r="M56" i="8" s="1"/>
  <c r="M49" i="7" s="1"/>
  <c r="M22" i="7"/>
  <c r="Q11" i="7"/>
  <c r="R26" i="8"/>
  <c r="R29" i="8" s="1"/>
  <c r="M20" i="10"/>
  <c r="M57" i="7" s="1"/>
  <c r="O19" i="10"/>
  <c r="O56" i="7" s="1"/>
  <c r="P25" i="11"/>
  <c r="P52" i="10"/>
  <c r="L11" i="11" l="1"/>
  <c r="L24" i="5"/>
  <c r="M59" i="11"/>
  <c r="M41" i="8"/>
  <c r="O20" i="8"/>
  <c r="O22" i="8"/>
  <c r="K22" i="11"/>
  <c r="K62" i="7"/>
  <c r="O20" i="10"/>
  <c r="O57" i="7" s="1"/>
  <c r="O19" i="11" s="1"/>
  <c r="S23" i="11"/>
  <c r="T48" i="7"/>
  <c r="T23" i="11" s="1"/>
  <c r="K40" i="7"/>
  <c r="K42" i="7" s="1"/>
  <c r="N19" i="11"/>
  <c r="S14" i="1"/>
  <c r="S13" i="1" s="1"/>
  <c r="S6" i="1" s="1"/>
  <c r="S8" i="5" s="1"/>
  <c r="T4" i="1"/>
  <c r="T14" i="1" s="1"/>
  <c r="S26" i="8"/>
  <c r="S29" i="8" s="1"/>
  <c r="R11" i="7"/>
  <c r="P25" i="10"/>
  <c r="P24" i="10" s="1"/>
  <c r="P21" i="10" s="1"/>
  <c r="P8" i="10"/>
  <c r="P7" i="10" s="1"/>
  <c r="P24" i="7" s="1"/>
  <c r="Q15" i="5"/>
  <c r="N11" i="8"/>
  <c r="Q11" i="5"/>
  <c r="Q12" i="11"/>
  <c r="Q39" i="11" s="1"/>
  <c r="Q45" i="11" s="1"/>
  <c r="R23" i="5"/>
  <c r="R16" i="5"/>
  <c r="R14" i="10"/>
  <c r="R13" i="10" s="1"/>
  <c r="R27" i="7" s="1"/>
  <c r="R25" i="11" s="1"/>
  <c r="R12" i="5"/>
  <c r="R45" i="10"/>
  <c r="R56" i="10"/>
  <c r="R31" i="7" s="1"/>
  <c r="R30" i="11" s="1"/>
  <c r="R46" i="10"/>
  <c r="R14" i="5"/>
  <c r="Q30" i="11"/>
  <c r="H7" i="13"/>
  <c r="N20" i="5"/>
  <c r="N10" i="11"/>
  <c r="Q41" i="10"/>
  <c r="Q40" i="10" s="1"/>
  <c r="Q60" i="7" s="1"/>
  <c r="Q20" i="11" s="1"/>
  <c r="Q52" i="8"/>
  <c r="M19" i="11"/>
  <c r="Q52" i="10"/>
  <c r="E9" i="13" l="1"/>
  <c r="E10" i="13" s="1"/>
  <c r="E12" i="13" s="1"/>
  <c r="E14" i="13" s="1"/>
  <c r="K32" i="11"/>
  <c r="K34" i="11" s="1"/>
  <c r="K64" i="11" s="1"/>
  <c r="K66" i="11" s="1"/>
  <c r="O12" i="7"/>
  <c r="O53" i="8" s="1"/>
  <c r="P18" i="8"/>
  <c r="N38" i="8"/>
  <c r="M35" i="8"/>
  <c r="K64" i="7"/>
  <c r="L26" i="5"/>
  <c r="L8" i="11"/>
  <c r="L17" i="11" s="1"/>
  <c r="L30" i="5"/>
  <c r="T13" i="1"/>
  <c r="T6" i="1" s="1"/>
  <c r="T8" i="5" s="1"/>
  <c r="T16" i="5" s="1"/>
  <c r="R15" i="5"/>
  <c r="P19" i="10"/>
  <c r="P56" i="7" s="1"/>
  <c r="T26" i="8"/>
  <c r="T29" i="8" s="1"/>
  <c r="T11" i="7" s="1"/>
  <c r="S11" i="7"/>
  <c r="P26" i="11"/>
  <c r="R12" i="11"/>
  <c r="R39" i="11" s="1"/>
  <c r="R45" i="11" s="1"/>
  <c r="N10" i="7"/>
  <c r="O7" i="8"/>
  <c r="R11" i="5"/>
  <c r="N21" i="5"/>
  <c r="H6" i="13"/>
  <c r="R41" i="10"/>
  <c r="R40" i="10" s="1"/>
  <c r="R60" i="7" s="1"/>
  <c r="R20" i="11" s="1"/>
  <c r="R52" i="8"/>
  <c r="S23" i="5"/>
  <c r="S14" i="10"/>
  <c r="S13" i="10" s="1"/>
  <c r="S27" i="7" s="1"/>
  <c r="S25" i="11" s="1"/>
  <c r="S16" i="5"/>
  <c r="S12" i="5"/>
  <c r="S11" i="5" s="1"/>
  <c r="S45" i="10"/>
  <c r="S56" i="10"/>
  <c r="S31" i="7" s="1"/>
  <c r="S46" i="10"/>
  <c r="S14" i="5"/>
  <c r="Q8" i="10"/>
  <c r="Q7" i="10" s="1"/>
  <c r="Q24" i="7" s="1"/>
  <c r="Q26" i="11" s="1"/>
  <c r="Q25" i="10"/>
  <c r="Q24" i="10" s="1"/>
  <c r="Q21" i="10" s="1"/>
  <c r="R52" i="10"/>
  <c r="L32" i="5" l="1"/>
  <c r="L32" i="10"/>
  <c r="L31" i="10" s="1"/>
  <c r="L61" i="7" s="1"/>
  <c r="L33" i="11" s="1"/>
  <c r="M65" i="8"/>
  <c r="M33" i="8"/>
  <c r="P20" i="8"/>
  <c r="P22" i="8" s="1"/>
  <c r="K28" i="7"/>
  <c r="K32" i="7" s="1"/>
  <c r="K34" i="7" s="1"/>
  <c r="K65" i="7" s="1"/>
  <c r="K69" i="11"/>
  <c r="T12" i="5"/>
  <c r="T11" i="5" s="1"/>
  <c r="T8" i="10" s="1"/>
  <c r="T7" i="10" s="1"/>
  <c r="T24" i="7" s="1"/>
  <c r="T23" i="5"/>
  <c r="T12" i="11" s="1"/>
  <c r="T39" i="11" s="1"/>
  <c r="T45" i="11" s="1"/>
  <c r="T14" i="5"/>
  <c r="T52" i="8" s="1"/>
  <c r="T14" i="10"/>
  <c r="T13" i="10" s="1"/>
  <c r="T27" i="7" s="1"/>
  <c r="T25" i="11" s="1"/>
  <c r="T46" i="10"/>
  <c r="T56" i="10"/>
  <c r="T31" i="7" s="1"/>
  <c r="T30" i="11" s="1"/>
  <c r="T45" i="10"/>
  <c r="P20" i="10"/>
  <c r="P57" i="7" s="1"/>
  <c r="P19" i="11" s="1"/>
  <c r="S30" i="11"/>
  <c r="S8" i="10"/>
  <c r="S7" i="10" s="1"/>
  <c r="S24" i="7" s="1"/>
  <c r="S25" i="10"/>
  <c r="S24" i="10" s="1"/>
  <c r="S21" i="10" s="1"/>
  <c r="S41" i="10"/>
  <c r="S40" i="10" s="1"/>
  <c r="S60" i="7" s="1"/>
  <c r="S20" i="11" s="1"/>
  <c r="S52" i="8"/>
  <c r="S12" i="11"/>
  <c r="S39" i="11" s="1"/>
  <c r="S45" i="11" s="1"/>
  <c r="R8" i="10"/>
  <c r="R7" i="10" s="1"/>
  <c r="R24" i="7" s="1"/>
  <c r="R26" i="11" s="1"/>
  <c r="R25" i="10"/>
  <c r="R24" i="10" s="1"/>
  <c r="R21" i="10" s="1"/>
  <c r="Q19" i="10"/>
  <c r="Q56" i="7" s="1"/>
  <c r="O9" i="8"/>
  <c r="O19" i="5" s="1"/>
  <c r="S15" i="5"/>
  <c r="N22" i="7"/>
  <c r="N44" i="8"/>
  <c r="N56" i="8" s="1"/>
  <c r="N49" i="7" s="1"/>
  <c r="S52" i="10"/>
  <c r="K71" i="11" l="1"/>
  <c r="L65" i="11"/>
  <c r="P12" i="7"/>
  <c r="P53" i="8" s="1"/>
  <c r="Q18" i="8"/>
  <c r="M54" i="7"/>
  <c r="N40" i="8"/>
  <c r="M68" i="8"/>
  <c r="M22" i="5" s="1"/>
  <c r="M60" i="11"/>
  <c r="M62" i="11" s="1"/>
  <c r="M34" i="8"/>
  <c r="M46" i="7" s="1"/>
  <c r="M50" i="7" s="1"/>
  <c r="L38" i="5"/>
  <c r="L33" i="5"/>
  <c r="L36" i="5"/>
  <c r="L47" i="10"/>
  <c r="L48" i="10" s="1"/>
  <c r="L59" i="7" s="1"/>
  <c r="L39" i="7"/>
  <c r="T41" i="10"/>
  <c r="T40" i="10" s="1"/>
  <c r="T60" i="7" s="1"/>
  <c r="T20" i="11" s="1"/>
  <c r="T15" i="5"/>
  <c r="T25" i="10"/>
  <c r="T24" i="10" s="1"/>
  <c r="T21" i="10" s="1"/>
  <c r="T19" i="10" s="1"/>
  <c r="T56" i="7" s="1"/>
  <c r="O11" i="8"/>
  <c r="P7" i="8" s="1"/>
  <c r="Q20" i="10"/>
  <c r="Q57" i="7" s="1"/>
  <c r="Q19" i="11" s="1"/>
  <c r="S26" i="11"/>
  <c r="T26" i="11"/>
  <c r="I7" i="13"/>
  <c r="O20" i="5"/>
  <c r="O10" i="11"/>
  <c r="R19" i="10"/>
  <c r="R56" i="7" s="1"/>
  <c r="S19" i="10"/>
  <c r="S56" i="7" s="1"/>
  <c r="T52" i="10"/>
  <c r="S20" i="10" l="1"/>
  <c r="S57" i="7" s="1"/>
  <c r="O10" i="7"/>
  <c r="O22" i="7" s="1"/>
  <c r="M11" i="11"/>
  <c r="M24" i="5"/>
  <c r="N59" i="11"/>
  <c r="N41" i="8"/>
  <c r="Q20" i="8"/>
  <c r="Q22" i="8"/>
  <c r="L40" i="7"/>
  <c r="L42" i="7" s="1"/>
  <c r="L22" i="11"/>
  <c r="L62" i="7"/>
  <c r="R20" i="10"/>
  <c r="R57" i="7" s="1"/>
  <c r="R19" i="11" s="1"/>
  <c r="T20" i="10"/>
  <c r="T57" i="7" s="1"/>
  <c r="T19" i="11" s="1"/>
  <c r="O21" i="5"/>
  <c r="I6" i="13"/>
  <c r="P9" i="8"/>
  <c r="P19" i="5" s="1"/>
  <c r="O44" i="8" l="1"/>
  <c r="O56" i="8" s="1"/>
  <c r="O49" i="7" s="1"/>
  <c r="L64" i="7"/>
  <c r="F9" i="13"/>
  <c r="F10" i="13" s="1"/>
  <c r="F12" i="13" s="1"/>
  <c r="F14" i="13" s="1"/>
  <c r="L32" i="11"/>
  <c r="L34" i="11" s="1"/>
  <c r="L64" i="11" s="1"/>
  <c r="Q12" i="7"/>
  <c r="Q53" i="8" s="1"/>
  <c r="R18" i="8"/>
  <c r="O38" i="8"/>
  <c r="N35" i="8"/>
  <c r="M30" i="5"/>
  <c r="M8" i="11"/>
  <c r="M17" i="11" s="1"/>
  <c r="M26" i="5"/>
  <c r="S19" i="11"/>
  <c r="P20" i="5"/>
  <c r="P10" i="11"/>
  <c r="J7" i="13"/>
  <c r="P11" i="8"/>
  <c r="L66" i="11" l="1"/>
  <c r="M32" i="10"/>
  <c r="M31" i="10" s="1"/>
  <c r="M61" i="7" s="1"/>
  <c r="M33" i="11" s="1"/>
  <c r="M32" i="5"/>
  <c r="N65" i="8"/>
  <c r="N33" i="8"/>
  <c r="R20" i="8"/>
  <c r="R22" i="8" s="1"/>
  <c r="P10" i="7"/>
  <c r="Q7" i="8"/>
  <c r="P21" i="5"/>
  <c r="J6" i="13"/>
  <c r="R12" i="7" l="1"/>
  <c r="R53" i="8" s="1"/>
  <c r="S18" i="8"/>
  <c r="O40" i="8"/>
  <c r="N54" i="7"/>
  <c r="N68" i="8"/>
  <c r="N22" i="5" s="1"/>
  <c r="N60" i="11"/>
  <c r="N62" i="11" s="1"/>
  <c r="N34" i="8"/>
  <c r="N46" i="7" s="1"/>
  <c r="N50" i="7" s="1"/>
  <c r="M33" i="5"/>
  <c r="M47" i="10"/>
  <c r="M48" i="10" s="1"/>
  <c r="M59" i="7" s="1"/>
  <c r="M38" i="5"/>
  <c r="M36" i="5"/>
  <c r="M39" i="7"/>
  <c r="L28" i="7"/>
  <c r="L32" i="7" s="1"/>
  <c r="L34" i="7" s="1"/>
  <c r="L65" i="7" s="1"/>
  <c r="L69" i="11"/>
  <c r="M65" i="11" s="1"/>
  <c r="Q9" i="8"/>
  <c r="Q19" i="5" s="1"/>
  <c r="P22" i="7"/>
  <c r="P44" i="8"/>
  <c r="P56" i="8" s="1"/>
  <c r="P49" i="7" s="1"/>
  <c r="L71" i="11" l="1"/>
  <c r="M40" i="7"/>
  <c r="M42" i="7" s="1"/>
  <c r="M22" i="11"/>
  <c r="M62" i="7"/>
  <c r="N11" i="11"/>
  <c r="N24" i="5"/>
  <c r="O59" i="11"/>
  <c r="O41" i="8"/>
  <c r="S20" i="8"/>
  <c r="S22" i="8" s="1"/>
  <c r="Q10" i="11"/>
  <c r="Q20" i="5"/>
  <c r="K7" i="13"/>
  <c r="Q11" i="8"/>
  <c r="S12" i="7" l="1"/>
  <c r="S53" i="8" s="1"/>
  <c r="T18" i="8"/>
  <c r="P38" i="8"/>
  <c r="O35" i="8"/>
  <c r="N30" i="5"/>
  <c r="N8" i="11"/>
  <c r="N17" i="11" s="1"/>
  <c r="N26" i="5"/>
  <c r="G9" i="13"/>
  <c r="G10" i="13" s="1"/>
  <c r="G12" i="13" s="1"/>
  <c r="G14" i="13" s="1"/>
  <c r="M32" i="11"/>
  <c r="M34" i="11" s="1"/>
  <c r="M64" i="11" s="1"/>
  <c r="M64" i="7"/>
  <c r="R7" i="8"/>
  <c r="Q10" i="7"/>
  <c r="Q21" i="5"/>
  <c r="K6" i="13"/>
  <c r="M66" i="11" l="1"/>
  <c r="N32" i="10"/>
  <c r="N31" i="10" s="1"/>
  <c r="N61" i="7" s="1"/>
  <c r="N33" i="11" s="1"/>
  <c r="N32" i="5"/>
  <c r="O65" i="8"/>
  <c r="O33" i="8"/>
  <c r="T20" i="8"/>
  <c r="T22" i="8" s="1"/>
  <c r="T12" i="7" s="1"/>
  <c r="T53" i="8" s="1"/>
  <c r="Q22" i="7"/>
  <c r="Q44" i="8"/>
  <c r="Q56" i="8" s="1"/>
  <c r="Q49" i="7" s="1"/>
  <c r="R9" i="8"/>
  <c r="R19" i="5" s="1"/>
  <c r="P40" i="8" l="1"/>
  <c r="O54" i="7"/>
  <c r="O34" i="8"/>
  <c r="O46" i="7" s="1"/>
  <c r="O50" i="7" s="1"/>
  <c r="O68" i="8"/>
  <c r="O22" i="5" s="1"/>
  <c r="O60" i="11"/>
  <c r="O62" i="11" s="1"/>
  <c r="N33" i="5"/>
  <c r="N38" i="5"/>
  <c r="N36" i="5"/>
  <c r="N47" i="10"/>
  <c r="N48" i="10" s="1"/>
  <c r="N59" i="7" s="1"/>
  <c r="N39" i="7"/>
  <c r="M69" i="11"/>
  <c r="M28" i="7"/>
  <c r="M32" i="7" s="1"/>
  <c r="M34" i="7" s="1"/>
  <c r="M65" i="7" s="1"/>
  <c r="R11" i="8"/>
  <c r="R10" i="11"/>
  <c r="R20" i="5"/>
  <c r="L7" i="13"/>
  <c r="N65" i="11" l="1"/>
  <c r="M71" i="11"/>
  <c r="N40" i="7"/>
  <c r="N42" i="7" s="1"/>
  <c r="N22" i="11"/>
  <c r="N62" i="7"/>
  <c r="O11" i="11"/>
  <c r="O24" i="5"/>
  <c r="P59" i="11"/>
  <c r="P41" i="8"/>
  <c r="R21" i="5"/>
  <c r="L6" i="13"/>
  <c r="S7" i="8"/>
  <c r="R10" i="7"/>
  <c r="Q38" i="8" l="1"/>
  <c r="P35" i="8"/>
  <c r="O30" i="5"/>
  <c r="O8" i="11"/>
  <c r="O17" i="11" s="1"/>
  <c r="O26" i="5"/>
  <c r="H9" i="13"/>
  <c r="H10" i="13" s="1"/>
  <c r="H12" i="13" s="1"/>
  <c r="H14" i="13" s="1"/>
  <c r="N32" i="11"/>
  <c r="N34" i="11" s="1"/>
  <c r="N64" i="11" s="1"/>
  <c r="N64" i="7"/>
  <c r="R44" i="8"/>
  <c r="R56" i="8" s="1"/>
  <c r="R49" i="7" s="1"/>
  <c r="R22" i="7"/>
  <c r="S9" i="8"/>
  <c r="S19" i="5" s="1"/>
  <c r="N66" i="11" l="1"/>
  <c r="O32" i="10"/>
  <c r="O31" i="10" s="1"/>
  <c r="O61" i="7" s="1"/>
  <c r="O33" i="11" s="1"/>
  <c r="O32" i="5"/>
  <c r="P65" i="8"/>
  <c r="P33" i="8"/>
  <c r="S10" i="11"/>
  <c r="S20" i="5"/>
  <c r="M7" i="13"/>
  <c r="S11" i="8"/>
  <c r="Q40" i="8" l="1"/>
  <c r="P54" i="7"/>
  <c r="P34" i="8"/>
  <c r="P46" i="7" s="1"/>
  <c r="P50" i="7" s="1"/>
  <c r="P68" i="8"/>
  <c r="P22" i="5" s="1"/>
  <c r="P60" i="11"/>
  <c r="P62" i="11" s="1"/>
  <c r="O36" i="5"/>
  <c r="O33" i="5"/>
  <c r="O47" i="10"/>
  <c r="O48" i="10" s="1"/>
  <c r="O59" i="7" s="1"/>
  <c r="O38" i="5"/>
  <c r="O39" i="7"/>
  <c r="O40" i="7" s="1"/>
  <c r="O42" i="7" s="1"/>
  <c r="N69" i="11"/>
  <c r="N28" i="7"/>
  <c r="N32" i="7" s="1"/>
  <c r="N34" i="7" s="1"/>
  <c r="N65" i="7" s="1"/>
  <c r="S21" i="5"/>
  <c r="M6" i="13"/>
  <c r="T7" i="8"/>
  <c r="S10" i="7"/>
  <c r="O65" i="11" l="1"/>
  <c r="N71" i="11"/>
  <c r="O22" i="11"/>
  <c r="O62" i="7"/>
  <c r="O64" i="7" s="1"/>
  <c r="P11" i="11"/>
  <c r="P24" i="5"/>
  <c r="Q59" i="11"/>
  <c r="Q41" i="8"/>
  <c r="T9" i="8"/>
  <c r="T19" i="5" s="1"/>
  <c r="S44" i="8"/>
  <c r="S56" i="8" s="1"/>
  <c r="S49" i="7" s="1"/>
  <c r="S22" i="7"/>
  <c r="T11" i="8" l="1"/>
  <c r="T10" i="7" s="1"/>
  <c r="T44" i="8" s="1"/>
  <c r="T56" i="8" s="1"/>
  <c r="T49" i="7" s="1"/>
  <c r="R38" i="8"/>
  <c r="Q35" i="8"/>
  <c r="P30" i="5"/>
  <c r="P8" i="11"/>
  <c r="P17" i="11" s="1"/>
  <c r="P26" i="5"/>
  <c r="I9" i="13"/>
  <c r="I10" i="13" s="1"/>
  <c r="I12" i="13" s="1"/>
  <c r="I14" i="13" s="1"/>
  <c r="O32" i="11"/>
  <c r="O34" i="11" s="1"/>
  <c r="O64" i="11" s="1"/>
  <c r="T10" i="11"/>
  <c r="T20" i="5"/>
  <c r="N7" i="13"/>
  <c r="T22" i="7" l="1"/>
  <c r="O66" i="11"/>
  <c r="P32" i="10"/>
  <c r="P31" i="10" s="1"/>
  <c r="P61" i="7" s="1"/>
  <c r="P33" i="11" s="1"/>
  <c r="P32" i="5"/>
  <c r="Q65" i="8"/>
  <c r="Q33" i="8"/>
  <c r="T21" i="5"/>
  <c r="N6" i="13"/>
  <c r="R40" i="8" l="1"/>
  <c r="Q54" i="7"/>
  <c r="Q34" i="8"/>
  <c r="Q46" i="7" s="1"/>
  <c r="Q50" i="7" s="1"/>
  <c r="Q68" i="8"/>
  <c r="Q22" i="5" s="1"/>
  <c r="Q60" i="11"/>
  <c r="Q62" i="11" s="1"/>
  <c r="P39" i="7"/>
  <c r="P36" i="5"/>
  <c r="P33" i="5"/>
  <c r="P38" i="5"/>
  <c r="P47" i="10"/>
  <c r="P48" i="10" s="1"/>
  <c r="P59" i="7" s="1"/>
  <c r="O69" i="11"/>
  <c r="O28" i="7"/>
  <c r="O32" i="7" s="1"/>
  <c r="O34" i="7" s="1"/>
  <c r="O65" i="7" s="1"/>
  <c r="P65" i="11" l="1"/>
  <c r="O71" i="11"/>
  <c r="P22" i="11"/>
  <c r="P62" i="7"/>
  <c r="P40" i="7"/>
  <c r="P42" i="7" s="1"/>
  <c r="Q11" i="11"/>
  <c r="Q24" i="5"/>
  <c r="R59" i="11"/>
  <c r="R41" i="8"/>
  <c r="R35" i="8" l="1"/>
  <c r="S38" i="8"/>
  <c r="Q26" i="5"/>
  <c r="Q30" i="5"/>
  <c r="Q8" i="11"/>
  <c r="Q17" i="11" s="1"/>
  <c r="P64" i="7"/>
  <c r="J9" i="13"/>
  <c r="J10" i="13" s="1"/>
  <c r="J12" i="13" s="1"/>
  <c r="J14" i="13" s="1"/>
  <c r="P32" i="11"/>
  <c r="P34" i="11" s="1"/>
  <c r="P64" i="11" s="1"/>
  <c r="P66" i="11" s="1"/>
  <c r="P28" i="7" l="1"/>
  <c r="P32" i="7" s="1"/>
  <c r="P34" i="7" s="1"/>
  <c r="P65" i="7" s="1"/>
  <c r="P69" i="11"/>
  <c r="Q65" i="11" s="1"/>
  <c r="Q32" i="5"/>
  <c r="Q32" i="10"/>
  <c r="Q31" i="10" s="1"/>
  <c r="Q61" i="7" s="1"/>
  <c r="Q33" i="11" s="1"/>
  <c r="R65" i="8"/>
  <c r="R33" i="8"/>
  <c r="P71" i="11" l="1"/>
  <c r="S40" i="8"/>
  <c r="R54" i="7"/>
  <c r="R34" i="8"/>
  <c r="R46" i="7" s="1"/>
  <c r="R50" i="7" s="1"/>
  <c r="R68" i="8"/>
  <c r="R22" i="5" s="1"/>
  <c r="R60" i="11"/>
  <c r="R62" i="11" s="1"/>
  <c r="Q36" i="5"/>
  <c r="Q33" i="5"/>
  <c r="Q38" i="5"/>
  <c r="Q47" i="10"/>
  <c r="Q48" i="10" s="1"/>
  <c r="Q59" i="7" s="1"/>
  <c r="Q39" i="7"/>
  <c r="M32" i="20"/>
  <c r="Q40" i="7" l="1"/>
  <c r="Q42" i="7" s="1"/>
  <c r="Q22" i="11"/>
  <c r="Q62" i="7"/>
  <c r="R11" i="11"/>
  <c r="R24" i="5"/>
  <c r="S59" i="11"/>
  <c r="S41" i="8"/>
  <c r="S35" i="8" l="1"/>
  <c r="T38" i="8"/>
  <c r="R26" i="5"/>
  <c r="R8" i="11"/>
  <c r="R17" i="11" s="1"/>
  <c r="R30" i="5"/>
  <c r="K9" i="13"/>
  <c r="K10" i="13" s="1"/>
  <c r="K12" i="13" s="1"/>
  <c r="K14" i="13" s="1"/>
  <c r="Q32" i="11"/>
  <c r="Q34" i="11" s="1"/>
  <c r="Q64" i="11" s="1"/>
  <c r="Q64" i="7"/>
  <c r="Q66" i="11" l="1"/>
  <c r="R32" i="5"/>
  <c r="R32" i="10"/>
  <c r="R31" i="10" s="1"/>
  <c r="R61" i="7" s="1"/>
  <c r="R33" i="11" s="1"/>
  <c r="S65" i="8"/>
  <c r="S33" i="8"/>
  <c r="T40" i="8" l="1"/>
  <c r="S54" i="7"/>
  <c r="S34" i="8"/>
  <c r="S46" i="7" s="1"/>
  <c r="S50" i="7" s="1"/>
  <c r="S68" i="8"/>
  <c r="S22" i="5" s="1"/>
  <c r="S60" i="11"/>
  <c r="S62" i="11" s="1"/>
  <c r="R33" i="5"/>
  <c r="R36" i="5"/>
  <c r="R38" i="5"/>
  <c r="R47" i="10"/>
  <c r="R48" i="10" s="1"/>
  <c r="R59" i="7" s="1"/>
  <c r="R39" i="7"/>
  <c r="Q28" i="7"/>
  <c r="Q32" i="7" s="1"/>
  <c r="Q34" i="7" s="1"/>
  <c r="Q65" i="7" s="1"/>
  <c r="Q69" i="11"/>
  <c r="R65" i="11" l="1"/>
  <c r="Q71" i="11"/>
  <c r="R40" i="7"/>
  <c r="R42" i="7" s="1"/>
  <c r="R22" i="11"/>
  <c r="R62" i="7"/>
  <c r="S11" i="11"/>
  <c r="S24" i="5"/>
  <c r="T59" i="11"/>
  <c r="T41" i="8"/>
  <c r="T35" i="8" s="1"/>
  <c r="T65" i="8" l="1"/>
  <c r="T33" i="8"/>
  <c r="T54" i="7" s="1"/>
  <c r="S26" i="5"/>
  <c r="S30" i="5"/>
  <c r="S8" i="11"/>
  <c r="S17" i="11" s="1"/>
  <c r="L9" i="13"/>
  <c r="L10" i="13" s="1"/>
  <c r="L12" i="13" s="1"/>
  <c r="L14" i="13" s="1"/>
  <c r="R32" i="11"/>
  <c r="R34" i="11" s="1"/>
  <c r="R64" i="11" s="1"/>
  <c r="R64" i="7"/>
  <c r="R66" i="11" l="1"/>
  <c r="S32" i="5"/>
  <c r="S32" i="10"/>
  <c r="S31" i="10" s="1"/>
  <c r="S61" i="7" s="1"/>
  <c r="S33" i="11" s="1"/>
  <c r="T34" i="8"/>
  <c r="T46" i="7" s="1"/>
  <c r="T50" i="7" s="1"/>
  <c r="T68" i="8"/>
  <c r="T22" i="5" s="1"/>
  <c r="T60" i="11"/>
  <c r="T62" i="11" s="1"/>
  <c r="T11" i="11" l="1"/>
  <c r="T24" i="5"/>
  <c r="S33" i="5"/>
  <c r="S36" i="5"/>
  <c r="S38" i="5"/>
  <c r="S47" i="10"/>
  <c r="S48" i="10" s="1"/>
  <c r="S59" i="7" s="1"/>
  <c r="S39" i="7"/>
  <c r="R69" i="11"/>
  <c r="R28" i="7"/>
  <c r="R32" i="7" s="1"/>
  <c r="R34" i="7" s="1"/>
  <c r="R65" i="7" s="1"/>
  <c r="S65" i="11" l="1"/>
  <c r="R71" i="11"/>
  <c r="S40" i="7"/>
  <c r="S42" i="7" s="1"/>
  <c r="S22" i="11"/>
  <c r="S62" i="7"/>
  <c r="T26" i="5"/>
  <c r="T8" i="11"/>
  <c r="T17" i="11" s="1"/>
  <c r="T30" i="5"/>
  <c r="T32" i="10" l="1"/>
  <c r="T31" i="10" s="1"/>
  <c r="T61" i="7" s="1"/>
  <c r="T33" i="11" s="1"/>
  <c r="T32" i="5"/>
  <c r="M9" i="13"/>
  <c r="M10" i="13" s="1"/>
  <c r="M12" i="13" s="1"/>
  <c r="M14" i="13" s="1"/>
  <c r="S32" i="11"/>
  <c r="S34" i="11" s="1"/>
  <c r="S64" i="11" s="1"/>
  <c r="S64" i="7"/>
  <c r="S66" i="11" l="1"/>
  <c r="T36" i="5"/>
  <c r="T38" i="5"/>
  <c r="T47" i="10"/>
  <c r="T48" i="10" s="1"/>
  <c r="T59" i="7" s="1"/>
  <c r="T33" i="5"/>
  <c r="T39" i="7"/>
  <c r="T40" i="7" s="1"/>
  <c r="T42" i="7" s="1"/>
  <c r="T22" i="11" l="1"/>
  <c r="T62" i="7"/>
  <c r="T64" i="7" s="1"/>
  <c r="S69" i="11"/>
  <c r="S28" i="7"/>
  <c r="S32" i="7" s="1"/>
  <c r="S34" i="7" s="1"/>
  <c r="S65" i="7" s="1"/>
  <c r="T65" i="11" l="1"/>
  <c r="S71" i="11"/>
  <c r="N9" i="13"/>
  <c r="N10" i="13" s="1"/>
  <c r="N11" i="13" s="1"/>
  <c r="N12" i="13" s="1"/>
  <c r="N14" i="13" s="1"/>
  <c r="C16" i="13" s="1"/>
  <c r="C19" i="13" s="1"/>
  <c r="C21" i="13" s="1"/>
  <c r="P7" i="13" s="1"/>
  <c r="T32" i="11"/>
  <c r="T34" i="11" s="1"/>
  <c r="T64" i="11" s="1"/>
  <c r="T66" i="11" l="1"/>
  <c r="T69" i="11" s="1"/>
  <c r="T71" i="11" s="1"/>
  <c r="T28" i="7" l="1"/>
  <c r="T32" i="7" s="1"/>
  <c r="T34" i="7" s="1"/>
  <c r="T65" i="7" s="1"/>
</calcChain>
</file>

<file path=xl/comments1.xml><?xml version="1.0" encoding="utf-8"?>
<comments xmlns="http://schemas.openxmlformats.org/spreadsheetml/2006/main">
  <authors>
    <author>Pranesh MK</author>
  </authors>
  <commentList>
    <comment ref="C34" authorId="0" shapeId="0">
      <text>
        <r>
          <rPr>
            <b/>
            <sz val="11"/>
            <color indexed="81"/>
            <rFont val="Times New Roman"/>
            <family val="1"/>
          </rPr>
          <t>Pranesh MK:</t>
        </r>
        <r>
          <rPr>
            <sz val="11"/>
            <color indexed="81"/>
            <rFont val="Tahoma"/>
            <family val="2"/>
          </rPr>
          <t xml:space="preserve">
As of the date 01/09/2026:
https://in.investing.com/rates-bonds/india-10-year-bond-yield-historical-data</t>
        </r>
      </text>
    </comment>
    <comment ref="C35" authorId="0" shapeId="0">
      <text>
        <r>
          <rPr>
            <b/>
            <sz val="11"/>
            <color indexed="81"/>
            <rFont val="Times New Roman"/>
            <family val="1"/>
          </rPr>
          <t>Pranesh MK:</t>
        </r>
        <r>
          <rPr>
            <sz val="11"/>
            <color indexed="81"/>
            <rFont val="Tahoma"/>
            <family val="2"/>
          </rPr>
          <t xml:space="preserve">
As of date 01/09/2026:
https://www.topstockresearch.com/rt/Stock/DMART/BetaAndVolatility</t>
        </r>
      </text>
    </comment>
    <comment ref="C36" authorId="0" shapeId="0">
      <text>
        <r>
          <rPr>
            <b/>
            <sz val="11"/>
            <color indexed="81"/>
            <rFont val="Times New Roman"/>
            <family val="1"/>
          </rPr>
          <t>Pranesh MK:</t>
        </r>
        <r>
          <rPr>
            <sz val="11"/>
            <color indexed="81"/>
            <rFont val="Tahoma"/>
            <family val="2"/>
          </rPr>
          <t xml:space="preserve">
As of date 01/09/2026:
https://www.screener.in/company/NIFTY/</t>
        </r>
      </text>
    </comment>
    <comment ref="C40" authorId="0" shapeId="0">
      <text>
        <r>
          <rPr>
            <b/>
            <sz val="11"/>
            <color indexed="81"/>
            <rFont val="Times New Roman"/>
            <family val="1"/>
          </rPr>
          <t>Pranesh MK:</t>
        </r>
        <r>
          <rPr>
            <sz val="11"/>
            <color indexed="81"/>
            <rFont val="Times New Roman"/>
            <family val="1"/>
          </rPr>
          <t xml:space="preserve">
As of date 01/09/2026:
https://www.screener.in/company/DMART/consolidated/</t>
        </r>
      </text>
    </comment>
  </commentList>
</comments>
</file>

<file path=xl/connections.xml><?xml version="1.0" encoding="utf-8"?>
<connections xmlns="http://schemas.openxmlformats.org/spreadsheetml/2006/main">
  <connection id="1" keepAlive="1" name="Query - AVEU Historical Data (2)" description="Connection to the 'AVEU Historical Data (2)' query in the workbook." type="5" refreshedVersion="6" background="1" saveData="1">
    <dbPr connection="Provider=Microsoft.Mashup.OleDb.1;Data Source=$Workbook$;Location=AVEU Historical Data (2);Extended Properties=&quot;&quot;" command="SELECT * FROM [AVEU Historical Data (2)]"/>
  </connection>
</connections>
</file>

<file path=xl/sharedStrings.xml><?xml version="1.0" encoding="utf-8"?>
<sst xmlns="http://schemas.openxmlformats.org/spreadsheetml/2006/main" count="641" uniqueCount="440">
  <si>
    <t>Revenue</t>
  </si>
  <si>
    <t>No. of stores</t>
  </si>
  <si>
    <t>Additions to the stores</t>
  </si>
  <si>
    <t>Retail sales area</t>
  </si>
  <si>
    <t>Revenue from sales from per retail sales area sq.ft</t>
  </si>
  <si>
    <t>Revenue per area sq.ft as calculated</t>
  </si>
  <si>
    <t>Like for Like  growth (24 months)</t>
  </si>
  <si>
    <t>Average retail sales area per store</t>
  </si>
  <si>
    <t xml:space="preserve">Growth rate </t>
  </si>
  <si>
    <t>Revenue from operations</t>
  </si>
  <si>
    <t>Purchase of stock-in-trade</t>
  </si>
  <si>
    <t>Changes in stock-in-trade</t>
  </si>
  <si>
    <t>Total COGS</t>
  </si>
  <si>
    <t>Gross profit</t>
  </si>
  <si>
    <t>Employee benefits expenses</t>
  </si>
  <si>
    <t>Other expenses</t>
  </si>
  <si>
    <t>EBITDA</t>
  </si>
  <si>
    <t xml:space="preserve">Depreciation and Amortization </t>
  </si>
  <si>
    <t>Finance Costs</t>
  </si>
  <si>
    <t>EBIT</t>
  </si>
  <si>
    <t>EBT</t>
  </si>
  <si>
    <t>Other Incomes</t>
  </si>
  <si>
    <t>Current tax</t>
  </si>
  <si>
    <t>Deferred tax charge/(credit)</t>
  </si>
  <si>
    <t>Adjustment of tax related to earlier years</t>
  </si>
  <si>
    <t>Total Tax</t>
  </si>
  <si>
    <t>PAT</t>
  </si>
  <si>
    <t>Gross profit margin</t>
  </si>
  <si>
    <t>EBITDA margin</t>
  </si>
  <si>
    <t>EBIT margin</t>
  </si>
  <si>
    <t>EBT margin</t>
  </si>
  <si>
    <t>Effective Tax rate</t>
  </si>
  <si>
    <t>(In Millions)</t>
  </si>
  <si>
    <t>Net profit margin</t>
  </si>
  <si>
    <t>Assets</t>
  </si>
  <si>
    <t>Non-current assets</t>
  </si>
  <si>
    <t>Total non-current assets</t>
  </si>
  <si>
    <t>Current assets</t>
  </si>
  <si>
    <t>Total current assets</t>
  </si>
  <si>
    <t>Total non-current liabilities</t>
  </si>
  <si>
    <t>Total current liabilities</t>
  </si>
  <si>
    <t>Total equity and liabilities</t>
  </si>
  <si>
    <t>Total equity</t>
  </si>
  <si>
    <t>Non-controlling interest</t>
  </si>
  <si>
    <t>Total assets</t>
  </si>
  <si>
    <t xml:space="preserve">Equity and liabilities </t>
  </si>
  <si>
    <t>Equity attributable to equity holders of the Company</t>
  </si>
  <si>
    <t>Equity:</t>
  </si>
  <si>
    <t xml:space="preserve">           Micro and small enterprises </t>
  </si>
  <si>
    <t xml:space="preserve">           Other than micro and small enterprises</t>
  </si>
  <si>
    <t xml:space="preserve"> </t>
  </si>
  <si>
    <t>Check</t>
  </si>
  <si>
    <t>Opening balance</t>
  </si>
  <si>
    <t>Additions</t>
  </si>
  <si>
    <t>Depreciation</t>
  </si>
  <si>
    <t>Others</t>
  </si>
  <si>
    <t>Closing balance</t>
  </si>
  <si>
    <t>PPE:</t>
  </si>
  <si>
    <t>Additional stores per year</t>
  </si>
  <si>
    <t>Cost per new store</t>
  </si>
  <si>
    <t>Depreciation rate</t>
  </si>
  <si>
    <t>Right of use:</t>
  </si>
  <si>
    <t>Ammortizarion</t>
  </si>
  <si>
    <t>Amortization rate</t>
  </si>
  <si>
    <t xml:space="preserve">Inventories </t>
  </si>
  <si>
    <t>Property, plant and equipment</t>
  </si>
  <si>
    <t>Capital work-in-progress</t>
  </si>
  <si>
    <t xml:space="preserve">Right-of-use assets </t>
  </si>
  <si>
    <t xml:space="preserve">Investment properties </t>
  </si>
  <si>
    <t xml:space="preserve">Goodwill </t>
  </si>
  <si>
    <t>Intangible asset</t>
  </si>
  <si>
    <t>Financial assets:</t>
  </si>
  <si>
    <t xml:space="preserve">Income tax assets (net) </t>
  </si>
  <si>
    <t xml:space="preserve">Deferred tax assets (net) </t>
  </si>
  <si>
    <t>Other non-current assets</t>
  </si>
  <si>
    <t>Other current assets</t>
  </si>
  <si>
    <t>Equity share capital</t>
  </si>
  <si>
    <t>Other equity</t>
  </si>
  <si>
    <t>Financial liabilities</t>
  </si>
  <si>
    <t>Provisions</t>
  </si>
  <si>
    <t xml:space="preserve">Deferred tax liabilities (net) </t>
  </si>
  <si>
    <t>Financial liabilities:</t>
  </si>
  <si>
    <t xml:space="preserve">Other current liabilities </t>
  </si>
  <si>
    <t xml:space="preserve">Provisions </t>
  </si>
  <si>
    <t>Current Tax Liabilities (Net)</t>
  </si>
  <si>
    <t>No.of days in inventory</t>
  </si>
  <si>
    <t>Inventry turn-over ratio</t>
  </si>
  <si>
    <t xml:space="preserve">Average inventories </t>
  </si>
  <si>
    <t>Average trade receivables</t>
  </si>
  <si>
    <t>Average trade payables</t>
  </si>
  <si>
    <t>Other current assets %</t>
  </si>
  <si>
    <t>Lease Liabilities:</t>
  </si>
  <si>
    <t>Inventory:</t>
  </si>
  <si>
    <t>Receivables:</t>
  </si>
  <si>
    <t>Payables:</t>
  </si>
  <si>
    <t>Other Current Assets:</t>
  </si>
  <si>
    <t>Current lease</t>
  </si>
  <si>
    <t>Non-current lease</t>
  </si>
  <si>
    <t>Total</t>
  </si>
  <si>
    <t>Repayments</t>
  </si>
  <si>
    <t>Current lease as a % of total</t>
  </si>
  <si>
    <t>Other current financial liabilities:</t>
  </si>
  <si>
    <t>Other current financial liabilities as a % of capex</t>
  </si>
  <si>
    <t>Other current financial liabilities</t>
  </si>
  <si>
    <t xml:space="preserve">Total Payables: </t>
  </si>
  <si>
    <t xml:space="preserve">Total COGS </t>
  </si>
  <si>
    <t>Payables turn-over ratio</t>
  </si>
  <si>
    <t>Micro and small as a percentage of total</t>
  </si>
  <si>
    <t>Current Tax Liability as a % of total tax</t>
  </si>
  <si>
    <t>Liabilities:</t>
  </si>
  <si>
    <t>Non-current liabilities:</t>
  </si>
  <si>
    <t>Current liabilities:</t>
  </si>
  <si>
    <t>Cash flow from operating activities:</t>
  </si>
  <si>
    <t>Profit before tax</t>
  </si>
  <si>
    <t>Adjustments for:</t>
  </si>
  <si>
    <t>Depreciation and amortisation expenses</t>
  </si>
  <si>
    <t>Finance costs</t>
  </si>
  <si>
    <t>Interest income</t>
  </si>
  <si>
    <t>Gain on sale of investments</t>
  </si>
  <si>
    <t>Expense on employee stock option scheme</t>
  </si>
  <si>
    <t>Rent income</t>
  </si>
  <si>
    <t>Loss on disposal of property, plant and equipment (net)</t>
  </si>
  <si>
    <t>Operating profit before working capital changes</t>
  </si>
  <si>
    <t>Increase in trade payables</t>
  </si>
  <si>
    <t>Cash flow from operating activities</t>
  </si>
  <si>
    <t>Direct taxes paid (net of refunds)</t>
  </si>
  <si>
    <t>Net cash flow from operating activities</t>
  </si>
  <si>
    <t>Cash flow from investing activities:</t>
  </si>
  <si>
    <t>Proceeds from disposal of property, plant and equipment</t>
  </si>
  <si>
    <t>Realisation from Bank Deposits/(Purchase of Bank Deposits)</t>
  </si>
  <si>
    <t>Interest received</t>
  </si>
  <si>
    <t>Rent income received</t>
  </si>
  <si>
    <t>Purchase of property, plant and equipment, intangible assets, capital work in progress, capital advances and capital creditors (net)</t>
  </si>
  <si>
    <t>Purchase of non current investment</t>
  </si>
  <si>
    <t>Proceeds from sale of current investments</t>
  </si>
  <si>
    <t>Purchase of current investments</t>
  </si>
  <si>
    <t>Net cash flow used in investing activities</t>
  </si>
  <si>
    <t>Cash flow from financing activities:</t>
  </si>
  <si>
    <t>Proceeds from exercise of share options</t>
  </si>
  <si>
    <t>Proceeds from share application money pending allotment</t>
  </si>
  <si>
    <t>Proceeds from short term borrowings</t>
  </si>
  <si>
    <t>Proceeds from commercial papers</t>
  </si>
  <si>
    <t>Repayment of short term borrowings</t>
  </si>
  <si>
    <t>Repayment of commercial papers</t>
  </si>
  <si>
    <t>Payment of lease liabilities</t>
  </si>
  <si>
    <t>Interest paid on lease liabilities</t>
  </si>
  <si>
    <t>Interest paid</t>
  </si>
  <si>
    <t>Cash flow from/(used in) financing activities</t>
  </si>
  <si>
    <t>Net Increase/(decrease) in cash and cash equivalent</t>
  </si>
  <si>
    <t>Cash and cash equivalents at beginning of the year</t>
  </si>
  <si>
    <t>Cash and cash equivalents at end of the year (net of bank overdrawn balances)</t>
  </si>
  <si>
    <t>Balance as per statement of cash flows</t>
  </si>
  <si>
    <t>Cash and cash equivalents</t>
  </si>
  <si>
    <t>Bank overdrawn</t>
  </si>
  <si>
    <t>Cash and cash equivalents as per above comprises of the following:</t>
  </si>
  <si>
    <t>Current Tax Liabilities:</t>
  </si>
  <si>
    <t>Depreciation Schedule:</t>
  </si>
  <si>
    <t>Opening Balance</t>
  </si>
  <si>
    <t>Additions during the year</t>
  </si>
  <si>
    <t>Transfer / Adjustment during the year</t>
  </si>
  <si>
    <t>Closing Balance</t>
  </si>
  <si>
    <t>Capital work in progress:</t>
  </si>
  <si>
    <t>Base</t>
  </si>
  <si>
    <t>Transfer of CWIP as percentage of previosu year's additions</t>
  </si>
  <si>
    <t>Transfer of CWIP as percentage of previosu year's additions:</t>
  </si>
  <si>
    <t>Deferred tax liability on account of:</t>
  </si>
  <si>
    <t>Deferred tax assets on account of:</t>
  </si>
  <si>
    <t>Fair value gain on financial instruments at Fair value through statement of profit and loss</t>
  </si>
  <si>
    <t>Employee benefits</t>
  </si>
  <si>
    <t>Right-of-use asset</t>
  </si>
  <si>
    <t>Unrealised profit on cosolidation</t>
  </si>
  <si>
    <t>Deferred tax liabilities (net)</t>
  </si>
  <si>
    <t>Depreciation as a %</t>
  </si>
  <si>
    <t>Employee benefits as a %</t>
  </si>
  <si>
    <t>Right-of-use asset as a %</t>
  </si>
  <si>
    <t>Additions to retail sales area (sq.ft)</t>
  </si>
  <si>
    <t>Low</t>
  </si>
  <si>
    <t>High</t>
  </si>
  <si>
    <t>Employee benefits expenses %</t>
  </si>
  <si>
    <t>Growth rate:</t>
  </si>
  <si>
    <t>Provisions:</t>
  </si>
  <si>
    <t>Employee benefit during the year</t>
  </si>
  <si>
    <t>Closing balance of provision</t>
  </si>
  <si>
    <t>Provision as a % of employee benefit</t>
  </si>
  <si>
    <t>Other current liabilities:</t>
  </si>
  <si>
    <t>Statutary dues</t>
  </si>
  <si>
    <t>Others payable</t>
  </si>
  <si>
    <t>Corporate Social Responsibility (CSR)</t>
  </si>
  <si>
    <t>Statutary dues as a % of revenue</t>
  </si>
  <si>
    <t>Others payable as a % of revenue</t>
  </si>
  <si>
    <t>CSR as a % of Net profit</t>
  </si>
  <si>
    <t>Oter current liabilities total</t>
  </si>
  <si>
    <t>Current Liabilitiess:</t>
  </si>
  <si>
    <t>Current Assets:</t>
  </si>
  <si>
    <t>Working Capital Schedule:</t>
  </si>
  <si>
    <t>Increase/decrease in other current financial liabilities</t>
  </si>
  <si>
    <t>Increase/decrease in other current liabilities</t>
  </si>
  <si>
    <t>Increase/decrease in non-current provisions</t>
  </si>
  <si>
    <t>Increase/decrease in other non-current financial liabilities</t>
  </si>
  <si>
    <t>Increase/decrease in inventories</t>
  </si>
  <si>
    <t>Increase/decrease in trade receivables</t>
  </si>
  <si>
    <t>Increase/decrease in other non-current assets</t>
  </si>
  <si>
    <t>Increase/decrease in other non-current financial assets</t>
  </si>
  <si>
    <t>Increase/decrease in bank balances other than cash and cash equivalents</t>
  </si>
  <si>
    <t>Increase/decrease in other current assets</t>
  </si>
  <si>
    <t>Increase/decrease in other current financial assets</t>
  </si>
  <si>
    <t>Proceeds from issue of QIP (net of expenses)</t>
  </si>
  <si>
    <t>Proceeds from long term borrowings</t>
  </si>
  <si>
    <t>Repayment of long term borrowings</t>
  </si>
  <si>
    <t>Proceeds of non convertible debentures</t>
  </si>
  <si>
    <t>Repayment of non convertible debentures</t>
  </si>
  <si>
    <t>Finance Costs:</t>
  </si>
  <si>
    <t>Interest on term loans from banks</t>
  </si>
  <si>
    <t>Interest on non convertible debentures</t>
  </si>
  <si>
    <t>Interest Others</t>
  </si>
  <si>
    <t>Finance charges</t>
  </si>
  <si>
    <t>Interest expenses on lease liability</t>
  </si>
  <si>
    <t>Total Finance Cost</t>
  </si>
  <si>
    <t>Implied interest rate</t>
  </si>
  <si>
    <t>Other income as a % of revenue</t>
  </si>
  <si>
    <t>Increase/decrease in current provisions</t>
  </si>
  <si>
    <t xml:space="preserve">       a) Investments </t>
  </si>
  <si>
    <t xml:space="preserve">       b) Other non-current financial assets </t>
  </si>
  <si>
    <t xml:space="preserve">       b) Trade receivables</t>
  </si>
  <si>
    <t xml:space="preserve">       c) Cash and cash equivalents</t>
  </si>
  <si>
    <t xml:space="preserve">       d) Bank balances </t>
  </si>
  <si>
    <t xml:space="preserve">       e) Other current financial assets</t>
  </si>
  <si>
    <t xml:space="preserve">       a) Lease liabilities</t>
  </si>
  <si>
    <t xml:space="preserve">       b) Other financial liabilities</t>
  </si>
  <si>
    <t xml:space="preserve">       a) Borrowings</t>
  </si>
  <si>
    <t xml:space="preserve">       b) Lease liabilities </t>
  </si>
  <si>
    <t xml:space="preserve">       c) Trade payables:</t>
  </si>
  <si>
    <t xml:space="preserve">       d) Other financial liabilities </t>
  </si>
  <si>
    <t>Basic EPS</t>
  </si>
  <si>
    <t>Diluted EPS</t>
  </si>
  <si>
    <t>Revenue driver:</t>
  </si>
  <si>
    <t xml:space="preserve">High </t>
  </si>
  <si>
    <t xml:space="preserve">Average </t>
  </si>
  <si>
    <t xml:space="preserve">Lower </t>
  </si>
  <si>
    <t>Transfer:</t>
  </si>
  <si>
    <t xml:space="preserve">Add: Depreciation and Amortization </t>
  </si>
  <si>
    <t>Less: Capex</t>
  </si>
  <si>
    <t>(+/-) Changes in working capital</t>
  </si>
  <si>
    <t>FCFF</t>
  </si>
  <si>
    <t>Terminal Value</t>
  </si>
  <si>
    <t>Toatal FCFF</t>
  </si>
  <si>
    <t>Enterprise Value</t>
  </si>
  <si>
    <t>Discounted FCFF</t>
  </si>
  <si>
    <t>Less: Net debt</t>
  </si>
  <si>
    <t>Add: Non-operational assets</t>
  </si>
  <si>
    <t>Equity value</t>
  </si>
  <si>
    <t>Calculations:</t>
  </si>
  <si>
    <t>Equity weightage %</t>
  </si>
  <si>
    <t>Cost of equity</t>
  </si>
  <si>
    <t>Debt weightage %</t>
  </si>
  <si>
    <t>Cost of debt</t>
  </si>
  <si>
    <t>WAAC</t>
  </si>
  <si>
    <t>Tax rate</t>
  </si>
  <si>
    <t>Share price</t>
  </si>
  <si>
    <t>Outstanding shares</t>
  </si>
  <si>
    <t>Market capitalization</t>
  </si>
  <si>
    <t>Debt</t>
  </si>
  <si>
    <t>Cash</t>
  </si>
  <si>
    <t>Net debt</t>
  </si>
  <si>
    <t>Total capital</t>
  </si>
  <si>
    <t>Calculation of capital invested:</t>
  </si>
  <si>
    <t>CAPM calculation:</t>
  </si>
  <si>
    <t>Risk free rate</t>
  </si>
  <si>
    <t>Beta</t>
  </si>
  <si>
    <t>Market rate</t>
  </si>
  <si>
    <t>Terminal growth rate</t>
  </si>
  <si>
    <t>EBIT (1-Tax rate)</t>
  </si>
  <si>
    <t>Date of calculation</t>
  </si>
  <si>
    <t>Days count till the present day</t>
  </si>
  <si>
    <t>Days per year</t>
  </si>
  <si>
    <t>Number of years calculation</t>
  </si>
  <si>
    <t>Target price</t>
  </si>
  <si>
    <t>Very low</t>
  </si>
  <si>
    <t>Actual</t>
  </si>
  <si>
    <t>Very high</t>
  </si>
  <si>
    <t>Gross profit margin (%)</t>
  </si>
  <si>
    <t>Earnings Per Share (EPS)</t>
  </si>
  <si>
    <t>EPS Growth rate Y-o-Y</t>
  </si>
  <si>
    <r>
      <t xml:space="preserve">Revenue growth </t>
    </r>
    <r>
      <rPr>
        <sz val="10"/>
        <color theme="1"/>
        <rFont val="Times New Roman"/>
        <family val="1"/>
      </rPr>
      <t>(Y-o-Y)</t>
    </r>
  </si>
  <si>
    <t>Key Financial Metrics</t>
  </si>
  <si>
    <t xml:space="preserve">Price-to-Earnings </t>
  </si>
  <si>
    <t>Price to book value</t>
  </si>
  <si>
    <t>Return on equity</t>
  </si>
  <si>
    <t>Market price</t>
  </si>
  <si>
    <t>Date</t>
  </si>
  <si>
    <t>Price</t>
  </si>
  <si>
    <t>Open</t>
  </si>
  <si>
    <t>Vol.</t>
  </si>
  <si>
    <t>Change %</t>
  </si>
  <si>
    <t/>
  </si>
  <si>
    <t>Row Labels</t>
  </si>
  <si>
    <t>Grand Total</t>
  </si>
  <si>
    <t>Average of Price</t>
  </si>
  <si>
    <t>Top shareholders</t>
  </si>
  <si>
    <t>No.of shares</t>
  </si>
  <si>
    <t>Shareholding %</t>
  </si>
  <si>
    <t>Market value</t>
  </si>
  <si>
    <t>Banks</t>
  </si>
  <si>
    <t>Individuals</t>
  </si>
  <si>
    <t>NBFCs</t>
  </si>
  <si>
    <t>Trust</t>
  </si>
  <si>
    <t>Central Government</t>
  </si>
  <si>
    <t>Mutual Funds</t>
  </si>
  <si>
    <t>Insurance Companies</t>
  </si>
  <si>
    <t>Foreign Portfolio Investor</t>
  </si>
  <si>
    <t>Alternate Investment Funds</t>
  </si>
  <si>
    <t>Provident Funds/Pension Funds</t>
  </si>
  <si>
    <t>Sovereign Wealth Funds</t>
  </si>
  <si>
    <t>Hindu Undivided Family</t>
  </si>
  <si>
    <t>Non-Resident Indians</t>
  </si>
  <si>
    <t>Clearing Member</t>
  </si>
  <si>
    <t>Bodies Corporate</t>
  </si>
  <si>
    <t>Body Corporate - Ltd Liability Partnership</t>
  </si>
  <si>
    <t>Total (A+B)</t>
  </si>
  <si>
    <t>B. PUBLIC SHAREHOLDING:</t>
  </si>
  <si>
    <t>A. PROMOTERS:</t>
  </si>
  <si>
    <t>Year</t>
  </si>
  <si>
    <t>Quarter</t>
  </si>
  <si>
    <t>Month</t>
  </si>
  <si>
    <t>Sum of Volume</t>
  </si>
  <si>
    <t>Minority Shareholders</t>
  </si>
  <si>
    <t>Promoter</t>
  </si>
  <si>
    <t>Less: Cash</t>
  </si>
  <si>
    <t>Add: Debt</t>
  </si>
  <si>
    <t>Avenue Supermarts Limited - A One Page Financial Profile</t>
  </si>
  <si>
    <t>Avenue Supermarts Limited is an Indian retail company that operates a chain of supermarkets under the DMart brand. DMart follows a value-retail business model, focusing on offering everyday products at competitive prices while maintaining relatively disciplined operating costs. The company's core business is the retailing of food, FMCG, general merchandise and apparel products through its network of physical stores. DMart's business model is based largely on the Everyday Low Cost/Everyday Low Price philosophy.</t>
  </si>
  <si>
    <t>Key Highlights:</t>
  </si>
  <si>
    <t>Sources:</t>
  </si>
  <si>
    <t>Capital structure (in millions)</t>
  </si>
  <si>
    <t>https://www.screener.in/company/DMART/consolidated/</t>
  </si>
  <si>
    <t>Dmart official website</t>
  </si>
  <si>
    <t>Screener</t>
  </si>
  <si>
    <t>Yahoo finance</t>
  </si>
  <si>
    <t>https://finance.yahoo.com/quote/DMART.NS/history/?period1=1775001600&amp;period2=1777507200</t>
  </si>
  <si>
    <t>Investing.com</t>
  </si>
  <si>
    <t>https://in.investing.com/equities/avenue-supermarts-ltd-historical-data</t>
  </si>
  <si>
    <t>https://www.dmartindia.com/investor-relations/investor-updates/2026-2027</t>
  </si>
  <si>
    <t>Revenue growth (Y-o-Y)</t>
  </si>
  <si>
    <t>No.of days for payables</t>
  </si>
  <si>
    <t>No.of days for receivables</t>
  </si>
  <si>
    <t>Cash Conversion Cycle</t>
  </si>
  <si>
    <t>Key Financial Metrics:</t>
  </si>
  <si>
    <t>Debt to equity ratio</t>
  </si>
  <si>
    <t>Equity</t>
  </si>
  <si>
    <t>Return on Net Worth</t>
  </si>
  <si>
    <t>Return on Capital Employed</t>
  </si>
  <si>
    <t>Net profit after tax</t>
  </si>
  <si>
    <t>Average net worth</t>
  </si>
  <si>
    <t>Capital employed</t>
  </si>
  <si>
    <t>2020-21</t>
  </si>
  <si>
    <t>2021-22</t>
  </si>
  <si>
    <t>2022-23</t>
  </si>
  <si>
    <t>2023-24</t>
  </si>
  <si>
    <t>2024-25</t>
  </si>
  <si>
    <t>2025-26</t>
  </si>
  <si>
    <t>Operating and Financial Summary</t>
  </si>
  <si>
    <t>Net Profit</t>
  </si>
  <si>
    <t>Common Size Income Statement</t>
  </si>
  <si>
    <t>Common Size Balance Sheet</t>
  </si>
  <si>
    <t>Financial assets</t>
  </si>
  <si>
    <t>Net Profit Margin</t>
  </si>
  <si>
    <t>Trend</t>
  </si>
  <si>
    <t>Ratio Analysis - Avenue Supermarts Limited (2020 - 2026)</t>
  </si>
  <si>
    <t>Gross profit Margin</t>
  </si>
  <si>
    <t>EBITDA Margin</t>
  </si>
  <si>
    <t>EBIT Margin</t>
  </si>
  <si>
    <t>EBT Margin</t>
  </si>
  <si>
    <t>Terminal rate</t>
  </si>
  <si>
    <t>Total liabilities</t>
  </si>
  <si>
    <t>Profitability Ratios:</t>
  </si>
  <si>
    <t>Return On Investment:</t>
  </si>
  <si>
    <t>Return On Assets</t>
  </si>
  <si>
    <t>Return Of Capital Employed</t>
  </si>
  <si>
    <t>Return On Equity</t>
  </si>
  <si>
    <t>Operating Profit Return On Asset</t>
  </si>
  <si>
    <t>Liquidity Ratios:</t>
  </si>
  <si>
    <t>Current Ratio</t>
  </si>
  <si>
    <t>Quick Ratio</t>
  </si>
  <si>
    <t>Cash Ratio</t>
  </si>
  <si>
    <t>Turnover Ratio:</t>
  </si>
  <si>
    <t>Receivables Turnover Ratio</t>
  </si>
  <si>
    <t>Inventory Turnover Ratio</t>
  </si>
  <si>
    <t>Payables Turnover Ratio</t>
  </si>
  <si>
    <t>Asset Turnover Ratio</t>
  </si>
  <si>
    <t>Fixed Asset Turnover Ratio</t>
  </si>
  <si>
    <t>Receivables turn-over ratio</t>
  </si>
  <si>
    <t>Activity Ratios:</t>
  </si>
  <si>
    <t>Receivable Days</t>
  </si>
  <si>
    <t>Inventory Days</t>
  </si>
  <si>
    <t>Payable days</t>
  </si>
  <si>
    <t>Solvency Ratios:</t>
  </si>
  <si>
    <t>Debt To Asset Ratio</t>
  </si>
  <si>
    <t>Debt To Capital Ratio</t>
  </si>
  <si>
    <t>Debt To Equity Ratio</t>
  </si>
  <si>
    <t>Financial Leverage</t>
  </si>
  <si>
    <t>Interest Coverage Ratio</t>
  </si>
  <si>
    <t>Valuation Ratios:</t>
  </si>
  <si>
    <t>P/E Ratio</t>
  </si>
  <si>
    <t>Price To Cashflow Ratio</t>
  </si>
  <si>
    <t>Price To Sales Ratio</t>
  </si>
  <si>
    <t>Price To Book Value Ratio</t>
  </si>
  <si>
    <t>Operating Cash Flow Per Share</t>
  </si>
  <si>
    <t>Du-pont Anlysis:</t>
  </si>
  <si>
    <t>ROE</t>
  </si>
  <si>
    <t>Performance &amp; Coverage Ratio:</t>
  </si>
  <si>
    <t>Cash Flow Return On Revenue</t>
  </si>
  <si>
    <t>Cash Flow Return On Assests</t>
  </si>
  <si>
    <t>Cash Flow Return On Equity</t>
  </si>
  <si>
    <t>Cash Flow Return On Profit</t>
  </si>
  <si>
    <t>Debt Coverage Ratio</t>
  </si>
  <si>
    <t>Reinvestment Ratio</t>
  </si>
  <si>
    <t xml:space="preserve">Debt Payment </t>
  </si>
  <si>
    <r>
      <rPr>
        <b/>
        <u/>
        <sz val="12"/>
        <color theme="1"/>
        <rFont val="Times New Roman"/>
        <family val="1"/>
      </rPr>
      <t>Leadership transition:</t>
    </r>
    <r>
      <rPr>
        <sz val="12"/>
        <color theme="1"/>
        <rFont val="Times New Roman"/>
        <family val="1"/>
      </rPr>
      <t xml:space="preserve">
- Neville (Ignatius) Noronha stepped down as MD &amp; CEO after 21 years, handing over to Anshul Asawa, who now leads the company and set out his early priorities in his first shareholder letter.
</t>
    </r>
    <r>
      <rPr>
        <b/>
        <u/>
        <sz val="12"/>
        <color theme="1"/>
        <rFont val="Times New Roman"/>
        <family val="1"/>
      </rPr>
      <t>Milestone year for scale:</t>
    </r>
    <r>
      <rPr>
        <sz val="12"/>
        <color theme="1"/>
        <rFont val="Times New Roman"/>
        <family val="1"/>
      </rPr>
      <t xml:space="preserve">
- DMart crossed 500 stores (opening its 500th at Avadi, Chennai, on the final day of the fiscal year) after adding 85 new stores in FY 2025-26 — retail business area grew to 20.6 million sq. ft., up from 17.2 million the year before.
</t>
    </r>
    <r>
      <rPr>
        <b/>
        <u/>
        <sz val="12"/>
        <color theme="1"/>
        <rFont val="Times New Roman"/>
        <family val="1"/>
      </rPr>
      <t>Growth strategy going forward:</t>
    </r>
    <r>
      <rPr>
        <sz val="12"/>
        <color theme="1"/>
        <rFont val="Times New Roman"/>
        <family val="1"/>
      </rPr>
      <t xml:space="preserve">
- Doubling down on the EDLC/EDLP (Everyday Low Cost/Everyday Low Price) model as the core competitive moat, with management flagging that losing this pricing edge is one of the company's biggest listed risks.
- Plans to simplify and automate execution processes to improve efficiency and service quality.</t>
    </r>
  </si>
  <si>
    <t>Shares outstanding for basic EPS</t>
  </si>
  <si>
    <t>Shares outstanding for dilutive EPS</t>
  </si>
  <si>
    <t>Income Statement - Avenue Supermarts Limited</t>
  </si>
  <si>
    <t>Sensitiviy  Analysis:</t>
  </si>
  <si>
    <t>Balance Sheet- Avenue Supermarts Limited</t>
  </si>
  <si>
    <t>Cash Flow Statement- Avenue Supermarts Limited</t>
  </si>
  <si>
    <t>DCF Valuation- Avenue Supermarts Limited</t>
  </si>
  <si>
    <t>Sensitivity
Analysis</t>
  </si>
  <si>
    <t>Prepared by:</t>
  </si>
  <si>
    <t>Pranesh MK</t>
  </si>
  <si>
    <t>Equity Research Report 
&amp; 
Valuation Model</t>
  </si>
  <si>
    <t>TABLE OF CONTENTS</t>
  </si>
  <si>
    <t>S.No</t>
  </si>
  <si>
    <t>Introduction</t>
  </si>
  <si>
    <t>Operating &amp; Financial Summary</t>
  </si>
  <si>
    <t>Ratio Analysis</t>
  </si>
  <si>
    <t>Profit &amp; Loss Statement</t>
  </si>
  <si>
    <t>Balance Sheet</t>
  </si>
  <si>
    <t>Cash Flow Statement</t>
  </si>
  <si>
    <t>DCF Valuation</t>
  </si>
  <si>
    <t>Titles</t>
  </si>
  <si>
    <t>EBITDA / Outstanding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</si>
</sst>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 #,##0.00_-;_-* &quot;-&quot;??_-;_-@_-"/>
    <numFmt numFmtId="164" formatCode="_-* #,##0.00_-;\(\-* #,##0.00_-\);_-* &quot;-&quot;??_-;_-@_-"/>
    <numFmt numFmtId="165" formatCode="_-* #,##0.00_-;\(#,##0.00\);_-* &quot;-&quot;??_-;_-@_-"/>
    <numFmt numFmtId="166" formatCode="0.0%"/>
    <numFmt numFmtId="167" formatCode="mmm\-yy\ \A"/>
    <numFmt numFmtId="168" formatCode="#,##0.00;\(#,###.00\);\-"/>
    <numFmt numFmtId="169" formatCode="#,##0.00;\(#,##0.00\);\-"/>
    <numFmt numFmtId="170" formatCode="mmm\-yy\ \E"/>
    <numFmt numFmtId="171" formatCode="#,##0.00\ &quot;x&quot;;\(#,##0.00\);\-"/>
  </numFmts>
  <fonts count="53" x14ac:knownFonts="1">
    <font>
      <sz val="11"/>
      <color theme="1"/>
      <name val="Calibri"/>
      <family val="2"/>
    </font>
    <font>
      <sz val="11"/>
      <color theme="1"/>
      <name val="Calibri"/>
      <family val="2"/>
    </font>
    <font>
      <b/>
      <sz val="11"/>
      <color theme="1"/>
      <name val="Calibri"/>
      <family val="2"/>
    </font>
    <font>
      <sz val="11"/>
      <color rgb="FF0070C0"/>
      <name val="Calibri"/>
      <family val="2"/>
    </font>
    <font>
      <sz val="11"/>
      <color theme="1"/>
      <name val="Times New Roman"/>
      <family val="1"/>
    </font>
    <font>
      <b/>
      <sz val="11"/>
      <color theme="1"/>
      <name val="Times New Roman"/>
      <family val="1"/>
    </font>
    <font>
      <b/>
      <sz val="12"/>
      <color theme="1"/>
      <name val="Times New Roman"/>
      <family val="1"/>
    </font>
    <font>
      <sz val="12"/>
      <color theme="1"/>
      <name val="Times New Roman"/>
      <family val="1"/>
    </font>
    <font>
      <i/>
      <sz val="12"/>
      <color theme="7" tint="-0.249977111117893"/>
      <name val="Times New Roman"/>
      <family val="1"/>
    </font>
    <font>
      <sz val="12"/>
      <color theme="1"/>
      <name val="Calibri"/>
      <family val="2"/>
      <scheme val="minor"/>
    </font>
    <font>
      <b/>
      <u/>
      <sz val="12"/>
      <color theme="1"/>
      <name val="Times New Roman"/>
      <family val="1"/>
    </font>
    <font>
      <b/>
      <u/>
      <sz val="12"/>
      <name val="Times New Roman"/>
      <family val="1"/>
    </font>
    <font>
      <sz val="12"/>
      <color theme="0"/>
      <name val="Times New Roman"/>
      <family val="1"/>
    </font>
    <font>
      <sz val="12"/>
      <color rgb="FF0070C0"/>
      <name val="Times New Roman"/>
      <family val="1"/>
    </font>
    <font>
      <sz val="12"/>
      <name val="Times New Roman"/>
      <family val="1"/>
    </font>
    <font>
      <b/>
      <sz val="12"/>
      <name val="Times New Roman"/>
      <family val="1"/>
    </font>
    <font>
      <sz val="12"/>
      <color theme="1"/>
      <name val="Calibri"/>
      <family val="2"/>
    </font>
    <font>
      <b/>
      <i/>
      <sz val="12"/>
      <color theme="7" tint="-0.249977111117893"/>
      <name val="Times New Roman"/>
      <family val="1"/>
    </font>
    <font>
      <sz val="12"/>
      <color theme="4" tint="-0.249977111117893"/>
      <name val="Times New Roman"/>
      <family val="1"/>
    </font>
    <font>
      <sz val="12"/>
      <color theme="4" tint="-0.249977111117893"/>
      <name val="Calibri"/>
      <family val="2"/>
    </font>
    <font>
      <sz val="12"/>
      <color theme="4" tint="-0.499984740745262"/>
      <name val="Calibri"/>
      <family val="2"/>
    </font>
    <font>
      <b/>
      <sz val="12"/>
      <color rgb="FF0070C0"/>
      <name val="Times New Roman"/>
      <family val="1"/>
    </font>
    <font>
      <sz val="12"/>
      <color theme="5"/>
      <name val="Times New Roman"/>
      <family val="1"/>
    </font>
    <font>
      <i/>
      <sz val="12"/>
      <color theme="4" tint="-0.249977111117893"/>
      <name val="Times New Roman"/>
      <family val="1"/>
    </font>
    <font>
      <b/>
      <i/>
      <sz val="12"/>
      <name val="Times New Roman"/>
      <family val="1"/>
    </font>
    <font>
      <i/>
      <sz val="12"/>
      <name val="Times New Roman"/>
      <family val="1"/>
    </font>
    <font>
      <b/>
      <i/>
      <sz val="12"/>
      <color theme="7" tint="-0.24994659260841701"/>
      <name val="Times New Roman"/>
      <family val="1"/>
    </font>
    <font>
      <b/>
      <i/>
      <sz val="12"/>
      <color theme="7" tint="-0.249977111117893"/>
      <name val="Calibri"/>
      <family val="2"/>
    </font>
    <font>
      <b/>
      <sz val="14"/>
      <color theme="1"/>
      <name val="Times New Roman"/>
      <family val="1"/>
    </font>
    <font>
      <sz val="11"/>
      <name val="Times New Roman"/>
      <family val="1"/>
    </font>
    <font>
      <b/>
      <sz val="11"/>
      <name val="Times New Roman"/>
      <family val="1"/>
    </font>
    <font>
      <sz val="11"/>
      <color theme="4"/>
      <name val="Times New Roman"/>
      <family val="1"/>
    </font>
    <font>
      <sz val="11"/>
      <color indexed="81"/>
      <name val="Tahoma"/>
      <family val="2"/>
    </font>
    <font>
      <sz val="12"/>
      <color theme="5" tint="-0.249977111117893"/>
      <name val="Times New Roman"/>
      <family val="1"/>
    </font>
    <font>
      <b/>
      <sz val="11"/>
      <color indexed="81"/>
      <name val="Times New Roman"/>
      <family val="1"/>
    </font>
    <font>
      <b/>
      <i/>
      <sz val="12"/>
      <color theme="1"/>
      <name val="Times New Roman"/>
      <family val="1"/>
    </font>
    <font>
      <sz val="11"/>
      <color indexed="81"/>
      <name val="Times New Roman"/>
      <family val="1"/>
    </font>
    <font>
      <sz val="10"/>
      <color theme="1"/>
      <name val="Times New Roman"/>
      <family val="1"/>
    </font>
    <font>
      <b/>
      <sz val="12"/>
      <color theme="0"/>
      <name val="Times New Roman"/>
      <family val="1"/>
    </font>
    <font>
      <b/>
      <sz val="18"/>
      <color theme="0"/>
      <name val="Times New Roman"/>
      <family val="1"/>
    </font>
    <font>
      <b/>
      <sz val="16"/>
      <color theme="0"/>
      <name val="Times New Roman"/>
      <family val="1"/>
    </font>
    <font>
      <b/>
      <sz val="14"/>
      <color theme="0"/>
      <name val="Times New Roman"/>
      <family val="1"/>
    </font>
    <font>
      <b/>
      <sz val="11"/>
      <color theme="0"/>
      <name val="Times New Roman"/>
      <family val="1"/>
    </font>
    <font>
      <u/>
      <sz val="11"/>
      <color theme="10"/>
      <name val="Calibri"/>
      <family val="2"/>
    </font>
    <font>
      <b/>
      <sz val="14"/>
      <name val="Times New Roman"/>
      <family val="1"/>
    </font>
    <font>
      <b/>
      <sz val="12"/>
      <color theme="0"/>
      <name val="Calibri Light"/>
      <family val="2"/>
    </font>
    <font>
      <sz val="14"/>
      <color theme="0"/>
      <name val="Times New Roman"/>
      <family val="1"/>
    </font>
    <font>
      <b/>
      <sz val="22"/>
      <color rgb="FF002060"/>
      <name val="Times New Roman"/>
      <family val="1"/>
    </font>
    <font>
      <b/>
      <sz val="72"/>
      <color theme="9" tint="-0.249977111117893"/>
      <name val="Times New Roman"/>
      <family val="1"/>
    </font>
    <font>
      <b/>
      <sz val="22"/>
      <color theme="9" tint="-0.249977111117893"/>
      <name val="Times New Roman"/>
      <family val="1"/>
    </font>
    <font>
      <b/>
      <sz val="48"/>
      <color theme="9" tint="-0.249977111117893"/>
      <name val="Times New Roman"/>
      <family val="1"/>
    </font>
    <font>
      <b/>
      <sz val="36"/>
      <color theme="9" tint="-0.249977111117893"/>
      <name val="Times New Roman"/>
      <family val="1"/>
    </font>
    <font>
      <b/>
      <u/>
      <sz val="36"/>
      <color theme="9" tint="-0.249977111117893"/>
      <name val="Times New Roman"/>
      <family val="1"/>
    </font>
  </fonts>
  <fills count="22">
    <fill>
      <patternFill patternType="none"/>
    </fill>
    <fill>
      <patternFill patternType="gray125"/>
    </fill>
    <fill>
      <patternFill patternType="solid">
        <fgColor theme="6" tint="0.59999389629810485"/>
        <bgColor indexed="65"/>
      </patternFill>
    </fill>
    <fill>
      <patternFill patternType="solid">
        <fgColor theme="8" tint="0.59999389629810485"/>
        <bgColor indexed="65"/>
      </patternFill>
    </fill>
    <fill>
      <patternFill patternType="solid">
        <fgColor rgb="FF0070C0"/>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59996337778862885"/>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7"/>
        <bgColor indexed="64"/>
      </patternFill>
    </fill>
    <fill>
      <patternFill patternType="solid">
        <fgColor rgb="FFFFFF00"/>
        <bgColor indexed="64"/>
      </patternFill>
    </fill>
    <fill>
      <patternFill patternType="solid">
        <fgColor theme="2" tint="-9.9978637043366805E-2"/>
        <bgColor indexed="64"/>
      </patternFill>
    </fill>
    <fill>
      <patternFill patternType="solid">
        <fgColor indexed="65"/>
        <bgColor indexed="64"/>
      </patternFill>
    </fill>
    <fill>
      <patternFill patternType="mediumGray">
        <bgColor theme="2" tint="-9.9978637043366805E-2"/>
      </patternFill>
    </fill>
    <fill>
      <patternFill patternType="solid">
        <fgColor theme="6" tint="0.59999389629810485"/>
        <bgColor indexed="64"/>
      </patternFill>
    </fill>
    <fill>
      <patternFill patternType="mediumGray">
        <bgColor theme="6" tint="0.59999389629810485"/>
      </patternFill>
    </fill>
    <fill>
      <patternFill patternType="solid">
        <fgColor rgb="FF92D050"/>
        <bgColor indexed="64"/>
      </patternFill>
    </fill>
    <fill>
      <patternFill patternType="solid">
        <fgColor theme="2"/>
        <bgColor indexed="64"/>
      </patternFill>
    </fill>
    <fill>
      <patternFill patternType="solid">
        <fgColor theme="8" tint="0.59996337778862885"/>
        <bgColor indexed="64"/>
      </patternFill>
    </fill>
    <fill>
      <patternFill patternType="solid">
        <fgColor rgb="FF002060"/>
        <bgColor indexed="64"/>
      </patternFill>
    </fill>
    <fill>
      <patternFill patternType="solid">
        <fgColor theme="2" tint="-9.9948118533890809E-2"/>
        <bgColor indexed="64"/>
      </patternFill>
    </fill>
  </fills>
  <borders count="12">
    <border>
      <left/>
      <right/>
      <top/>
      <bottom/>
      <diagonal/>
    </border>
    <border>
      <left/>
      <right/>
      <top style="thin">
        <color theme="4"/>
      </top>
      <bottom style="double">
        <color theme="4"/>
      </bottom>
      <diagonal/>
    </border>
    <border>
      <left/>
      <right/>
      <top/>
      <bottom style="thick">
        <color auto="1"/>
      </bottom>
      <diagonal/>
    </border>
    <border>
      <left/>
      <right/>
      <top style="thick">
        <color auto="1"/>
      </top>
      <bottom/>
      <diagonal/>
    </border>
    <border>
      <left/>
      <right/>
      <top/>
      <bottom style="double">
        <color theme="4"/>
      </bottom>
      <diagonal/>
    </border>
    <border>
      <left/>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1" fillId="2" borderId="0" applyNumberFormat="0" applyBorder="0" applyAlignment="0" applyProtection="0"/>
    <xf numFmtId="0" fontId="1" fillId="3" borderId="0" applyNumberFormat="0" applyBorder="0" applyAlignment="0" applyProtection="0"/>
    <xf numFmtId="17" fontId="1" fillId="4" borderId="2"/>
    <xf numFmtId="0" fontId="1" fillId="5" borderId="3"/>
    <xf numFmtId="167" fontId="3" fillId="6" borderId="2"/>
    <xf numFmtId="0" fontId="9" fillId="0" borderId="0"/>
    <xf numFmtId="0" fontId="43" fillId="0" borderId="0" applyNumberFormat="0" applyFill="0" applyBorder="0" applyAlignment="0" applyProtection="0"/>
  </cellStyleXfs>
  <cellXfs count="652">
    <xf numFmtId="0" fontId="0" fillId="0" borderId="0" xfId="0"/>
    <xf numFmtId="164" fontId="0" fillId="0" borderId="0" xfId="1" applyNumberFormat="1" applyFont="1"/>
    <xf numFmtId="164" fontId="4" fillId="0" borderId="0" xfId="1" applyNumberFormat="1" applyFont="1"/>
    <xf numFmtId="4" fontId="0" fillId="0" borderId="0" xfId="1" applyNumberFormat="1" applyFont="1"/>
    <xf numFmtId="0" fontId="4" fillId="0" borderId="0" xfId="0" applyFont="1"/>
    <xf numFmtId="164" fontId="7" fillId="2" borderId="0" xfId="4" applyNumberFormat="1" applyFont="1"/>
    <xf numFmtId="4" fontId="7" fillId="2" borderId="0" xfId="4" applyNumberFormat="1" applyFont="1"/>
    <xf numFmtId="0" fontId="7" fillId="0" borderId="0" xfId="0" applyFont="1"/>
    <xf numFmtId="164" fontId="7" fillId="0" borderId="0" xfId="1" applyNumberFormat="1" applyFont="1"/>
    <xf numFmtId="0" fontId="7" fillId="3" borderId="0" xfId="5" applyFont="1" applyAlignment="1">
      <alignment wrapText="1"/>
    </xf>
    <xf numFmtId="0" fontId="4" fillId="0" borderId="0" xfId="0" applyFont="1" applyBorder="1"/>
    <xf numFmtId="164" fontId="4" fillId="0" borderId="0" xfId="4" applyNumberFormat="1" applyFont="1" applyFill="1" applyBorder="1"/>
    <xf numFmtId="164" fontId="5" fillId="0" borderId="0" xfId="4" applyNumberFormat="1" applyFont="1" applyFill="1" applyBorder="1"/>
    <xf numFmtId="0" fontId="6" fillId="9" borderId="5" xfId="9" applyNumberFormat="1" applyFont="1" applyFill="1" applyBorder="1"/>
    <xf numFmtId="0" fontId="6" fillId="9" borderId="3" xfId="9" applyNumberFormat="1" applyFont="1" applyFill="1" applyBorder="1"/>
    <xf numFmtId="0" fontId="12" fillId="0" borderId="0" xfId="0" applyFont="1"/>
    <xf numFmtId="4" fontId="12" fillId="0" borderId="0" xfId="0" applyNumberFormat="1" applyFont="1"/>
    <xf numFmtId="0" fontId="6" fillId="3" borderId="0" xfId="5" applyFont="1"/>
    <xf numFmtId="4" fontId="7" fillId="8" borderId="0" xfId="0" applyNumberFormat="1" applyFont="1" applyFill="1"/>
    <xf numFmtId="0" fontId="14" fillId="3" borderId="0" xfId="5" applyFont="1" applyBorder="1"/>
    <xf numFmtId="164" fontId="7" fillId="8" borderId="0" xfId="1" applyNumberFormat="1" applyFont="1" applyFill="1"/>
    <xf numFmtId="0" fontId="7" fillId="3" borderId="0" xfId="5" applyFont="1" applyBorder="1"/>
    <xf numFmtId="0" fontId="8" fillId="0" borderId="0" xfId="0" applyFont="1"/>
    <xf numFmtId="0" fontId="7" fillId="3" borderId="5" xfId="5" applyFont="1" applyBorder="1" applyAlignment="1">
      <alignment wrapText="1"/>
    </xf>
    <xf numFmtId="164" fontId="7" fillId="2" borderId="5" xfId="4" applyNumberFormat="1" applyFont="1" applyBorder="1"/>
    <xf numFmtId="4" fontId="7" fillId="2" borderId="5" xfId="4" applyNumberFormat="1" applyFont="1" applyBorder="1"/>
    <xf numFmtId="164" fontId="7" fillId="0" borderId="5" xfId="1" applyNumberFormat="1" applyFont="1" applyBorder="1"/>
    <xf numFmtId="4" fontId="7" fillId="8" borderId="0" xfId="1" applyNumberFormat="1" applyFont="1" applyFill="1"/>
    <xf numFmtId="0" fontId="7" fillId="3" borderId="0" xfId="5" applyFont="1"/>
    <xf numFmtId="10" fontId="8" fillId="2" borderId="0" xfId="2" applyNumberFormat="1" applyFont="1" applyFill="1" applyBorder="1"/>
    <xf numFmtId="10" fontId="8" fillId="0" borderId="0" xfId="2" applyNumberFormat="1" applyFont="1" applyBorder="1"/>
    <xf numFmtId="0" fontId="7" fillId="3" borderId="0" xfId="5" applyFont="1" applyBorder="1" applyAlignment="1">
      <alignment wrapText="1"/>
    </xf>
    <xf numFmtId="164" fontId="7" fillId="2" borderId="0" xfId="4" applyNumberFormat="1" applyFont="1" applyBorder="1"/>
    <xf numFmtId="164" fontId="7" fillId="0" borderId="0" xfId="1" applyNumberFormat="1" applyFont="1" applyBorder="1"/>
    <xf numFmtId="4" fontId="7" fillId="6" borderId="0" xfId="4" applyNumberFormat="1" applyFont="1" applyFill="1"/>
    <xf numFmtId="4" fontId="7" fillId="0" borderId="0" xfId="4" applyNumberFormat="1" applyFont="1" applyFill="1"/>
    <xf numFmtId="0" fontId="15" fillId="3" borderId="0" xfId="5" applyFont="1" applyBorder="1"/>
    <xf numFmtId="164" fontId="7" fillId="0" borderId="0" xfId="4" applyNumberFormat="1" applyFont="1" applyFill="1"/>
    <xf numFmtId="0" fontId="6" fillId="3" borderId="0" xfId="5" applyFont="1" applyAlignment="1">
      <alignment wrapText="1"/>
    </xf>
    <xf numFmtId="0" fontId="6" fillId="3" borderId="5" xfId="5" applyFont="1" applyBorder="1" applyAlignment="1">
      <alignment wrapText="1"/>
    </xf>
    <xf numFmtId="0" fontId="17" fillId="3" borderId="0" xfId="5" applyFont="1" applyAlignment="1">
      <alignment wrapText="1"/>
    </xf>
    <xf numFmtId="164" fontId="14" fillId="2" borderId="0" xfId="4" applyNumberFormat="1" applyFont="1"/>
    <xf numFmtId="165" fontId="7" fillId="0" borderId="0" xfId="4" applyNumberFormat="1" applyFont="1" applyFill="1" applyBorder="1"/>
    <xf numFmtId="164" fontId="7" fillId="0" borderId="0" xfId="4" applyNumberFormat="1" applyFont="1" applyFill="1" applyBorder="1"/>
    <xf numFmtId="169" fontId="14" fillId="0" borderId="0" xfId="2" applyNumberFormat="1" applyFont="1" applyFill="1" applyBorder="1"/>
    <xf numFmtId="164" fontId="6" fillId="0" borderId="0" xfId="3" applyNumberFormat="1" applyFont="1" applyFill="1" applyBorder="1"/>
    <xf numFmtId="164" fontId="7" fillId="0" borderId="0" xfId="1" applyNumberFormat="1" applyFont="1" applyFill="1"/>
    <xf numFmtId="0" fontId="7" fillId="0" borderId="0" xfId="0" applyFont="1" applyBorder="1"/>
    <xf numFmtId="164" fontId="17" fillId="2" borderId="0" xfId="4" applyNumberFormat="1" applyFont="1"/>
    <xf numFmtId="0" fontId="17" fillId="0" borderId="0" xfId="0" applyFont="1"/>
    <xf numFmtId="164" fontId="17" fillId="0" borderId="0" xfId="1" applyNumberFormat="1" applyFont="1"/>
    <xf numFmtId="0" fontId="17" fillId="3" borderId="0" xfId="5" applyFont="1" applyBorder="1"/>
    <xf numFmtId="2" fontId="8" fillId="2" borderId="0" xfId="2" applyNumberFormat="1" applyFont="1" applyFill="1" applyBorder="1"/>
    <xf numFmtId="2" fontId="14" fillId="2" borderId="0" xfId="2" applyNumberFormat="1" applyFont="1" applyFill="1" applyBorder="1"/>
    <xf numFmtId="2" fontId="25" fillId="2" borderId="0" xfId="2" applyNumberFormat="1" applyFont="1" applyFill="1" applyBorder="1"/>
    <xf numFmtId="2" fontId="14" fillId="0" borderId="0" xfId="2" applyNumberFormat="1" applyFont="1" applyBorder="1"/>
    <xf numFmtId="4" fontId="14" fillId="2" borderId="0" xfId="4" applyNumberFormat="1" applyFont="1"/>
    <xf numFmtId="164" fontId="14" fillId="0" borderId="0" xfId="2" applyNumberFormat="1" applyFont="1" applyBorder="1"/>
    <xf numFmtId="0" fontId="14" fillId="3" borderId="5" xfId="5" applyFont="1" applyBorder="1"/>
    <xf numFmtId="10" fontId="17" fillId="2" borderId="0" xfId="2" applyNumberFormat="1" applyFont="1" applyFill="1" applyBorder="1"/>
    <xf numFmtId="10" fontId="17" fillId="0" borderId="0" xfId="2" applyNumberFormat="1" applyFont="1" applyBorder="1"/>
    <xf numFmtId="0" fontId="14" fillId="3" borderId="2" xfId="5" applyFont="1" applyBorder="1"/>
    <xf numFmtId="2" fontId="14" fillId="2" borderId="2" xfId="2" applyNumberFormat="1" applyFont="1" applyFill="1" applyBorder="1"/>
    <xf numFmtId="0" fontId="8" fillId="0" borderId="2" xfId="0" applyFont="1" applyBorder="1"/>
    <xf numFmtId="2" fontId="14" fillId="0" borderId="2" xfId="2" applyNumberFormat="1" applyFont="1" applyBorder="1"/>
    <xf numFmtId="2" fontId="14" fillId="2" borderId="5" xfId="2" applyNumberFormat="1" applyFont="1" applyFill="1" applyBorder="1"/>
    <xf numFmtId="0" fontId="8" fillId="0" borderId="5" xfId="0" applyFont="1" applyBorder="1"/>
    <xf numFmtId="2" fontId="14" fillId="0" borderId="5" xfId="2" applyNumberFormat="1" applyFont="1" applyBorder="1"/>
    <xf numFmtId="0" fontId="28" fillId="3" borderId="0" xfId="5" applyFont="1" applyAlignment="1">
      <alignment wrapText="1"/>
    </xf>
    <xf numFmtId="4" fontId="17" fillId="2" borderId="0" xfId="4" applyNumberFormat="1" applyFont="1"/>
    <xf numFmtId="4" fontId="17" fillId="8" borderId="0" xfId="2" applyNumberFormat="1" applyFont="1" applyFill="1"/>
    <xf numFmtId="0" fontId="17" fillId="3" borderId="0" xfId="5" applyFont="1" applyBorder="1" applyAlignment="1">
      <alignment wrapText="1"/>
    </xf>
    <xf numFmtId="0" fontId="17" fillId="3" borderId="5" xfId="5" applyFont="1" applyBorder="1" applyAlignment="1">
      <alignment wrapText="1"/>
    </xf>
    <xf numFmtId="10" fontId="17" fillId="2" borderId="5" xfId="2" applyNumberFormat="1" applyFont="1" applyFill="1" applyBorder="1"/>
    <xf numFmtId="0" fontId="17" fillId="0" borderId="0" xfId="0" applyFont="1" applyBorder="1"/>
    <xf numFmtId="10" fontId="17" fillId="0" borderId="5" xfId="2" applyNumberFormat="1" applyFont="1" applyBorder="1"/>
    <xf numFmtId="0" fontId="17" fillId="3" borderId="5" xfId="5" applyFont="1" applyBorder="1"/>
    <xf numFmtId="169" fontId="4" fillId="2" borderId="0" xfId="4" applyNumberFormat="1" applyFont="1" applyBorder="1"/>
    <xf numFmtId="169" fontId="4" fillId="8" borderId="0" xfId="4" applyNumberFormat="1" applyFont="1" applyFill="1" applyBorder="1"/>
    <xf numFmtId="169" fontId="4" fillId="8" borderId="0" xfId="1" applyNumberFormat="1" applyFont="1" applyFill="1" applyBorder="1"/>
    <xf numFmtId="169" fontId="5" fillId="2" borderId="0" xfId="3" applyNumberFormat="1" applyFont="1" applyFill="1" applyBorder="1"/>
    <xf numFmtId="169" fontId="5" fillId="2" borderId="5" xfId="3" applyNumberFormat="1" applyFont="1" applyFill="1" applyBorder="1"/>
    <xf numFmtId="169" fontId="29" fillId="2" borderId="0" xfId="3" applyNumberFormat="1" applyFont="1" applyFill="1" applyBorder="1"/>
    <xf numFmtId="0" fontId="4" fillId="0" borderId="3" xfId="0" applyFont="1" applyBorder="1"/>
    <xf numFmtId="169" fontId="5" fillId="2" borderId="3" xfId="4" applyNumberFormat="1" applyFont="1" applyBorder="1"/>
    <xf numFmtId="169" fontId="30" fillId="2" borderId="3" xfId="3" applyNumberFormat="1" applyFont="1" applyFill="1" applyBorder="1"/>
    <xf numFmtId="164" fontId="4" fillId="0" borderId="0" xfId="1" applyNumberFormat="1" applyFont="1" applyAlignment="1"/>
    <xf numFmtId="169" fontId="5" fillId="2" borderId="5" xfId="4" applyNumberFormat="1" applyFont="1" applyBorder="1"/>
    <xf numFmtId="169" fontId="31" fillId="2" borderId="0" xfId="4" applyNumberFormat="1" applyFont="1" applyBorder="1"/>
    <xf numFmtId="165" fontId="5" fillId="0" borderId="3" xfId="4" applyNumberFormat="1" applyFont="1" applyFill="1" applyBorder="1"/>
    <xf numFmtId="164" fontId="5" fillId="0" borderId="5" xfId="1" applyNumberFormat="1" applyFont="1" applyBorder="1"/>
    <xf numFmtId="169" fontId="4" fillId="0" borderId="0" xfId="4" applyNumberFormat="1" applyFont="1" applyFill="1" applyBorder="1"/>
    <xf numFmtId="169" fontId="5" fillId="0" borderId="0" xfId="4" applyNumberFormat="1" applyFont="1" applyFill="1" applyBorder="1"/>
    <xf numFmtId="169" fontId="29" fillId="0" borderId="0" xfId="2" applyNumberFormat="1" applyFont="1" applyFill="1" applyBorder="1"/>
    <xf numFmtId="169" fontId="5" fillId="0" borderId="3" xfId="1" applyNumberFormat="1" applyFont="1" applyBorder="1"/>
    <xf numFmtId="0" fontId="26" fillId="3" borderId="5" xfId="5" applyFont="1" applyBorder="1"/>
    <xf numFmtId="10" fontId="26" fillId="2" borderId="5" xfId="2" applyNumberFormat="1" applyFont="1" applyFill="1" applyBorder="1"/>
    <xf numFmtId="0" fontId="26" fillId="0" borderId="0" xfId="0" applyFont="1"/>
    <xf numFmtId="10" fontId="26" fillId="0" borderId="5" xfId="2" applyNumberFormat="1" applyFont="1" applyBorder="1"/>
    <xf numFmtId="169" fontId="30" fillId="0" borderId="5" xfId="2" applyNumberFormat="1" applyFont="1" applyFill="1" applyBorder="1"/>
    <xf numFmtId="169" fontId="5" fillId="0" borderId="5" xfId="1" applyNumberFormat="1" applyFont="1" applyBorder="1"/>
    <xf numFmtId="0" fontId="7" fillId="9" borderId="5" xfId="9" applyNumberFormat="1" applyFont="1" applyFill="1" applyBorder="1" applyAlignment="1"/>
    <xf numFmtId="169" fontId="31" fillId="2" borderId="5" xfId="4" applyNumberFormat="1" applyFont="1" applyBorder="1"/>
    <xf numFmtId="0" fontId="4" fillId="0" borderId="5" xfId="0" applyFont="1" applyBorder="1" applyAlignment="1"/>
    <xf numFmtId="169" fontId="5" fillId="0" borderId="5" xfId="4" applyNumberFormat="1" applyFont="1" applyFill="1" applyBorder="1"/>
    <xf numFmtId="164" fontId="7" fillId="0" borderId="0" xfId="1" applyNumberFormat="1" applyFont="1" applyFill="1" applyBorder="1"/>
    <xf numFmtId="169" fontId="7" fillId="0" borderId="0" xfId="1" applyNumberFormat="1" applyFont="1"/>
    <xf numFmtId="169" fontId="7" fillId="0" borderId="5" xfId="1" applyNumberFormat="1" applyFont="1" applyBorder="1"/>
    <xf numFmtId="169" fontId="7" fillId="0" borderId="3" xfId="1" applyNumberFormat="1" applyFont="1" applyBorder="1"/>
    <xf numFmtId="0" fontId="7" fillId="0" borderId="0" xfId="0" applyFont="1" applyFill="1"/>
    <xf numFmtId="169" fontId="6" fillId="2" borderId="5" xfId="4" applyNumberFormat="1" applyFont="1" applyBorder="1"/>
    <xf numFmtId="0" fontId="6" fillId="3" borderId="3" xfId="5" applyFont="1" applyBorder="1" applyAlignment="1">
      <alignment wrapText="1"/>
    </xf>
    <xf numFmtId="169" fontId="6" fillId="2" borderId="3" xfId="4" applyNumberFormat="1" applyFont="1" applyBorder="1"/>
    <xf numFmtId="10" fontId="6" fillId="2" borderId="5" xfId="2" applyNumberFormat="1" applyFont="1" applyFill="1" applyBorder="1"/>
    <xf numFmtId="0" fontId="6" fillId="3" borderId="0" xfId="5" applyFont="1" applyBorder="1" applyAlignment="1">
      <alignment wrapText="1"/>
    </xf>
    <xf numFmtId="10" fontId="7" fillId="2" borderId="0" xfId="2" applyNumberFormat="1" applyFont="1" applyFill="1" applyBorder="1"/>
    <xf numFmtId="169" fontId="7" fillId="0" borderId="0" xfId="4" applyNumberFormat="1" applyFont="1" applyFill="1"/>
    <xf numFmtId="169" fontId="7" fillId="8" borderId="3" xfId="1" applyNumberFormat="1" applyFont="1" applyFill="1" applyBorder="1"/>
    <xf numFmtId="169" fontId="6" fillId="2" borderId="0" xfId="4" applyNumberFormat="1" applyFont="1" applyBorder="1"/>
    <xf numFmtId="0" fontId="7" fillId="0" borderId="0" xfId="5" applyFont="1" applyFill="1" applyAlignment="1">
      <alignment wrapText="1"/>
    </xf>
    <xf numFmtId="0" fontId="14" fillId="3" borderId="0" xfId="5" applyFont="1" applyBorder="1" applyAlignment="1">
      <alignment wrapText="1"/>
    </xf>
    <xf numFmtId="169" fontId="7" fillId="2" borderId="0" xfId="4" applyNumberFormat="1" applyFont="1" applyBorder="1"/>
    <xf numFmtId="0" fontId="15" fillId="3" borderId="3" xfId="5" applyFont="1" applyBorder="1" applyAlignment="1">
      <alignment wrapText="1"/>
    </xf>
    <xf numFmtId="169" fontId="6" fillId="17" borderId="5" xfId="4" applyNumberFormat="1" applyFont="1" applyFill="1" applyBorder="1"/>
    <xf numFmtId="169" fontId="7" fillId="11" borderId="0" xfId="4" applyNumberFormat="1" applyFont="1" applyFill="1" applyBorder="1" applyAlignment="1">
      <alignment horizontal="right" vertical="center"/>
    </xf>
    <xf numFmtId="10" fontId="7" fillId="17" borderId="5" xfId="2" applyNumberFormat="1" applyFont="1" applyFill="1" applyBorder="1"/>
    <xf numFmtId="10" fontId="33" fillId="17" borderId="0" xfId="2" applyNumberFormat="1" applyFont="1" applyFill="1" applyBorder="1"/>
    <xf numFmtId="0" fontId="15" fillId="9" borderId="5" xfId="5" applyFont="1" applyFill="1" applyBorder="1" applyAlignment="1">
      <alignment wrapText="1"/>
    </xf>
    <xf numFmtId="0" fontId="6" fillId="17" borderId="5" xfId="5" applyFont="1" applyFill="1" applyBorder="1" applyAlignment="1">
      <alignment wrapText="1"/>
    </xf>
    <xf numFmtId="0" fontId="6" fillId="17" borderId="0" xfId="5" applyFont="1" applyFill="1" applyBorder="1" applyAlignment="1">
      <alignment wrapText="1"/>
    </xf>
    <xf numFmtId="164" fontId="7" fillId="0" borderId="0" xfId="1" applyNumberFormat="1" applyFont="1" applyProtection="1"/>
    <xf numFmtId="0" fontId="7" fillId="3" borderId="0" xfId="5" applyFont="1" applyProtection="1"/>
    <xf numFmtId="0" fontId="7" fillId="3" borderId="0" xfId="5" applyFont="1" applyAlignment="1" applyProtection="1">
      <alignment wrapText="1"/>
    </xf>
    <xf numFmtId="164" fontId="7" fillId="8" borderId="0" xfId="1" applyNumberFormat="1" applyFont="1" applyFill="1" applyProtection="1"/>
    <xf numFmtId="0" fontId="17" fillId="3" borderId="0" xfId="5" applyFont="1" applyAlignment="1" applyProtection="1">
      <alignment wrapText="1"/>
    </xf>
    <xf numFmtId="2" fontId="7" fillId="14" borderId="0" xfId="4" applyNumberFormat="1" applyFont="1" applyFill="1" applyProtection="1"/>
    <xf numFmtId="0" fontId="7" fillId="0" borderId="0" xfId="0" applyFont="1" applyProtection="1">
      <protection locked="0"/>
    </xf>
    <xf numFmtId="0" fontId="6" fillId="10" borderId="0" xfId="0" applyFont="1" applyFill="1" applyBorder="1" applyProtection="1">
      <protection locked="0"/>
    </xf>
    <xf numFmtId="0" fontId="6" fillId="3" borderId="0" xfId="5" applyFont="1" applyBorder="1" applyProtection="1">
      <protection locked="0"/>
    </xf>
    <xf numFmtId="164" fontId="7" fillId="2" borderId="0" xfId="4" applyNumberFormat="1" applyFont="1" applyProtection="1">
      <protection locked="0"/>
    </xf>
    <xf numFmtId="164" fontId="7" fillId="0" borderId="0" xfId="1" applyNumberFormat="1" applyFont="1" applyProtection="1">
      <protection locked="0"/>
    </xf>
    <xf numFmtId="0" fontId="7" fillId="3" borderId="0" xfId="5" applyFont="1" applyProtection="1">
      <protection locked="0"/>
    </xf>
    <xf numFmtId="0" fontId="7" fillId="3" borderId="0" xfId="5" applyFont="1" applyAlignment="1" applyProtection="1">
      <alignment wrapText="1"/>
      <protection locked="0"/>
    </xf>
    <xf numFmtId="164" fontId="7" fillId="8" borderId="0" xfId="1" applyNumberFormat="1" applyFont="1" applyFill="1" applyProtection="1">
      <protection locked="0"/>
    </xf>
    <xf numFmtId="0" fontId="17" fillId="3" borderId="0" xfId="5" applyFont="1" applyAlignment="1" applyProtection="1">
      <alignment wrapText="1"/>
      <protection locked="0"/>
    </xf>
    <xf numFmtId="164" fontId="17" fillId="2" borderId="0" xfId="4" applyNumberFormat="1" applyFont="1" applyProtection="1">
      <protection locked="0"/>
    </xf>
    <xf numFmtId="9" fontId="17" fillId="2" borderId="0" xfId="2" applyFont="1" applyFill="1" applyProtection="1">
      <protection locked="0"/>
    </xf>
    <xf numFmtId="0" fontId="17" fillId="0" borderId="0" xfId="0" applyFont="1" applyProtection="1">
      <protection locked="0"/>
    </xf>
    <xf numFmtId="9" fontId="17" fillId="8" borderId="0" xfId="2" applyFont="1" applyFill="1" applyProtection="1">
      <protection locked="0"/>
    </xf>
    <xf numFmtId="164" fontId="17" fillId="0" borderId="0" xfId="1" applyNumberFormat="1" applyFont="1" applyProtection="1">
      <protection locked="0"/>
    </xf>
    <xf numFmtId="9" fontId="7" fillId="0" borderId="0" xfId="2" applyFont="1" applyProtection="1">
      <protection locked="0"/>
    </xf>
    <xf numFmtId="0" fontId="15" fillId="9" borderId="0" xfId="0" applyFont="1" applyFill="1" applyProtection="1">
      <protection locked="0"/>
    </xf>
    <xf numFmtId="2" fontId="7" fillId="14" borderId="0" xfId="4" applyNumberFormat="1" applyFont="1" applyFill="1" applyProtection="1">
      <protection locked="0"/>
    </xf>
    <xf numFmtId="0" fontId="26" fillId="9" borderId="0" xfId="0" applyFont="1" applyFill="1" applyProtection="1">
      <protection locked="0"/>
    </xf>
    <xf numFmtId="0" fontId="26" fillId="0" borderId="0" xfId="0" applyFont="1" applyFill="1" applyProtection="1">
      <protection locked="0"/>
    </xf>
    <xf numFmtId="0" fontId="16" fillId="0" borderId="0" xfId="0" applyFont="1" applyProtection="1"/>
    <xf numFmtId="164" fontId="16" fillId="0" borderId="0" xfId="1" applyNumberFormat="1" applyFont="1" applyProtection="1"/>
    <xf numFmtId="0" fontId="10" fillId="3" borderId="3" xfId="5" applyFont="1" applyBorder="1" applyProtection="1"/>
    <xf numFmtId="169" fontId="7" fillId="8" borderId="0" xfId="4" applyNumberFormat="1" applyFont="1" applyFill="1" applyProtection="1"/>
    <xf numFmtId="0" fontId="16" fillId="0" borderId="0" xfId="0" applyFont="1" applyBorder="1" applyProtection="1"/>
    <xf numFmtId="170" fontId="13" fillId="6" borderId="0" xfId="8" applyNumberFormat="1" applyFont="1" applyBorder="1" applyProtection="1"/>
    <xf numFmtId="0" fontId="10" fillId="3" borderId="0" xfId="5" applyFont="1" applyProtection="1"/>
    <xf numFmtId="169" fontId="7" fillId="2" borderId="0" xfId="4" applyNumberFormat="1" applyFont="1" applyProtection="1"/>
    <xf numFmtId="169" fontId="7" fillId="6" borderId="0" xfId="4" applyNumberFormat="1" applyFont="1" applyFill="1" applyProtection="1"/>
    <xf numFmtId="0" fontId="6" fillId="3" borderId="5" xfId="5" applyFont="1" applyBorder="1" applyAlignment="1" applyProtection="1">
      <alignment wrapText="1"/>
    </xf>
    <xf numFmtId="169" fontId="7" fillId="2" borderId="5" xfId="4" applyNumberFormat="1" applyFont="1" applyBorder="1" applyProtection="1"/>
    <xf numFmtId="169" fontId="7" fillId="6" borderId="5" xfId="4" applyNumberFormat="1" applyFont="1" applyFill="1" applyBorder="1" applyProtection="1"/>
    <xf numFmtId="164" fontId="7" fillId="6" borderId="0" xfId="4" applyNumberFormat="1" applyFont="1" applyFill="1" applyProtection="1"/>
    <xf numFmtId="10" fontId="17" fillId="8" borderId="0" xfId="2" applyNumberFormat="1" applyFont="1" applyFill="1" applyProtection="1"/>
    <xf numFmtId="0" fontId="27" fillId="0" borderId="0" xfId="0" applyFont="1" applyProtection="1"/>
    <xf numFmtId="10" fontId="17" fillId="6" borderId="0" xfId="2" applyNumberFormat="1" applyFont="1" applyFill="1" applyProtection="1"/>
    <xf numFmtId="0" fontId="6" fillId="3" borderId="0" xfId="5" applyFont="1" applyProtection="1"/>
    <xf numFmtId="164" fontId="16" fillId="8" borderId="0" xfId="1" applyNumberFormat="1" applyFont="1" applyFill="1" applyProtection="1"/>
    <xf numFmtId="0" fontId="10" fillId="3" borderId="0" xfId="5" applyFont="1" applyAlignment="1" applyProtection="1">
      <alignment wrapText="1"/>
    </xf>
    <xf numFmtId="169" fontId="18" fillId="2" borderId="0" xfId="4" applyNumberFormat="1" applyFont="1" applyProtection="1"/>
    <xf numFmtId="169" fontId="18" fillId="8" borderId="0" xfId="4" applyNumberFormat="1" applyFont="1" applyFill="1" applyProtection="1"/>
    <xf numFmtId="0" fontId="19" fillId="8" borderId="0" xfId="0" applyFont="1" applyFill="1" applyProtection="1"/>
    <xf numFmtId="0" fontId="7" fillId="3" borderId="0" xfId="5" applyFont="1" applyBorder="1" applyAlignment="1" applyProtection="1">
      <alignment wrapText="1"/>
    </xf>
    <xf numFmtId="164" fontId="16" fillId="7" borderId="5" xfId="1" applyNumberFormat="1" applyFont="1" applyFill="1" applyBorder="1" applyProtection="1"/>
    <xf numFmtId="164" fontId="16" fillId="0" borderId="5" xfId="1" applyNumberFormat="1" applyFont="1" applyBorder="1" applyProtection="1"/>
    <xf numFmtId="0" fontId="17" fillId="3" borderId="0" xfId="5" applyFont="1" applyProtection="1"/>
    <xf numFmtId="169" fontId="17" fillId="2" borderId="0" xfId="4" applyNumberFormat="1" applyFont="1" applyProtection="1"/>
    <xf numFmtId="10" fontId="17" fillId="2" borderId="0" xfId="2" applyNumberFormat="1" applyFont="1" applyFill="1" applyProtection="1"/>
    <xf numFmtId="10" fontId="7" fillId="6" borderId="0" xfId="2" applyNumberFormat="1" applyFont="1" applyFill="1" applyProtection="1"/>
    <xf numFmtId="43" fontId="7" fillId="6" borderId="0" xfId="1" applyFont="1" applyFill="1" applyProtection="1"/>
    <xf numFmtId="0" fontId="7" fillId="3" borderId="5" xfId="5" applyFont="1" applyBorder="1" applyAlignment="1" applyProtection="1">
      <alignment wrapText="1"/>
    </xf>
    <xf numFmtId="43" fontId="7" fillId="6" borderId="5" xfId="1" applyFont="1" applyFill="1" applyBorder="1" applyProtection="1"/>
    <xf numFmtId="169" fontId="6" fillId="8" borderId="0" xfId="4" applyNumberFormat="1" applyFont="1" applyFill="1" applyProtection="1"/>
    <xf numFmtId="10" fontId="7" fillId="2" borderId="0" xfId="2" applyNumberFormat="1" applyFont="1" applyFill="1" applyProtection="1"/>
    <xf numFmtId="0" fontId="6" fillId="3" borderId="3" xfId="5" applyFont="1" applyBorder="1" applyProtection="1"/>
    <xf numFmtId="169" fontId="7" fillId="2" borderId="3" xfId="4" applyNumberFormat="1" applyFont="1" applyBorder="1" applyProtection="1"/>
    <xf numFmtId="169" fontId="7" fillId="6" borderId="3" xfId="4" applyNumberFormat="1" applyFont="1" applyFill="1" applyBorder="1" applyProtection="1"/>
    <xf numFmtId="0" fontId="6" fillId="3" borderId="5" xfId="5" applyFont="1" applyBorder="1" applyProtection="1"/>
    <xf numFmtId="2" fontId="7" fillId="2" borderId="5" xfId="4" applyNumberFormat="1" applyFont="1" applyBorder="1" applyProtection="1"/>
    <xf numFmtId="2" fontId="7" fillId="2" borderId="5" xfId="2" applyNumberFormat="1" applyFont="1" applyFill="1" applyBorder="1" applyProtection="1"/>
    <xf numFmtId="0" fontId="7" fillId="3" borderId="5" xfId="5" applyFont="1" applyBorder="1" applyProtection="1"/>
    <xf numFmtId="10" fontId="27" fillId="0" borderId="0" xfId="2" applyNumberFormat="1" applyFont="1" applyProtection="1"/>
    <xf numFmtId="169" fontId="17" fillId="2" borderId="0" xfId="2" applyNumberFormat="1" applyFont="1" applyFill="1" applyProtection="1"/>
    <xf numFmtId="169" fontId="14" fillId="6" borderId="0" xfId="2" applyNumberFormat="1" applyFont="1" applyFill="1" applyProtection="1"/>
    <xf numFmtId="0" fontId="14" fillId="3" borderId="0" xfId="5" applyFont="1" applyProtection="1"/>
    <xf numFmtId="0" fontId="15" fillId="3" borderId="5" xfId="5" applyFont="1" applyBorder="1" applyProtection="1"/>
    <xf numFmtId="169" fontId="14" fillId="2" borderId="5" xfId="2" applyNumberFormat="1" applyFont="1" applyFill="1" applyBorder="1" applyProtection="1"/>
    <xf numFmtId="169" fontId="14" fillId="6" borderId="5" xfId="2" applyNumberFormat="1" applyFont="1" applyFill="1" applyBorder="1" applyProtection="1"/>
    <xf numFmtId="0" fontId="15" fillId="3" borderId="0" xfId="5" applyFont="1" applyBorder="1" applyProtection="1"/>
    <xf numFmtId="169" fontId="14" fillId="2" borderId="0" xfId="2" applyNumberFormat="1" applyFont="1" applyFill="1" applyBorder="1" applyProtection="1"/>
    <xf numFmtId="10" fontId="17" fillId="6" borderId="0" xfId="2" applyNumberFormat="1" applyFont="1" applyFill="1" applyBorder="1" applyProtection="1"/>
    <xf numFmtId="10" fontId="17" fillId="7" borderId="0" xfId="2" applyNumberFormat="1" applyFont="1" applyFill="1" applyBorder="1" applyProtection="1"/>
    <xf numFmtId="164" fontId="16" fillId="13" borderId="0" xfId="1" applyNumberFormat="1" applyFont="1" applyFill="1" applyProtection="1"/>
    <xf numFmtId="0" fontId="11" fillId="3" borderId="0" xfId="5" applyFont="1" applyProtection="1"/>
    <xf numFmtId="2" fontId="7" fillId="14" borderId="0" xfId="2" applyNumberFormat="1" applyFont="1" applyFill="1" applyProtection="1"/>
    <xf numFmtId="0" fontId="16" fillId="0" borderId="0" xfId="0" applyFont="1" applyFill="1" applyProtection="1"/>
    <xf numFmtId="10" fontId="16" fillId="12" borderId="0" xfId="1" applyNumberFormat="1" applyFont="1" applyFill="1" applyProtection="1"/>
    <xf numFmtId="0" fontId="7" fillId="3" borderId="0" xfId="5" applyFont="1" applyBorder="1" applyProtection="1"/>
    <xf numFmtId="10" fontId="20" fillId="12" borderId="0" xfId="1" applyNumberFormat="1" applyFont="1" applyFill="1" applyProtection="1"/>
    <xf numFmtId="0" fontId="16" fillId="13" borderId="0" xfId="0" applyFont="1" applyFill="1" applyProtection="1"/>
    <xf numFmtId="10" fontId="16" fillId="0" borderId="0" xfId="2" applyNumberFormat="1" applyFont="1" applyProtection="1"/>
    <xf numFmtId="10" fontId="7" fillId="0" borderId="0" xfId="2" applyNumberFormat="1" applyFont="1" applyProtection="1">
      <protection locked="0"/>
    </xf>
    <xf numFmtId="164" fontId="7" fillId="0" borderId="0" xfId="0" applyNumberFormat="1" applyFont="1" applyProtection="1">
      <protection locked="0"/>
    </xf>
    <xf numFmtId="164" fontId="6" fillId="0" borderId="0" xfId="1" applyNumberFormat="1" applyFont="1" applyBorder="1"/>
    <xf numFmtId="10" fontId="17" fillId="8" borderId="0" xfId="2" applyNumberFormat="1" applyFont="1" applyFill="1" applyProtection="1">
      <protection locked="0"/>
    </xf>
    <xf numFmtId="10" fontId="17" fillId="6" borderId="0" xfId="2" applyNumberFormat="1" applyFont="1" applyFill="1" applyProtection="1">
      <protection locked="0"/>
    </xf>
    <xf numFmtId="169" fontId="14" fillId="0" borderId="0" xfId="4" applyNumberFormat="1" applyFont="1" applyFill="1" applyBorder="1"/>
    <xf numFmtId="169" fontId="14" fillId="0" borderId="0" xfId="3" applyNumberFormat="1" applyFont="1" applyFill="1" applyBorder="1"/>
    <xf numFmtId="9" fontId="14" fillId="0" borderId="0" xfId="2" applyFont="1" applyFill="1" applyBorder="1"/>
    <xf numFmtId="0" fontId="7" fillId="0" borderId="0" xfId="5" applyFont="1" applyFill="1" applyBorder="1"/>
    <xf numFmtId="0" fontId="14" fillId="0" borderId="0" xfId="5" applyFont="1" applyFill="1" applyBorder="1"/>
    <xf numFmtId="171" fontId="14" fillId="0" borderId="0" xfId="4" applyNumberFormat="1" applyFont="1" applyFill="1" applyBorder="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wrapText="1"/>
    </xf>
    <xf numFmtId="17" fontId="15" fillId="0" borderId="0" xfId="8" applyNumberFormat="1" applyFont="1" applyFill="1" applyBorder="1"/>
    <xf numFmtId="10" fontId="0" fillId="0" borderId="3" xfId="2" applyNumberFormat="1" applyFont="1" applyBorder="1" applyAlignment="1">
      <alignment vertical="center" wrapText="1"/>
    </xf>
    <xf numFmtId="10" fontId="0" fillId="0" borderId="0" xfId="2" applyNumberFormat="1" applyFont="1" applyFill="1" applyAlignment="1">
      <alignment vertical="center" wrapText="1"/>
    </xf>
    <xf numFmtId="0" fontId="0" fillId="0" borderId="0" xfId="0" applyFont="1" applyAlignment="1">
      <alignment vertical="center" wrapText="1"/>
    </xf>
    <xf numFmtId="0" fontId="2" fillId="0" borderId="0" xfId="0" applyFont="1" applyBorder="1" applyAlignment="1">
      <alignment vertical="center" wrapText="1"/>
    </xf>
    <xf numFmtId="3" fontId="2" fillId="0" borderId="0" xfId="0" applyNumberFormat="1" applyFont="1" applyBorder="1" applyAlignment="1">
      <alignment vertical="center" wrapText="1"/>
    </xf>
    <xf numFmtId="10" fontId="2" fillId="0" borderId="0" xfId="2" applyNumberFormat="1" applyFont="1" applyBorder="1" applyAlignment="1">
      <alignment horizontal="center" vertical="center" wrapText="1"/>
    </xf>
    <xf numFmtId="0" fontId="6" fillId="0" borderId="0" xfId="5" applyFont="1" applyFill="1" applyBorder="1"/>
    <xf numFmtId="0" fontId="38" fillId="20" borderId="2" xfId="5" applyFont="1" applyFill="1" applyBorder="1"/>
    <xf numFmtId="17" fontId="38" fillId="20" borderId="2" xfId="8" applyNumberFormat="1" applyFont="1" applyFill="1"/>
    <xf numFmtId="0" fontId="40" fillId="0" borderId="0" xfId="0" applyFont="1" applyFill="1" applyAlignment="1">
      <alignment horizontal="center" vertical="center"/>
    </xf>
    <xf numFmtId="169" fontId="14" fillId="12" borderId="3" xfId="4" applyNumberFormat="1" applyFont="1" applyFill="1" applyBorder="1"/>
    <xf numFmtId="169" fontId="15" fillId="12" borderId="5" xfId="4" applyNumberFormat="1" applyFont="1" applyFill="1" applyBorder="1"/>
    <xf numFmtId="17" fontId="38" fillId="20" borderId="2" xfId="8" applyNumberFormat="1" applyFont="1" applyFill="1" applyAlignment="1">
      <alignment horizontal="right"/>
    </xf>
    <xf numFmtId="9" fontId="0" fillId="0" borderId="0" xfId="2" applyFont="1"/>
    <xf numFmtId="9" fontId="4" fillId="0" borderId="0" xfId="2" applyFont="1"/>
    <xf numFmtId="169" fontId="4" fillId="0" borderId="0" xfId="0" applyNumberFormat="1" applyFont="1"/>
    <xf numFmtId="0" fontId="4" fillId="0" borderId="5" xfId="0" applyFont="1" applyBorder="1"/>
    <xf numFmtId="4" fontId="0" fillId="0" borderId="5" xfId="0" applyNumberFormat="1" applyBorder="1"/>
    <xf numFmtId="10" fontId="4" fillId="0" borderId="0" xfId="2" applyNumberFormat="1" applyFont="1" applyFill="1" applyAlignment="1">
      <alignment vertical="center" wrapText="1"/>
    </xf>
    <xf numFmtId="0" fontId="4" fillId="0" borderId="0" xfId="0" applyFont="1" applyAlignment="1">
      <alignment vertical="center" wrapText="1"/>
    </xf>
    <xf numFmtId="0" fontId="4" fillId="0" borderId="0" xfId="0" applyFont="1" applyAlignment="1">
      <alignment vertical="center"/>
    </xf>
    <xf numFmtId="1" fontId="4" fillId="0" borderId="0" xfId="0" applyNumberFormat="1" applyFont="1"/>
    <xf numFmtId="1" fontId="0" fillId="0" borderId="0" xfId="0" applyNumberFormat="1"/>
    <xf numFmtId="0" fontId="2" fillId="0" borderId="0" xfId="0" applyFont="1" applyFill="1" applyBorder="1" applyAlignment="1">
      <alignment vertical="center" wrapText="1"/>
    </xf>
    <xf numFmtId="3" fontId="2" fillId="0" borderId="0" xfId="0" applyNumberFormat="1" applyFont="1" applyFill="1" applyBorder="1" applyAlignment="1">
      <alignment vertical="center" wrapText="1"/>
    </xf>
    <xf numFmtId="10" fontId="2" fillId="0" borderId="0" xfId="2" applyNumberFormat="1" applyFont="1" applyFill="1" applyBorder="1" applyAlignment="1">
      <alignment horizontal="center" vertical="center" wrapText="1"/>
    </xf>
    <xf numFmtId="164" fontId="6" fillId="0" borderId="0" xfId="1" applyNumberFormat="1" applyFont="1" applyFill="1" applyBorder="1"/>
    <xf numFmtId="0" fontId="7" fillId="0" borderId="0" xfId="0" applyFont="1" applyFill="1" applyAlignment="1">
      <alignment horizontal="justify"/>
    </xf>
    <xf numFmtId="0" fontId="38" fillId="0" borderId="0" xfId="5" applyFont="1" applyFill="1" applyBorder="1"/>
    <xf numFmtId="17" fontId="38" fillId="0" borderId="0" xfId="8" applyNumberFormat="1" applyFont="1" applyFill="1" applyBorder="1"/>
    <xf numFmtId="17" fontId="38" fillId="0" borderId="0" xfId="8" applyNumberFormat="1" applyFont="1" applyFill="1" applyBorder="1" applyAlignment="1">
      <alignment horizontal="right"/>
    </xf>
    <xf numFmtId="0" fontId="40" fillId="0" borderId="0" xfId="0" applyFont="1" applyFill="1" applyAlignment="1">
      <alignment horizontal="left" vertical="center"/>
    </xf>
    <xf numFmtId="0" fontId="7" fillId="0" borderId="0" xfId="0" applyFont="1" applyFill="1" applyAlignment="1">
      <alignment horizontal="left"/>
    </xf>
    <xf numFmtId="10" fontId="2" fillId="0" borderId="0" xfId="2" applyNumberFormat="1" applyFont="1" applyFill="1" applyBorder="1" applyAlignment="1">
      <alignment vertical="center" wrapText="1"/>
    </xf>
    <xf numFmtId="0" fontId="6" fillId="0" borderId="0" xfId="5" applyFont="1" applyFill="1" applyBorder="1" applyAlignment="1">
      <alignment wrapText="1"/>
    </xf>
    <xf numFmtId="0" fontId="40" fillId="0" borderId="0" xfId="0" applyFont="1" applyFill="1" applyAlignment="1">
      <alignment vertical="center"/>
    </xf>
    <xf numFmtId="0" fontId="7" fillId="0" borderId="0" xfId="0" applyFont="1" applyFill="1" applyAlignment="1"/>
    <xf numFmtId="0" fontId="43" fillId="0" borderId="0" xfId="10" applyFill="1" applyAlignment="1"/>
    <xf numFmtId="0" fontId="7" fillId="0" borderId="0" xfId="0" applyFont="1" applyFill="1" applyBorder="1"/>
    <xf numFmtId="0" fontId="7" fillId="0" borderId="0" xfId="1" applyNumberFormat="1" applyFont="1" applyFill="1" applyBorder="1" applyAlignment="1">
      <alignment vertical="center" wrapText="1"/>
    </xf>
    <xf numFmtId="0" fontId="39" fillId="0" borderId="0" xfId="0" applyFont="1" applyFill="1" applyBorder="1" applyAlignment="1">
      <alignment horizontal="center" vertical="center"/>
    </xf>
    <xf numFmtId="0" fontId="7" fillId="0" borderId="0" xfId="1" applyNumberFormat="1" applyFont="1" applyFill="1" applyBorder="1" applyAlignment="1">
      <alignment horizontal="center" vertical="center" wrapText="1"/>
    </xf>
    <xf numFmtId="10" fontId="14" fillId="0" borderId="0" xfId="2" applyNumberFormat="1" applyFont="1" applyFill="1" applyBorder="1"/>
    <xf numFmtId="0" fontId="40" fillId="0" borderId="0" xfId="0" applyFont="1" applyFill="1" applyBorder="1" applyAlignment="1">
      <alignment vertical="center"/>
    </xf>
    <xf numFmtId="0" fontId="40" fillId="0" borderId="0" xfId="0" applyFont="1" applyFill="1" applyBorder="1" applyAlignment="1">
      <alignment horizontal="center" vertical="center"/>
    </xf>
    <xf numFmtId="0" fontId="7" fillId="0" borderId="0" xfId="0" applyFont="1" applyFill="1" applyBorder="1" applyAlignment="1"/>
    <xf numFmtId="0" fontId="7" fillId="0" borderId="0" xfId="0" applyFont="1" applyFill="1" applyBorder="1" applyAlignment="1">
      <alignment horizontal="justify"/>
    </xf>
    <xf numFmtId="0" fontId="6" fillId="0" borderId="0" xfId="0" applyFont="1" applyBorder="1"/>
    <xf numFmtId="10" fontId="6" fillId="0" borderId="0" xfId="0" applyNumberFormat="1" applyFont="1" applyBorder="1"/>
    <xf numFmtId="17" fontId="38" fillId="0" borderId="0" xfId="8" applyNumberFormat="1" applyFont="1" applyFill="1" applyBorder="1" applyAlignment="1"/>
    <xf numFmtId="169" fontId="7" fillId="0" borderId="0" xfId="4" applyNumberFormat="1" applyFont="1" applyFill="1" applyBorder="1"/>
    <xf numFmtId="170" fontId="21" fillId="6" borderId="0" xfId="8" applyNumberFormat="1" applyFont="1" applyBorder="1"/>
    <xf numFmtId="164" fontId="6" fillId="0" borderId="0" xfId="4" applyNumberFormat="1" applyFont="1" applyFill="1" applyBorder="1"/>
    <xf numFmtId="0" fontId="7" fillId="0" borderId="0" xfId="0" applyFont="1" applyFill="1" applyProtection="1">
      <protection locked="0"/>
    </xf>
    <xf numFmtId="0" fontId="6" fillId="0" borderId="0" xfId="0" applyFont="1" applyFill="1" applyBorder="1" applyProtection="1">
      <protection locked="0"/>
    </xf>
    <xf numFmtId="169" fontId="15" fillId="0" borderId="0" xfId="2" applyNumberFormat="1" applyFont="1" applyFill="1" applyBorder="1"/>
    <xf numFmtId="0" fontId="15" fillId="0" borderId="0" xfId="5" applyFont="1" applyFill="1" applyBorder="1"/>
    <xf numFmtId="0" fontId="11" fillId="0" borderId="0" xfId="5" applyFont="1" applyFill="1" applyBorder="1"/>
    <xf numFmtId="169" fontId="24" fillId="0" borderId="0" xfId="2" applyNumberFormat="1" applyFont="1" applyFill="1" applyBorder="1"/>
    <xf numFmtId="10" fontId="15" fillId="0" borderId="0" xfId="2" applyNumberFormat="1" applyFont="1" applyFill="1" applyBorder="1"/>
    <xf numFmtId="10" fontId="25" fillId="0" borderId="0" xfId="2" applyNumberFormat="1" applyFont="1" applyFill="1" applyBorder="1"/>
    <xf numFmtId="0" fontId="38" fillId="20" borderId="0" xfId="5" applyFont="1" applyFill="1" applyBorder="1"/>
    <xf numFmtId="0" fontId="7" fillId="0" borderId="0" xfId="3" applyFont="1" applyFill="1" applyBorder="1"/>
    <xf numFmtId="10" fontId="7" fillId="0" borderId="0" xfId="2" applyNumberFormat="1" applyFont="1" applyFill="1" applyBorder="1"/>
    <xf numFmtId="0" fontId="41" fillId="0" borderId="0" xfId="0" applyFont="1" applyFill="1" applyBorder="1" applyAlignment="1">
      <alignment horizontal="center" vertical="center"/>
    </xf>
    <xf numFmtId="0" fontId="41" fillId="0" borderId="0" xfId="0" applyFont="1" applyFill="1" applyBorder="1" applyAlignment="1">
      <alignment vertical="center"/>
    </xf>
    <xf numFmtId="9" fontId="14" fillId="12" borderId="0" xfId="2" applyFont="1" applyFill="1" applyBorder="1"/>
    <xf numFmtId="169" fontId="14" fillId="12" borderId="0" xfId="4" applyNumberFormat="1" applyFont="1" applyFill="1" applyBorder="1"/>
    <xf numFmtId="169" fontId="14" fillId="12" borderId="0" xfId="2" applyNumberFormat="1" applyFont="1" applyFill="1" applyBorder="1"/>
    <xf numFmtId="171" fontId="14" fillId="12" borderId="0" xfId="4" applyNumberFormat="1" applyFont="1" applyFill="1" applyBorder="1"/>
    <xf numFmtId="3" fontId="2" fillId="12" borderId="5" xfId="0" applyNumberFormat="1" applyFont="1" applyFill="1" applyBorder="1" applyAlignment="1">
      <alignment vertical="center" wrapText="1"/>
    </xf>
    <xf numFmtId="164" fontId="6" fillId="12" borderId="5" xfId="1" applyNumberFormat="1" applyFont="1" applyFill="1" applyBorder="1"/>
    <xf numFmtId="10" fontId="6" fillId="12" borderId="3" xfId="2" applyNumberFormat="1" applyFont="1" applyFill="1" applyBorder="1"/>
    <xf numFmtId="10" fontId="6" fillId="12" borderId="5" xfId="2" applyNumberFormat="1" applyFont="1" applyFill="1" applyBorder="1"/>
    <xf numFmtId="164" fontId="6" fillId="12" borderId="0" xfId="4" applyNumberFormat="1" applyFont="1" applyFill="1" applyBorder="1"/>
    <xf numFmtId="168" fontId="7" fillId="12" borderId="0" xfId="4" applyNumberFormat="1" applyFont="1" applyFill="1" applyBorder="1"/>
    <xf numFmtId="164" fontId="7" fillId="12" borderId="0" xfId="4" applyNumberFormat="1" applyFont="1" applyFill="1" applyBorder="1"/>
    <xf numFmtId="10" fontId="14" fillId="12" borderId="0" xfId="2" applyNumberFormat="1" applyFont="1" applyFill="1" applyBorder="1"/>
    <xf numFmtId="10" fontId="15" fillId="12" borderId="3" xfId="2" applyNumberFormat="1" applyFont="1" applyFill="1" applyBorder="1"/>
    <xf numFmtId="10" fontId="15" fillId="12" borderId="0" xfId="2" applyNumberFormat="1" applyFont="1" applyFill="1" applyBorder="1"/>
    <xf numFmtId="10" fontId="15" fillId="12" borderId="5" xfId="2" applyNumberFormat="1" applyFont="1" applyFill="1" applyBorder="1"/>
    <xf numFmtId="10" fontId="14" fillId="12" borderId="3" xfId="2" applyNumberFormat="1" applyFont="1" applyFill="1" applyBorder="1"/>
    <xf numFmtId="10" fontId="25" fillId="12" borderId="0" xfId="2" applyNumberFormat="1" applyFont="1" applyFill="1" applyBorder="1"/>
    <xf numFmtId="170" fontId="38" fillId="20" borderId="2" xfId="8" applyNumberFormat="1" applyFont="1" applyFill="1"/>
    <xf numFmtId="0" fontId="38" fillId="0" borderId="0" xfId="0" applyFont="1" applyFill="1"/>
    <xf numFmtId="167" fontId="38" fillId="20" borderId="2" xfId="8" applyNumberFormat="1" applyFont="1" applyFill="1" applyBorder="1"/>
    <xf numFmtId="170" fontId="38" fillId="20" borderId="2" xfId="8" applyNumberFormat="1" applyFont="1" applyFill="1" applyBorder="1"/>
    <xf numFmtId="0" fontId="44" fillId="19" borderId="0" xfId="5" applyFont="1" applyFill="1" applyBorder="1"/>
    <xf numFmtId="0" fontId="11" fillId="19" borderId="0" xfId="5" applyFont="1" applyFill="1" applyBorder="1"/>
    <xf numFmtId="0" fontId="14" fillId="19" borderId="0" xfId="5" applyFont="1" applyFill="1" applyBorder="1"/>
    <xf numFmtId="0" fontId="15" fillId="19" borderId="3" xfId="5" applyFont="1" applyFill="1" applyBorder="1"/>
    <xf numFmtId="0" fontId="10" fillId="19" borderId="0" xfId="3" applyFont="1" applyFill="1" applyBorder="1" applyAlignment="1">
      <alignment wrapText="1"/>
    </xf>
    <xf numFmtId="0" fontId="15" fillId="19" borderId="2" xfId="5" applyFont="1" applyFill="1" applyBorder="1"/>
    <xf numFmtId="0" fontId="15" fillId="19" borderId="5" xfId="5" applyFont="1" applyFill="1" applyBorder="1"/>
    <xf numFmtId="0" fontId="15" fillId="19" borderId="0" xfId="5" applyFont="1" applyFill="1" applyBorder="1"/>
    <xf numFmtId="0" fontId="7" fillId="19" borderId="2" xfId="5" applyFont="1" applyFill="1" applyBorder="1"/>
    <xf numFmtId="0" fontId="7" fillId="19" borderId="0" xfId="5" applyFont="1" applyFill="1" applyBorder="1"/>
    <xf numFmtId="0" fontId="6" fillId="19" borderId="5" xfId="3" applyFont="1" applyFill="1" applyBorder="1"/>
    <xf numFmtId="0" fontId="2" fillId="19" borderId="5" xfId="0" applyFont="1" applyFill="1" applyBorder="1" applyAlignment="1">
      <alignment vertical="center" wrapText="1"/>
    </xf>
    <xf numFmtId="0" fontId="7" fillId="19" borderId="0" xfId="5" applyFont="1" applyFill="1" applyBorder="1" applyAlignment="1">
      <alignment wrapText="1"/>
    </xf>
    <xf numFmtId="0" fontId="7" fillId="19" borderId="3" xfId="5" applyFont="1" applyFill="1" applyBorder="1" applyAlignment="1">
      <alignment wrapText="1"/>
    </xf>
    <xf numFmtId="169" fontId="30" fillId="19" borderId="5" xfId="2" applyNumberFormat="1" applyFont="1" applyFill="1" applyBorder="1"/>
    <xf numFmtId="0" fontId="7" fillId="19" borderId="0" xfId="3" applyFont="1" applyFill="1" applyBorder="1"/>
    <xf numFmtId="10" fontId="7" fillId="21" borderId="0" xfId="2" applyNumberFormat="1" applyFont="1" applyFill="1" applyBorder="1"/>
    <xf numFmtId="17" fontId="38" fillId="20" borderId="0" xfId="8" applyNumberFormat="1" applyFont="1" applyFill="1" applyBorder="1"/>
    <xf numFmtId="0" fontId="41" fillId="0" borderId="0" xfId="0" applyFont="1" applyFill="1" applyBorder="1" applyAlignment="1">
      <alignment horizontal="left" vertical="center"/>
    </xf>
    <xf numFmtId="17" fontId="38" fillId="0" borderId="0" xfId="8" applyNumberFormat="1" applyFont="1" applyFill="1" applyBorder="1" applyAlignment="1">
      <alignment horizontal="center"/>
    </xf>
    <xf numFmtId="0" fontId="38" fillId="20" borderId="2" xfId="5" applyFont="1" applyFill="1" applyBorder="1" applyProtection="1">
      <protection locked="0"/>
    </xf>
    <xf numFmtId="167" fontId="38" fillId="20" borderId="2" xfId="8" applyFont="1" applyFill="1" applyProtection="1">
      <protection locked="0"/>
    </xf>
    <xf numFmtId="167" fontId="38" fillId="20" borderId="2" xfId="8" applyNumberFormat="1" applyFont="1" applyFill="1" applyProtection="1">
      <protection locked="0"/>
    </xf>
    <xf numFmtId="170" fontId="38" fillId="20" borderId="2" xfId="8" applyNumberFormat="1" applyFont="1" applyFill="1" applyProtection="1">
      <protection locked="0"/>
    </xf>
    <xf numFmtId="0" fontId="38" fillId="0" borderId="0" xfId="0" applyFont="1" applyFill="1" applyProtection="1">
      <protection locked="0"/>
    </xf>
    <xf numFmtId="167" fontId="38" fillId="20" borderId="2" xfId="8" applyFont="1" applyFill="1"/>
    <xf numFmtId="0" fontId="45" fillId="20" borderId="2" xfId="5" applyFont="1" applyFill="1" applyBorder="1" applyProtection="1"/>
    <xf numFmtId="167" fontId="45" fillId="20" borderId="2" xfId="8" applyFont="1" applyFill="1" applyProtection="1"/>
    <xf numFmtId="167" fontId="45" fillId="20" borderId="2" xfId="8" applyNumberFormat="1" applyFont="1" applyFill="1" applyProtection="1"/>
    <xf numFmtId="170" fontId="45" fillId="20" borderId="2" xfId="8" applyNumberFormat="1" applyFont="1" applyFill="1" applyProtection="1"/>
    <xf numFmtId="0" fontId="45" fillId="0" borderId="0" xfId="0" applyFont="1" applyFill="1" applyProtection="1"/>
    <xf numFmtId="169" fontId="7" fillId="21" borderId="0" xfId="2" applyNumberFormat="1" applyFont="1" applyFill="1" applyBorder="1"/>
    <xf numFmtId="169" fontId="7" fillId="0" borderId="0" xfId="2" applyNumberFormat="1" applyFont="1" applyFill="1" applyBorder="1"/>
    <xf numFmtId="0" fontId="26" fillId="3" borderId="0" xfId="5" applyFont="1" applyAlignment="1">
      <alignment wrapText="1"/>
    </xf>
    <xf numFmtId="164" fontId="26" fillId="2" borderId="0" xfId="4" applyNumberFormat="1" applyFont="1"/>
    <xf numFmtId="4" fontId="26" fillId="2" borderId="0" xfId="4" applyNumberFormat="1" applyFont="1"/>
    <xf numFmtId="164" fontId="26" fillId="0" borderId="0" xfId="1" applyNumberFormat="1" applyFont="1"/>
    <xf numFmtId="0" fontId="2" fillId="0" borderId="3" xfId="0" applyFont="1" applyBorder="1" applyAlignment="1">
      <alignment vertical="center" wrapText="1"/>
    </xf>
    <xf numFmtId="10" fontId="2" fillId="0" borderId="3" xfId="2" applyNumberFormat="1" applyFont="1" applyBorder="1" applyAlignment="1">
      <alignment vertical="center" wrapText="1"/>
    </xf>
    <xf numFmtId="0" fontId="6" fillId="0" borderId="2" xfId="5" applyFont="1" applyFill="1" applyBorder="1"/>
    <xf numFmtId="17" fontId="15" fillId="0" borderId="2" xfId="8" applyNumberFormat="1" applyFont="1" applyFill="1" applyAlignment="1"/>
    <xf numFmtId="169" fontId="15" fillId="0" borderId="0" xfId="4" applyNumberFormat="1" applyFont="1" applyFill="1" applyBorder="1"/>
    <xf numFmtId="0" fontId="6" fillId="11" borderId="0" xfId="5" applyFont="1" applyFill="1" applyBorder="1" applyAlignment="1"/>
    <xf numFmtId="0" fontId="7" fillId="0" borderId="0" xfId="0" applyFont="1" applyProtection="1"/>
    <xf numFmtId="0" fontId="38" fillId="20" borderId="2" xfId="5" applyFont="1" applyFill="1" applyBorder="1" applyProtection="1"/>
    <xf numFmtId="0" fontId="7" fillId="3" borderId="2" xfId="5" applyFont="1" applyBorder="1" applyProtection="1"/>
    <xf numFmtId="165" fontId="18" fillId="2" borderId="2" xfId="4" applyNumberFormat="1" applyFont="1" applyBorder="1" applyProtection="1"/>
    <xf numFmtId="165" fontId="18" fillId="8" borderId="2" xfId="4" applyNumberFormat="1" applyFont="1" applyFill="1" applyBorder="1" applyProtection="1"/>
    <xf numFmtId="165" fontId="7" fillId="0" borderId="2" xfId="4" applyNumberFormat="1" applyFont="1" applyFill="1" applyBorder="1" applyProtection="1"/>
    <xf numFmtId="165" fontId="7" fillId="0" borderId="0" xfId="4" applyNumberFormat="1" applyFont="1" applyFill="1" applyBorder="1" applyProtection="1"/>
    <xf numFmtId="164" fontId="6" fillId="8" borderId="3" xfId="4" applyNumberFormat="1" applyFont="1" applyFill="1" applyBorder="1" applyProtection="1"/>
    <xf numFmtId="164" fontId="6" fillId="0" borderId="3" xfId="4" applyNumberFormat="1" applyFont="1" applyFill="1" applyBorder="1" applyProtection="1"/>
    <xf numFmtId="164" fontId="18" fillId="2" borderId="2" xfId="4" applyNumberFormat="1" applyFont="1" applyBorder="1" applyProtection="1"/>
    <xf numFmtId="10" fontId="17" fillId="0" borderId="0" xfId="2" applyNumberFormat="1" applyFont="1" applyFill="1" applyBorder="1" applyProtection="1"/>
    <xf numFmtId="165" fontId="18" fillId="2" borderId="0" xfId="4" applyNumberFormat="1" applyFont="1" applyBorder="1" applyProtection="1"/>
    <xf numFmtId="0" fontId="17" fillId="3" borderId="2" xfId="5" applyFont="1" applyBorder="1" applyProtection="1"/>
    <xf numFmtId="10" fontId="17" fillId="2" borderId="2" xfId="2" applyNumberFormat="1" applyFont="1" applyFill="1" applyBorder="1" applyProtection="1"/>
    <xf numFmtId="10" fontId="17" fillId="8" borderId="2" xfId="2" applyNumberFormat="1" applyFont="1" applyFill="1" applyBorder="1" applyProtection="1"/>
    <xf numFmtId="10" fontId="17" fillId="0" borderId="2" xfId="2" applyNumberFormat="1" applyFont="1" applyFill="1" applyBorder="1" applyProtection="1"/>
    <xf numFmtId="0" fontId="6" fillId="3" borderId="4" xfId="3" applyFont="1" applyFill="1" applyBorder="1" applyProtection="1"/>
    <xf numFmtId="164" fontId="6" fillId="2" borderId="4" xfId="3" applyNumberFormat="1" applyFont="1" applyFill="1" applyBorder="1" applyProtection="1"/>
    <xf numFmtId="164" fontId="6" fillId="8" borderId="4" xfId="3" applyNumberFormat="1" applyFont="1" applyFill="1" applyBorder="1" applyProtection="1"/>
    <xf numFmtId="164" fontId="6" fillId="0" borderId="4" xfId="3" applyNumberFormat="1" applyFont="1" applyFill="1" applyBorder="1" applyProtection="1"/>
    <xf numFmtId="10" fontId="7" fillId="0" borderId="0" xfId="2" applyNumberFormat="1" applyFont="1" applyProtection="1"/>
    <xf numFmtId="167" fontId="38" fillId="20" borderId="2" xfId="8" applyNumberFormat="1" applyFont="1" applyFill="1" applyBorder="1" applyProtection="1"/>
    <xf numFmtId="170" fontId="38" fillId="20" borderId="2" xfId="8" applyNumberFormat="1" applyFont="1" applyFill="1" applyBorder="1" applyProtection="1"/>
    <xf numFmtId="164" fontId="6" fillId="2" borderId="0" xfId="4" applyNumberFormat="1" applyFont="1" applyBorder="1" applyProtection="1"/>
    <xf numFmtId="168" fontId="7" fillId="2" borderId="0" xfId="4" applyNumberFormat="1" applyFont="1" applyBorder="1" applyProtection="1"/>
    <xf numFmtId="164" fontId="7" fillId="8" borderId="0" xfId="4" applyNumberFormat="1" applyFont="1" applyFill="1" applyBorder="1" applyProtection="1"/>
    <xf numFmtId="164" fontId="7" fillId="0" borderId="0" xfId="4" applyNumberFormat="1" applyFont="1" applyFill="1" applyBorder="1" applyProtection="1"/>
    <xf numFmtId="0" fontId="11" fillId="3" borderId="0" xfId="5" applyFont="1" applyBorder="1" applyProtection="1"/>
    <xf numFmtId="0" fontId="14" fillId="3" borderId="0" xfId="5" applyFont="1" applyBorder="1" applyProtection="1"/>
    <xf numFmtId="164" fontId="18" fillId="2" borderId="0" xfId="4" applyNumberFormat="1" applyFont="1" applyBorder="1" applyProtection="1"/>
    <xf numFmtId="168" fontId="18" fillId="2" borderId="0" xfId="4" applyNumberFormat="1" applyFont="1" applyBorder="1" applyProtection="1"/>
    <xf numFmtId="164" fontId="18" fillId="8" borderId="0" xfId="4" applyNumberFormat="1" applyFont="1" applyFill="1" applyBorder="1" applyProtection="1"/>
    <xf numFmtId="169" fontId="7" fillId="6" borderId="0" xfId="4" applyNumberFormat="1" applyFont="1" applyFill="1" applyBorder="1" applyProtection="1"/>
    <xf numFmtId="169" fontId="14" fillId="0" borderId="0" xfId="4" applyNumberFormat="1" applyFont="1" applyFill="1" applyBorder="1" applyProtection="1"/>
    <xf numFmtId="169" fontId="7" fillId="0" borderId="0" xfId="4" applyNumberFormat="1" applyFont="1" applyFill="1" applyBorder="1" applyProtection="1"/>
    <xf numFmtId="169" fontId="22" fillId="0" borderId="0" xfId="4" applyNumberFormat="1" applyFont="1" applyFill="1" applyBorder="1" applyProtection="1"/>
    <xf numFmtId="169" fontId="22" fillId="0" borderId="0" xfId="2" applyNumberFormat="1" applyFont="1" applyFill="1" applyBorder="1" applyProtection="1"/>
    <xf numFmtId="169" fontId="14" fillId="0" borderId="0" xfId="2" applyNumberFormat="1" applyFont="1" applyFill="1" applyBorder="1" applyProtection="1"/>
    <xf numFmtId="0" fontId="15" fillId="3" borderId="3" xfId="5" applyFont="1" applyBorder="1" applyProtection="1"/>
    <xf numFmtId="164" fontId="6" fillId="2" borderId="3" xfId="4" applyNumberFormat="1" applyFont="1" applyBorder="1" applyProtection="1"/>
    <xf numFmtId="169" fontId="6" fillId="6" borderId="3" xfId="4" applyNumberFormat="1" applyFont="1" applyFill="1" applyBorder="1" applyProtection="1"/>
    <xf numFmtId="0" fontId="10" fillId="3" borderId="0" xfId="3" applyFont="1" applyFill="1" applyBorder="1" applyAlignment="1" applyProtection="1">
      <alignment wrapText="1"/>
    </xf>
    <xf numFmtId="164" fontId="6" fillId="2" borderId="0" xfId="3" applyNumberFormat="1" applyFont="1" applyFill="1" applyBorder="1" applyProtection="1"/>
    <xf numFmtId="164" fontId="6" fillId="8" borderId="0" xfId="3" applyNumberFormat="1" applyFont="1" applyFill="1" applyBorder="1" applyProtection="1"/>
    <xf numFmtId="164" fontId="6" fillId="0" borderId="0" xfId="3" applyNumberFormat="1" applyFont="1" applyFill="1" applyBorder="1" applyProtection="1"/>
    <xf numFmtId="164" fontId="18" fillId="2" borderId="0" xfId="3" applyNumberFormat="1" applyFont="1" applyFill="1" applyBorder="1" applyProtection="1"/>
    <xf numFmtId="2" fontId="14" fillId="0" borderId="0" xfId="2" applyNumberFormat="1" applyFont="1" applyFill="1" applyBorder="1" applyProtection="1"/>
    <xf numFmtId="164" fontId="6" fillId="8" borderId="3" xfId="1" applyNumberFormat="1" applyFont="1" applyFill="1" applyBorder="1" applyProtection="1"/>
    <xf numFmtId="164" fontId="6" fillId="0" borderId="3" xfId="1" applyNumberFormat="1" applyFont="1" applyBorder="1" applyProtection="1"/>
    <xf numFmtId="0" fontId="15" fillId="3" borderId="2" xfId="5" applyFont="1" applyBorder="1" applyProtection="1"/>
    <xf numFmtId="164" fontId="7" fillId="8" borderId="0" xfId="1" applyNumberFormat="1" applyFont="1" applyFill="1" applyBorder="1" applyProtection="1"/>
    <xf numFmtId="164" fontId="7" fillId="0" borderId="0" xfId="1" applyNumberFormat="1" applyFont="1" applyBorder="1" applyProtection="1"/>
    <xf numFmtId="164" fontId="6" fillId="0" borderId="0" xfId="1" applyNumberFormat="1" applyFont="1" applyBorder="1" applyProtection="1"/>
    <xf numFmtId="164" fontId="6" fillId="2" borderId="5" xfId="4" applyNumberFormat="1" applyFont="1" applyBorder="1" applyProtection="1"/>
    <xf numFmtId="164" fontId="6" fillId="8" borderId="5" xfId="1" applyNumberFormat="1" applyFont="1" applyFill="1" applyBorder="1" applyProtection="1"/>
    <xf numFmtId="164" fontId="6" fillId="0" borderId="5" xfId="1" applyNumberFormat="1" applyFont="1" applyBorder="1" applyProtection="1"/>
    <xf numFmtId="169" fontId="23" fillId="8" borderId="0" xfId="2" applyNumberFormat="1" applyFont="1" applyFill="1" applyBorder="1" applyProtection="1"/>
    <xf numFmtId="169" fontId="22" fillId="6" borderId="0" xfId="2" applyNumberFormat="1" applyFont="1" applyFill="1" applyBorder="1" applyProtection="1"/>
    <xf numFmtId="168" fontId="7" fillId="2" borderId="3" xfId="4" applyNumberFormat="1" applyFont="1" applyBorder="1" applyProtection="1"/>
    <xf numFmtId="168" fontId="7" fillId="8" borderId="3" xfId="4" applyNumberFormat="1" applyFont="1" applyFill="1" applyBorder="1" applyProtection="1"/>
    <xf numFmtId="168" fontId="7" fillId="6" borderId="3" xfId="4" applyNumberFormat="1" applyFont="1" applyFill="1" applyBorder="1" applyProtection="1"/>
    <xf numFmtId="168" fontId="18" fillId="8" borderId="0" xfId="4" applyNumberFormat="1" applyFont="1" applyFill="1" applyBorder="1" applyProtection="1"/>
    <xf numFmtId="168" fontId="22" fillId="6" borderId="0" xfId="4" applyNumberFormat="1" applyFont="1" applyFill="1" applyBorder="1" applyProtection="1"/>
    <xf numFmtId="169" fontId="15" fillId="2" borderId="5" xfId="2" applyNumberFormat="1" applyFont="1" applyFill="1" applyBorder="1" applyProtection="1"/>
    <xf numFmtId="169" fontId="15" fillId="8" borderId="5" xfId="2" applyNumberFormat="1" applyFont="1" applyFill="1" applyBorder="1" applyProtection="1"/>
    <xf numFmtId="169" fontId="15" fillId="6" borderId="5" xfId="2" applyNumberFormat="1" applyFont="1" applyFill="1" applyBorder="1" applyProtection="1"/>
    <xf numFmtId="166" fontId="8" fillId="2" borderId="0" xfId="2" applyNumberFormat="1" applyFont="1" applyFill="1" applyBorder="1" applyProtection="1"/>
    <xf numFmtId="169" fontId="25" fillId="2" borderId="0" xfId="2" applyNumberFormat="1" applyFont="1" applyFill="1" applyBorder="1" applyProtection="1"/>
    <xf numFmtId="169" fontId="23" fillId="2" borderId="0" xfId="2" applyNumberFormat="1" applyFont="1" applyFill="1" applyBorder="1" applyProtection="1"/>
    <xf numFmtId="169" fontId="15" fillId="2" borderId="3" xfId="2" applyNumberFormat="1" applyFont="1" applyFill="1" applyBorder="1" applyProtection="1"/>
    <xf numFmtId="169" fontId="15" fillId="0" borderId="3" xfId="2" applyNumberFormat="1" applyFont="1" applyFill="1" applyBorder="1" applyProtection="1"/>
    <xf numFmtId="0" fontId="7" fillId="0" borderId="0" xfId="0" applyFont="1" applyBorder="1" applyProtection="1"/>
    <xf numFmtId="169" fontId="24" fillId="2" borderId="0" xfId="2" applyNumberFormat="1" applyFont="1" applyFill="1" applyBorder="1" applyAlignment="1" applyProtection="1">
      <alignment horizontal="right"/>
    </xf>
    <xf numFmtId="165" fontId="35" fillId="0" borderId="0" xfId="4" applyNumberFormat="1" applyFont="1" applyFill="1" applyBorder="1" applyAlignment="1" applyProtection="1">
      <alignment horizontal="right"/>
    </xf>
    <xf numFmtId="9" fontId="7" fillId="0" borderId="0" xfId="2" applyFont="1" applyProtection="1"/>
    <xf numFmtId="0" fontId="7" fillId="0" borderId="6" xfId="0" applyFont="1" applyBorder="1"/>
    <xf numFmtId="0" fontId="7" fillId="0" borderId="3" xfId="0" applyFont="1" applyBorder="1"/>
    <xf numFmtId="164" fontId="7" fillId="0" borderId="3" xfId="1" applyNumberFormat="1" applyFont="1" applyBorder="1"/>
    <xf numFmtId="0" fontId="7" fillId="0" borderId="7" xfId="0" applyFont="1" applyBorder="1"/>
    <xf numFmtId="0" fontId="7" fillId="0" borderId="8" xfId="0" applyFont="1" applyBorder="1"/>
    <xf numFmtId="0" fontId="40" fillId="20" borderId="0" xfId="0" applyFont="1" applyFill="1" applyBorder="1" applyAlignment="1">
      <alignment horizontal="center" vertical="center"/>
    </xf>
    <xf numFmtId="0" fontId="7" fillId="0" borderId="9" xfId="0" applyFont="1" applyBorder="1"/>
    <xf numFmtId="0" fontId="7" fillId="0" borderId="0" xfId="1" applyNumberFormat="1" applyFont="1" applyBorder="1" applyAlignment="1">
      <alignment horizontal="justify" vertical="center" wrapText="1"/>
    </xf>
    <xf numFmtId="0" fontId="7" fillId="0" borderId="0" xfId="1" applyNumberFormat="1" applyFont="1" applyBorder="1" applyAlignment="1">
      <alignment horizontal="center" vertical="center" wrapText="1"/>
    </xf>
    <xf numFmtId="0" fontId="41" fillId="20" borderId="0" xfId="0" applyFont="1" applyFill="1" applyBorder="1" applyAlignment="1">
      <alignment horizontal="left" vertical="center"/>
    </xf>
    <xf numFmtId="17" fontId="38" fillId="20" borderId="2" xfId="8" applyNumberFormat="1" applyFont="1" applyFill="1" applyBorder="1"/>
    <xf numFmtId="0" fontId="6" fillId="0" borderId="9" xfId="0" applyFont="1" applyBorder="1"/>
    <xf numFmtId="9" fontId="14" fillId="0" borderId="9" xfId="2" applyFont="1" applyFill="1" applyBorder="1"/>
    <xf numFmtId="10" fontId="6" fillId="0" borderId="9" xfId="0" applyNumberFormat="1" applyFont="1" applyBorder="1"/>
    <xf numFmtId="169" fontId="14" fillId="0" borderId="0" xfId="0" applyNumberFormat="1" applyFont="1" applyFill="1" applyBorder="1"/>
    <xf numFmtId="17" fontId="38" fillId="20" borderId="2" xfId="8" applyNumberFormat="1" applyFont="1" applyFill="1" applyBorder="1" applyAlignment="1">
      <alignment horizontal="right"/>
    </xf>
    <xf numFmtId="0" fontId="2" fillId="19" borderId="0" xfId="0" applyFont="1" applyFill="1" applyBorder="1" applyAlignment="1">
      <alignment vertical="center" wrapText="1"/>
    </xf>
    <xf numFmtId="4" fontId="0" fillId="12" borderId="0" xfId="0" applyNumberFormat="1" applyFill="1" applyBorder="1" applyAlignment="1">
      <alignment vertical="center" wrapText="1"/>
    </xf>
    <xf numFmtId="10" fontId="7" fillId="0" borderId="9" xfId="0" applyNumberFormat="1" applyFont="1" applyBorder="1"/>
    <xf numFmtId="0" fontId="0" fillId="19" borderId="0" xfId="0" applyFill="1" applyBorder="1" applyAlignment="1">
      <alignment vertical="center" wrapText="1"/>
    </xf>
    <xf numFmtId="169" fontId="17" fillId="0" borderId="9" xfId="2" applyNumberFormat="1" applyFont="1" applyFill="1" applyBorder="1"/>
    <xf numFmtId="169" fontId="14" fillId="0" borderId="9" xfId="2" applyNumberFormat="1" applyFont="1" applyFill="1" applyBorder="1"/>
    <xf numFmtId="0" fontId="7" fillId="0" borderId="8" xfId="0" applyFont="1" applyFill="1" applyBorder="1"/>
    <xf numFmtId="0" fontId="7" fillId="0" borderId="9" xfId="0" applyFont="1" applyFill="1" applyBorder="1"/>
    <xf numFmtId="0" fontId="7" fillId="0" borderId="0" xfId="0" applyFont="1" applyFill="1" applyBorder="1" applyAlignment="1">
      <alignment horizontal="justify" vertical="top"/>
    </xf>
    <xf numFmtId="0" fontId="7" fillId="0" borderId="0" xfId="0" applyFont="1" applyBorder="1" applyAlignment="1">
      <alignment horizontal="justify"/>
    </xf>
    <xf numFmtId="0" fontId="40" fillId="0" borderId="8" xfId="0" applyFont="1" applyFill="1" applyBorder="1" applyAlignment="1">
      <alignment vertical="center"/>
    </xf>
    <xf numFmtId="0" fontId="7" fillId="0" borderId="10" xfId="0" applyFont="1" applyBorder="1"/>
    <xf numFmtId="0" fontId="7" fillId="0" borderId="2" xfId="0" applyFont="1" applyBorder="1"/>
    <xf numFmtId="164" fontId="7" fillId="0" borderId="2" xfId="1" applyNumberFormat="1" applyFont="1" applyBorder="1"/>
    <xf numFmtId="0" fontId="7" fillId="0" borderId="11" xfId="0" applyFont="1" applyBorder="1"/>
    <xf numFmtId="164" fontId="7" fillId="0" borderId="7" xfId="1" applyNumberFormat="1" applyFont="1" applyBorder="1"/>
    <xf numFmtId="164" fontId="7" fillId="0" borderId="9" xfId="1" applyNumberFormat="1" applyFont="1" applyBorder="1"/>
    <xf numFmtId="0" fontId="7" fillId="0" borderId="0" xfId="5" applyFont="1" applyFill="1" applyBorder="1" applyAlignment="1">
      <alignment wrapText="1"/>
    </xf>
    <xf numFmtId="169" fontId="7" fillId="0" borderId="0" xfId="1" applyNumberFormat="1" applyFont="1" applyBorder="1"/>
    <xf numFmtId="0" fontId="0" fillId="0" borderId="0" xfId="0" applyFill="1" applyBorder="1" applyAlignment="1">
      <alignment vertical="center" wrapText="1"/>
    </xf>
    <xf numFmtId="4" fontId="0" fillId="0" borderId="0" xfId="0" applyNumberFormat="1" applyFill="1" applyBorder="1" applyAlignment="1">
      <alignment vertical="center" wrapText="1"/>
    </xf>
    <xf numFmtId="10" fontId="0" fillId="0" borderId="0" xfId="2" applyNumberFormat="1" applyFont="1" applyFill="1" applyBorder="1" applyAlignment="1">
      <alignment vertical="center" wrapText="1"/>
    </xf>
    <xf numFmtId="0" fontId="46" fillId="0" borderId="8" xfId="0" applyFont="1" applyFill="1" applyBorder="1" applyAlignment="1">
      <alignment vertical="center"/>
    </xf>
    <xf numFmtId="0" fontId="7" fillId="0" borderId="0" xfId="0" applyFont="1" applyFill="1" applyBorder="1" applyAlignment="1">
      <alignment horizontal="left"/>
    </xf>
    <xf numFmtId="164" fontId="43" fillId="0" borderId="0" xfId="10" applyNumberFormat="1" applyBorder="1" applyAlignment="1">
      <alignment horizontal="left"/>
    </xf>
    <xf numFmtId="164" fontId="7" fillId="0" borderId="0" xfId="1" applyNumberFormat="1" applyFont="1" applyBorder="1" applyAlignment="1">
      <alignment horizontal="left"/>
    </xf>
    <xf numFmtId="0" fontId="41" fillId="0" borderId="2" xfId="0" applyFont="1" applyFill="1" applyBorder="1" applyAlignment="1">
      <alignment horizontal="center" vertical="center"/>
    </xf>
    <xf numFmtId="164" fontId="7" fillId="0" borderId="11" xfId="1" applyNumberFormat="1" applyFont="1" applyBorder="1"/>
    <xf numFmtId="0" fontId="7" fillId="0" borderId="7" xfId="0" applyFont="1" applyFill="1" applyBorder="1"/>
    <xf numFmtId="0" fontId="6" fillId="0" borderId="9" xfId="0" applyFont="1" applyFill="1" applyBorder="1"/>
    <xf numFmtId="164" fontId="14" fillId="0" borderId="9" xfId="4" applyNumberFormat="1" applyFont="1" applyFill="1" applyBorder="1"/>
    <xf numFmtId="0" fontId="6" fillId="19" borderId="0" xfId="5" applyFont="1" applyFill="1" applyBorder="1"/>
    <xf numFmtId="169" fontId="15" fillId="0" borderId="9" xfId="2" applyNumberFormat="1" applyFont="1" applyFill="1" applyBorder="1"/>
    <xf numFmtId="0" fontId="15" fillId="0" borderId="2" xfId="5" applyFont="1" applyFill="1" applyBorder="1"/>
    <xf numFmtId="169" fontId="24" fillId="0" borderId="2" xfId="2" applyNumberFormat="1" applyFont="1" applyFill="1" applyBorder="1"/>
    <xf numFmtId="0" fontId="7" fillId="0" borderId="11" xfId="0" applyFont="1" applyFill="1" applyBorder="1"/>
    <xf numFmtId="0" fontId="7" fillId="0" borderId="3" xfId="0" applyFont="1" applyFill="1" applyBorder="1"/>
    <xf numFmtId="170" fontId="21" fillId="6" borderId="9" xfId="8" applyNumberFormat="1" applyFont="1" applyBorder="1"/>
    <xf numFmtId="165" fontId="7" fillId="0" borderId="9" xfId="4" applyNumberFormat="1" applyFont="1" applyFill="1" applyBorder="1"/>
    <xf numFmtId="164" fontId="6" fillId="0" borderId="9" xfId="4" applyNumberFormat="1" applyFont="1" applyFill="1" applyBorder="1"/>
    <xf numFmtId="164" fontId="7" fillId="0" borderId="9" xfId="4" applyNumberFormat="1" applyFont="1" applyFill="1" applyBorder="1"/>
    <xf numFmtId="164" fontId="7" fillId="0" borderId="9" xfId="1" applyNumberFormat="1" applyFont="1" applyFill="1" applyBorder="1"/>
    <xf numFmtId="0" fontId="7" fillId="0" borderId="6" xfId="0" applyFont="1" applyBorder="1" applyProtection="1"/>
    <xf numFmtId="0" fontId="7" fillId="0" borderId="3" xfId="0" applyFont="1" applyBorder="1" applyProtection="1"/>
    <xf numFmtId="164" fontId="7" fillId="0" borderId="3" xfId="1" applyNumberFormat="1" applyFont="1" applyBorder="1" applyProtection="1"/>
    <xf numFmtId="164" fontId="7" fillId="0" borderId="7" xfId="1" applyNumberFormat="1" applyFont="1" applyBorder="1" applyProtection="1"/>
    <xf numFmtId="0" fontId="7" fillId="0" borderId="8" xfId="0" applyFont="1" applyBorder="1" applyProtection="1"/>
    <xf numFmtId="0" fontId="40" fillId="0" borderId="9" xfId="0" applyFont="1" applyFill="1" applyBorder="1" applyAlignment="1" applyProtection="1"/>
    <xf numFmtId="164" fontId="7" fillId="0" borderId="9" xfId="1" applyNumberFormat="1" applyFont="1" applyBorder="1" applyProtection="1"/>
    <xf numFmtId="0" fontId="6" fillId="3" borderId="0" xfId="5" applyFont="1" applyBorder="1" applyProtection="1"/>
    <xf numFmtId="0" fontId="6" fillId="11" borderId="0" xfId="0" applyFont="1" applyFill="1" applyBorder="1" applyProtection="1"/>
    <xf numFmtId="0" fontId="7" fillId="0" borderId="9" xfId="0" applyFont="1" applyBorder="1" applyProtection="1"/>
    <xf numFmtId="0" fontId="38" fillId="0" borderId="0" xfId="0" applyFont="1" applyFill="1" applyBorder="1" applyProtection="1"/>
    <xf numFmtId="164" fontId="14" fillId="2" borderId="0" xfId="4" applyNumberFormat="1" applyFont="1" applyBorder="1" applyProtection="1"/>
    <xf numFmtId="43" fontId="14" fillId="8" borderId="0" xfId="1" applyFont="1" applyFill="1" applyBorder="1" applyProtection="1"/>
    <xf numFmtId="0" fontId="18" fillId="8" borderId="0" xfId="0" applyFont="1" applyFill="1" applyBorder="1" applyProtection="1"/>
    <xf numFmtId="164" fontId="6" fillId="8" borderId="0" xfId="4" applyNumberFormat="1" applyFont="1" applyFill="1" applyBorder="1" applyProtection="1"/>
    <xf numFmtId="164" fontId="6" fillId="0" borderId="0" xfId="4" applyNumberFormat="1" applyFont="1" applyFill="1" applyBorder="1" applyProtection="1"/>
    <xf numFmtId="0" fontId="17" fillId="3" borderId="0" xfId="5" applyFont="1" applyBorder="1" applyProtection="1"/>
    <xf numFmtId="10" fontId="17" fillId="2" borderId="0" xfId="2" applyNumberFormat="1" applyFont="1" applyFill="1" applyBorder="1" applyProtection="1"/>
    <xf numFmtId="10" fontId="17" fillId="8" borderId="0" xfId="2" applyNumberFormat="1" applyFont="1" applyFill="1" applyBorder="1" applyProtection="1"/>
    <xf numFmtId="10" fontId="6" fillId="0" borderId="0" xfId="0" applyNumberFormat="1" applyFont="1" applyBorder="1" applyProtection="1"/>
    <xf numFmtId="10" fontId="7" fillId="0" borderId="0" xfId="0" applyNumberFormat="1" applyFont="1" applyBorder="1" applyProtection="1"/>
    <xf numFmtId="10" fontId="17" fillId="0" borderId="0" xfId="2" applyNumberFormat="1" applyFont="1" applyBorder="1" applyProtection="1"/>
    <xf numFmtId="10" fontId="17" fillId="15" borderId="0" xfId="2" applyNumberFormat="1" applyFont="1" applyFill="1" applyBorder="1" applyProtection="1"/>
    <xf numFmtId="169" fontId="17" fillId="2" borderId="0" xfId="2" applyNumberFormat="1" applyFont="1" applyFill="1" applyBorder="1" applyProtection="1"/>
    <xf numFmtId="169" fontId="17" fillId="0" borderId="0" xfId="2" applyNumberFormat="1" applyFont="1" applyFill="1" applyBorder="1" applyProtection="1"/>
    <xf numFmtId="0" fontId="7" fillId="0" borderId="10" xfId="0" applyFont="1" applyBorder="1" applyProtection="1"/>
    <xf numFmtId="0" fontId="7" fillId="0" borderId="2" xfId="0" applyFont="1" applyBorder="1" applyProtection="1"/>
    <xf numFmtId="164" fontId="7" fillId="0" borderId="2" xfId="1" applyNumberFormat="1" applyFont="1" applyBorder="1" applyProtection="1"/>
    <xf numFmtId="164" fontId="7" fillId="0" borderId="11" xfId="1" applyNumberFormat="1" applyFont="1" applyBorder="1" applyProtection="1"/>
    <xf numFmtId="0" fontId="15" fillId="11" borderId="0" xfId="0" applyFont="1" applyFill="1" applyBorder="1" applyProtection="1"/>
    <xf numFmtId="0" fontId="12" fillId="0" borderId="0" xfId="0" applyFont="1" applyFill="1" applyBorder="1" applyProtection="1"/>
    <xf numFmtId="164" fontId="18" fillId="8" borderId="0" xfId="1" applyNumberFormat="1" applyFont="1" applyFill="1" applyBorder="1" applyProtection="1"/>
    <xf numFmtId="164" fontId="22" fillId="0" borderId="0" xfId="1" applyNumberFormat="1" applyFont="1" applyBorder="1" applyProtection="1"/>
    <xf numFmtId="164" fontId="22" fillId="0" borderId="0" xfId="1" applyNumberFormat="1" applyFont="1" applyFill="1" applyBorder="1" applyProtection="1"/>
    <xf numFmtId="169" fontId="7" fillId="6" borderId="0" xfId="1" applyNumberFormat="1" applyFont="1" applyFill="1" applyBorder="1" applyProtection="1"/>
    <xf numFmtId="164" fontId="14" fillId="0" borderId="0" xfId="1" applyNumberFormat="1" applyFont="1" applyFill="1" applyBorder="1" applyProtection="1"/>
    <xf numFmtId="0" fontId="35" fillId="0" borderId="0" xfId="0" applyFont="1" applyBorder="1" applyAlignment="1" applyProtection="1">
      <alignment horizontal="right"/>
    </xf>
    <xf numFmtId="0" fontId="4" fillId="0" borderId="6" xfId="0" applyFont="1" applyBorder="1"/>
    <xf numFmtId="164" fontId="4" fillId="0" borderId="3" xfId="1" applyNumberFormat="1" applyFont="1" applyBorder="1"/>
    <xf numFmtId="164" fontId="4" fillId="0" borderId="7" xfId="1" applyNumberFormat="1" applyFont="1" applyBorder="1"/>
    <xf numFmtId="0" fontId="4" fillId="0" borderId="8" xfId="0" applyFont="1" applyBorder="1"/>
    <xf numFmtId="164" fontId="4" fillId="0" borderId="9" xfId="1" applyNumberFormat="1" applyFont="1" applyBorder="1"/>
    <xf numFmtId="164" fontId="4" fillId="0" borderId="0" xfId="1" applyNumberFormat="1" applyFont="1" applyBorder="1"/>
    <xf numFmtId="0" fontId="4" fillId="0" borderId="9" xfId="0" applyFont="1" applyBorder="1"/>
    <xf numFmtId="167" fontId="42" fillId="20" borderId="2" xfId="8" applyNumberFormat="1" applyFont="1" applyFill="1" applyBorder="1"/>
    <xf numFmtId="0" fontId="42" fillId="0" borderId="0" xfId="0" applyFont="1" applyFill="1" applyBorder="1"/>
    <xf numFmtId="170" fontId="42" fillId="20" borderId="2" xfId="8" applyNumberFormat="1" applyFont="1" applyFill="1" applyBorder="1"/>
    <xf numFmtId="0" fontId="10" fillId="9" borderId="0" xfId="9" applyNumberFormat="1" applyFont="1" applyFill="1" applyBorder="1"/>
    <xf numFmtId="0" fontId="7" fillId="9" borderId="0" xfId="9" applyNumberFormat="1" applyFont="1" applyFill="1" applyBorder="1"/>
    <xf numFmtId="0" fontId="6" fillId="9" borderId="0" xfId="9" applyNumberFormat="1" applyFont="1" applyFill="1" applyBorder="1"/>
    <xf numFmtId="0" fontId="7" fillId="9" borderId="0" xfId="9" applyNumberFormat="1" applyFont="1" applyFill="1" applyBorder="1" applyAlignment="1"/>
    <xf numFmtId="169" fontId="4" fillId="0" borderId="0" xfId="1" applyNumberFormat="1" applyFont="1" applyBorder="1"/>
    <xf numFmtId="169" fontId="5" fillId="0" borderId="0" xfId="1" applyNumberFormat="1" applyFont="1" applyBorder="1"/>
    <xf numFmtId="0" fontId="4" fillId="0" borderId="8" xfId="0" applyFont="1" applyBorder="1" applyAlignment="1"/>
    <xf numFmtId="164" fontId="4" fillId="0" borderId="9" xfId="1" applyNumberFormat="1" applyFont="1" applyBorder="1" applyAlignment="1"/>
    <xf numFmtId="0" fontId="6" fillId="9" borderId="0" xfId="9" applyNumberFormat="1" applyFont="1" applyFill="1" applyBorder="1" applyAlignment="1">
      <alignment wrapText="1"/>
    </xf>
    <xf numFmtId="0" fontId="4" fillId="0" borderId="10" xfId="0" applyFont="1" applyBorder="1"/>
    <xf numFmtId="0" fontId="4" fillId="0" borderId="2" xfId="0" applyFont="1" applyBorder="1"/>
    <xf numFmtId="164" fontId="4" fillId="0" borderId="2" xfId="1" applyNumberFormat="1" applyFont="1" applyBorder="1"/>
    <xf numFmtId="164" fontId="4" fillId="0" borderId="11" xfId="1" applyNumberFormat="1" applyFont="1" applyBorder="1"/>
    <xf numFmtId="164" fontId="7" fillId="0" borderId="3" xfId="1" applyNumberFormat="1" applyFont="1" applyFill="1" applyBorder="1"/>
    <xf numFmtId="0" fontId="38" fillId="0" borderId="0" xfId="0" applyFont="1" applyFill="1" applyBorder="1"/>
    <xf numFmtId="169" fontId="7" fillId="0" borderId="0" xfId="0" applyNumberFormat="1" applyFont="1" applyFill="1" applyBorder="1"/>
    <xf numFmtId="169" fontId="7" fillId="11" borderId="0" xfId="1" applyNumberFormat="1" applyFont="1" applyFill="1" applyBorder="1" applyAlignment="1">
      <alignment horizontal="right"/>
    </xf>
    <xf numFmtId="10" fontId="14" fillId="17" borderId="0" xfId="2" applyNumberFormat="1" applyFont="1" applyFill="1" applyBorder="1"/>
    <xf numFmtId="169" fontId="7" fillId="8" borderId="0" xfId="1" applyNumberFormat="1" applyFont="1" applyFill="1" applyBorder="1"/>
    <xf numFmtId="10" fontId="7" fillId="17" borderId="0" xfId="2" applyNumberFormat="1" applyFont="1" applyFill="1" applyBorder="1" applyAlignment="1">
      <alignment horizontal="right" vertical="center"/>
    </xf>
    <xf numFmtId="169" fontId="14" fillId="18" borderId="0" xfId="2" applyNumberFormat="1" applyFont="1" applyFill="1" applyBorder="1"/>
    <xf numFmtId="169" fontId="14" fillId="18" borderId="0" xfId="1" applyNumberFormat="1" applyFont="1" applyFill="1" applyBorder="1"/>
    <xf numFmtId="169" fontId="6" fillId="0" borderId="0" xfId="1" applyNumberFormat="1" applyFont="1" applyBorder="1"/>
    <xf numFmtId="169" fontId="7" fillId="0" borderId="0" xfId="1" applyNumberFormat="1" applyFont="1" applyFill="1" applyBorder="1"/>
    <xf numFmtId="169" fontId="7" fillId="16" borderId="0" xfId="4" applyNumberFormat="1" applyFont="1" applyFill="1" applyBorder="1"/>
    <xf numFmtId="169" fontId="17" fillId="6" borderId="0" xfId="2" applyNumberFormat="1" applyFont="1" applyFill="1" applyBorder="1"/>
    <xf numFmtId="10" fontId="7" fillId="7" borderId="0" xfId="2" applyNumberFormat="1" applyFont="1" applyFill="1" applyBorder="1" applyAlignment="1">
      <alignment horizontal="right" vertical="center"/>
    </xf>
    <xf numFmtId="169" fontId="17" fillId="0" borderId="0" xfId="1" applyNumberFormat="1" applyFont="1" applyBorder="1"/>
    <xf numFmtId="0" fontId="10" fillId="3" borderId="0" xfId="5" applyFont="1" applyBorder="1" applyAlignment="1">
      <alignment wrapText="1"/>
    </xf>
    <xf numFmtId="169" fontId="17" fillId="0" borderId="0" xfId="2" applyNumberFormat="1" applyFont="1" applyFill="1" applyBorder="1"/>
    <xf numFmtId="0" fontId="15" fillId="11" borderId="0" xfId="0" applyFont="1" applyFill="1" applyBorder="1"/>
    <xf numFmtId="10" fontId="7" fillId="16" borderId="0" xfId="2" applyNumberFormat="1" applyFont="1" applyFill="1" applyBorder="1"/>
    <xf numFmtId="10" fontId="33" fillId="2" borderId="0" xfId="2" applyNumberFormat="1" applyFont="1" applyFill="1" applyBorder="1"/>
    <xf numFmtId="169" fontId="33" fillId="2" borderId="0" xfId="4" applyNumberFormat="1" applyFont="1" applyBorder="1"/>
    <xf numFmtId="169" fontId="7" fillId="16" borderId="0" xfId="1" applyNumberFormat="1" applyFont="1" applyFill="1" applyBorder="1"/>
    <xf numFmtId="14" fontId="7" fillId="2" borderId="0" xfId="4" applyNumberFormat="1" applyFont="1" applyBorder="1"/>
    <xf numFmtId="169" fontId="7" fillId="7" borderId="0" xfId="4" applyNumberFormat="1" applyFont="1" applyFill="1" applyBorder="1"/>
    <xf numFmtId="0" fontId="7" fillId="0" borderId="2" xfId="5" applyFont="1" applyFill="1" applyBorder="1" applyAlignment="1">
      <alignment wrapText="1"/>
    </xf>
    <xf numFmtId="169" fontId="7" fillId="0" borderId="2" xfId="4" applyNumberFormat="1" applyFont="1" applyFill="1" applyBorder="1"/>
    <xf numFmtId="10" fontId="14" fillId="17" borderId="0" xfId="1" applyNumberFormat="1" applyFont="1" applyFill="1" applyBorder="1"/>
    <xf numFmtId="164" fontId="14" fillId="18" borderId="0" xfId="1" applyNumberFormat="1" applyFont="1" applyFill="1" applyBorder="1"/>
    <xf numFmtId="0" fontId="0" fillId="0" borderId="0" xfId="0" applyFill="1"/>
    <xf numFmtId="0" fontId="0" fillId="12" borderId="6" xfId="0" applyFill="1" applyBorder="1"/>
    <xf numFmtId="0" fontId="0" fillId="12" borderId="3" xfId="0" applyFill="1" applyBorder="1"/>
    <xf numFmtId="0" fontId="0" fillId="12" borderId="7" xfId="0" applyFill="1" applyBorder="1"/>
    <xf numFmtId="0" fontId="0" fillId="12" borderId="8" xfId="0" applyFill="1" applyBorder="1"/>
    <xf numFmtId="0" fontId="0" fillId="12" borderId="0" xfId="0" applyFill="1" applyBorder="1"/>
    <xf numFmtId="0" fontId="0" fillId="12" borderId="9" xfId="0" applyFill="1" applyBorder="1"/>
    <xf numFmtId="0" fontId="4" fillId="12" borderId="0" xfId="0" applyFont="1" applyFill="1" applyBorder="1" applyAlignment="1"/>
    <xf numFmtId="0" fontId="47" fillId="12" borderId="0" xfId="0" applyFont="1" applyFill="1" applyBorder="1" applyAlignment="1"/>
    <xf numFmtId="0" fontId="0" fillId="21" borderId="8" xfId="0" applyFill="1" applyBorder="1"/>
    <xf numFmtId="0" fontId="4" fillId="21" borderId="0" xfId="0" applyFont="1" applyFill="1" applyBorder="1" applyAlignment="1"/>
    <xf numFmtId="0" fontId="0" fillId="21" borderId="9" xfId="0" applyFill="1" applyBorder="1"/>
    <xf numFmtId="0" fontId="0" fillId="21" borderId="0" xfId="0" applyFill="1" applyBorder="1"/>
    <xf numFmtId="0" fontId="0" fillId="0" borderId="8" xfId="0" applyBorder="1"/>
    <xf numFmtId="0" fontId="0" fillId="0" borderId="0" xfId="0" applyBorder="1"/>
    <xf numFmtId="0" fontId="0" fillId="0" borderId="9" xfId="0" applyBorder="1"/>
    <xf numFmtId="0" fontId="0" fillId="0" borderId="10" xfId="0" applyFill="1" applyBorder="1"/>
    <xf numFmtId="0" fontId="0" fillId="0" borderId="2" xfId="0" applyFill="1" applyBorder="1"/>
    <xf numFmtId="0" fontId="0" fillId="0" borderId="11" xfId="0" applyFill="1" applyBorder="1"/>
    <xf numFmtId="0" fontId="0" fillId="0" borderId="6" xfId="0" applyFill="1" applyBorder="1"/>
    <xf numFmtId="0" fontId="0" fillId="0" borderId="3" xfId="0" applyFill="1" applyBorder="1"/>
    <xf numFmtId="0" fontId="0" fillId="0" borderId="7" xfId="0" applyFill="1" applyBorder="1"/>
    <xf numFmtId="0" fontId="0" fillId="0" borderId="8" xfId="0" applyFill="1" applyBorder="1"/>
    <xf numFmtId="0" fontId="0" fillId="0" borderId="0" xfId="0" applyFill="1" applyBorder="1"/>
    <xf numFmtId="0" fontId="0" fillId="0" borderId="9" xfId="0" applyFill="1" applyBorder="1"/>
    <xf numFmtId="0" fontId="52" fillId="0" borderId="0" xfId="0" applyFont="1" applyFill="1" applyBorder="1" applyAlignment="1">
      <alignment horizontal="center" vertical="center" wrapText="1"/>
    </xf>
    <xf numFmtId="0" fontId="4" fillId="0" borderId="0" xfId="0" applyFont="1" applyFill="1" applyBorder="1" applyAlignment="1"/>
    <xf numFmtId="0" fontId="51" fillId="0" borderId="0" xfId="0" applyFont="1" applyFill="1" applyBorder="1" applyAlignment="1">
      <alignment vertical="center" wrapText="1"/>
    </xf>
    <xf numFmtId="0" fontId="51" fillId="0" borderId="9" xfId="0" applyFont="1" applyFill="1" applyBorder="1" applyAlignment="1">
      <alignment vertical="center" wrapText="1"/>
    </xf>
    <xf numFmtId="0" fontId="48" fillId="12" borderId="0" xfId="0" applyFont="1" applyFill="1" applyBorder="1" applyAlignment="1">
      <alignment horizontal="center"/>
    </xf>
    <xf numFmtId="0" fontId="49" fillId="12" borderId="0" xfId="0" applyFont="1" applyFill="1" applyBorder="1" applyAlignment="1">
      <alignment horizontal="left" vertical="center" wrapText="1"/>
    </xf>
    <xf numFmtId="0" fontId="49" fillId="12" borderId="0" xfId="0" applyFont="1" applyFill="1" applyBorder="1" applyAlignment="1">
      <alignment horizontal="left"/>
    </xf>
    <xf numFmtId="0" fontId="48" fillId="12" borderId="0" xfId="0" applyFont="1" applyFill="1" applyBorder="1" applyAlignment="1">
      <alignment horizontal="center" vertical="center" wrapText="1"/>
    </xf>
    <xf numFmtId="0" fontId="51" fillId="0" borderId="0" xfId="0" applyFont="1" applyFill="1" applyBorder="1" applyAlignment="1">
      <alignment horizontal="left" vertical="center" wrapText="1"/>
    </xf>
    <xf numFmtId="0" fontId="52" fillId="0" borderId="0" xfId="0" applyFont="1" applyFill="1" applyBorder="1" applyAlignment="1">
      <alignment horizontal="center" vertical="center" wrapText="1"/>
    </xf>
    <xf numFmtId="0" fontId="50" fillId="21" borderId="0" xfId="0" applyFont="1" applyFill="1" applyBorder="1" applyAlignment="1">
      <alignment horizontal="center" vertical="center" wrapText="1"/>
    </xf>
    <xf numFmtId="0" fontId="51" fillId="0" borderId="0" xfId="0" applyFont="1" applyFill="1" applyBorder="1" applyAlignment="1">
      <alignment horizontal="center" vertical="center" wrapText="1"/>
    </xf>
    <xf numFmtId="0" fontId="51" fillId="0" borderId="0" xfId="0" applyFont="1" applyFill="1" applyBorder="1" applyAlignment="1">
      <alignment horizontal="left"/>
    </xf>
    <xf numFmtId="10" fontId="2" fillId="12" borderId="5" xfId="2" applyNumberFormat="1" applyFont="1" applyFill="1" applyBorder="1" applyAlignment="1">
      <alignment horizontal="center" vertical="center" wrapText="1"/>
    </xf>
    <xf numFmtId="10" fontId="0" fillId="12" borderId="0" xfId="2" applyNumberFormat="1" applyFont="1" applyFill="1" applyBorder="1" applyAlignment="1">
      <alignment horizontal="center" vertical="center" wrapText="1"/>
    </xf>
    <xf numFmtId="0" fontId="40" fillId="20" borderId="0" xfId="0" applyFont="1" applyFill="1" applyBorder="1" applyAlignment="1">
      <alignment horizontal="center" vertical="center"/>
    </xf>
    <xf numFmtId="0" fontId="41" fillId="20" borderId="0" xfId="0" applyFont="1" applyFill="1" applyBorder="1" applyAlignment="1">
      <alignment horizontal="center" vertical="center"/>
    </xf>
    <xf numFmtId="0" fontId="7" fillId="0" borderId="0" xfId="0" applyFont="1" applyFill="1" applyBorder="1" applyAlignment="1">
      <alignment horizontal="justify" vertical="top" wrapText="1"/>
    </xf>
    <xf numFmtId="0" fontId="7" fillId="0" borderId="0" xfId="0" applyFont="1" applyFill="1" applyBorder="1" applyAlignment="1">
      <alignment horizontal="justify" vertical="top"/>
    </xf>
    <xf numFmtId="0" fontId="7" fillId="0" borderId="0" xfId="1" applyNumberFormat="1" applyFont="1" applyBorder="1" applyAlignment="1">
      <alignment horizontal="justify" vertical="center" wrapText="1"/>
    </xf>
    <xf numFmtId="0" fontId="6" fillId="0" borderId="0" xfId="5" applyFont="1" applyFill="1" applyBorder="1" applyAlignment="1">
      <alignment horizontal="center" wrapText="1"/>
    </xf>
    <xf numFmtId="17" fontId="38" fillId="20" borderId="0" xfId="8" applyNumberFormat="1" applyFont="1" applyFill="1" applyBorder="1" applyAlignment="1">
      <alignment horizontal="center"/>
    </xf>
    <xf numFmtId="17" fontId="38" fillId="20" borderId="2" xfId="8" applyNumberFormat="1" applyFont="1" applyFill="1" applyBorder="1" applyAlignment="1">
      <alignment horizontal="center"/>
    </xf>
    <xf numFmtId="10" fontId="0" fillId="12" borderId="3" xfId="2" applyNumberFormat="1" applyFont="1" applyFill="1" applyBorder="1" applyAlignment="1">
      <alignment horizontal="center" vertical="center" wrapText="1"/>
    </xf>
    <xf numFmtId="0" fontId="43" fillId="0" borderId="0" xfId="10" applyAlignment="1">
      <alignment horizontal="left"/>
    </xf>
    <xf numFmtId="0" fontId="7" fillId="0" borderId="0" xfId="0" applyFont="1" applyAlignment="1">
      <alignment horizontal="left"/>
    </xf>
    <xf numFmtId="0" fontId="7" fillId="21" borderId="0" xfId="0" applyFont="1" applyFill="1" applyBorder="1" applyAlignment="1">
      <alignment horizontal="left"/>
    </xf>
    <xf numFmtId="164" fontId="43" fillId="0" borderId="0" xfId="10" applyNumberFormat="1" applyBorder="1" applyAlignment="1">
      <alignment horizontal="left"/>
    </xf>
    <xf numFmtId="164" fontId="7" fillId="0" borderId="0" xfId="1" applyNumberFormat="1" applyFont="1" applyBorder="1" applyAlignment="1">
      <alignment horizontal="left"/>
    </xf>
    <xf numFmtId="0" fontId="41" fillId="0" borderId="0" xfId="0" applyFont="1" applyFill="1" applyBorder="1" applyAlignment="1">
      <alignment horizontal="left" vertical="center"/>
    </xf>
    <xf numFmtId="17" fontId="38" fillId="0" borderId="0" xfId="8" applyNumberFormat="1" applyFont="1" applyFill="1" applyBorder="1" applyAlignment="1">
      <alignment horizontal="center"/>
    </xf>
    <xf numFmtId="167" fontId="38" fillId="20" borderId="0" xfId="8" applyNumberFormat="1" applyFont="1" applyFill="1" applyBorder="1" applyAlignment="1">
      <alignment horizontal="center"/>
    </xf>
    <xf numFmtId="0" fontId="7" fillId="21" borderId="0" xfId="0" applyFont="1" applyFill="1" applyBorder="1" applyAlignment="1">
      <alignment horizontal="center"/>
    </xf>
    <xf numFmtId="10" fontId="7" fillId="21" borderId="0" xfId="2" applyNumberFormat="1" applyFont="1" applyFill="1" applyBorder="1" applyAlignment="1">
      <alignment horizontal="center"/>
    </xf>
    <xf numFmtId="0" fontId="7" fillId="0" borderId="0" xfId="0" applyFont="1" applyFill="1" applyBorder="1" applyAlignment="1">
      <alignment horizontal="center"/>
    </xf>
    <xf numFmtId="0" fontId="40" fillId="20" borderId="0" xfId="0" applyFont="1" applyFill="1" applyBorder="1" applyAlignment="1" applyProtection="1">
      <alignment horizontal="center"/>
    </xf>
    <xf numFmtId="0" fontId="40" fillId="20" borderId="0" xfId="0" applyFont="1" applyFill="1" applyBorder="1" applyAlignment="1">
      <alignment horizontal="center"/>
    </xf>
    <xf numFmtId="169" fontId="15" fillId="19" borderId="0" xfId="1" applyNumberFormat="1" applyFont="1" applyFill="1" applyBorder="1" applyAlignment="1">
      <alignment horizontal="center" vertical="center"/>
    </xf>
    <xf numFmtId="169" fontId="15" fillId="19" borderId="2" xfId="1" applyNumberFormat="1" applyFont="1" applyFill="1" applyBorder="1" applyAlignment="1">
      <alignment horizontal="center" vertical="center"/>
    </xf>
    <xf numFmtId="164" fontId="15" fillId="19" borderId="0" xfId="1" applyNumberFormat="1" applyFont="1" applyFill="1" applyBorder="1" applyAlignment="1">
      <alignment horizontal="right" vertical="center"/>
    </xf>
    <xf numFmtId="164" fontId="15" fillId="19" borderId="2" xfId="1" applyNumberFormat="1" applyFont="1" applyFill="1" applyBorder="1" applyAlignment="1">
      <alignment horizontal="right" vertical="center"/>
    </xf>
    <xf numFmtId="169" fontId="15" fillId="9" borderId="0" xfId="2" applyNumberFormat="1" applyFont="1" applyFill="1" applyBorder="1" applyAlignment="1">
      <alignment horizontal="center" wrapText="1"/>
    </xf>
    <xf numFmtId="169" fontId="15" fillId="9" borderId="0" xfId="2" applyNumberFormat="1" applyFont="1" applyFill="1" applyBorder="1" applyAlignment="1">
      <alignment horizontal="center"/>
    </xf>
  </cellXfs>
  <cellStyles count="11">
    <cellStyle name="40% - Accent3" xfId="4" builtinId="39"/>
    <cellStyle name="40% - Accent5" xfId="5" builtinId="47"/>
    <cellStyle name="Comma" xfId="1" builtinId="3"/>
    <cellStyle name="Heading" xfId="6"/>
    <cellStyle name="Hyperlink" xfId="10" builtinId="8"/>
    <cellStyle name="Mid total" xfId="7"/>
    <cellStyle name="Normal" xfId="0" builtinId="0"/>
    <cellStyle name="Normal 2" xfId="9"/>
    <cellStyle name="Percent" xfId="2" builtinId="5"/>
    <cellStyle name="Personal Heading 2" xfId="8"/>
    <cellStyle name="Total" xfId="3" builtinId="25"/>
  </cellStyles>
  <dxfs count="9">
    <dxf>
      <font>
        <b val="0"/>
        <i val="0"/>
        <strike val="0"/>
        <condense val="0"/>
        <extend val="0"/>
        <outline val="0"/>
        <shadow val="0"/>
        <u val="none"/>
        <vertAlign val="baseline"/>
        <sz val="11"/>
        <color theme="1"/>
        <name val="Calibri"/>
        <scheme val="none"/>
      </font>
      <numFmt numFmtId="14" formatCode="0.00%"/>
      <fill>
        <patternFill patternType="none">
          <fgColor indexed="64"/>
          <bgColor indexed="65"/>
        </patternFill>
      </fill>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ck">
          <color auto="1"/>
        </bottom>
      </border>
    </dxf>
    <dxf>
      <border outline="0">
        <bottom style="thick">
          <color auto="1"/>
        </bottom>
      </border>
    </dxf>
    <dxf>
      <fill>
        <patternFill patternType="none">
          <fgColor indexed="64"/>
          <bgColor auto="1"/>
        </patternFill>
      </fill>
    </dxf>
    <dxf>
      <numFmt numFmtId="27" formatCode="dd/mm/yyyy\ hh:mm"/>
    </dxf>
    <dxf>
      <numFmt numFmtId="0" formatCode="General"/>
    </dxf>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[DMart_Financial_Model.xlsx]Data_Sheet!PivotTable2</c:name>
    <c:fmtId val="28"/>
  </c:pivotSource>
  <c:chart>
    <c:title>
      <c:tx>
        <c:rich>
          <a:bodyPr rot="0" spcFirstLastPara="1" vertOverflow="ellipsis" vert="horz" wrap="square" anchor="ctr" anchorCtr="1"/>
          <a:lstStyle/>
          <a:p>
            <a:pPr>
              <a:defRPr sz="1400" b="1" i="0" u="none" strike="noStrike" kern="1200" spc="0" baseline="0">
                <a:ln w="12700" cap="sq">
                  <a:noFill/>
                </a:ln>
                <a:solidFill>
                  <a:schemeClr val="tx1"/>
                </a:solidFill>
                <a:latin typeface="+mn-lt"/>
                <a:ea typeface="+mn-ea"/>
                <a:cs typeface="+mn-cs"/>
              </a:defRPr>
            </a:pPr>
            <a:r>
              <a:rPr lang="en-US" sz="1600" b="1">
                <a:ln w="12700" cap="sq">
                  <a:noFill/>
                </a:ln>
                <a:solidFill>
                  <a:schemeClr val="tx1"/>
                </a:solidFill>
                <a:latin typeface="Times New Roman" panose="02020603050405020304" pitchFamily="18" charset="0"/>
                <a:cs typeface="Times New Roman" panose="02020603050405020304" pitchFamily="18" charset="0"/>
              </a:rPr>
              <a:t>Average Price History</a:t>
            </a:r>
          </a:p>
        </c:rich>
      </c:tx>
      <c:layout/>
      <c:overlay val="0"/>
      <c:spPr>
        <a:noFill/>
        <a:ln>
          <a:noFill/>
        </a:ln>
        <a:effectLst/>
      </c:spPr>
      <c:txPr>
        <a:bodyPr rot="0" spcFirstLastPara="1" vertOverflow="ellipsis" vert="horz" wrap="square" anchor="ctr" anchorCtr="1"/>
        <a:lstStyle/>
        <a:p>
          <a:pPr>
            <a:defRPr sz="1400" b="1" i="0" u="none" strike="noStrike" kern="1200" spc="0" baseline="0">
              <a:ln w="12700" cap="sq">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Data_Sheet!$M$3</c:f>
              <c:strCache>
                <c:ptCount val="1"/>
                <c:pt idx="0">
                  <c:v>Total</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2-0C1A-41F6-9119-17D9305B6CC2}"/>
              </c:ext>
            </c:extLst>
          </c:dPt>
          <c:dPt>
            <c:idx val="3"/>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0-0C1A-41F6-9119-17D9305B6CC2}"/>
              </c:ext>
            </c:extLst>
          </c:dPt>
          <c:dPt>
            <c:idx val="6"/>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1-0C1A-41F6-9119-17D9305B6CC2}"/>
              </c:ext>
            </c:extLst>
          </c:dPt>
          <c:dLbls>
            <c:dLbl>
              <c:idx val="0"/>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C1A-41F6-9119-17D9305B6CC2}"/>
                </c:ext>
              </c:extLst>
            </c:dLbl>
            <c:dLbl>
              <c:idx val="3"/>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C1A-41F6-9119-17D9305B6CC2}"/>
                </c:ext>
              </c:extLst>
            </c:dLbl>
            <c:dLbl>
              <c:idx val="6"/>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C1A-41F6-9119-17D9305B6CC2}"/>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Data_Sheet!$L$4:$L$11</c:f>
              <c:strCache>
                <c:ptCount val="7"/>
                <c:pt idx="0">
                  <c:v>2020</c:v>
                </c:pt>
                <c:pt idx="1">
                  <c:v>2021</c:v>
                </c:pt>
                <c:pt idx="2">
                  <c:v>2022</c:v>
                </c:pt>
                <c:pt idx="3">
                  <c:v>2023</c:v>
                </c:pt>
                <c:pt idx="4">
                  <c:v>2024</c:v>
                </c:pt>
                <c:pt idx="5">
                  <c:v>2025</c:v>
                </c:pt>
                <c:pt idx="6">
                  <c:v>2026</c:v>
                </c:pt>
              </c:strCache>
            </c:strRef>
          </c:cat>
          <c:val>
            <c:numRef>
              <c:f>Data_Sheet!$M$4:$M$11</c:f>
              <c:numCache>
                <c:formatCode>General</c:formatCode>
                <c:ptCount val="7"/>
                <c:pt idx="0">
                  <c:v>2280.6283422459887</c:v>
                </c:pt>
                <c:pt idx="1">
                  <c:v>3620.9114919354824</c:v>
                </c:pt>
                <c:pt idx="2">
                  <c:v>4077.6554435483849</c:v>
                </c:pt>
                <c:pt idx="3">
                  <c:v>3673.7089430894307</c:v>
                </c:pt>
                <c:pt idx="4">
                  <c:v>4383.2403614457817</c:v>
                </c:pt>
                <c:pt idx="5">
                  <c:v>4083.3016064257026</c:v>
                </c:pt>
                <c:pt idx="6">
                  <c:v>4041.9933333333342</c:v>
                </c:pt>
              </c:numCache>
            </c:numRef>
          </c:val>
          <c:smooth val="0"/>
          <c:extLst>
            <c:ext xmlns:c16="http://schemas.microsoft.com/office/drawing/2014/chart" uri="{C3380CC4-5D6E-409C-BE32-E72D297353CC}">
              <c16:uniqueId val="{00000000-D16E-46C7-A9FE-ACA07C7E1CA2}"/>
            </c:ext>
          </c:extLst>
        </c:ser>
        <c:dLbls>
          <c:dLblPos val="t"/>
          <c:showLegendKey val="0"/>
          <c:showVal val="1"/>
          <c:showCatName val="0"/>
          <c:showSerName val="0"/>
          <c:showPercent val="0"/>
          <c:showBubbleSize val="0"/>
        </c:dLbls>
        <c:marker val="1"/>
        <c:smooth val="0"/>
        <c:axId val="950030783"/>
        <c:axId val="950024127"/>
      </c:lineChart>
      <c:catAx>
        <c:axId val="95003078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a:outerShdw sx="1000" sy="1000" algn="ctr" rotWithShape="0">
              <a:srgbClr val="000000"/>
            </a:outerShdw>
          </a:effectLst>
        </c:spPr>
        <c:txPr>
          <a:bodyPr rot="-60000000" spcFirstLastPara="1" vertOverflow="ellipsis" vert="horz" wrap="square" anchor="b" anchorCtr="0"/>
          <a:lstStyle/>
          <a:p>
            <a:pPr>
              <a:defRPr sz="900" b="1" i="0" u="none" strike="noStrike" kern="1200" baseline="0">
                <a:solidFill>
                  <a:schemeClr val="tx1"/>
                </a:solidFill>
                <a:latin typeface="+mn-lt"/>
                <a:ea typeface="+mn-ea"/>
                <a:cs typeface="+mn-cs"/>
              </a:defRPr>
            </a:pPr>
            <a:endParaRPr lang="en-US"/>
          </a:p>
        </c:txPr>
        <c:crossAx val="950024127"/>
        <c:crosses val="autoZero"/>
        <c:auto val="1"/>
        <c:lblAlgn val="ctr"/>
        <c:lblOffset val="100"/>
        <c:noMultiLvlLbl val="0"/>
      </c:catAx>
      <c:valAx>
        <c:axId val="950024127"/>
        <c:scaling>
          <c:orientation val="minMax"/>
          <c:min val="1500"/>
        </c:scaling>
        <c:delete val="0"/>
        <c:axPos val="l"/>
        <c:majorGridlines>
          <c:spPr>
            <a:ln w="9525" cap="flat" cmpd="sng" algn="ctr">
              <a:noFill/>
              <a:round/>
            </a:ln>
            <a:effectLst/>
          </c:spPr>
        </c:majorGridlines>
        <c:numFmt formatCode="[$₹-4009]\ #,##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0030783"/>
        <c:crosses val="autoZero"/>
        <c:crossBetween val="between"/>
      </c:valAx>
      <c:spPr>
        <a:noFill/>
        <a:ln>
          <a:noFill/>
        </a:ln>
        <a:effectLst/>
      </c:spPr>
    </c:plotArea>
    <c:plotVisOnly val="1"/>
    <c:dispBlanksAs val="gap"/>
    <c:showDLblsOverMax val="0"/>
  </c:chart>
  <c:spPr>
    <a:solidFill>
      <a:schemeClr val="bg2">
        <a:lumMod val="90000"/>
      </a:schemeClr>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[DMart_Financial_Model.xlsx]Data_Sheet!PivotTable5</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latin typeface="Times New Roman" panose="02020603050405020304" pitchFamily="18" charset="0"/>
                <a:cs typeface="Times New Roman" panose="02020603050405020304" pitchFamily="18" charset="0"/>
              </a:rPr>
              <a:t>Volume</a:t>
            </a:r>
            <a:r>
              <a:rPr lang="en-US" sz="1600" b="1" baseline="0">
                <a:solidFill>
                  <a:sysClr val="windowText" lastClr="000000"/>
                </a:solidFill>
                <a:latin typeface="Times New Roman" panose="02020603050405020304" pitchFamily="18" charset="0"/>
                <a:cs typeface="Times New Roman" panose="02020603050405020304" pitchFamily="18" charset="0"/>
              </a:rPr>
              <a:t> Traded</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2060"/>
          </a:solidFill>
          <a:ln>
            <a:noFill/>
          </a:ln>
          <a:effectLst/>
        </c:spPr>
        <c:marker>
          <c:symbol val="none"/>
        </c:marker>
        <c:dLbl>
          <c:idx val="0"/>
          <c:layout/>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Data_Sheet!$M$14</c:f>
              <c:strCache>
                <c:ptCount val="1"/>
                <c:pt idx="0">
                  <c:v>Total</c:v>
                </c:pt>
              </c:strCache>
            </c:strRef>
          </c:tx>
          <c:spPr>
            <a:solidFill>
              <a:srgbClr val="002060"/>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Data_Sheet!$L$15:$L$22</c:f>
              <c:strCache>
                <c:ptCount val="7"/>
                <c:pt idx="0">
                  <c:v>2020</c:v>
                </c:pt>
                <c:pt idx="1">
                  <c:v>2021</c:v>
                </c:pt>
                <c:pt idx="2">
                  <c:v>2022</c:v>
                </c:pt>
                <c:pt idx="3">
                  <c:v>2023</c:v>
                </c:pt>
                <c:pt idx="4">
                  <c:v>2024</c:v>
                </c:pt>
                <c:pt idx="5">
                  <c:v>2025</c:v>
                </c:pt>
                <c:pt idx="6">
                  <c:v>2026</c:v>
                </c:pt>
              </c:strCache>
            </c:strRef>
          </c:cat>
          <c:val>
            <c:numRef>
              <c:f>Data_Sheet!$M$15:$M$22</c:f>
              <c:numCache>
                <c:formatCode>General</c:formatCode>
                <c:ptCount val="7"/>
                <c:pt idx="0">
                  <c:v>119713620</c:v>
                </c:pt>
                <c:pt idx="1">
                  <c:v>116165280</c:v>
                </c:pt>
                <c:pt idx="2">
                  <c:v>102609300</c:v>
                </c:pt>
                <c:pt idx="3">
                  <c:v>85452980</c:v>
                </c:pt>
                <c:pt idx="4">
                  <c:v>138939140</c:v>
                </c:pt>
                <c:pt idx="5">
                  <c:v>145453260</c:v>
                </c:pt>
                <c:pt idx="6">
                  <c:v>93491040</c:v>
                </c:pt>
              </c:numCache>
            </c:numRef>
          </c:val>
          <c:extLst>
            <c:ext xmlns:c16="http://schemas.microsoft.com/office/drawing/2014/chart" uri="{C3380CC4-5D6E-409C-BE32-E72D297353CC}">
              <c16:uniqueId val="{00000000-F195-4A31-9452-8081F23C8E61}"/>
            </c:ext>
          </c:extLst>
        </c:ser>
        <c:dLbls>
          <c:dLblPos val="outEnd"/>
          <c:showLegendKey val="0"/>
          <c:showVal val="1"/>
          <c:showCatName val="0"/>
          <c:showSerName val="0"/>
          <c:showPercent val="0"/>
          <c:showBubbleSize val="0"/>
        </c:dLbls>
        <c:gapWidth val="219"/>
        <c:overlap val="-27"/>
        <c:axId val="950042431"/>
        <c:axId val="950038687"/>
      </c:barChart>
      <c:catAx>
        <c:axId val="95004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crossAx val="950038687"/>
        <c:crossesAt val="0"/>
        <c:auto val="1"/>
        <c:lblAlgn val="ctr"/>
        <c:lblOffset val="100"/>
        <c:noMultiLvlLbl val="0"/>
      </c:catAx>
      <c:valAx>
        <c:axId val="950038687"/>
        <c:scaling>
          <c:orientation val="minMax"/>
          <c:min val="80000000"/>
        </c:scaling>
        <c:delete val="0"/>
        <c:axPos val="l"/>
        <c:majorGridlines>
          <c:spPr>
            <a:ln w="9525" cap="flat" cmpd="sng" algn="ctr">
              <a:noFill/>
              <a:round/>
            </a:ln>
            <a:effectLst/>
          </c:spPr>
        </c:majorGridlines>
        <c:numFmt formatCode="#,##0\ &quot;M&quot;;\-#,##0\ &quot;M&quot;" sourceLinked="0"/>
        <c:majorTickMark val="none"/>
        <c:minorTickMark val="none"/>
        <c:tickLblPos val="nextTo"/>
        <c:spPr>
          <a:noFill/>
          <a:ln>
            <a:solidFill>
              <a:schemeClr val="tx1"/>
            </a:solidFill>
          </a:ln>
          <a:effectLst/>
        </c:spPr>
        <c:txPr>
          <a:bodyPr rot="-60000000" spcFirstLastPara="1" vertOverflow="ellipsis" vert="horz" wrap="square" anchor="t" anchorCtr="0"/>
          <a:lstStyle/>
          <a:p>
            <a:pPr>
              <a:defRPr sz="900" b="1" i="0" u="none" strike="noStrike" kern="1200" baseline="0">
                <a:solidFill>
                  <a:sysClr val="windowText" lastClr="000000"/>
                </a:solidFill>
                <a:latin typeface="+mn-lt"/>
                <a:ea typeface="+mn-ea"/>
                <a:cs typeface="+mn-cs"/>
              </a:defRPr>
            </a:pPr>
            <a:endParaRPr lang="en-US"/>
          </a:p>
        </c:txPr>
        <c:crossAx val="950042431"/>
        <c:crosses val="autoZero"/>
        <c:crossBetween val="between"/>
        <c:dispUnits>
          <c:builtInUnit val="millions"/>
        </c:dispUnits>
      </c:valAx>
      <c:spPr>
        <a:noFill/>
        <a:ln>
          <a:noFill/>
        </a:ln>
        <a:effectLst/>
      </c:spPr>
    </c:plotArea>
    <c:plotVisOnly val="1"/>
    <c:dispBlanksAs val="gap"/>
    <c:showDLblsOverMax val="0"/>
  </c:chart>
  <c:spPr>
    <a:solidFill>
      <a:schemeClr val="bg2">
        <a:lumMod val="90000"/>
      </a:schemeClr>
    </a:solidFill>
    <a:ln w="285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baseline="0">
                <a:solidFill>
                  <a:sysClr val="windowText" lastClr="000000"/>
                </a:solidFill>
                <a:latin typeface="Times New Roman" panose="02020603050405020304" pitchFamily="18" charset="0"/>
                <a:cs typeface="Times New Roman" panose="02020603050405020304" pitchFamily="18" charset="0"/>
              </a:rPr>
              <a:t>Shareholder Breakdown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4614950545018134"/>
          <c:y val="0.21072795876866149"/>
          <c:w val="0.37862847222222223"/>
          <c:h val="0.64907738095238099"/>
        </c:manualLayout>
      </c:layout>
      <c:pieChart>
        <c:varyColors val="1"/>
        <c:ser>
          <c:idx val="0"/>
          <c:order val="0"/>
          <c:dPt>
            <c:idx val="0"/>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CA-4FC5-AE1B-B307895E6F5F}"/>
              </c:ext>
            </c:extLst>
          </c:dPt>
          <c:dPt>
            <c:idx val="1"/>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CA-4FC5-AE1B-B307895E6F5F}"/>
              </c:ext>
            </c:extLst>
          </c:dPt>
          <c:dPt>
            <c:idx val="2"/>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CA-4FC5-AE1B-B307895E6F5F}"/>
              </c:ext>
            </c:extLst>
          </c:dPt>
          <c:dPt>
            <c:idx val="3"/>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6CA-4FC5-AE1B-B307895E6F5F}"/>
              </c:ext>
            </c:extLst>
          </c:dPt>
          <c:dPt>
            <c:idx val="4"/>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6CA-4FC5-AE1B-B307895E6F5F}"/>
              </c:ext>
            </c:extLst>
          </c:dPt>
          <c:dPt>
            <c:idx val="5"/>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6CA-4FC5-AE1B-B307895E6F5F}"/>
              </c:ext>
            </c:extLst>
          </c:dPt>
          <c:dLbls>
            <c:dLbl>
              <c:idx val="0"/>
              <c:layout>
                <c:manualLayout>
                  <c:x val="0.11692536649141839"/>
                  <c:y val="-1.9761614065677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6CA-4FC5-AE1B-B307895E6F5F}"/>
                </c:ext>
              </c:extLst>
            </c:dLbl>
            <c:dLbl>
              <c:idx val="1"/>
              <c:layout>
                <c:manualLayout>
                  <c:x val="-6.8443787429016509E-2"/>
                  <c:y val="0.10418960419571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6CA-4FC5-AE1B-B307895E6F5F}"/>
                </c:ext>
              </c:extLst>
            </c:dLbl>
            <c:dLbl>
              <c:idx val="2"/>
              <c:layout>
                <c:manualLayout>
                  <c:x val="-8.4494700826170402E-2"/>
                  <c:y val="3.60083867035639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6CA-4FC5-AE1B-B307895E6F5F}"/>
                </c:ext>
              </c:extLst>
            </c:dLbl>
            <c:dLbl>
              <c:idx val="3"/>
              <c:layout>
                <c:manualLayout>
                  <c:x val="4.1021506658242037E-2"/>
                  <c:y val="-1.2377685687968078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6CA-4FC5-AE1B-B307895E6F5F}"/>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9-06CA-4FC5-AE1B-B307895E6F5F}"/>
                </c:ext>
              </c:extLst>
            </c:dLbl>
            <c:dLbl>
              <c:idx val="5"/>
              <c:layout>
                <c:manualLayout>
                  <c:x val="4.9599432529416579E-2"/>
                  <c:y val="6.9827394066584742E-3"/>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06CA-4FC5-AE1B-B307895E6F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Data_Sheet!$L$26:$L$31</c:f>
              <c:strCache>
                <c:ptCount val="6"/>
                <c:pt idx="0">
                  <c:v>Promoter</c:v>
                </c:pt>
                <c:pt idx="1">
                  <c:v>Mutual Funds</c:v>
                </c:pt>
                <c:pt idx="2">
                  <c:v>Foreign Portfolio Investor</c:v>
                </c:pt>
                <c:pt idx="3">
                  <c:v>Provident Funds/Pension Funds</c:v>
                </c:pt>
                <c:pt idx="4">
                  <c:v>Individuals</c:v>
                </c:pt>
                <c:pt idx="5">
                  <c:v>Minority Shareholders</c:v>
                </c:pt>
              </c:strCache>
            </c:strRef>
          </c:cat>
          <c:val>
            <c:numRef>
              <c:f>Data_Sheet!$M$26:$M$31</c:f>
              <c:numCache>
                <c:formatCode>0.00%</c:formatCode>
                <c:ptCount val="6"/>
                <c:pt idx="0">
                  <c:v>0.74519999999999997</c:v>
                </c:pt>
                <c:pt idx="1">
                  <c:v>6.7699999999999996E-2</c:v>
                </c:pt>
                <c:pt idx="2">
                  <c:v>0.09</c:v>
                </c:pt>
                <c:pt idx="3">
                  <c:v>1.46E-2</c:v>
                </c:pt>
                <c:pt idx="4">
                  <c:v>7.1900000000000006E-2</c:v>
                </c:pt>
                <c:pt idx="5">
                  <c:v>1.06E-2</c:v>
                </c:pt>
              </c:numCache>
            </c:numRef>
          </c:val>
          <c:extLst>
            <c:ext xmlns:c16="http://schemas.microsoft.com/office/drawing/2014/chart" uri="{C3380CC4-5D6E-409C-BE32-E72D297353CC}">
              <c16:uniqueId val="{0000000C-06CA-4FC5-AE1B-B307895E6F5F}"/>
            </c:ext>
          </c:extLst>
        </c:ser>
        <c:dLbls>
          <c:dLblPos val="bestFit"/>
          <c:showLegendKey val="0"/>
          <c:showVal val="1"/>
          <c:showCatName val="0"/>
          <c:showSerName val="0"/>
          <c:showPercent val="0"/>
          <c:showBubbleSize val="0"/>
          <c:showLeaderLines val="1"/>
        </c:dLbls>
        <c:firstSliceAng val="123"/>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solidFill>
                  <a:schemeClr val="tx1"/>
                </a:solidFill>
                <a:latin typeface="Times New Roman" panose="02020603050405020304" pitchFamily="18" charset="0"/>
                <a:cs typeface="Times New Roman" panose="02020603050405020304" pitchFamily="18" charset="0"/>
              </a:rPr>
              <a:t>Return</a:t>
            </a:r>
            <a:r>
              <a:rPr lang="en-GB" b="1" baseline="0">
                <a:solidFill>
                  <a:schemeClr val="tx1"/>
                </a:solidFill>
                <a:latin typeface="Times New Roman" panose="02020603050405020304" pitchFamily="18" charset="0"/>
                <a:cs typeface="Times New Roman" panose="02020603050405020304" pitchFamily="18" charset="0"/>
              </a:rPr>
              <a:t> On Net Worth &amp; Capital Employed</a:t>
            </a:r>
            <a:endParaRPr lang="en-GB"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3"/>
          <c:order val="0"/>
          <c:tx>
            <c:strRef>
              <c:f>Data_Sheet!$O$39</c:f>
              <c:strCache>
                <c:ptCount val="1"/>
                <c:pt idx="0">
                  <c:v>Return on Net Worth</c:v>
                </c:pt>
              </c:strCache>
            </c:strRef>
          </c:tx>
          <c:spPr>
            <a:ln w="28575" cap="rnd">
              <a:solidFill>
                <a:srgbClr val="002060"/>
              </a:solidFill>
              <a:round/>
            </a:ln>
            <a:effectLst/>
          </c:spPr>
          <c:marker>
            <c:symbol val="circle"/>
            <c:size val="5"/>
            <c:spPr>
              <a:solidFill>
                <a:srgbClr val="00B0F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Data_Sheet!$P$35:$U$35</c:f>
              <c:strCache>
                <c:ptCount val="6"/>
                <c:pt idx="0">
                  <c:v>2020-21</c:v>
                </c:pt>
                <c:pt idx="1">
                  <c:v>2021-22</c:v>
                </c:pt>
                <c:pt idx="2">
                  <c:v>2022-23</c:v>
                </c:pt>
                <c:pt idx="3">
                  <c:v>2023-24</c:v>
                </c:pt>
                <c:pt idx="4">
                  <c:v>2024-25</c:v>
                </c:pt>
                <c:pt idx="5">
                  <c:v>2025-26</c:v>
                </c:pt>
              </c:strCache>
            </c:strRef>
          </c:cat>
          <c:val>
            <c:numRef>
              <c:f>Data_Sheet!$P$39:$U$39</c:f>
              <c:numCache>
                <c:formatCode>0%</c:formatCode>
                <c:ptCount val="6"/>
                <c:pt idx="0">
                  <c:v>9.4516450305209887E-2</c:v>
                </c:pt>
                <c:pt idx="1">
                  <c:v>0.11541257443353176</c:v>
                </c:pt>
                <c:pt idx="2">
                  <c:v>0.15985256414780302</c:v>
                </c:pt>
                <c:pt idx="3">
                  <c:v>0.14582477861245027</c:v>
                </c:pt>
                <c:pt idx="4">
                  <c:v>0.13495400762236276</c:v>
                </c:pt>
                <c:pt idx="5">
                  <c:v>0.12946876662978049</c:v>
                </c:pt>
              </c:numCache>
            </c:numRef>
          </c:val>
          <c:smooth val="0"/>
          <c:extLst>
            <c:ext xmlns:c16="http://schemas.microsoft.com/office/drawing/2014/chart" uri="{C3380CC4-5D6E-409C-BE32-E72D297353CC}">
              <c16:uniqueId val="{00000000-AF2C-4CD2-902C-D417FAEC92FE}"/>
            </c:ext>
          </c:extLst>
        </c:ser>
        <c:ser>
          <c:idx val="4"/>
          <c:order val="1"/>
          <c:tx>
            <c:strRef>
              <c:f>Data_Sheet!$O$40</c:f>
              <c:strCache>
                <c:ptCount val="1"/>
                <c:pt idx="0">
                  <c:v>Return on Capital Employed</c:v>
                </c:pt>
              </c:strCache>
            </c:strRef>
          </c:tx>
          <c:spPr>
            <a:ln w="28575" cap="rnd">
              <a:solidFill>
                <a:schemeClr val="accent5"/>
              </a:solidFill>
              <a:round/>
            </a:ln>
            <a:effectLst/>
          </c:spPr>
          <c:marker>
            <c:symbol val="circle"/>
            <c:size val="5"/>
            <c:spPr>
              <a:solidFill>
                <a:schemeClr val="accent1">
                  <a:lumMod val="60000"/>
                  <a:lumOff val="40000"/>
                </a:schemeClr>
              </a:solidFill>
              <a:ln w="9525">
                <a:solidFill>
                  <a:schemeClr val="accent5"/>
                </a:solidFill>
              </a:ln>
              <a:effectLst/>
            </c:spPr>
          </c:marker>
          <c:dLbls>
            <c:dLbl>
              <c:idx val="0"/>
              <c:layout>
                <c:manualLayout>
                  <c:x val="-2.5057081649857493E-2"/>
                  <c:y val="5.077852541551851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F2C-4CD2-902C-D417FAEC92FE}"/>
                </c:ext>
              </c:extLst>
            </c:dLbl>
            <c:dLbl>
              <c:idx val="1"/>
              <c:layout>
                <c:manualLayout>
                  <c:x val="-3.4808728258336467E-2"/>
                  <c:y val="4.594591817825158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AF2C-4CD2-902C-D417FAEC92FE}"/>
                </c:ext>
              </c:extLst>
            </c:dLbl>
            <c:dLbl>
              <c:idx val="2"/>
              <c:layout>
                <c:manualLayout>
                  <c:x val="-3.2530306153551659E-2"/>
                  <c:y val="5.077852541551865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AF2C-4CD2-902C-D417FAEC92FE}"/>
                </c:ext>
              </c:extLst>
            </c:dLbl>
            <c:dLbl>
              <c:idx val="3"/>
              <c:layout>
                <c:manualLayout>
                  <c:x val="-3.4808728258336551E-2"/>
                  <c:y val="5.077852541551865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F2C-4CD2-902C-D417FAEC92FE}"/>
                </c:ext>
              </c:extLst>
            </c:dLbl>
            <c:dLbl>
              <c:idx val="4"/>
              <c:layout>
                <c:manualLayout>
                  <c:x val="-4.8479260887045426E-2"/>
                  <c:y val="4.594591817825171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AF2C-4CD2-902C-D417FAEC92FE}"/>
                </c:ext>
              </c:extLst>
            </c:dLbl>
            <c:dLbl>
              <c:idx val="5"/>
              <c:layout>
                <c:manualLayout>
                  <c:x val="-4.3922416677475713E-2"/>
                  <c:y val="3.628070370371779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AF2C-4CD2-902C-D417FAEC92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Data_Sheet!$P$35:$U$35</c:f>
              <c:strCache>
                <c:ptCount val="6"/>
                <c:pt idx="0">
                  <c:v>2020-21</c:v>
                </c:pt>
                <c:pt idx="1">
                  <c:v>2021-22</c:v>
                </c:pt>
                <c:pt idx="2">
                  <c:v>2022-23</c:v>
                </c:pt>
                <c:pt idx="3">
                  <c:v>2023-24</c:v>
                </c:pt>
                <c:pt idx="4">
                  <c:v>2024-25</c:v>
                </c:pt>
                <c:pt idx="5">
                  <c:v>2025-26</c:v>
                </c:pt>
              </c:strCache>
            </c:strRef>
          </c:cat>
          <c:val>
            <c:numRef>
              <c:f>Data_Sheet!$P$40:$U$40</c:f>
              <c:numCache>
                <c:formatCode>0%</c:formatCode>
                <c:ptCount val="6"/>
                <c:pt idx="0">
                  <c:v>8.2167629647400195E-2</c:v>
                </c:pt>
                <c:pt idx="1">
                  <c:v>0.10454179605383432</c:v>
                </c:pt>
                <c:pt idx="2">
                  <c:v>0.14553008701185879</c:v>
                </c:pt>
                <c:pt idx="3">
                  <c:v>0.13418123232349441</c:v>
                </c:pt>
                <c:pt idx="4">
                  <c:v>0.12344567286999253</c:v>
                </c:pt>
                <c:pt idx="5">
                  <c:v>0.113669780219675</c:v>
                </c:pt>
              </c:numCache>
            </c:numRef>
          </c:val>
          <c:smooth val="0"/>
          <c:extLst>
            <c:ext xmlns:c16="http://schemas.microsoft.com/office/drawing/2014/chart" uri="{C3380CC4-5D6E-409C-BE32-E72D297353CC}">
              <c16:uniqueId val="{00000001-AF2C-4CD2-902C-D417FAEC92FE}"/>
            </c:ext>
          </c:extLst>
        </c:ser>
        <c:dLbls>
          <c:dLblPos val="t"/>
          <c:showLegendKey val="0"/>
          <c:showVal val="1"/>
          <c:showCatName val="0"/>
          <c:showSerName val="0"/>
          <c:showPercent val="0"/>
          <c:showBubbleSize val="0"/>
        </c:dLbls>
        <c:marker val="1"/>
        <c:smooth val="0"/>
        <c:axId val="106348768"/>
        <c:axId val="106352096"/>
      </c:lineChart>
      <c:catAx>
        <c:axId val="10634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52096"/>
        <c:crosses val="autoZero"/>
        <c:auto val="1"/>
        <c:lblAlgn val="ctr"/>
        <c:lblOffset val="100"/>
        <c:noMultiLvlLbl val="0"/>
      </c:catAx>
      <c:valAx>
        <c:axId val="106352096"/>
        <c:scaling>
          <c:orientation val="minMax"/>
          <c:min val="6.0000000000000012E-2"/>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487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Cash Coversion</a:t>
            </a:r>
            <a:r>
              <a:rPr lang="en-US" b="1" baseline="0">
                <a:solidFill>
                  <a:schemeClr val="tx1"/>
                </a:solidFill>
                <a:latin typeface="Times New Roman" panose="02020603050405020304" pitchFamily="18" charset="0"/>
                <a:cs typeface="Times New Roman" panose="02020603050405020304" pitchFamily="18" charset="0"/>
              </a:rPr>
              <a:t> Cycle Ove The Years </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3"/>
          <c:order val="0"/>
          <c:tx>
            <c:strRef>
              <c:f>Data_Sheet!$O$28</c:f>
              <c:strCache>
                <c:ptCount val="1"/>
                <c:pt idx="0">
                  <c:v>Cash Conversion Cycle</c:v>
                </c:pt>
              </c:strCache>
            </c:strRef>
          </c:tx>
          <c:spPr>
            <a:ln w="28575" cap="rnd">
              <a:solidFill>
                <a:srgbClr val="002060"/>
              </a:solidFill>
              <a:round/>
            </a:ln>
            <a:effectLst/>
          </c:spPr>
          <c:marker>
            <c:symbol val="circle"/>
            <c:size val="5"/>
            <c:spPr>
              <a:solidFill>
                <a:srgbClr val="00B0F0"/>
              </a:solidFill>
              <a:ln w="9525">
                <a:noFill/>
              </a:ln>
              <a:effectLst/>
            </c:spPr>
          </c:marker>
          <c:dLbls>
            <c:dLbl>
              <c:idx val="2"/>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44C-4BD4-A08D-777897E9AC75}"/>
                </c:ext>
              </c:extLst>
            </c:dLbl>
            <c:dLbl>
              <c:idx val="3"/>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B44C-4BD4-A08D-777897E9AC75}"/>
                </c:ext>
              </c:extLst>
            </c:dLbl>
            <c:numFmt formatCode="#,##0\ &quot;Days&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Data_Sheet!$P$24:$U$24</c:f>
              <c:strCache>
                <c:ptCount val="6"/>
                <c:pt idx="0">
                  <c:v>2020-21</c:v>
                </c:pt>
                <c:pt idx="1">
                  <c:v>2021-22</c:v>
                </c:pt>
                <c:pt idx="2">
                  <c:v>2022-23</c:v>
                </c:pt>
                <c:pt idx="3">
                  <c:v>2023-24</c:v>
                </c:pt>
                <c:pt idx="4">
                  <c:v>2024-25</c:v>
                </c:pt>
                <c:pt idx="5">
                  <c:v>2025-26</c:v>
                </c:pt>
              </c:strCache>
            </c:strRef>
          </c:cat>
          <c:val>
            <c:numRef>
              <c:f>Data_Sheet!$P$28:$U$28</c:f>
              <c:numCache>
                <c:formatCode>#,##0.00</c:formatCode>
                <c:ptCount val="6"/>
                <c:pt idx="0">
                  <c:v>28.748055273231778</c:v>
                </c:pt>
                <c:pt idx="1">
                  <c:v>27.085611691806307</c:v>
                </c:pt>
                <c:pt idx="2">
                  <c:v>23.904876134156552</c:v>
                </c:pt>
                <c:pt idx="3">
                  <c:v>23.730138372484738</c:v>
                </c:pt>
                <c:pt idx="4">
                  <c:v>25.952472498943727</c:v>
                </c:pt>
                <c:pt idx="5">
                  <c:v>27.451496976103769</c:v>
                </c:pt>
              </c:numCache>
            </c:numRef>
          </c:val>
          <c:smooth val="0"/>
          <c:extLst>
            <c:ext xmlns:c16="http://schemas.microsoft.com/office/drawing/2014/chart" uri="{C3380CC4-5D6E-409C-BE32-E72D297353CC}">
              <c16:uniqueId val="{00000000-B44C-4BD4-A08D-777897E9AC75}"/>
            </c:ext>
          </c:extLst>
        </c:ser>
        <c:dLbls>
          <c:showLegendKey val="0"/>
          <c:showVal val="0"/>
          <c:showCatName val="0"/>
          <c:showSerName val="0"/>
          <c:showPercent val="0"/>
          <c:showBubbleSize val="0"/>
        </c:dLbls>
        <c:marker val="1"/>
        <c:smooth val="0"/>
        <c:axId val="106339200"/>
        <c:axId val="106357504"/>
      </c:lineChart>
      <c:catAx>
        <c:axId val="10633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57504"/>
        <c:crosses val="autoZero"/>
        <c:auto val="1"/>
        <c:lblAlgn val="ctr"/>
        <c:lblOffset val="100"/>
        <c:noMultiLvlLbl val="0"/>
      </c:catAx>
      <c:valAx>
        <c:axId val="106357504"/>
        <c:scaling>
          <c:orientation val="minMax"/>
          <c:min val="20"/>
        </c:scaling>
        <c:delete val="0"/>
        <c:axPos val="l"/>
        <c:majorGridlines>
          <c:spPr>
            <a:ln w="9525" cap="flat" cmpd="sng" algn="ctr">
              <a:no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39200"/>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GB" sz="1400" b="1" i="0" u="none" strike="noStrike" baseline="0">
                <a:solidFill>
                  <a:schemeClr val="tx1"/>
                </a:solidFill>
                <a:latin typeface="Times New Roman" panose="02020603050405020304" pitchFamily="18" charset="0"/>
                <a:cs typeface="Times New Roman" panose="02020603050405020304" pitchFamily="18" charset="0"/>
              </a:rPr>
              <a:t>Retail Area at Fiscal Year End (In Millions) </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Data_Sheet!$O$8</c:f>
              <c:strCache>
                <c:ptCount val="1"/>
                <c:pt idx="0">
                  <c:v>Retail sales area</c:v>
                </c:pt>
              </c:strCache>
            </c:strRef>
          </c:tx>
          <c:spPr>
            <a:solidFill>
              <a:srgbClr val="002060"/>
            </a:solidFill>
            <a:ln>
              <a:solidFill>
                <a:schemeClr val="accent1"/>
              </a:solidFill>
            </a:ln>
            <a:effectLst/>
          </c:spPr>
          <c:invertIfNegative val="0"/>
          <c:dLbls>
            <c:numFmt formatCode="#,##0\ &quot;Sq.ft&quot;;\-#,##0\ &quot;Sq.f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a:noFill/>
                    </a:ln>
                    <a:effectLst/>
                  </c:spPr>
                </c15:leaderLines>
              </c:ext>
            </c:extLst>
          </c:dLbls>
          <c:cat>
            <c:strRef>
              <c:f>Data_Sheet!$P$7:$U$7</c:f>
              <c:strCache>
                <c:ptCount val="6"/>
                <c:pt idx="0">
                  <c:v>2020-21</c:v>
                </c:pt>
                <c:pt idx="1">
                  <c:v>2021-22</c:v>
                </c:pt>
                <c:pt idx="2">
                  <c:v>2022-23</c:v>
                </c:pt>
                <c:pt idx="3">
                  <c:v>2023-24</c:v>
                </c:pt>
                <c:pt idx="4">
                  <c:v>2024-25</c:v>
                </c:pt>
                <c:pt idx="5">
                  <c:v>2025-26</c:v>
                </c:pt>
              </c:strCache>
            </c:strRef>
          </c:cat>
          <c:val>
            <c:numRef>
              <c:f>Data_Sheet!$P$8:$U$8</c:f>
              <c:numCache>
                <c:formatCode>General</c:formatCode>
                <c:ptCount val="6"/>
                <c:pt idx="0">
                  <c:v>8.8000000000000007</c:v>
                </c:pt>
                <c:pt idx="1">
                  <c:v>11.5</c:v>
                </c:pt>
                <c:pt idx="2">
                  <c:v>13.4</c:v>
                </c:pt>
                <c:pt idx="3">
                  <c:v>15.1</c:v>
                </c:pt>
                <c:pt idx="4">
                  <c:v>17.2</c:v>
                </c:pt>
                <c:pt idx="5">
                  <c:v>20.6</c:v>
                </c:pt>
              </c:numCache>
            </c:numRef>
          </c:val>
          <c:extLst>
            <c:ext xmlns:c16="http://schemas.microsoft.com/office/drawing/2014/chart" uri="{C3380CC4-5D6E-409C-BE32-E72D297353CC}">
              <c16:uniqueId val="{00000000-2A0E-4FBB-8EF3-466E2C796A8C}"/>
            </c:ext>
          </c:extLst>
        </c:ser>
        <c:dLbls>
          <c:showLegendKey val="0"/>
          <c:showVal val="1"/>
          <c:showCatName val="0"/>
          <c:showSerName val="0"/>
          <c:showPercent val="0"/>
          <c:showBubbleSize val="0"/>
        </c:dLbls>
        <c:gapWidth val="50"/>
        <c:axId val="1512743600"/>
        <c:axId val="1512737776"/>
      </c:barChart>
      <c:catAx>
        <c:axId val="151274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2737776"/>
        <c:crosses val="autoZero"/>
        <c:auto val="1"/>
        <c:lblAlgn val="ctr"/>
        <c:lblOffset val="100"/>
        <c:noMultiLvlLbl val="0"/>
      </c:catAx>
      <c:valAx>
        <c:axId val="1512737776"/>
        <c:scaling>
          <c:orientation val="minMax"/>
          <c:min val="5"/>
        </c:scaling>
        <c:delete val="0"/>
        <c:axPos val="l"/>
        <c:majorGridlines>
          <c:spPr>
            <a:ln w="9525" cap="flat" cmpd="sng" algn="ctr">
              <a:noFill/>
              <a:round/>
            </a:ln>
            <a:effectLst/>
          </c:spPr>
        </c:majorGridlines>
        <c:numFmt formatCode="#,##0\ &quot;Sq.ft&quot;;\-#,##0\ &quot;Sq.ft&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2743600"/>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Operating Cash</a:t>
            </a:r>
            <a:r>
              <a:rPr lang="en-US" b="1" baseline="0">
                <a:solidFill>
                  <a:schemeClr val="tx1"/>
                </a:solidFill>
                <a:latin typeface="Times New Roman" panose="02020603050405020304" pitchFamily="18" charset="0"/>
                <a:cs typeface="Times New Roman" panose="02020603050405020304" pitchFamily="18" charset="0"/>
              </a:rPr>
              <a:t>flow Over The Years</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Data_Sheet!$O$22</c:f>
              <c:strCache>
                <c:ptCount val="1"/>
                <c:pt idx="0">
                  <c:v>Net cash flow from operating activities</c:v>
                </c:pt>
              </c:strCache>
            </c:strRef>
          </c:tx>
          <c:spPr>
            <a:solidFill>
              <a:srgbClr val="002060"/>
            </a:solidFill>
            <a:ln>
              <a:noFill/>
            </a:ln>
            <a:effectLst/>
          </c:spPr>
          <c:invertIfNegative val="0"/>
          <c:dLbls>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Data_Sheet!$P$21:$U$21</c:f>
              <c:strCache>
                <c:ptCount val="6"/>
                <c:pt idx="0">
                  <c:v>2020-21</c:v>
                </c:pt>
                <c:pt idx="1">
                  <c:v>2021-22</c:v>
                </c:pt>
                <c:pt idx="2">
                  <c:v>2022-23</c:v>
                </c:pt>
                <c:pt idx="3">
                  <c:v>2023-24</c:v>
                </c:pt>
                <c:pt idx="4">
                  <c:v>2024-25</c:v>
                </c:pt>
                <c:pt idx="5">
                  <c:v>2025-26</c:v>
                </c:pt>
              </c:strCache>
            </c:strRef>
          </c:cat>
          <c:val>
            <c:numRef>
              <c:f>Data_Sheet!$P$22:$U$22</c:f>
              <c:numCache>
                <c:formatCode>0</c:formatCode>
                <c:ptCount val="6"/>
                <c:pt idx="0">
                  <c:v>13751.400000000001</c:v>
                </c:pt>
                <c:pt idx="1">
                  <c:v>13723.500000000011</c:v>
                </c:pt>
                <c:pt idx="2">
                  <c:v>26302.699999999997</c:v>
                </c:pt>
                <c:pt idx="3">
                  <c:v>27458.399999999983</c:v>
                </c:pt>
                <c:pt idx="4">
                  <c:v>24629.7</c:v>
                </c:pt>
                <c:pt idx="5">
                  <c:v>34667.39999999998</c:v>
                </c:pt>
              </c:numCache>
            </c:numRef>
          </c:val>
          <c:extLst>
            <c:ext xmlns:c16="http://schemas.microsoft.com/office/drawing/2014/chart" uri="{C3380CC4-5D6E-409C-BE32-E72D297353CC}">
              <c16:uniqueId val="{00000000-B53C-4F18-83E2-8B6C76FEE7FE}"/>
            </c:ext>
          </c:extLst>
        </c:ser>
        <c:dLbls>
          <c:dLblPos val="outEnd"/>
          <c:showLegendKey val="0"/>
          <c:showVal val="1"/>
          <c:showCatName val="0"/>
          <c:showSerName val="0"/>
          <c:showPercent val="0"/>
          <c:showBubbleSize val="0"/>
        </c:dLbls>
        <c:gapWidth val="219"/>
        <c:overlap val="-27"/>
        <c:axId val="100388592"/>
        <c:axId val="100397744"/>
      </c:barChart>
      <c:catAx>
        <c:axId val="10038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397744"/>
        <c:crosses val="autoZero"/>
        <c:auto val="1"/>
        <c:lblAlgn val="ctr"/>
        <c:lblOffset val="100"/>
        <c:noMultiLvlLbl val="0"/>
      </c:catAx>
      <c:valAx>
        <c:axId val="100397744"/>
        <c:scaling>
          <c:orientation val="minMax"/>
          <c:min val="10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388592"/>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GB" b="1">
                <a:solidFill>
                  <a:sysClr val="windowText" lastClr="000000"/>
                </a:solidFill>
                <a:latin typeface="Times New Roman" panose="02020603050405020304" pitchFamily="18" charset="0"/>
                <a:cs typeface="Times New Roman" panose="02020603050405020304" pitchFamily="18" charset="0"/>
              </a:rPr>
              <a:t>Net Profit v/s Net Profit</a:t>
            </a:r>
            <a:r>
              <a:rPr lang="en-GB" b="1" baseline="0">
                <a:solidFill>
                  <a:sysClr val="windowText" lastClr="000000"/>
                </a:solidFill>
                <a:latin typeface="Times New Roman" panose="02020603050405020304" pitchFamily="18" charset="0"/>
                <a:cs typeface="Times New Roman" panose="02020603050405020304" pitchFamily="18" charset="0"/>
              </a:rPr>
              <a:t> Margin</a:t>
            </a:r>
            <a:endParaRPr lang="en-GB" b="1">
              <a:solidFill>
                <a:sysClr val="windowText" lastClr="000000"/>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Data_Sheet!$O$18</c:f>
              <c:strCache>
                <c:ptCount val="1"/>
                <c:pt idx="0">
                  <c:v>Net Profit</c:v>
                </c:pt>
              </c:strCache>
            </c:strRef>
          </c:tx>
          <c:spPr>
            <a:solidFill>
              <a:srgbClr val="002060"/>
            </a:solidFill>
            <a:ln>
              <a:noFill/>
            </a:ln>
            <a:effectLst/>
          </c:spPr>
          <c:invertIfNegative val="0"/>
          <c:dLbls>
            <c:dLbl>
              <c:idx val="0"/>
              <c:layout>
                <c:manualLayout>
                  <c:x val="-2.8600923877402477E-3"/>
                  <c:y val="9.876543209876543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AC5-4B75-9014-3516FF384E4F}"/>
                </c:ext>
              </c:extLst>
            </c:dLbl>
            <c:dLbl>
              <c:idx val="1"/>
              <c:layout>
                <c:manualLayout>
                  <c:x val="2.5740831489662178E-2"/>
                  <c:y val="9.8765432098764528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AC5-4B75-9014-3516FF384E4F}"/>
                </c:ext>
              </c:extLst>
            </c:dLbl>
            <c:dLbl>
              <c:idx val="2"/>
              <c:layout>
                <c:manualLayout>
                  <c:x val="0"/>
                  <c:y val="9.876543209876543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5AC5-4B75-9014-3516FF384E4F}"/>
                </c:ext>
              </c:extLst>
            </c:dLbl>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Data_Sheet!$P$17:$U$17</c:f>
              <c:strCache>
                <c:ptCount val="6"/>
                <c:pt idx="0">
                  <c:v>2020-21</c:v>
                </c:pt>
                <c:pt idx="1">
                  <c:v>2021-22</c:v>
                </c:pt>
                <c:pt idx="2">
                  <c:v>2022-23</c:v>
                </c:pt>
                <c:pt idx="3">
                  <c:v>2023-24</c:v>
                </c:pt>
                <c:pt idx="4">
                  <c:v>2024-25</c:v>
                </c:pt>
                <c:pt idx="5">
                  <c:v>2025-26</c:v>
                </c:pt>
              </c:strCache>
            </c:strRef>
          </c:cat>
          <c:val>
            <c:numRef>
              <c:f>Data_Sheet!$P$18:$U$18</c:f>
              <c:numCache>
                <c:formatCode>0</c:formatCode>
                <c:ptCount val="6"/>
                <c:pt idx="0">
                  <c:v>10994.299999999985</c:v>
                </c:pt>
                <c:pt idx="1">
                  <c:v>14923.999999999989</c:v>
                </c:pt>
                <c:pt idx="2">
                  <c:v>23783.400000000034</c:v>
                </c:pt>
                <c:pt idx="3">
                  <c:v>25356.100000000024</c:v>
                </c:pt>
                <c:pt idx="4">
                  <c:v>27074.499999999945</c:v>
                </c:pt>
                <c:pt idx="5">
                  <c:v>29705.999999999971</c:v>
                </c:pt>
              </c:numCache>
            </c:numRef>
          </c:val>
          <c:extLst>
            <c:ext xmlns:c16="http://schemas.microsoft.com/office/drawing/2014/chart" uri="{C3380CC4-5D6E-409C-BE32-E72D297353CC}">
              <c16:uniqueId val="{00000000-5AC5-4B75-9014-3516FF384E4F}"/>
            </c:ext>
          </c:extLst>
        </c:ser>
        <c:dLbls>
          <c:showLegendKey val="0"/>
          <c:showVal val="1"/>
          <c:showCatName val="0"/>
          <c:showSerName val="0"/>
          <c:showPercent val="0"/>
          <c:showBubbleSize val="0"/>
        </c:dLbls>
        <c:gapWidth val="150"/>
        <c:axId val="94077296"/>
        <c:axId val="94085616"/>
      </c:barChart>
      <c:lineChart>
        <c:grouping val="standard"/>
        <c:varyColors val="0"/>
        <c:ser>
          <c:idx val="1"/>
          <c:order val="1"/>
          <c:tx>
            <c:strRef>
              <c:f>Data_Sheet!$O$19</c:f>
              <c:strCache>
                <c:ptCount val="1"/>
                <c:pt idx="0">
                  <c:v>Net profit margin</c:v>
                </c:pt>
              </c:strCache>
            </c:strRef>
          </c:tx>
          <c:spPr>
            <a:ln w="28575" cap="rnd">
              <a:solidFill>
                <a:schemeClr val="accent1">
                  <a:lumMod val="50000"/>
                </a:schemeClr>
              </a:solidFill>
              <a:round/>
            </a:ln>
            <a:effectLst/>
          </c:spPr>
          <c:marker>
            <c:symbol val="circle"/>
            <c:size val="5"/>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Data_Sheet!$P$17:$U$17</c:f>
              <c:strCache>
                <c:ptCount val="6"/>
                <c:pt idx="0">
                  <c:v>2020-21</c:v>
                </c:pt>
                <c:pt idx="1">
                  <c:v>2021-22</c:v>
                </c:pt>
                <c:pt idx="2">
                  <c:v>2022-23</c:v>
                </c:pt>
                <c:pt idx="3">
                  <c:v>2023-24</c:v>
                </c:pt>
                <c:pt idx="4">
                  <c:v>2024-25</c:v>
                </c:pt>
                <c:pt idx="5">
                  <c:v>2025-26</c:v>
                </c:pt>
              </c:strCache>
            </c:strRef>
          </c:cat>
          <c:val>
            <c:numRef>
              <c:f>Data_Sheet!$P$19:$U$19</c:f>
              <c:numCache>
                <c:formatCode>0%</c:formatCode>
                <c:ptCount val="6"/>
                <c:pt idx="0">
                  <c:v>4.5538138081916646E-2</c:v>
                </c:pt>
                <c:pt idx="1">
                  <c:v>4.8178815590127502E-2</c:v>
                </c:pt>
                <c:pt idx="2">
                  <c:v>5.551737692917489E-2</c:v>
                </c:pt>
                <c:pt idx="3">
                  <c:v>4.9924560183804242E-2</c:v>
                </c:pt>
                <c:pt idx="4">
                  <c:v>4.5612178971512617E-2</c:v>
                </c:pt>
                <c:pt idx="5">
                  <c:v>4.3164313548502919E-2</c:v>
                </c:pt>
              </c:numCache>
            </c:numRef>
          </c:val>
          <c:smooth val="0"/>
          <c:extLst>
            <c:ext xmlns:c16="http://schemas.microsoft.com/office/drawing/2014/chart" uri="{C3380CC4-5D6E-409C-BE32-E72D297353CC}">
              <c16:uniqueId val="{00000001-5AC5-4B75-9014-3516FF384E4F}"/>
            </c:ext>
          </c:extLst>
        </c:ser>
        <c:dLbls>
          <c:showLegendKey val="0"/>
          <c:showVal val="1"/>
          <c:showCatName val="0"/>
          <c:showSerName val="0"/>
          <c:showPercent val="0"/>
          <c:showBubbleSize val="0"/>
        </c:dLbls>
        <c:marker val="1"/>
        <c:smooth val="0"/>
        <c:axId val="94076464"/>
        <c:axId val="94074384"/>
      </c:lineChart>
      <c:catAx>
        <c:axId val="9407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85616"/>
        <c:crosses val="autoZero"/>
        <c:auto val="1"/>
        <c:lblAlgn val="ctr"/>
        <c:lblOffset val="100"/>
        <c:noMultiLvlLbl val="0"/>
      </c:catAx>
      <c:valAx>
        <c:axId val="94085616"/>
        <c:scaling>
          <c:orientation val="minMax"/>
          <c:min val="5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7296"/>
        <c:crosses val="autoZero"/>
        <c:crossBetween val="between"/>
      </c:valAx>
      <c:valAx>
        <c:axId val="94074384"/>
        <c:scaling>
          <c:orientation val="minMax"/>
          <c:min val="4.0000000000000008E-2"/>
        </c:scaling>
        <c:delete val="0"/>
        <c:axPos val="r"/>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6464"/>
        <c:crosses val="max"/>
        <c:crossBetween val="between"/>
      </c:valAx>
      <c:catAx>
        <c:axId val="94076464"/>
        <c:scaling>
          <c:orientation val="minMax"/>
        </c:scaling>
        <c:delete val="1"/>
        <c:axPos val="b"/>
        <c:numFmt formatCode="General" sourceLinked="1"/>
        <c:majorTickMark val="out"/>
        <c:minorTickMark val="none"/>
        <c:tickLblPos val="nextTo"/>
        <c:crossAx val="94074384"/>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solidFill>
                  <a:schemeClr val="tx1"/>
                </a:solidFill>
                <a:latin typeface="Times New Roman" panose="02020603050405020304" pitchFamily="18" charset="0"/>
                <a:cs typeface="Times New Roman" panose="02020603050405020304" pitchFamily="18" charset="0"/>
              </a:rPr>
              <a:t>EBITA</a:t>
            </a:r>
            <a:r>
              <a:rPr lang="en-GB" b="1" baseline="0">
                <a:solidFill>
                  <a:schemeClr val="tx1"/>
                </a:solidFill>
                <a:latin typeface="Times New Roman" panose="02020603050405020304" pitchFamily="18" charset="0"/>
                <a:cs typeface="Times New Roman" panose="02020603050405020304" pitchFamily="18" charset="0"/>
              </a:rPr>
              <a:t> v/s EBITA Margin</a:t>
            </a:r>
            <a:endParaRPr lang="en-GB"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Data_Sheet!$O$14</c:f>
              <c:strCache>
                <c:ptCount val="1"/>
                <c:pt idx="0">
                  <c:v>EBIT</c:v>
                </c:pt>
              </c:strCache>
            </c:strRef>
          </c:tx>
          <c:spPr>
            <a:solidFill>
              <a:srgbClr val="002060"/>
            </a:solidFill>
            <a:ln>
              <a:noFill/>
            </a:ln>
            <a:effectLst/>
          </c:spPr>
          <c:invertIfNegative val="0"/>
          <c:dLbls>
            <c:dLbl>
              <c:idx val="3"/>
              <c:layout>
                <c:manualLayout>
                  <c:x val="-2.8455283642043285E-3"/>
                  <c:y val="-4.847916655533000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C9F4-4973-BD2D-DD6848EBBC6E}"/>
                </c:ext>
              </c:extLst>
            </c:dLbl>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Data_Sheet!$P$13:$U$13</c:f>
              <c:strCache>
                <c:ptCount val="6"/>
                <c:pt idx="0">
                  <c:v>2020-21</c:v>
                </c:pt>
                <c:pt idx="1">
                  <c:v>2021-22</c:v>
                </c:pt>
                <c:pt idx="2">
                  <c:v>2022-23</c:v>
                </c:pt>
                <c:pt idx="3">
                  <c:v>2023-24</c:v>
                </c:pt>
                <c:pt idx="4">
                  <c:v>2024-25</c:v>
                </c:pt>
                <c:pt idx="5">
                  <c:v>2025-26</c:v>
                </c:pt>
              </c:strCache>
            </c:strRef>
          </c:cat>
          <c:val>
            <c:numRef>
              <c:f>Data_Sheet!$P$14:$U$14</c:f>
              <c:numCache>
                <c:formatCode>0</c:formatCode>
                <c:ptCount val="6"/>
                <c:pt idx="0">
                  <c:v>13288.899999999985</c:v>
                </c:pt>
                <c:pt idx="1">
                  <c:v>20004.19999999999</c:v>
                </c:pt>
                <c:pt idx="2">
                  <c:v>29981.600000000031</c:v>
                </c:pt>
                <c:pt idx="3">
                  <c:v>33730.100000000028</c:v>
                </c:pt>
                <c:pt idx="4">
                  <c:v>36178.099999999948</c:v>
                </c:pt>
                <c:pt idx="5">
                  <c:v>41495.699999999968</c:v>
                </c:pt>
              </c:numCache>
            </c:numRef>
          </c:val>
          <c:extLst>
            <c:ext xmlns:c16="http://schemas.microsoft.com/office/drawing/2014/chart" uri="{C3380CC4-5D6E-409C-BE32-E72D297353CC}">
              <c16:uniqueId val="{00000000-C9F4-4973-BD2D-DD6848EBBC6E}"/>
            </c:ext>
          </c:extLst>
        </c:ser>
        <c:dLbls>
          <c:dLblPos val="outEnd"/>
          <c:showLegendKey val="0"/>
          <c:showVal val="1"/>
          <c:showCatName val="0"/>
          <c:showSerName val="0"/>
          <c:showPercent val="0"/>
          <c:showBubbleSize val="0"/>
        </c:dLbls>
        <c:gapWidth val="150"/>
        <c:axId val="105677312"/>
        <c:axId val="105678144"/>
      </c:barChart>
      <c:lineChart>
        <c:grouping val="standard"/>
        <c:varyColors val="0"/>
        <c:ser>
          <c:idx val="1"/>
          <c:order val="1"/>
          <c:tx>
            <c:strRef>
              <c:f>Data_Sheet!$O$15</c:f>
              <c:strCache>
                <c:ptCount val="1"/>
                <c:pt idx="0">
                  <c:v>EBIT margin</c:v>
                </c:pt>
              </c:strCache>
            </c:strRef>
          </c:tx>
          <c:spPr>
            <a:ln w="28575" cap="rnd">
              <a:solidFill>
                <a:schemeClr val="accent1">
                  <a:lumMod val="50000"/>
                </a:schemeClr>
              </a:solidFill>
              <a:round/>
            </a:ln>
            <a:effectLst/>
          </c:spPr>
          <c:marker>
            <c:symbol val="circle"/>
            <c:size val="5"/>
            <c:spPr>
              <a:solidFill>
                <a:schemeClr val="accent1"/>
              </a:solidFill>
              <a:ln w="9525">
                <a:no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9F4-4973-BD2D-DD6848EBBC6E}"/>
                </c:ext>
              </c:extLst>
            </c:dLbl>
            <c:dLbl>
              <c:idx val="1"/>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C9F4-4973-BD2D-DD6848EBBC6E}"/>
                </c:ext>
              </c:extLst>
            </c:dLbl>
            <c:dLbl>
              <c:idx val="2"/>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9F4-4973-BD2D-DD6848EBBC6E}"/>
                </c:ext>
              </c:extLst>
            </c:dLbl>
            <c:dLbl>
              <c:idx val="3"/>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9F4-4973-BD2D-DD6848EBBC6E}"/>
                </c:ext>
              </c:extLst>
            </c:dLbl>
            <c:dLbl>
              <c:idx val="4"/>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9F4-4973-BD2D-DD6848EBBC6E}"/>
                </c:ext>
              </c:extLst>
            </c:dLbl>
            <c:dLbl>
              <c:idx val="5"/>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9F4-4973-BD2D-DD6848EBBC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Data_Sheet!$P$13:$U$13</c:f>
              <c:strCache>
                <c:ptCount val="6"/>
                <c:pt idx="0">
                  <c:v>2020-21</c:v>
                </c:pt>
                <c:pt idx="1">
                  <c:v>2021-22</c:v>
                </c:pt>
                <c:pt idx="2">
                  <c:v>2022-23</c:v>
                </c:pt>
                <c:pt idx="3">
                  <c:v>2023-24</c:v>
                </c:pt>
                <c:pt idx="4">
                  <c:v>2024-25</c:v>
                </c:pt>
                <c:pt idx="5">
                  <c:v>2025-26</c:v>
                </c:pt>
              </c:strCache>
            </c:strRef>
          </c:cat>
          <c:val>
            <c:numRef>
              <c:f>Data_Sheet!$P$15:$U$15</c:f>
              <c:numCache>
                <c:formatCode>0%</c:formatCode>
                <c:ptCount val="6"/>
                <c:pt idx="0">
                  <c:v>5.5042318579334948E-2</c:v>
                </c:pt>
                <c:pt idx="1">
                  <c:v>6.4579111687753196E-2</c:v>
                </c:pt>
                <c:pt idx="2">
                  <c:v>6.9985779499135925E-2</c:v>
                </c:pt>
                <c:pt idx="3">
                  <c:v>6.6412437537939004E-2</c:v>
                </c:pt>
                <c:pt idx="4">
                  <c:v>6.094893615945933E-2</c:v>
                </c:pt>
                <c:pt idx="5">
                  <c:v>6.0295341200922815E-2</c:v>
                </c:pt>
              </c:numCache>
            </c:numRef>
          </c:val>
          <c:smooth val="0"/>
          <c:extLst>
            <c:ext xmlns:c16="http://schemas.microsoft.com/office/drawing/2014/chart" uri="{C3380CC4-5D6E-409C-BE32-E72D297353CC}">
              <c16:uniqueId val="{00000001-C9F4-4973-BD2D-DD6848EBBC6E}"/>
            </c:ext>
          </c:extLst>
        </c:ser>
        <c:dLbls>
          <c:showLegendKey val="0"/>
          <c:showVal val="1"/>
          <c:showCatName val="0"/>
          <c:showSerName val="0"/>
          <c:showPercent val="0"/>
          <c:showBubbleSize val="0"/>
        </c:dLbls>
        <c:marker val="1"/>
        <c:smooth val="0"/>
        <c:axId val="1501575216"/>
        <c:axId val="1501573968"/>
      </c:lineChart>
      <c:catAx>
        <c:axId val="10567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678144"/>
        <c:crosses val="autoZero"/>
        <c:auto val="1"/>
        <c:lblAlgn val="ctr"/>
        <c:lblOffset val="100"/>
        <c:noMultiLvlLbl val="0"/>
      </c:catAx>
      <c:valAx>
        <c:axId val="105678144"/>
        <c:scaling>
          <c:orientation val="minMax"/>
          <c:min val="10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677312"/>
        <c:crosses val="autoZero"/>
        <c:crossBetween val="between"/>
      </c:valAx>
      <c:valAx>
        <c:axId val="1501573968"/>
        <c:scaling>
          <c:orientation val="minMax"/>
          <c:min val="5.000000000000001E-2"/>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1575216"/>
        <c:crosses val="max"/>
        <c:crossBetween val="between"/>
      </c:valAx>
      <c:catAx>
        <c:axId val="1501575216"/>
        <c:scaling>
          <c:orientation val="minMax"/>
        </c:scaling>
        <c:delete val="1"/>
        <c:axPos val="b"/>
        <c:numFmt formatCode="General" sourceLinked="1"/>
        <c:majorTickMark val="out"/>
        <c:minorTickMark val="none"/>
        <c:tickLblPos val="nextTo"/>
        <c:crossAx val="1501573968"/>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Revenue From Operations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Data_Sheet!$O$11</c:f>
              <c:strCache>
                <c:ptCount val="1"/>
                <c:pt idx="0">
                  <c:v>Revenue from operations</c:v>
                </c:pt>
              </c:strCache>
            </c:strRef>
          </c:tx>
          <c:spPr>
            <a:solidFill>
              <a:srgbClr val="002060"/>
            </a:solidFill>
            <a:ln>
              <a:noFill/>
            </a:ln>
            <a:effectLst/>
          </c:spPr>
          <c:invertIfNegative val="0"/>
          <c:dLbls>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Data_Sheet!$P$10:$U$10</c:f>
              <c:strCache>
                <c:ptCount val="6"/>
                <c:pt idx="0">
                  <c:v>2020-21</c:v>
                </c:pt>
                <c:pt idx="1">
                  <c:v>2021-22</c:v>
                </c:pt>
                <c:pt idx="2">
                  <c:v>2022-23</c:v>
                </c:pt>
                <c:pt idx="3">
                  <c:v>2023-24</c:v>
                </c:pt>
                <c:pt idx="4">
                  <c:v>2024-25</c:v>
                </c:pt>
                <c:pt idx="5">
                  <c:v>2025-26</c:v>
                </c:pt>
              </c:strCache>
            </c:strRef>
          </c:cat>
          <c:val>
            <c:numRef>
              <c:f>Data_Sheet!$P$11:$U$11</c:f>
              <c:numCache>
                <c:formatCode>0</c:formatCode>
                <c:ptCount val="6"/>
                <c:pt idx="0">
                  <c:v>241430.6</c:v>
                </c:pt>
                <c:pt idx="1">
                  <c:v>309762.7</c:v>
                </c:pt>
                <c:pt idx="2">
                  <c:v>428395.6</c:v>
                </c:pt>
                <c:pt idx="3">
                  <c:v>507888.3</c:v>
                </c:pt>
                <c:pt idx="4">
                  <c:v>593580.5</c:v>
                </c:pt>
                <c:pt idx="5">
                  <c:v>688207.4</c:v>
                </c:pt>
              </c:numCache>
            </c:numRef>
          </c:val>
          <c:extLst>
            <c:ext xmlns:c16="http://schemas.microsoft.com/office/drawing/2014/chart" uri="{C3380CC4-5D6E-409C-BE32-E72D297353CC}">
              <c16:uniqueId val="{00000000-1C1D-496B-8D54-1B6AEF66C547}"/>
            </c:ext>
          </c:extLst>
        </c:ser>
        <c:dLbls>
          <c:dLblPos val="outEnd"/>
          <c:showLegendKey val="0"/>
          <c:showVal val="1"/>
          <c:showCatName val="0"/>
          <c:showSerName val="0"/>
          <c:showPercent val="0"/>
          <c:showBubbleSize val="0"/>
        </c:dLbls>
        <c:gapWidth val="219"/>
        <c:overlap val="-27"/>
        <c:axId val="106342528"/>
        <c:axId val="106345440"/>
      </c:barChart>
      <c:catAx>
        <c:axId val="10634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45440"/>
        <c:crosses val="autoZero"/>
        <c:auto val="1"/>
        <c:lblAlgn val="ctr"/>
        <c:lblOffset val="100"/>
        <c:noMultiLvlLbl val="0"/>
      </c:catAx>
      <c:valAx>
        <c:axId val="106345440"/>
        <c:scaling>
          <c:orientation val="minMax"/>
          <c:min val="100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42528"/>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chemeClr val="tx1"/>
                </a:solidFill>
              </a:rPr>
              <a:t>Sales Revenue Per Retail Sq.ft Area</a:t>
            </a:r>
          </a:p>
        </c:rich>
      </c:tx>
      <c:layout>
        <c:manualLayout>
          <c:xMode val="edge"/>
          <c:yMode val="edge"/>
          <c:x val="0.25372805703672641"/>
          <c:y val="2.77776824580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Data_Sheet!$O$5</c:f>
              <c:strCache>
                <c:ptCount val="1"/>
                <c:pt idx="0">
                  <c:v>Revenue from sales from per retail sales area sq.ft</c:v>
                </c:pt>
              </c:strCache>
            </c:strRef>
          </c:tx>
          <c:spPr>
            <a:solidFill>
              <a:srgbClr val="002060"/>
            </a:solidFill>
            <a:ln>
              <a:noFill/>
            </a:ln>
            <a:effectLst/>
          </c:spPr>
          <c:invertIfNegative val="0"/>
          <c:dLbls>
            <c:numFmt formatCode="[$₹-4009]\ #,##0"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Data_Sheet!$P$4:$U$4</c:f>
              <c:strCache>
                <c:ptCount val="6"/>
                <c:pt idx="0">
                  <c:v>2020-21</c:v>
                </c:pt>
                <c:pt idx="1">
                  <c:v>2021-22</c:v>
                </c:pt>
                <c:pt idx="2">
                  <c:v>2022-23</c:v>
                </c:pt>
                <c:pt idx="3">
                  <c:v>2023-24</c:v>
                </c:pt>
                <c:pt idx="4">
                  <c:v>2024-25</c:v>
                </c:pt>
                <c:pt idx="5">
                  <c:v>2025-26</c:v>
                </c:pt>
              </c:strCache>
            </c:strRef>
          </c:cat>
          <c:val>
            <c:numRef>
              <c:f>Data_Sheet!$P$5:$U$5</c:f>
              <c:numCache>
                <c:formatCode>General</c:formatCode>
                <c:ptCount val="6"/>
                <c:pt idx="0">
                  <c:v>27306</c:v>
                </c:pt>
                <c:pt idx="1">
                  <c:v>27454</c:v>
                </c:pt>
                <c:pt idx="2">
                  <c:v>31096</c:v>
                </c:pt>
                <c:pt idx="3">
                  <c:v>32941</c:v>
                </c:pt>
                <c:pt idx="4">
                  <c:v>33869</c:v>
                </c:pt>
                <c:pt idx="5">
                  <c:v>33422</c:v>
                </c:pt>
              </c:numCache>
            </c:numRef>
          </c:val>
          <c:extLst>
            <c:ext xmlns:c16="http://schemas.microsoft.com/office/drawing/2014/chart" uri="{C3380CC4-5D6E-409C-BE32-E72D297353CC}">
              <c16:uniqueId val="{00000000-8BC8-4B28-9578-77E32D531EC7}"/>
            </c:ext>
          </c:extLst>
        </c:ser>
        <c:dLbls>
          <c:dLblPos val="outEnd"/>
          <c:showLegendKey val="0"/>
          <c:showVal val="1"/>
          <c:showCatName val="0"/>
          <c:showSerName val="0"/>
          <c:showPercent val="0"/>
          <c:showBubbleSize val="0"/>
        </c:dLbls>
        <c:gapWidth val="219"/>
        <c:overlap val="-27"/>
        <c:axId val="94074800"/>
        <c:axId val="94075632"/>
      </c:barChart>
      <c:catAx>
        <c:axId val="94074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5632"/>
        <c:crosses val="autoZero"/>
        <c:auto val="1"/>
        <c:lblAlgn val="ctr"/>
        <c:lblOffset val="100"/>
        <c:noMultiLvlLbl val="0"/>
      </c:catAx>
      <c:valAx>
        <c:axId val="94075632"/>
        <c:scaling>
          <c:orientation val="minMax"/>
          <c:min val="20000"/>
        </c:scaling>
        <c:delete val="0"/>
        <c:axPos val="l"/>
        <c:majorGridlines>
          <c:spPr>
            <a:ln w="9525" cap="flat" cmpd="sng" algn="ctr">
              <a:noFill/>
              <a:round/>
            </a:ln>
            <a:effectLst/>
          </c:spPr>
        </c:majorGridlines>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4800"/>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title pos="t" align="ctr" overlay="0">
      <cx:tx>
        <cx:rich>
          <a:bodyPr spcFirstLastPara="1" vertOverflow="ellipsis" wrap="square" lIns="0" tIns="0" rIns="0" bIns="0" anchor="ctr" anchorCtr="1"/>
          <a:lstStyle/>
          <a:p>
            <a:pPr algn="ctr">
              <a:defRPr>
                <a:solidFill>
                  <a:schemeClr val="tx1"/>
                </a:solidFill>
              </a:defRPr>
            </a:pPr>
            <a:r>
              <a:rPr lang="en-US" b="1">
                <a:solidFill>
                  <a:schemeClr val="tx1"/>
                </a:solidFill>
                <a:latin typeface="Times New Roman" panose="02020603050405020304" pitchFamily="18" charset="0"/>
                <a:cs typeface="Times New Roman" panose="02020603050405020304" pitchFamily="18" charset="0"/>
              </a:rPr>
              <a:t>Revenue Growth Rate</a:t>
            </a:r>
          </a:p>
        </cx:rich>
      </cx:tx>
    </cx:title>
    <cx:plotArea>
      <cx:plotAreaRegion>
        <cx:plotSurface>
          <cx:spPr>
            <a:noFill/>
            <a:ln>
              <a:noFill/>
            </a:ln>
          </cx:spPr>
        </cx:plotSurface>
        <cx:series layoutId="waterfall" uniqueId="{AC629946-DBD7-4807-AEFE-0C8455096381}" formatIdx="0">
          <cx:tx>
            <cx:txData>
              <cx:f>_xlchart.v1.0</cx:f>
              <cx:v>Revenue growth (Y-o-Y)</cx:v>
            </cx:txData>
          </cx:tx>
          <cx:spPr>
            <a:solidFill>
              <a:srgbClr val="002060"/>
            </a:solidFill>
            <a:ln>
              <a:solidFill>
                <a:schemeClr val="accent1">
                  <a:shade val="50000"/>
                </a:schemeClr>
              </a:solidFill>
            </a:ln>
          </cx:spPr>
          <cx:dataPt idx="0">
            <cx:spPr>
              <a:solidFill>
                <a:schemeClr val="accent1">
                  <a:lumMod val="40000"/>
                  <a:lumOff val="60000"/>
                </a:schemeClr>
              </a:solidFill>
            </cx:spPr>
          </cx:dataPt>
          <cx:dataLabels pos="outEnd">
            <cx:txPr>
              <a:bodyPr spcFirstLastPara="1" vertOverflow="ellipsis" wrap="square" lIns="0" tIns="0" rIns="0" bIns="0" anchor="ctr" anchorCtr="1">
                <a:spAutoFit/>
              </a:bodyPr>
              <a:lstStyle/>
              <a:p>
                <a:pPr>
                  <a:defRPr b="1">
                    <a:solidFill>
                      <a:schemeClr val="tx1"/>
                    </a:solidFill>
                  </a:defRPr>
                </a:pPr>
                <a:endParaRPr lang="en-US" b="1">
                  <a:solidFill>
                    <a:schemeClr val="tx1"/>
                  </a:solidFill>
                </a:endParaRPr>
              </a:p>
            </cx:txPr>
            <cx:visibility seriesName="0" categoryName="0" value="1"/>
          </cx:dataLabels>
          <cx:dataId val="0"/>
          <cx:layoutPr>
            <cx:subtotals/>
          </cx:layoutPr>
        </cx:series>
      </cx:plotAreaRegion>
      <cx:axis id="0">
        <cx:catScaling gapWidth="0.5"/>
        <cx:tickLabels/>
        <cx:txPr>
          <a:bodyPr spcFirstLastPara="1" vertOverflow="ellipsis" wrap="square" lIns="0" tIns="0" rIns="0" bIns="0" anchor="ctr" anchorCtr="1"/>
          <a:lstStyle/>
          <a:p>
            <a:pPr>
              <a:defRPr b="1">
                <a:solidFill>
                  <a:schemeClr val="tx1"/>
                </a:solidFill>
              </a:defRPr>
            </a:pPr>
            <a:endParaRPr lang="en-US" b="1">
              <a:solidFill>
                <a:schemeClr val="tx1"/>
              </a:solidFill>
            </a:endParaRPr>
          </a:p>
        </cx:txPr>
      </cx:axis>
      <cx:axis id="1">
        <cx:valScaling/>
        <cx:majorGridlines>
          <cx:spPr>
            <a:ln>
              <a:noFill/>
            </a:ln>
          </cx:spPr>
        </cx:majorGridlines>
        <cx:tickLabels/>
        <cx:txPr>
          <a:bodyPr spcFirstLastPara="1" vertOverflow="ellipsis" wrap="square" lIns="0" tIns="0" rIns="0" bIns="0" anchor="ctr" anchorCtr="1"/>
          <a:lstStyle/>
          <a:p>
            <a:pPr>
              <a:defRPr b="1">
                <a:solidFill>
                  <a:schemeClr val="tx1"/>
                </a:solidFill>
              </a:defRPr>
            </a:pPr>
            <a:endParaRPr lang="en-US" b="1">
              <a:solidFill>
                <a:schemeClr val="tx1"/>
              </a:solidFill>
            </a:endParaRPr>
          </a:p>
        </cx:txPr>
      </cx:axis>
    </cx:plotArea>
  </cx:chart>
  <cx:spPr>
    <a:solidFill>
      <a:schemeClr val="tx1">
        <a:alpha val="0"/>
      </a:schemeClr>
    </a:solidFill>
    <a:ln>
      <a:noFill/>
    </a:ln>
    <a:effectLst/>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80607</xdr:colOff>
      <xdr:row>1</xdr:row>
      <xdr:rowOff>44533</xdr:rowOff>
    </xdr:from>
    <xdr:to>
      <xdr:col>7</xdr:col>
      <xdr:colOff>15791</xdr:colOff>
      <xdr:row>13</xdr:row>
      <xdr:rowOff>92922</xdr:rowOff>
    </xdr:to>
    <xdr:pic>
      <xdr:nvPicPr>
        <xdr:cNvPr id="2" name="Picture 1"/>
        <xdr:cNvPicPr>
          <a:picLocks noChangeAspect="1"/>
        </xdr:cNvPicPr>
      </xdr:nvPicPr>
      <xdr:blipFill rotWithShape="1">
        <a:blip xmlns:r="http://schemas.openxmlformats.org/officeDocument/2006/relationships" r:embed="rId1"/>
        <a:srcRect b="7156"/>
        <a:stretch/>
      </xdr:blipFill>
      <xdr:spPr>
        <a:xfrm>
          <a:off x="271107" y="246239"/>
          <a:ext cx="6793184" cy="2334389"/>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22413</xdr:colOff>
      <xdr:row>46</xdr:row>
      <xdr:rowOff>86936</xdr:rowOff>
    </xdr:from>
    <xdr:to>
      <xdr:col>11</xdr:col>
      <xdr:colOff>156883</xdr:colOff>
      <xdr:row>87</xdr:row>
      <xdr:rowOff>0</xdr:rowOff>
    </xdr:to>
    <xdr:pic>
      <xdr:nvPicPr>
        <xdr:cNvPr id="3" name="Picture 2"/>
        <xdr:cNvPicPr>
          <a:picLocks noChangeAspect="1"/>
        </xdr:cNvPicPr>
      </xdr:nvPicPr>
      <xdr:blipFill rotWithShape="1">
        <a:blip xmlns:r="http://schemas.openxmlformats.org/officeDocument/2006/relationships" r:embed="rId2"/>
        <a:srcRect l="501" r="616"/>
        <a:stretch/>
      </xdr:blipFill>
      <xdr:spPr>
        <a:xfrm>
          <a:off x="22413" y="8861142"/>
          <a:ext cx="11754970" cy="7734770"/>
        </a:xfrm>
        <a:prstGeom prst="rect">
          <a:avLst/>
        </a:prstGeom>
        <a:ln w="1905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96855</xdr:colOff>
      <xdr:row>1</xdr:row>
      <xdr:rowOff>50695</xdr:rowOff>
    </xdr:from>
    <xdr:to>
      <xdr:col>7</xdr:col>
      <xdr:colOff>32039</xdr:colOff>
      <xdr:row>13</xdr:row>
      <xdr:rowOff>99084</xdr:rowOff>
    </xdr:to>
    <xdr:pic>
      <xdr:nvPicPr>
        <xdr:cNvPr id="2" name="Picture 1"/>
        <xdr:cNvPicPr>
          <a:picLocks noChangeAspect="1"/>
        </xdr:cNvPicPr>
      </xdr:nvPicPr>
      <xdr:blipFill rotWithShape="1">
        <a:blip xmlns:r="http://schemas.openxmlformats.org/officeDocument/2006/relationships" r:embed="rId1"/>
        <a:srcRect b="7156"/>
        <a:stretch/>
      </xdr:blipFill>
      <xdr:spPr>
        <a:xfrm>
          <a:off x="287355" y="241195"/>
          <a:ext cx="6793184" cy="2334389"/>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33618</xdr:colOff>
      <xdr:row>53</xdr:row>
      <xdr:rowOff>235237</xdr:rowOff>
    </xdr:from>
    <xdr:to>
      <xdr:col>11</xdr:col>
      <xdr:colOff>156882</xdr:colOff>
      <xdr:row>74</xdr:row>
      <xdr:rowOff>168088</xdr:rowOff>
    </xdr:to>
    <xdr:pic>
      <xdr:nvPicPr>
        <xdr:cNvPr id="4" name="Picture 3"/>
        <xdr:cNvPicPr>
          <a:picLocks noChangeAspect="1"/>
        </xdr:cNvPicPr>
      </xdr:nvPicPr>
      <xdr:blipFill>
        <a:blip xmlns:r="http://schemas.openxmlformats.org/officeDocument/2006/relationships" r:embed="rId2"/>
        <a:stretch>
          <a:fillRect/>
        </a:stretch>
      </xdr:blipFill>
      <xdr:spPr>
        <a:xfrm>
          <a:off x="33618" y="10342943"/>
          <a:ext cx="11743764" cy="6219351"/>
        </a:xfrm>
        <a:prstGeom prst="rect">
          <a:avLst/>
        </a:prstGeom>
        <a:ln w="19050">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276224</xdr:colOff>
      <xdr:row>38</xdr:row>
      <xdr:rowOff>95249</xdr:rowOff>
    </xdr:from>
    <xdr:to>
      <xdr:col>10</xdr:col>
      <xdr:colOff>0</xdr:colOff>
      <xdr:row>51</xdr:row>
      <xdr:rowOff>14924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828</xdr:colOff>
      <xdr:row>52</xdr:row>
      <xdr:rowOff>15736</xdr:rowOff>
    </xdr:from>
    <xdr:to>
      <xdr:col>5</xdr:col>
      <xdr:colOff>156882</xdr:colOff>
      <xdr:row>65</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564557</xdr:colOff>
      <xdr:row>51</xdr:row>
      <xdr:rowOff>192545</xdr:rowOff>
    </xdr:from>
    <xdr:to>
      <xdr:col>10</xdr:col>
      <xdr:colOff>0</xdr:colOff>
      <xdr:row>65</xdr:row>
      <xdr:rowOff>7326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387740</xdr:colOff>
      <xdr:row>4</xdr:row>
      <xdr:rowOff>45912</xdr:rowOff>
    </xdr:from>
    <xdr:to>
      <xdr:col>4</xdr:col>
      <xdr:colOff>692682</xdr:colOff>
      <xdr:row>11</xdr:row>
      <xdr:rowOff>131637</xdr:rowOff>
    </xdr:to>
    <xdr:pic>
      <xdr:nvPicPr>
        <xdr:cNvPr id="2" name="Picture 1"/>
        <xdr:cNvPicPr>
          <a:picLocks noChangeAspect="1"/>
        </xdr:cNvPicPr>
      </xdr:nvPicPr>
      <xdr:blipFill rotWithShape="1">
        <a:blip xmlns:r="http://schemas.openxmlformats.org/officeDocument/2006/relationships" r:embed="rId4"/>
        <a:srcRect b="7156"/>
        <a:stretch/>
      </xdr:blipFill>
      <xdr:spPr>
        <a:xfrm>
          <a:off x="538826" y="551722"/>
          <a:ext cx="3983563" cy="1465208"/>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12246</xdr:colOff>
      <xdr:row>32</xdr:row>
      <xdr:rowOff>15402</xdr:rowOff>
    </xdr:from>
    <xdr:to>
      <xdr:col>15</xdr:col>
      <xdr:colOff>1110889</xdr:colOff>
      <xdr:row>45</xdr:row>
      <xdr:rowOff>14588</xdr:rowOff>
    </xdr:to>
    <xdr:sp macro="" textlink="">
      <xdr:nvSpPr>
        <xdr:cNvPr id="27" name="Rounded Rectangle 26"/>
        <xdr:cNvSpPr/>
      </xdr:nvSpPr>
      <xdr:spPr>
        <a:xfrm>
          <a:off x="9656989" y="6296459"/>
          <a:ext cx="4446000" cy="2617200"/>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6227</xdr:colOff>
      <xdr:row>32</xdr:row>
      <xdr:rowOff>2373</xdr:rowOff>
    </xdr:from>
    <xdr:to>
      <xdr:col>10</xdr:col>
      <xdr:colOff>1104900</xdr:colOff>
      <xdr:row>45</xdr:row>
      <xdr:rowOff>0</xdr:rowOff>
    </xdr:to>
    <xdr:sp macro="" textlink="">
      <xdr:nvSpPr>
        <xdr:cNvPr id="25" name="Rounded Rectangle 24"/>
        <xdr:cNvSpPr/>
      </xdr:nvSpPr>
      <xdr:spPr>
        <a:xfrm>
          <a:off x="5006852" y="6241248"/>
          <a:ext cx="4441948" cy="2597952"/>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167105</xdr:colOff>
      <xdr:row>32</xdr:row>
      <xdr:rowOff>3123</xdr:rowOff>
    </xdr:from>
    <xdr:to>
      <xdr:col>16</xdr:col>
      <xdr:colOff>13414</xdr:colOff>
      <xdr:row>45</xdr:row>
      <xdr:rowOff>22281</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1626</xdr:colOff>
      <xdr:row>32</xdr:row>
      <xdr:rowOff>0</xdr:rowOff>
    </xdr:from>
    <xdr:to>
      <xdr:col>11</xdr:col>
      <xdr:colOff>0</xdr:colOff>
      <xdr:row>44</xdr:row>
      <xdr:rowOff>199868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9721</xdr:colOff>
      <xdr:row>4</xdr:row>
      <xdr:rowOff>6294</xdr:rowOff>
    </xdr:from>
    <xdr:to>
      <xdr:col>6</xdr:col>
      <xdr:colOff>0</xdr:colOff>
      <xdr:row>17</xdr:row>
      <xdr:rowOff>12616</xdr:rowOff>
    </xdr:to>
    <xdr:sp macro="" textlink="">
      <xdr:nvSpPr>
        <xdr:cNvPr id="19" name="Rounded Rectangle 18"/>
        <xdr:cNvSpPr/>
      </xdr:nvSpPr>
      <xdr:spPr>
        <a:xfrm>
          <a:off x="371828" y="643918"/>
          <a:ext cx="4453648" cy="2564690"/>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174950</xdr:colOff>
      <xdr:row>4</xdr:row>
      <xdr:rowOff>3403</xdr:rowOff>
    </xdr:from>
    <xdr:to>
      <xdr:col>6</xdr:col>
      <xdr:colOff>7872</xdr:colOff>
      <xdr:row>17</xdr:row>
      <xdr:rowOff>6308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180590</xdr:colOff>
      <xdr:row>32</xdr:row>
      <xdr:rowOff>0</xdr:rowOff>
    </xdr:from>
    <xdr:to>
      <xdr:col>6</xdr:col>
      <xdr:colOff>0</xdr:colOff>
      <xdr:row>45</xdr:row>
      <xdr:rowOff>8380</xdr:rowOff>
    </xdr:to>
    <xdr:sp macro="" textlink="">
      <xdr:nvSpPr>
        <xdr:cNvPr id="22" name="Rounded Rectangle 21"/>
        <xdr:cNvSpPr/>
      </xdr:nvSpPr>
      <xdr:spPr>
        <a:xfrm>
          <a:off x="363991" y="9079020"/>
          <a:ext cx="5563989" cy="2631503"/>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5441</xdr:colOff>
      <xdr:row>32</xdr:row>
      <xdr:rowOff>0</xdr:rowOff>
    </xdr:from>
    <xdr:to>
      <xdr:col>5</xdr:col>
      <xdr:colOff>1115785</xdr:colOff>
      <xdr:row>45</xdr:row>
      <xdr:rowOff>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176496</xdr:colOff>
      <xdr:row>18</xdr:row>
      <xdr:rowOff>9124</xdr:rowOff>
    </xdr:from>
    <xdr:to>
      <xdr:col>15</xdr:col>
      <xdr:colOff>1104494</xdr:colOff>
      <xdr:row>31</xdr:row>
      <xdr:rowOff>4391</xdr:rowOff>
    </xdr:to>
    <xdr:sp macro="" textlink="">
      <xdr:nvSpPr>
        <xdr:cNvPr id="18" name="Rounded Rectangle 17"/>
        <xdr:cNvSpPr/>
      </xdr:nvSpPr>
      <xdr:spPr>
        <a:xfrm>
          <a:off x="9640698" y="3484736"/>
          <a:ext cx="4454275" cy="2629841"/>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4887</xdr:colOff>
      <xdr:row>18</xdr:row>
      <xdr:rowOff>4215</xdr:rowOff>
    </xdr:from>
    <xdr:to>
      <xdr:col>15</xdr:col>
      <xdr:colOff>1104226</xdr:colOff>
      <xdr:row>31</xdr:row>
      <xdr:rowOff>4215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177020</xdr:colOff>
      <xdr:row>18</xdr:row>
      <xdr:rowOff>5040</xdr:rowOff>
    </xdr:from>
    <xdr:to>
      <xdr:col>10</xdr:col>
      <xdr:colOff>1104496</xdr:colOff>
      <xdr:row>30</xdr:row>
      <xdr:rowOff>196547</xdr:rowOff>
    </xdr:to>
    <xdr:sp macro="" textlink="">
      <xdr:nvSpPr>
        <xdr:cNvPr id="23" name="Rounded Rectangle 22"/>
        <xdr:cNvSpPr/>
      </xdr:nvSpPr>
      <xdr:spPr>
        <a:xfrm>
          <a:off x="5000318" y="3480652"/>
          <a:ext cx="4453752" cy="2623422"/>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0</xdr:colOff>
      <xdr:row>18</xdr:row>
      <xdr:rowOff>2547</xdr:rowOff>
    </xdr:from>
    <xdr:to>
      <xdr:col>11</xdr:col>
      <xdr:colOff>0</xdr:colOff>
      <xdr:row>31</xdr:row>
      <xdr:rowOff>4215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5437</xdr:colOff>
      <xdr:row>18</xdr:row>
      <xdr:rowOff>11758</xdr:rowOff>
    </xdr:from>
    <xdr:to>
      <xdr:col>6</xdr:col>
      <xdr:colOff>0</xdr:colOff>
      <xdr:row>31</xdr:row>
      <xdr:rowOff>11907</xdr:rowOff>
    </xdr:to>
    <xdr:sp macro="" textlink="">
      <xdr:nvSpPr>
        <xdr:cNvPr id="21" name="Rounded Rectangle 20"/>
        <xdr:cNvSpPr/>
      </xdr:nvSpPr>
      <xdr:spPr>
        <a:xfrm>
          <a:off x="364025" y="3474376"/>
          <a:ext cx="4432093" cy="2622325"/>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0</xdr:colOff>
      <xdr:row>3</xdr:row>
      <xdr:rowOff>185696</xdr:rowOff>
    </xdr:from>
    <xdr:to>
      <xdr:col>15</xdr:col>
      <xdr:colOff>1110343</xdr:colOff>
      <xdr:row>17</xdr:row>
      <xdr:rowOff>8435</xdr:rowOff>
    </xdr:to>
    <xdr:sp macro="" textlink="">
      <xdr:nvSpPr>
        <xdr:cNvPr id="17" name="Rounded Rectangle 16"/>
        <xdr:cNvSpPr/>
      </xdr:nvSpPr>
      <xdr:spPr>
        <a:xfrm>
          <a:off x="9644743" y="637453"/>
          <a:ext cx="4457700" cy="2631253"/>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2855</xdr:colOff>
      <xdr:row>4</xdr:row>
      <xdr:rowOff>15744</xdr:rowOff>
    </xdr:from>
    <xdr:to>
      <xdr:col>11</xdr:col>
      <xdr:colOff>3138</xdr:colOff>
      <xdr:row>17</xdr:row>
      <xdr:rowOff>1</xdr:rowOff>
    </xdr:to>
    <xdr:sp macro="" textlink="">
      <xdr:nvSpPr>
        <xdr:cNvPr id="20" name="Rounded Rectangle 19"/>
        <xdr:cNvSpPr/>
      </xdr:nvSpPr>
      <xdr:spPr>
        <a:xfrm>
          <a:off x="5017256" y="653368"/>
          <a:ext cx="4471522" cy="2542625"/>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18</xdr:row>
      <xdr:rowOff>3185</xdr:rowOff>
    </xdr:from>
    <xdr:to>
      <xdr:col>6</xdr:col>
      <xdr:colOff>1</xdr:colOff>
      <xdr:row>31</xdr:row>
      <xdr:rowOff>14465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8430</xdr:colOff>
      <xdr:row>3</xdr:row>
      <xdr:rowOff>183616</xdr:rowOff>
    </xdr:from>
    <xdr:to>
      <xdr:col>16</xdr:col>
      <xdr:colOff>0</xdr:colOff>
      <xdr:row>17</xdr:row>
      <xdr:rowOff>5460</xdr:rowOff>
    </xdr:to>
    <mc:AlternateContent xmlns:mc="http://schemas.openxmlformats.org/markup-compatibility/2006">
      <mc:Choice xmlns:cx1="http://schemas.microsoft.com/office/drawing/2015/9/8/chartex" Requires="cx1">
        <xdr:graphicFrame macro="">
          <xdr:nvGraphicFramePr>
            <xdr:cNvPr id="6" name="Chart 5"/>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178774</xdr:colOff>
      <xdr:row>4</xdr:row>
      <xdr:rowOff>7872</xdr:rowOff>
    </xdr:from>
    <xdr:to>
      <xdr:col>11</xdr:col>
      <xdr:colOff>0</xdr:colOff>
      <xdr:row>17</xdr:row>
      <xdr:rowOff>7873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ranesh MK" refreshedDate="46266.711353587962" createdVersion="6" refreshedVersion="6" minRefreshableVersion="3" recordCount="1592">
  <cacheSource type="worksheet">
    <worksheetSource name="AVEU_Historical_Data__2"/>
  </cacheSource>
  <cacheFields count="10">
    <cacheField name="Date" numFmtId="14">
      <sharedItems containsSemiMixedTypes="0" containsNonDate="0" containsDate="1" containsString="0" minDate="2020-04-01T00:00:00" maxDate="2026-09-02T00:00:00"/>
    </cacheField>
    <cacheField name="Price" numFmtId="0">
      <sharedItems containsSemiMixedTypes="0" containsString="0" containsNumber="1" minValue="1974.55" maxValue="5391.45"/>
    </cacheField>
    <cacheField name="Open" numFmtId="0">
      <sharedItems containsSemiMixedTypes="0" containsString="0" containsNumber="1" minValue="1969.05" maxValue="5599"/>
    </cacheField>
    <cacheField name="High" numFmtId="0">
      <sharedItems containsSemiMixedTypes="0" containsString="0" containsNumber="1" minValue="1998.5" maxValue="5900"/>
    </cacheField>
    <cacheField name="Low" numFmtId="0">
      <sharedItems containsSemiMixedTypes="0" containsString="0" containsNumber="1" minValue="1954.85" maxValue="5315"/>
    </cacheField>
    <cacheField name="Vol." numFmtId="0">
      <sharedItems/>
    </cacheField>
    <cacheField name="Change %" numFmtId="0">
      <sharedItems containsSemiMixedTypes="0" containsString="0" containsNumber="1" minValue="-8.5099999999999995E-2" maxValue="0.1147"/>
    </cacheField>
    <cacheField name="Year" numFmtId="0">
      <sharedItems containsSemiMixedTypes="0" containsString="0" containsNumber="1" containsInteger="1" minValue="2020" maxValue="2026" count="7">
        <n v="2020"/>
        <n v="2021"/>
        <n v="2022"/>
        <n v="2023"/>
        <n v="2024"/>
        <n v="2025"/>
        <n v="2026"/>
      </sharedItems>
    </cacheField>
    <cacheField name="Quarter" numFmtId="0">
      <sharedItems containsSemiMixedTypes="0" containsString="0" containsNumber="1" containsInteger="1" minValue="1" maxValue="4"/>
    </cacheField>
    <cacheField name="Month"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ranesh MK" refreshedDate="46266.723996064815" createdVersion="6" refreshedVersion="6" minRefreshableVersion="3" recordCount="7">
  <cacheSource type="worksheet">
    <worksheetSource name="Table3"/>
  </cacheSource>
  <cacheFields count="2">
    <cacheField name="Years" numFmtId="0">
      <sharedItems containsSemiMixedTypes="0" containsString="0" containsNumber="1" containsInteger="1" minValue="2020" maxValue="2026" count="7">
        <n v="2020"/>
        <n v="2021"/>
        <n v="2022"/>
        <n v="2023"/>
        <n v="2024"/>
        <n v="2025"/>
        <n v="2026"/>
      </sharedItems>
    </cacheField>
    <cacheField name="Volume" numFmtId="0">
      <sharedItems containsSemiMixedTypes="0" containsString="0" containsNumber="1" containsInteger="1" minValue="85452980" maxValue="1454532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92">
  <r>
    <d v="2020-04-01T00:00:00"/>
    <n v="2082.6999999999998"/>
    <n v="2218"/>
    <n v="2230"/>
    <n v="2078.15"/>
    <s v="272.20K"/>
    <n v="-4.7899999999999998E-2"/>
    <x v="0"/>
    <n v="1"/>
    <n v="4"/>
  </r>
  <r>
    <d v="2020-04-03T00:00:00"/>
    <n v="2066.9499999999998"/>
    <n v="2101.5"/>
    <n v="2119"/>
    <n v="2020"/>
    <s v="303.21K"/>
    <n v="-7.6E-3"/>
    <x v="0"/>
    <n v="1"/>
    <n v="4"/>
  </r>
  <r>
    <d v="2020-04-07T00:00:00"/>
    <n v="2170.25"/>
    <n v="2090.1"/>
    <n v="2170.25"/>
    <n v="2090.1"/>
    <s v="219.47K"/>
    <n v="0.05"/>
    <x v="0"/>
    <n v="1"/>
    <n v="4"/>
  </r>
  <r>
    <d v="2020-04-08T00:00:00"/>
    <n v="2278.75"/>
    <n v="2222"/>
    <n v="2278.75"/>
    <n v="2201.0500000000002"/>
    <s v="153.35K"/>
    <n v="0.05"/>
    <x v="0"/>
    <n v="1"/>
    <n v="4"/>
  </r>
  <r>
    <d v="2020-04-09T00:00:00"/>
    <n v="2392.65"/>
    <n v="2392.65"/>
    <n v="2392.65"/>
    <n v="2392.65"/>
    <s v="231.68K"/>
    <n v="0.05"/>
    <x v="0"/>
    <n v="1"/>
    <n v="4"/>
  </r>
  <r>
    <d v="2020-04-13T00:00:00"/>
    <n v="2273.0500000000002"/>
    <n v="2320"/>
    <n v="2320"/>
    <n v="2273.0500000000002"/>
    <s v="272.32K"/>
    <n v="-0.05"/>
    <x v="0"/>
    <n v="1"/>
    <n v="4"/>
  </r>
  <r>
    <d v="2020-04-15T00:00:00"/>
    <n v="2180.9"/>
    <n v="2161"/>
    <n v="2320"/>
    <n v="2159.4"/>
    <s v="634.86K"/>
    <n v="-4.0500000000000001E-2"/>
    <x v="0"/>
    <n v="1"/>
    <n v="4"/>
  </r>
  <r>
    <d v="2020-04-16T00:00:00"/>
    <n v="2137.85"/>
    <n v="2151"/>
    <n v="2210"/>
    <n v="2104.9"/>
    <s v="393.23K"/>
    <n v="-1.9699999999999999E-2"/>
    <x v="0"/>
    <n v="1"/>
    <n v="4"/>
  </r>
  <r>
    <d v="2020-04-17T00:00:00"/>
    <n v="2212.1"/>
    <n v="2214"/>
    <n v="2230"/>
    <n v="2200"/>
    <s v="292.02K"/>
    <n v="3.4700000000000002E-2"/>
    <x v="0"/>
    <n v="1"/>
    <n v="4"/>
  </r>
  <r>
    <d v="2020-04-20T00:00:00"/>
    <n v="2256.25"/>
    <n v="2229.9499999999998"/>
    <n v="2285"/>
    <n v="2150.0500000000002"/>
    <s v="274.76K"/>
    <n v="0.02"/>
    <x v="0"/>
    <n v="1"/>
    <n v="4"/>
  </r>
  <r>
    <d v="2020-04-21T00:00:00"/>
    <n v="2238.1999999999998"/>
    <n v="2200"/>
    <n v="2288.5"/>
    <n v="2199.4499999999998"/>
    <s v="205.88K"/>
    <n v="-8.0000000000000002E-3"/>
    <x v="0"/>
    <n v="1"/>
    <n v="4"/>
  </r>
  <r>
    <d v="2020-04-22T00:00:00"/>
    <n v="2290.0500000000002"/>
    <n v="2235"/>
    <n v="2320"/>
    <n v="2225"/>
    <s v="232.00K"/>
    <n v="2.3199999999999998E-2"/>
    <x v="0"/>
    <n v="1"/>
    <n v="4"/>
  </r>
  <r>
    <d v="2020-04-23T00:00:00"/>
    <n v="2303.5"/>
    <n v="2290.0500000000002"/>
    <n v="2350"/>
    <n v="2290.0500000000002"/>
    <s v="182.40K"/>
    <n v="5.8999999999999999E-3"/>
    <x v="0"/>
    <n v="1"/>
    <n v="4"/>
  </r>
  <r>
    <d v="2020-04-24T00:00:00"/>
    <n v="2310.5"/>
    <n v="2299.4499999999998"/>
    <n v="2346.5"/>
    <n v="2269.4499999999998"/>
    <s v="586.42K"/>
    <n v="3.0000000000000001E-3"/>
    <x v="0"/>
    <n v="1"/>
    <n v="4"/>
  </r>
  <r>
    <d v="2020-04-27T00:00:00"/>
    <n v="2323.9499999999998"/>
    <n v="2300"/>
    <n v="2350"/>
    <n v="2274"/>
    <s v="198.32K"/>
    <n v="5.7999999999999996E-3"/>
    <x v="0"/>
    <n v="1"/>
    <n v="4"/>
  </r>
  <r>
    <d v="2020-04-28T00:00:00"/>
    <n v="2305.8000000000002"/>
    <n v="2339"/>
    <n v="2340"/>
    <n v="2285"/>
    <s v="858.55K"/>
    <n v="-7.7999999999999996E-3"/>
    <x v="0"/>
    <n v="1"/>
    <n v="4"/>
  </r>
  <r>
    <d v="2020-04-29T00:00:00"/>
    <n v="2344.35"/>
    <n v="2310"/>
    <n v="2350"/>
    <n v="2305.8000000000002"/>
    <s v="120.88K"/>
    <n v="1.67E-2"/>
    <x v="0"/>
    <n v="1"/>
    <n v="4"/>
  </r>
  <r>
    <d v="2020-04-30T00:00:00"/>
    <n v="2383.65"/>
    <n v="2349"/>
    <n v="2389.75"/>
    <n v="2325"/>
    <s v="619.34K"/>
    <n v="1.6799999999999999E-2"/>
    <x v="0"/>
    <n v="1"/>
    <n v="4"/>
  </r>
  <r>
    <d v="2020-05-04T00:00:00"/>
    <n v="2281.3000000000002"/>
    <n v="2310.1999999999998"/>
    <n v="2345"/>
    <n v="2269.9499999999998"/>
    <s v="234.63K"/>
    <n v="-4.2900000000000001E-2"/>
    <x v="0"/>
    <n v="1"/>
    <n v="5"/>
  </r>
  <r>
    <d v="2020-05-05T00:00:00"/>
    <n v="2198.9499999999998"/>
    <n v="2320"/>
    <n v="2329.9499999999998"/>
    <n v="2185.3000000000002"/>
    <s v="183.05K"/>
    <n v="-3.61E-2"/>
    <x v="0"/>
    <n v="1"/>
    <n v="5"/>
  </r>
  <r>
    <d v="2020-05-06T00:00:00"/>
    <n v="2175.6"/>
    <n v="2200"/>
    <n v="2249"/>
    <n v="2126.5500000000002"/>
    <s v="292.52K"/>
    <n v="-1.06E-2"/>
    <x v="0"/>
    <n v="1"/>
    <n v="5"/>
  </r>
  <r>
    <d v="2020-05-07T00:00:00"/>
    <n v="2182.1"/>
    <n v="2180"/>
    <n v="2210.3000000000002"/>
    <n v="2144"/>
    <s v="287.44K"/>
    <n v="3.0000000000000001E-3"/>
    <x v="0"/>
    <n v="1"/>
    <n v="5"/>
  </r>
  <r>
    <d v="2020-05-08T00:00:00"/>
    <n v="2255"/>
    <n v="2190"/>
    <n v="2284"/>
    <n v="2185"/>
    <s v="247.82K"/>
    <n v="3.3399999999999999E-2"/>
    <x v="0"/>
    <n v="1"/>
    <n v="5"/>
  </r>
  <r>
    <d v="2020-05-11T00:00:00"/>
    <n v="2313.5500000000002"/>
    <n v="2280"/>
    <n v="2358"/>
    <n v="2270"/>
    <s v="279.52K"/>
    <n v="2.5999999999999999E-2"/>
    <x v="0"/>
    <n v="1"/>
    <n v="5"/>
  </r>
  <r>
    <d v="2020-05-12T00:00:00"/>
    <n v="2303.35"/>
    <n v="2320.5500000000002"/>
    <n v="2347"/>
    <n v="2286.9"/>
    <s v="277.81K"/>
    <n v="-4.4000000000000003E-3"/>
    <x v="0"/>
    <n v="1"/>
    <n v="5"/>
  </r>
  <r>
    <d v="2020-05-13T00:00:00"/>
    <n v="2352.15"/>
    <n v="2353"/>
    <n v="2379.9499999999998"/>
    <n v="2305"/>
    <s v="373.23K"/>
    <n v="2.12E-2"/>
    <x v="0"/>
    <n v="1"/>
    <n v="5"/>
  </r>
  <r>
    <d v="2020-05-14T00:00:00"/>
    <n v="2324.4"/>
    <n v="2344.35"/>
    <n v="2358"/>
    <n v="2304"/>
    <s v="344.41K"/>
    <n v="-1.18E-2"/>
    <x v="0"/>
    <n v="1"/>
    <n v="5"/>
  </r>
  <r>
    <d v="2020-05-15T00:00:00"/>
    <n v="2333.8000000000002"/>
    <n v="2320"/>
    <n v="2340"/>
    <n v="2290.25"/>
    <s v="181.71K"/>
    <n v="4.0000000000000001E-3"/>
    <x v="0"/>
    <n v="1"/>
    <n v="5"/>
  </r>
  <r>
    <d v="2020-05-18T00:00:00"/>
    <n v="2306.5500000000002"/>
    <n v="2333"/>
    <n v="2370.8000000000002"/>
    <n v="2275"/>
    <s v="293.74K"/>
    <n v="-1.17E-2"/>
    <x v="0"/>
    <n v="1"/>
    <n v="5"/>
  </r>
  <r>
    <d v="2020-05-19T00:00:00"/>
    <n v="2337.5"/>
    <n v="2341.9499999999998"/>
    <n v="2355.6"/>
    <n v="2306"/>
    <s v="254.06K"/>
    <n v="1.34E-2"/>
    <x v="0"/>
    <n v="1"/>
    <n v="5"/>
  </r>
  <r>
    <d v="2020-05-20T00:00:00"/>
    <n v="2454.35"/>
    <n v="2335"/>
    <n v="2454.35"/>
    <n v="2318"/>
    <s v="374.84K"/>
    <n v="0.05"/>
    <x v="0"/>
    <n v="1"/>
    <n v="5"/>
  </r>
  <r>
    <d v="2020-05-21T00:00:00"/>
    <n v="2470.25"/>
    <n v="2452"/>
    <n v="2519.9499999999998"/>
    <n v="2375"/>
    <s v="359.12K"/>
    <n v="6.4999999999999997E-3"/>
    <x v="0"/>
    <n v="1"/>
    <n v="5"/>
  </r>
  <r>
    <d v="2020-05-22T00:00:00"/>
    <n v="2398.3000000000002"/>
    <n v="2484.8000000000002"/>
    <n v="2518"/>
    <n v="2381.5"/>
    <s v="388.44K"/>
    <n v="-2.9100000000000001E-2"/>
    <x v="0"/>
    <n v="1"/>
    <n v="5"/>
  </r>
  <r>
    <d v="2020-05-26T00:00:00"/>
    <n v="2283.25"/>
    <n v="2339"/>
    <n v="2340"/>
    <n v="2278.4"/>
    <s v="773.06K"/>
    <n v="-4.8000000000000001E-2"/>
    <x v="0"/>
    <n v="1"/>
    <n v="5"/>
  </r>
  <r>
    <d v="2020-05-27T00:00:00"/>
    <n v="2200.1999999999998"/>
    <n v="2222.1999999999998"/>
    <n v="2275"/>
    <n v="2176"/>
    <s v="751.86K"/>
    <n v="-3.6400000000000002E-2"/>
    <x v="0"/>
    <n v="1"/>
    <n v="5"/>
  </r>
  <r>
    <d v="2020-05-28T00:00:00"/>
    <n v="2308.4499999999998"/>
    <n v="2210"/>
    <n v="2310.1999999999998"/>
    <n v="2205"/>
    <s v="927.24K"/>
    <n v="4.9200000000000001E-2"/>
    <x v="0"/>
    <n v="1"/>
    <n v="5"/>
  </r>
  <r>
    <d v="2020-05-29T00:00:00"/>
    <n v="2269.35"/>
    <n v="2330"/>
    <n v="2358"/>
    <n v="2229"/>
    <s v="3.80M"/>
    <n v="-1.6899999999999998E-2"/>
    <x v="0"/>
    <n v="1"/>
    <n v="5"/>
  </r>
  <r>
    <d v="2020-06-01T00:00:00"/>
    <n v="2305.5"/>
    <n v="2320.1"/>
    <n v="2328.5500000000002"/>
    <n v="2282.65"/>
    <s v="448.58K"/>
    <n v="1.5900000000000001E-2"/>
    <x v="0"/>
    <n v="1"/>
    <n v="6"/>
  </r>
  <r>
    <d v="2020-06-02T00:00:00"/>
    <n v="2381.6999999999998"/>
    <n v="2309.1"/>
    <n v="2389"/>
    <n v="2290.0500000000002"/>
    <s v="503.21K"/>
    <n v="3.3099999999999997E-2"/>
    <x v="0"/>
    <n v="1"/>
    <n v="6"/>
  </r>
  <r>
    <d v="2020-06-03T00:00:00"/>
    <n v="2349.3000000000002"/>
    <n v="2390"/>
    <n v="2450"/>
    <n v="2330"/>
    <s v="425.48K"/>
    <n v="-1.3599999999999999E-2"/>
    <x v="0"/>
    <n v="1"/>
    <n v="6"/>
  </r>
  <r>
    <d v="2020-06-04T00:00:00"/>
    <n v="2414.1999999999998"/>
    <n v="2362"/>
    <n v="2434"/>
    <n v="2311.3000000000002"/>
    <s v="363.35K"/>
    <n v="2.76E-2"/>
    <x v="0"/>
    <n v="1"/>
    <n v="6"/>
  </r>
  <r>
    <d v="2020-06-05T00:00:00"/>
    <n v="2499"/>
    <n v="2438"/>
    <n v="2524"/>
    <n v="2434.15"/>
    <s v="668.80K"/>
    <n v="3.5099999999999999E-2"/>
    <x v="0"/>
    <n v="1"/>
    <n v="6"/>
  </r>
  <r>
    <d v="2020-06-08T00:00:00"/>
    <n v="2459.5"/>
    <n v="2520"/>
    <n v="2527"/>
    <n v="2414.1999999999998"/>
    <s v="322.71K"/>
    <n v="-1.5800000000000002E-2"/>
    <x v="0"/>
    <n v="1"/>
    <n v="6"/>
  </r>
  <r>
    <d v="2020-06-09T00:00:00"/>
    <n v="2390.1"/>
    <n v="2461"/>
    <n v="2468.8000000000002"/>
    <n v="2370"/>
    <s v="376.33K"/>
    <n v="-2.8199999999999999E-2"/>
    <x v="0"/>
    <n v="1"/>
    <n v="6"/>
  </r>
  <r>
    <d v="2020-06-10T00:00:00"/>
    <n v="2388.35"/>
    <n v="2400"/>
    <n v="2429.9499999999998"/>
    <n v="2360"/>
    <s v="215.50K"/>
    <n v="-6.9999999999999999E-4"/>
    <x v="0"/>
    <n v="1"/>
    <n v="6"/>
  </r>
  <r>
    <d v="2020-06-11T00:00:00"/>
    <n v="2406.5"/>
    <n v="2390"/>
    <n v="2422.8000000000002"/>
    <n v="2365"/>
    <s v="325.84K"/>
    <n v="7.6E-3"/>
    <x v="0"/>
    <n v="1"/>
    <n v="6"/>
  </r>
  <r>
    <d v="2020-06-12T00:00:00"/>
    <n v="2397.8000000000002"/>
    <n v="2312"/>
    <n v="2438"/>
    <n v="2312"/>
    <s v="415.42K"/>
    <n v="-3.5999999999999999E-3"/>
    <x v="0"/>
    <n v="1"/>
    <n v="6"/>
  </r>
  <r>
    <d v="2020-06-15T00:00:00"/>
    <n v="2365.3000000000002"/>
    <n v="2373"/>
    <n v="2422"/>
    <n v="2337.0500000000002"/>
    <s v="354.82K"/>
    <n v="-1.3599999999999999E-2"/>
    <x v="0"/>
    <n v="1"/>
    <n v="6"/>
  </r>
  <r>
    <d v="2020-06-16T00:00:00"/>
    <n v="2403.5500000000002"/>
    <n v="2399"/>
    <n v="2434"/>
    <n v="2356.6"/>
    <s v="321.26K"/>
    <n v="1.6199999999999999E-2"/>
    <x v="0"/>
    <n v="1"/>
    <n v="6"/>
  </r>
  <r>
    <d v="2020-06-17T00:00:00"/>
    <n v="2340.4"/>
    <n v="2390"/>
    <n v="2404"/>
    <n v="2325"/>
    <s v="563.67K"/>
    <n v="-2.63E-2"/>
    <x v="0"/>
    <n v="1"/>
    <n v="6"/>
  </r>
  <r>
    <d v="2020-06-18T00:00:00"/>
    <n v="2350.85"/>
    <n v="2331"/>
    <n v="2365"/>
    <n v="2320.3000000000002"/>
    <s v="199.70K"/>
    <n v="4.4999999999999997E-3"/>
    <x v="0"/>
    <n v="1"/>
    <n v="6"/>
  </r>
  <r>
    <d v="2020-06-19T00:00:00"/>
    <n v="2363.15"/>
    <n v="2372.6999999999998"/>
    <n v="2399"/>
    <n v="2310"/>
    <s v="1.48M"/>
    <n v="5.1999999999999998E-3"/>
    <x v="0"/>
    <n v="1"/>
    <n v="6"/>
  </r>
  <r>
    <d v="2020-06-22T00:00:00"/>
    <n v="2350.4"/>
    <n v="2366"/>
    <n v="2399.4"/>
    <n v="2340"/>
    <s v="366.26K"/>
    <n v="-5.4000000000000003E-3"/>
    <x v="0"/>
    <n v="1"/>
    <n v="6"/>
  </r>
  <r>
    <d v="2020-06-23T00:00:00"/>
    <n v="2359.9"/>
    <n v="2350.3000000000002"/>
    <n v="2375"/>
    <n v="2340"/>
    <s v="175.28K"/>
    <n v="4.0000000000000001E-3"/>
    <x v="0"/>
    <n v="1"/>
    <n v="6"/>
  </r>
  <r>
    <d v="2020-06-24T00:00:00"/>
    <n v="2358.35"/>
    <n v="2397.8000000000002"/>
    <n v="2424"/>
    <n v="2342"/>
    <s v="415.04K"/>
    <n v="-6.9999999999999999E-4"/>
    <x v="0"/>
    <n v="1"/>
    <n v="6"/>
  </r>
  <r>
    <d v="2020-06-25T00:00:00"/>
    <n v="2305.5500000000002"/>
    <n v="2348"/>
    <n v="2348.6999999999998"/>
    <n v="2298.1"/>
    <s v="483.36K"/>
    <n v="-2.24E-2"/>
    <x v="0"/>
    <n v="1"/>
    <n v="6"/>
  </r>
  <r>
    <d v="2020-06-26T00:00:00"/>
    <n v="2294.4"/>
    <n v="2329.6999999999998"/>
    <n v="2337.85"/>
    <n v="2290"/>
    <s v="203.49K"/>
    <n v="-4.7999999999999996E-3"/>
    <x v="0"/>
    <n v="1"/>
    <n v="6"/>
  </r>
  <r>
    <d v="2020-06-29T00:00:00"/>
    <n v="2290.9499999999998"/>
    <n v="2294.4"/>
    <n v="2334.6999999999998"/>
    <n v="2274"/>
    <s v="234.44K"/>
    <n v="-1.5E-3"/>
    <x v="0"/>
    <n v="1"/>
    <n v="6"/>
  </r>
  <r>
    <d v="2020-06-30T00:00:00"/>
    <n v="2317.15"/>
    <n v="2314.6999999999998"/>
    <n v="2332.5"/>
    <n v="2288"/>
    <s v="381.99K"/>
    <n v="1.14E-2"/>
    <x v="0"/>
    <n v="1"/>
    <n v="6"/>
  </r>
  <r>
    <d v="2020-07-01T00:00:00"/>
    <n v="2289.35"/>
    <n v="2325"/>
    <n v="2327"/>
    <n v="2285"/>
    <s v="230.11K"/>
    <n v="-1.2E-2"/>
    <x v="0"/>
    <n v="2"/>
    <n v="7"/>
  </r>
  <r>
    <d v="2020-07-02T00:00:00"/>
    <n v="2295.5"/>
    <n v="2302"/>
    <n v="2325"/>
    <n v="2285"/>
    <s v="412.12K"/>
    <n v="2.7000000000000001E-3"/>
    <x v="0"/>
    <n v="2"/>
    <n v="7"/>
  </r>
  <r>
    <d v="2020-07-03T00:00:00"/>
    <n v="2290.15"/>
    <n v="2305"/>
    <n v="2309.9499999999998"/>
    <n v="2276.0500000000002"/>
    <s v="369.96K"/>
    <n v="-2.3E-3"/>
    <x v="0"/>
    <n v="2"/>
    <n v="7"/>
  </r>
  <r>
    <d v="2020-07-06T00:00:00"/>
    <n v="2323"/>
    <n v="2296"/>
    <n v="2355"/>
    <n v="2296"/>
    <s v="408.63K"/>
    <n v="1.43E-2"/>
    <x v="0"/>
    <n v="2"/>
    <n v="7"/>
  </r>
  <r>
    <d v="2020-07-07T00:00:00"/>
    <n v="2361.6999999999998"/>
    <n v="2313.1"/>
    <n v="2381"/>
    <n v="2305"/>
    <s v="412.87K"/>
    <n v="1.67E-2"/>
    <x v="0"/>
    <n v="2"/>
    <n v="7"/>
  </r>
  <r>
    <d v="2020-07-08T00:00:00"/>
    <n v="2319.5500000000002"/>
    <n v="2385"/>
    <n v="2385.3000000000002"/>
    <n v="2300.4499999999998"/>
    <s v="491.07K"/>
    <n v="-1.78E-2"/>
    <x v="0"/>
    <n v="2"/>
    <n v="7"/>
  </r>
  <r>
    <d v="2020-07-09T00:00:00"/>
    <n v="2320.35"/>
    <n v="2329.6999999999998"/>
    <n v="2364"/>
    <n v="2309"/>
    <s v="266.58K"/>
    <n v="2.9999999999999997E-4"/>
    <x v="0"/>
    <n v="2"/>
    <n v="7"/>
  </r>
  <r>
    <d v="2020-07-10T00:00:00"/>
    <n v="2322.6999999999998"/>
    <n v="2328.6999999999998"/>
    <n v="2342.0500000000002"/>
    <n v="2306.65"/>
    <s v="275.12K"/>
    <n v="1E-3"/>
    <x v="0"/>
    <n v="2"/>
    <n v="7"/>
  </r>
  <r>
    <d v="2020-07-13T00:00:00"/>
    <n v="2233.9499999999998"/>
    <n v="2210.0500000000002"/>
    <n v="2304.9499999999998"/>
    <n v="2180"/>
    <s v="1.75M"/>
    <n v="-3.8199999999999998E-2"/>
    <x v="0"/>
    <n v="2"/>
    <n v="7"/>
  </r>
  <r>
    <d v="2020-07-14T00:00:00"/>
    <n v="2154.85"/>
    <n v="2215"/>
    <n v="2220"/>
    <n v="2148"/>
    <s v="841.39K"/>
    <n v="-3.5400000000000001E-2"/>
    <x v="0"/>
    <n v="2"/>
    <n v="7"/>
  </r>
  <r>
    <d v="2020-07-15T00:00:00"/>
    <n v="2146.35"/>
    <n v="2170"/>
    <n v="2195"/>
    <n v="2135"/>
    <s v="540.47K"/>
    <n v="-3.8999999999999998E-3"/>
    <x v="0"/>
    <n v="2"/>
    <n v="7"/>
  </r>
  <r>
    <d v="2020-07-16T00:00:00"/>
    <n v="2007.05"/>
    <n v="2145"/>
    <n v="2149.6999999999998"/>
    <n v="1980"/>
    <s v="3.72M"/>
    <n v="-6.4899999999999999E-2"/>
    <x v="0"/>
    <n v="2"/>
    <n v="7"/>
  </r>
  <r>
    <d v="2020-07-17T00:00:00"/>
    <n v="1989.75"/>
    <n v="2000"/>
    <n v="2019.8"/>
    <n v="1955"/>
    <s v="3.88M"/>
    <n v="-8.6E-3"/>
    <x v="0"/>
    <n v="2"/>
    <n v="7"/>
  </r>
  <r>
    <d v="2020-07-20T00:00:00"/>
    <n v="2019"/>
    <n v="1979.9"/>
    <n v="2039"/>
    <n v="1968"/>
    <s v="1.56M"/>
    <n v="1.47E-2"/>
    <x v="0"/>
    <n v="2"/>
    <n v="7"/>
  </r>
  <r>
    <d v="2020-07-21T00:00:00"/>
    <n v="2040.8"/>
    <n v="2035"/>
    <n v="2054.9"/>
    <n v="2021.05"/>
    <s v="717.41K"/>
    <n v="1.0800000000000001E-2"/>
    <x v="0"/>
    <n v="2"/>
    <n v="7"/>
  </r>
  <r>
    <d v="2020-07-22T00:00:00"/>
    <n v="2110"/>
    <n v="2055"/>
    <n v="2120.6"/>
    <n v="2010"/>
    <s v="1.72M"/>
    <n v="3.39E-2"/>
    <x v="0"/>
    <n v="2"/>
    <n v="7"/>
  </r>
  <r>
    <d v="2020-07-23T00:00:00"/>
    <n v="2100.35"/>
    <n v="2107.6999999999998"/>
    <n v="2148"/>
    <n v="2095"/>
    <s v="771.24K"/>
    <n v="-4.5999999999999999E-3"/>
    <x v="0"/>
    <n v="2"/>
    <n v="7"/>
  </r>
  <r>
    <d v="2020-07-24T00:00:00"/>
    <n v="2031.4"/>
    <n v="2095"/>
    <n v="2124.8000000000002"/>
    <n v="2027"/>
    <s v="1.35M"/>
    <n v="-3.2800000000000003E-2"/>
    <x v="0"/>
    <n v="2"/>
    <n v="7"/>
  </r>
  <r>
    <d v="2020-07-27T00:00:00"/>
    <n v="2026.1"/>
    <n v="2044"/>
    <n v="2060"/>
    <n v="2001.5"/>
    <s v="2.24M"/>
    <n v="-2.5999999999999999E-3"/>
    <x v="0"/>
    <n v="2"/>
    <n v="7"/>
  </r>
  <r>
    <d v="2020-07-28T00:00:00"/>
    <n v="2051.4"/>
    <n v="2060"/>
    <n v="2067"/>
    <n v="2027.8"/>
    <s v="522.67K"/>
    <n v="1.2500000000000001E-2"/>
    <x v="0"/>
    <n v="2"/>
    <n v="7"/>
  </r>
  <r>
    <d v="2020-07-29T00:00:00"/>
    <n v="2049.6999999999998"/>
    <n v="2060"/>
    <n v="2075"/>
    <n v="2041.1"/>
    <s v="351.80K"/>
    <n v="-8.0000000000000004E-4"/>
    <x v="0"/>
    <n v="2"/>
    <n v="7"/>
  </r>
  <r>
    <d v="2020-07-30T00:00:00"/>
    <n v="2040.2"/>
    <n v="2039"/>
    <n v="2068"/>
    <n v="2030"/>
    <s v="411.87K"/>
    <n v="-4.5999999999999999E-3"/>
    <x v="0"/>
    <n v="2"/>
    <n v="7"/>
  </r>
  <r>
    <d v="2020-07-31T00:00:00"/>
    <n v="2063.4499999999998"/>
    <n v="2046"/>
    <n v="2075"/>
    <n v="2033.05"/>
    <s v="423.80K"/>
    <n v="1.14E-2"/>
    <x v="0"/>
    <n v="2"/>
    <n v="7"/>
  </r>
  <r>
    <d v="2020-08-03T00:00:00"/>
    <n v="2093.15"/>
    <n v="2068.6999999999998"/>
    <n v="2112.6999999999998"/>
    <n v="2060.3000000000002"/>
    <s v="554.68K"/>
    <n v="1.44E-2"/>
    <x v="0"/>
    <n v="2"/>
    <n v="8"/>
  </r>
  <r>
    <d v="2020-08-04T00:00:00"/>
    <n v="2165.1"/>
    <n v="2093.15"/>
    <n v="2178"/>
    <n v="2090"/>
    <s v="613.85K"/>
    <n v="3.44E-2"/>
    <x v="0"/>
    <n v="2"/>
    <n v="8"/>
  </r>
  <r>
    <d v="2020-08-05T00:00:00"/>
    <n v="2163.4499999999998"/>
    <n v="2175"/>
    <n v="2189.9499999999998"/>
    <n v="2151.0500000000002"/>
    <s v="503.50K"/>
    <n v="-8.0000000000000004E-4"/>
    <x v="0"/>
    <n v="2"/>
    <n v="8"/>
  </r>
  <r>
    <d v="2020-08-06T00:00:00"/>
    <n v="2150.5500000000002"/>
    <n v="2170"/>
    <n v="2191.9499999999998"/>
    <n v="2135.65"/>
    <s v="637.78K"/>
    <n v="-6.0000000000000001E-3"/>
    <x v="0"/>
    <n v="2"/>
    <n v="8"/>
  </r>
  <r>
    <d v="2020-08-07T00:00:00"/>
    <n v="2138.4"/>
    <n v="2170"/>
    <n v="2176.4"/>
    <n v="2133"/>
    <s v="354.66K"/>
    <n v="-5.5999999999999999E-3"/>
    <x v="0"/>
    <n v="2"/>
    <n v="8"/>
  </r>
  <r>
    <d v="2020-08-10T00:00:00"/>
    <n v="2116.5"/>
    <n v="2138.4"/>
    <n v="2145"/>
    <n v="2100"/>
    <s v="366.33K"/>
    <n v="-1.0200000000000001E-2"/>
    <x v="0"/>
    <n v="2"/>
    <n v="8"/>
  </r>
  <r>
    <d v="2020-08-11T00:00:00"/>
    <n v="2131.9499999999998"/>
    <n v="2120"/>
    <n v="2143.15"/>
    <n v="2110.35"/>
    <s v="461.47K"/>
    <n v="7.3000000000000001E-3"/>
    <x v="0"/>
    <n v="2"/>
    <n v="8"/>
  </r>
  <r>
    <d v="2020-08-12T00:00:00"/>
    <n v="2169.1999999999998"/>
    <n v="2139"/>
    <n v="2175"/>
    <n v="2122"/>
    <s v="440.62K"/>
    <n v="1.7500000000000002E-2"/>
    <x v="0"/>
    <n v="2"/>
    <n v="8"/>
  </r>
  <r>
    <d v="2020-08-13T00:00:00"/>
    <n v="2207.1"/>
    <n v="2177"/>
    <n v="2213.4499999999998"/>
    <n v="2150"/>
    <s v="598.90K"/>
    <n v="1.7500000000000002E-2"/>
    <x v="0"/>
    <n v="2"/>
    <n v="8"/>
  </r>
  <r>
    <d v="2020-08-14T00:00:00"/>
    <n v="2178"/>
    <n v="2214.3000000000002"/>
    <n v="2219.9"/>
    <n v="2173.5500000000002"/>
    <s v="290.35K"/>
    <n v="-1.32E-2"/>
    <x v="0"/>
    <n v="2"/>
    <n v="8"/>
  </r>
  <r>
    <d v="2020-08-17T00:00:00"/>
    <n v="2189.75"/>
    <n v="2181"/>
    <n v="2203.75"/>
    <n v="2160"/>
    <s v="272.84K"/>
    <n v="5.4000000000000003E-3"/>
    <x v="0"/>
    <n v="2"/>
    <n v="8"/>
  </r>
  <r>
    <d v="2020-08-18T00:00:00"/>
    <n v="2259.4499999999998"/>
    <n v="2195"/>
    <n v="2266.3000000000002"/>
    <n v="2170"/>
    <s v="700.41K"/>
    <n v="3.1800000000000002E-2"/>
    <x v="0"/>
    <n v="2"/>
    <n v="8"/>
  </r>
  <r>
    <d v="2020-08-19T00:00:00"/>
    <n v="2266.6"/>
    <n v="2279"/>
    <n v="2309.25"/>
    <n v="2240"/>
    <s v="590.89K"/>
    <n v="3.2000000000000002E-3"/>
    <x v="0"/>
    <n v="2"/>
    <n v="8"/>
  </r>
  <r>
    <d v="2020-08-20T00:00:00"/>
    <n v="2285.9"/>
    <n v="2252"/>
    <n v="2290"/>
    <n v="2219"/>
    <s v="373.08K"/>
    <n v="8.5000000000000006E-3"/>
    <x v="0"/>
    <n v="2"/>
    <n v="8"/>
  </r>
  <r>
    <d v="2020-08-21T00:00:00"/>
    <n v="2259.4499999999998"/>
    <n v="2290.4"/>
    <n v="2300"/>
    <n v="2252.35"/>
    <s v="326.28K"/>
    <n v="-1.1599999999999999E-2"/>
    <x v="0"/>
    <n v="2"/>
    <n v="8"/>
  </r>
  <r>
    <d v="2020-08-24T00:00:00"/>
    <n v="2250.3000000000002"/>
    <n v="2269.9499999999998"/>
    <n v="2272"/>
    <n v="2244"/>
    <s v="161.74K"/>
    <n v="-4.0000000000000001E-3"/>
    <x v="0"/>
    <n v="2"/>
    <n v="8"/>
  </r>
  <r>
    <d v="2020-08-25T00:00:00"/>
    <n v="2341.15"/>
    <n v="2267.1999999999998"/>
    <n v="2351.75"/>
    <n v="2260.1"/>
    <s v="1.04M"/>
    <n v="4.0399999999999998E-2"/>
    <x v="0"/>
    <n v="2"/>
    <n v="8"/>
  </r>
  <r>
    <d v="2020-08-26T00:00:00"/>
    <n v="2410.1"/>
    <n v="2343"/>
    <n v="2425"/>
    <n v="2343"/>
    <s v="1.47M"/>
    <n v="2.9499999999999998E-2"/>
    <x v="0"/>
    <n v="2"/>
    <n v="8"/>
  </r>
  <r>
    <d v="2020-08-27T00:00:00"/>
    <n v="2380.85"/>
    <n v="2440"/>
    <n v="2445"/>
    <n v="2351.25"/>
    <s v="695.84K"/>
    <n v="-1.21E-2"/>
    <x v="0"/>
    <n v="2"/>
    <n v="8"/>
  </r>
  <r>
    <d v="2020-08-28T00:00:00"/>
    <n v="2319.4"/>
    <n v="2376.75"/>
    <n v="2376.9"/>
    <n v="2300"/>
    <s v="617.76K"/>
    <n v="-2.58E-2"/>
    <x v="0"/>
    <n v="2"/>
    <n v="8"/>
  </r>
  <r>
    <d v="2020-08-31T00:00:00"/>
    <n v="2251.25"/>
    <n v="2298.9"/>
    <n v="2298.9"/>
    <n v="2195"/>
    <s v="1.03M"/>
    <n v="-2.9399999999999999E-2"/>
    <x v="0"/>
    <n v="2"/>
    <n v="8"/>
  </r>
  <r>
    <d v="2020-09-01T00:00:00"/>
    <n v="2241.6"/>
    <n v="2244"/>
    <n v="2280"/>
    <n v="2202"/>
    <s v="623.86K"/>
    <n v="-4.3E-3"/>
    <x v="0"/>
    <n v="2"/>
    <n v="9"/>
  </r>
  <r>
    <d v="2020-09-02T00:00:00"/>
    <n v="2218.4499999999998"/>
    <n v="2247.85"/>
    <n v="2275"/>
    <n v="2212.0500000000002"/>
    <s v="590.82K"/>
    <n v="-1.03E-2"/>
    <x v="0"/>
    <n v="2"/>
    <n v="9"/>
  </r>
  <r>
    <d v="2020-09-03T00:00:00"/>
    <n v="2278.4"/>
    <n v="2239"/>
    <n v="2324.3000000000002"/>
    <n v="2229"/>
    <s v="767.03K"/>
    <n v="2.7E-2"/>
    <x v="0"/>
    <n v="2"/>
    <n v="9"/>
  </r>
  <r>
    <d v="2020-09-04T00:00:00"/>
    <n v="2251.4499999999998"/>
    <n v="2251.1"/>
    <n v="2367.85"/>
    <n v="2183.3000000000002"/>
    <s v="1.12M"/>
    <n v="-1.18E-2"/>
    <x v="0"/>
    <n v="2"/>
    <n v="9"/>
  </r>
  <r>
    <d v="2020-09-07T00:00:00"/>
    <n v="2261.4"/>
    <n v="2270"/>
    <n v="2278.25"/>
    <n v="2240.15"/>
    <s v="517.07K"/>
    <n v="4.4000000000000003E-3"/>
    <x v="0"/>
    <n v="2"/>
    <n v="9"/>
  </r>
  <r>
    <d v="2020-09-08T00:00:00"/>
    <n v="2246.6"/>
    <n v="2263.15"/>
    <n v="2297.85"/>
    <n v="2235.0500000000002"/>
    <s v="1.23M"/>
    <n v="-6.4999999999999997E-3"/>
    <x v="0"/>
    <n v="2"/>
    <n v="9"/>
  </r>
  <r>
    <d v="2020-09-09T00:00:00"/>
    <n v="2222.6999999999998"/>
    <n v="2230"/>
    <n v="2257.9499999999998"/>
    <n v="2207.6"/>
    <s v="550.21K"/>
    <n v="-1.06E-2"/>
    <x v="0"/>
    <n v="2"/>
    <n v="9"/>
  </r>
  <r>
    <d v="2020-09-10T00:00:00"/>
    <n v="2237.75"/>
    <n v="2225"/>
    <n v="2244.9499999999998"/>
    <n v="2215"/>
    <s v="316.35K"/>
    <n v="6.7999999999999996E-3"/>
    <x v="0"/>
    <n v="2"/>
    <n v="9"/>
  </r>
  <r>
    <d v="2020-09-11T00:00:00"/>
    <n v="2239.35"/>
    <n v="2241.9"/>
    <n v="2273"/>
    <n v="2226.0500000000002"/>
    <s v="456.38K"/>
    <n v="6.9999999999999999E-4"/>
    <x v="0"/>
    <n v="2"/>
    <n v="9"/>
  </r>
  <r>
    <d v="2020-09-14T00:00:00"/>
    <n v="2162.6999999999998"/>
    <n v="2250"/>
    <n v="2258.9499999999998"/>
    <n v="2150.0500000000002"/>
    <s v="902.09K"/>
    <n v="-3.4200000000000001E-2"/>
    <x v="0"/>
    <n v="2"/>
    <n v="9"/>
  </r>
  <r>
    <d v="2020-09-15T00:00:00"/>
    <n v="2136.15"/>
    <n v="2185"/>
    <n v="2185"/>
    <n v="2130"/>
    <s v="1.12M"/>
    <n v="-1.23E-2"/>
    <x v="0"/>
    <n v="2"/>
    <n v="9"/>
  </r>
  <r>
    <d v="2020-09-16T00:00:00"/>
    <n v="2135.9499999999998"/>
    <n v="2152.5500000000002"/>
    <n v="2173"/>
    <n v="2130.6999999999998"/>
    <s v="391.19K"/>
    <n v="-1E-4"/>
    <x v="0"/>
    <n v="2"/>
    <n v="9"/>
  </r>
  <r>
    <d v="2020-09-17T00:00:00"/>
    <n v="2139.0500000000002"/>
    <n v="2147"/>
    <n v="2167"/>
    <n v="2133.1"/>
    <s v="244.38K"/>
    <n v="1.5E-3"/>
    <x v="0"/>
    <n v="2"/>
    <n v="9"/>
  </r>
  <r>
    <d v="2020-09-18T00:00:00"/>
    <n v="2149.0500000000002"/>
    <n v="2149.9"/>
    <n v="2175.9499999999998"/>
    <n v="2104"/>
    <s v="1.20M"/>
    <n v="4.7000000000000002E-3"/>
    <x v="0"/>
    <n v="2"/>
    <n v="9"/>
  </r>
  <r>
    <d v="2020-09-21T00:00:00"/>
    <n v="2097.4499999999998"/>
    <n v="2175"/>
    <n v="2177"/>
    <n v="2056"/>
    <s v="1.14M"/>
    <n v="-2.4E-2"/>
    <x v="0"/>
    <n v="2"/>
    <n v="9"/>
  </r>
  <r>
    <d v="2020-09-22T00:00:00"/>
    <n v="2049.3000000000002"/>
    <n v="2099"/>
    <n v="2104.85"/>
    <n v="1995.1"/>
    <s v="723.12K"/>
    <n v="-2.3E-2"/>
    <x v="0"/>
    <n v="2"/>
    <n v="9"/>
  </r>
  <r>
    <d v="2020-09-23T00:00:00"/>
    <n v="2055.3000000000002"/>
    <n v="2066.9499999999998"/>
    <n v="2100"/>
    <n v="2047"/>
    <s v="422.29K"/>
    <n v="2.8999999999999998E-3"/>
    <x v="0"/>
    <n v="2"/>
    <n v="9"/>
  </r>
  <r>
    <d v="2020-09-24T00:00:00"/>
    <n v="2047.35"/>
    <n v="2047.9"/>
    <n v="2084"/>
    <n v="2037.6"/>
    <s v="452.64K"/>
    <n v="-3.8999999999999998E-3"/>
    <x v="0"/>
    <n v="2"/>
    <n v="9"/>
  </r>
  <r>
    <d v="2020-09-25T00:00:00"/>
    <n v="2102.6999999999998"/>
    <n v="2042.1"/>
    <n v="2120"/>
    <n v="2042.1"/>
    <s v="325.52K"/>
    <n v="2.7E-2"/>
    <x v="0"/>
    <n v="2"/>
    <n v="9"/>
  </r>
  <r>
    <d v="2020-09-28T00:00:00"/>
    <n v="2108.4"/>
    <n v="2110.9"/>
    <n v="2142"/>
    <n v="2098"/>
    <s v="357.11K"/>
    <n v="2.7000000000000001E-3"/>
    <x v="0"/>
    <n v="2"/>
    <n v="9"/>
  </r>
  <r>
    <d v="2020-09-29T00:00:00"/>
    <n v="2133.25"/>
    <n v="2108.4"/>
    <n v="2150.6"/>
    <n v="2082.9"/>
    <s v="593.65K"/>
    <n v="1.18E-2"/>
    <x v="0"/>
    <n v="2"/>
    <n v="9"/>
  </r>
  <r>
    <d v="2020-09-30T00:00:00"/>
    <n v="2203.15"/>
    <n v="2134"/>
    <n v="2219.8000000000002"/>
    <n v="2115"/>
    <s v="677.29K"/>
    <n v="3.2800000000000003E-2"/>
    <x v="0"/>
    <n v="2"/>
    <n v="9"/>
  </r>
  <r>
    <d v="2020-10-01T00:00:00"/>
    <n v="2184.8000000000002"/>
    <n v="2210"/>
    <n v="2242"/>
    <n v="2171.1"/>
    <s v="551.44K"/>
    <n v="-8.3000000000000001E-3"/>
    <x v="0"/>
    <n v="3"/>
    <n v="10"/>
  </r>
  <r>
    <d v="2020-10-05T00:00:00"/>
    <n v="2110.4499999999998"/>
    <n v="2192.9499999999998"/>
    <n v="2197.15"/>
    <n v="2104"/>
    <s v="438.93K"/>
    <n v="-3.4000000000000002E-2"/>
    <x v="0"/>
    <n v="3"/>
    <n v="10"/>
  </r>
  <r>
    <d v="2020-10-06T00:00:00"/>
    <n v="2083.0500000000002"/>
    <n v="2135.75"/>
    <n v="2135.75"/>
    <n v="2066"/>
    <s v="453.73K"/>
    <n v="-1.2999999999999999E-2"/>
    <x v="0"/>
    <n v="3"/>
    <n v="10"/>
  </r>
  <r>
    <d v="2020-10-07T00:00:00"/>
    <n v="2066.1"/>
    <n v="2092.9499999999998"/>
    <n v="2108.6999999999998"/>
    <n v="2047"/>
    <s v="598.38K"/>
    <n v="-8.0999999999999996E-3"/>
    <x v="0"/>
    <n v="3"/>
    <n v="10"/>
  </r>
  <r>
    <d v="2020-10-08T00:00:00"/>
    <n v="2065.35"/>
    <n v="2085"/>
    <n v="2090"/>
    <n v="2045.05"/>
    <s v="387.44K"/>
    <n v="-4.0000000000000002E-4"/>
    <x v="0"/>
    <n v="3"/>
    <n v="10"/>
  </r>
  <r>
    <d v="2020-10-09T00:00:00"/>
    <n v="2057.6"/>
    <n v="2068"/>
    <n v="2090.9"/>
    <n v="2035.05"/>
    <s v="553.52K"/>
    <n v="-3.8E-3"/>
    <x v="0"/>
    <n v="3"/>
    <n v="10"/>
  </r>
  <r>
    <d v="2020-10-12T00:00:00"/>
    <n v="2002.6"/>
    <n v="2072"/>
    <n v="2084"/>
    <n v="1995.1"/>
    <s v="860.07K"/>
    <n v="-2.6700000000000002E-2"/>
    <x v="0"/>
    <n v="3"/>
    <n v="10"/>
  </r>
  <r>
    <d v="2020-10-13T00:00:00"/>
    <n v="1977.45"/>
    <n v="2002.6"/>
    <n v="2035.45"/>
    <n v="1965"/>
    <s v="1.22M"/>
    <n v="-1.26E-2"/>
    <x v="0"/>
    <n v="3"/>
    <n v="10"/>
  </r>
  <r>
    <d v="2020-10-14T00:00:00"/>
    <n v="1974.55"/>
    <n v="1984.9"/>
    <n v="2014.85"/>
    <n v="1966.25"/>
    <s v="974.66K"/>
    <n v="-1.5E-3"/>
    <x v="0"/>
    <n v="3"/>
    <n v="10"/>
  </r>
  <r>
    <d v="2020-10-15T00:00:00"/>
    <n v="1977.7"/>
    <n v="1987.1"/>
    <n v="1998.5"/>
    <n v="1970.05"/>
    <s v="744.87K"/>
    <n v="1.6000000000000001E-3"/>
    <x v="0"/>
    <n v="3"/>
    <n v="10"/>
  </r>
  <r>
    <d v="2020-10-16T00:00:00"/>
    <n v="1984.2"/>
    <n v="1980"/>
    <n v="1999"/>
    <n v="1970"/>
    <s v="614.03K"/>
    <n v="3.3E-3"/>
    <x v="0"/>
    <n v="3"/>
    <n v="10"/>
  </r>
  <r>
    <d v="2020-10-19T00:00:00"/>
    <n v="2094.3000000000002"/>
    <n v="1969.05"/>
    <n v="2140"/>
    <n v="1954.85"/>
    <s v="3.27M"/>
    <n v="5.5500000000000001E-2"/>
    <x v="0"/>
    <n v="3"/>
    <n v="10"/>
  </r>
  <r>
    <d v="2020-10-20T00:00:00"/>
    <n v="2143.0500000000002"/>
    <n v="2099"/>
    <n v="2170"/>
    <n v="2056"/>
    <s v="1.56M"/>
    <n v="2.3300000000000001E-2"/>
    <x v="0"/>
    <n v="3"/>
    <n v="10"/>
  </r>
  <r>
    <d v="2020-10-21T00:00:00"/>
    <n v="2081.35"/>
    <n v="2143.0500000000002"/>
    <n v="2170"/>
    <n v="2061.0500000000002"/>
    <s v="892.88K"/>
    <n v="-2.8799999999999999E-2"/>
    <x v="0"/>
    <n v="3"/>
    <n v="10"/>
  </r>
  <r>
    <d v="2020-10-22T00:00:00"/>
    <n v="2100.3000000000002"/>
    <n v="2081"/>
    <n v="2129.9"/>
    <n v="2062.9"/>
    <s v="548.83K"/>
    <n v="9.1000000000000004E-3"/>
    <x v="0"/>
    <n v="3"/>
    <n v="10"/>
  </r>
  <r>
    <d v="2020-10-23T00:00:00"/>
    <n v="2116.5500000000002"/>
    <n v="2106.9499999999998"/>
    <n v="2133.85"/>
    <n v="2081"/>
    <s v="546.62K"/>
    <n v="7.7000000000000002E-3"/>
    <x v="0"/>
    <n v="3"/>
    <n v="10"/>
  </r>
  <r>
    <d v="2020-10-26T00:00:00"/>
    <n v="2144.25"/>
    <n v="2120"/>
    <n v="2150"/>
    <n v="2100.35"/>
    <s v="613.12K"/>
    <n v="1.3100000000000001E-2"/>
    <x v="0"/>
    <n v="3"/>
    <n v="10"/>
  </r>
  <r>
    <d v="2020-10-27T00:00:00"/>
    <n v="2176.1999999999998"/>
    <n v="2133"/>
    <n v="2188"/>
    <n v="2111.85"/>
    <s v="621.37K"/>
    <n v="1.49E-2"/>
    <x v="0"/>
    <n v="3"/>
    <n v="10"/>
  </r>
  <r>
    <d v="2020-10-28T00:00:00"/>
    <n v="2240.1999999999998"/>
    <n v="2197"/>
    <n v="2249"/>
    <n v="2175"/>
    <s v="989.25K"/>
    <n v="2.9399999999999999E-2"/>
    <x v="0"/>
    <n v="3"/>
    <n v="10"/>
  </r>
  <r>
    <d v="2020-10-29T00:00:00"/>
    <n v="2267.1"/>
    <n v="2200"/>
    <n v="2277.6"/>
    <n v="2185"/>
    <s v="624.08K"/>
    <n v="1.2E-2"/>
    <x v="0"/>
    <n v="3"/>
    <n v="10"/>
  </r>
  <r>
    <d v="2020-10-30T00:00:00"/>
    <n v="2239.9"/>
    <n v="2260"/>
    <n v="2278.9"/>
    <n v="2195.75"/>
    <s v="680.42K"/>
    <n v="-1.2E-2"/>
    <x v="0"/>
    <n v="3"/>
    <n v="10"/>
  </r>
  <r>
    <d v="2020-11-02T00:00:00"/>
    <n v="2205.75"/>
    <n v="2240"/>
    <n v="2259"/>
    <n v="2163"/>
    <s v="397.53K"/>
    <n v="-1.52E-2"/>
    <x v="0"/>
    <n v="3"/>
    <n v="11"/>
  </r>
  <r>
    <d v="2020-11-03T00:00:00"/>
    <n v="2209.0500000000002"/>
    <n v="2203.8000000000002"/>
    <n v="2245"/>
    <n v="2180"/>
    <s v="598.46K"/>
    <n v="1.5E-3"/>
    <x v="0"/>
    <n v="3"/>
    <n v="11"/>
  </r>
  <r>
    <d v="2020-11-04T00:00:00"/>
    <n v="2290.8000000000002"/>
    <n v="2210.0500000000002"/>
    <n v="2300"/>
    <n v="2210.0500000000002"/>
    <s v="698.83K"/>
    <n v="3.6999999999999998E-2"/>
    <x v="0"/>
    <n v="3"/>
    <n v="11"/>
  </r>
  <r>
    <d v="2020-11-05T00:00:00"/>
    <n v="2281.9499999999998"/>
    <n v="2202.5"/>
    <n v="2325.4499999999998"/>
    <n v="2202.5"/>
    <s v="600.28K"/>
    <n v="-3.8999999999999998E-3"/>
    <x v="0"/>
    <n v="3"/>
    <n v="11"/>
  </r>
  <r>
    <d v="2020-11-06T00:00:00"/>
    <n v="2294.6"/>
    <n v="2281.9499999999998"/>
    <n v="2303.25"/>
    <n v="2243.4499999999998"/>
    <s v="445.99K"/>
    <n v="5.4999999999999997E-3"/>
    <x v="0"/>
    <n v="3"/>
    <n v="11"/>
  </r>
  <r>
    <d v="2020-11-09T00:00:00"/>
    <n v="2325.85"/>
    <n v="2306.0500000000002"/>
    <n v="2335"/>
    <n v="2283.0500000000002"/>
    <s v="415.80K"/>
    <n v="1.3599999999999999E-2"/>
    <x v="0"/>
    <n v="3"/>
    <n v="11"/>
  </r>
  <r>
    <d v="2020-11-10T00:00:00"/>
    <n v="2362.4"/>
    <n v="2340"/>
    <n v="2368.9"/>
    <n v="2315.5"/>
    <s v="469.48K"/>
    <n v="1.5699999999999999E-2"/>
    <x v="0"/>
    <n v="3"/>
    <n v="11"/>
  </r>
  <r>
    <d v="2020-11-11T00:00:00"/>
    <n v="2398.1999999999998"/>
    <n v="2373.9"/>
    <n v="2403"/>
    <n v="2361"/>
    <s v="506.44K"/>
    <n v="1.52E-2"/>
    <x v="0"/>
    <n v="3"/>
    <n v="11"/>
  </r>
  <r>
    <d v="2020-11-12T00:00:00"/>
    <n v="2400.3000000000002"/>
    <n v="2400"/>
    <n v="2410"/>
    <n v="2361.0500000000002"/>
    <s v="369.95K"/>
    <n v="8.9999999999999998E-4"/>
    <x v="0"/>
    <n v="3"/>
    <n v="11"/>
  </r>
  <r>
    <d v="2020-11-13T00:00:00"/>
    <n v="2383.0500000000002"/>
    <n v="2390"/>
    <n v="2399"/>
    <n v="2361.5"/>
    <s v="171.76K"/>
    <n v="-7.1999999999999998E-3"/>
    <x v="0"/>
    <n v="3"/>
    <n v="11"/>
  </r>
  <r>
    <d v="2020-11-17T00:00:00"/>
    <n v="2432.15"/>
    <n v="2374.15"/>
    <n v="2507.9499999999998"/>
    <n v="2374.15"/>
    <s v="1.13M"/>
    <n v="2.06E-2"/>
    <x v="0"/>
    <n v="3"/>
    <n v="11"/>
  </r>
  <r>
    <d v="2020-11-18T00:00:00"/>
    <n v="2375.0500000000002"/>
    <n v="2420"/>
    <n v="2420"/>
    <n v="2360.85"/>
    <s v="607.58K"/>
    <n v="-2.35E-2"/>
    <x v="0"/>
    <n v="3"/>
    <n v="11"/>
  </r>
  <r>
    <d v="2020-11-19T00:00:00"/>
    <n v="2392.1999999999998"/>
    <n v="2375"/>
    <n v="2415"/>
    <n v="2330"/>
    <s v="460.18K"/>
    <n v="7.1999999999999998E-3"/>
    <x v="0"/>
    <n v="3"/>
    <n v="11"/>
  </r>
  <r>
    <d v="2020-11-20T00:00:00"/>
    <n v="2382.6"/>
    <n v="2390"/>
    <n v="2438.9499999999998"/>
    <n v="2350.5500000000002"/>
    <s v="284.94K"/>
    <n v="-4.0000000000000001E-3"/>
    <x v="0"/>
    <n v="3"/>
    <n v="11"/>
  </r>
  <r>
    <d v="2020-11-23T00:00:00"/>
    <n v="2360.4"/>
    <n v="2361.1"/>
    <n v="2379.9"/>
    <n v="2352.25"/>
    <s v="234.66K"/>
    <n v="-9.2999999999999992E-3"/>
    <x v="0"/>
    <n v="3"/>
    <n v="11"/>
  </r>
  <r>
    <d v="2020-11-24T00:00:00"/>
    <n v="2380.25"/>
    <n v="2367.9499999999998"/>
    <n v="2429.9"/>
    <n v="2350"/>
    <s v="543.63K"/>
    <n v="8.3999999999999995E-3"/>
    <x v="0"/>
    <n v="3"/>
    <n v="11"/>
  </r>
  <r>
    <d v="2020-11-25T00:00:00"/>
    <n v="2360.8000000000002"/>
    <n v="2370"/>
    <n v="2399.5"/>
    <n v="2350"/>
    <s v="439.77K"/>
    <n v="-8.2000000000000007E-3"/>
    <x v="0"/>
    <n v="3"/>
    <n v="11"/>
  </r>
  <r>
    <d v="2020-11-26T00:00:00"/>
    <n v="2373.0500000000002"/>
    <n v="2353"/>
    <n v="2396.9"/>
    <n v="2343.1999999999998"/>
    <s v="333.43K"/>
    <n v="5.1999999999999998E-3"/>
    <x v="0"/>
    <n v="3"/>
    <n v="11"/>
  </r>
  <r>
    <d v="2020-11-27T00:00:00"/>
    <n v="2289.1999999999998"/>
    <n v="2373"/>
    <n v="2395"/>
    <n v="2220.0500000000002"/>
    <s v="1.60M"/>
    <n v="-3.5299999999999998E-2"/>
    <x v="0"/>
    <n v="3"/>
    <n v="11"/>
  </r>
  <r>
    <d v="2020-12-01T00:00:00"/>
    <n v="2426.6999999999998"/>
    <n v="2330"/>
    <n v="2450"/>
    <n v="2315"/>
    <s v="912.17K"/>
    <n v="6.0100000000000001E-2"/>
    <x v="0"/>
    <n v="3"/>
    <n v="12"/>
  </r>
  <r>
    <d v="2020-12-02T00:00:00"/>
    <n v="2456"/>
    <n v="2435"/>
    <n v="2473"/>
    <n v="2380.15"/>
    <s v="494.72K"/>
    <n v="1.21E-2"/>
    <x v="0"/>
    <n v="3"/>
    <n v="12"/>
  </r>
  <r>
    <d v="2020-12-03T00:00:00"/>
    <n v="2470.85"/>
    <n v="2460.1"/>
    <n v="2479.3000000000002"/>
    <n v="2440"/>
    <s v="393.03K"/>
    <n v="6.0000000000000001E-3"/>
    <x v="0"/>
    <n v="3"/>
    <n v="12"/>
  </r>
  <r>
    <d v="2020-12-04T00:00:00"/>
    <n v="2441.9"/>
    <n v="2469.9499999999998"/>
    <n v="2469.9499999999998"/>
    <n v="2415.5500000000002"/>
    <s v="310.93K"/>
    <n v="-1.17E-2"/>
    <x v="0"/>
    <n v="3"/>
    <n v="12"/>
  </r>
  <r>
    <d v="2020-12-07T00:00:00"/>
    <n v="2526.4499999999998"/>
    <n v="2441.9"/>
    <n v="2540.5"/>
    <n v="2413"/>
    <s v="918.51K"/>
    <n v="3.4599999999999999E-2"/>
    <x v="0"/>
    <n v="3"/>
    <n v="12"/>
  </r>
  <r>
    <d v="2020-12-08T00:00:00"/>
    <n v="2652.1"/>
    <n v="2530"/>
    <n v="2689"/>
    <n v="2520"/>
    <s v="2.11M"/>
    <n v="4.9700000000000001E-2"/>
    <x v="0"/>
    <n v="3"/>
    <n v="12"/>
  </r>
  <r>
    <d v="2020-12-09T00:00:00"/>
    <n v="2625.3"/>
    <n v="2652"/>
    <n v="2755"/>
    <n v="2586"/>
    <s v="1.25M"/>
    <n v="-1.01E-2"/>
    <x v="0"/>
    <n v="3"/>
    <n v="12"/>
  </r>
  <r>
    <d v="2020-12-10T00:00:00"/>
    <n v="2622.05"/>
    <n v="2630"/>
    <n v="2673.5"/>
    <n v="2575.85"/>
    <s v="713.36K"/>
    <n v="-1.1999999999999999E-3"/>
    <x v="0"/>
    <n v="3"/>
    <n v="12"/>
  </r>
  <r>
    <d v="2020-12-11T00:00:00"/>
    <n v="2685.1"/>
    <n v="2647"/>
    <n v="2715"/>
    <n v="2632"/>
    <s v="595.81K"/>
    <n v="2.4E-2"/>
    <x v="0"/>
    <n v="3"/>
    <n v="12"/>
  </r>
  <r>
    <d v="2020-12-14T00:00:00"/>
    <n v="2671.95"/>
    <n v="2715"/>
    <n v="2745"/>
    <n v="2651.25"/>
    <s v="486.46K"/>
    <n v="-4.8999999999999998E-3"/>
    <x v="0"/>
    <n v="3"/>
    <n v="12"/>
  </r>
  <r>
    <d v="2020-12-15T00:00:00"/>
    <n v="2640.05"/>
    <n v="2672"/>
    <n v="2688.9"/>
    <n v="2624.5"/>
    <s v="257.30K"/>
    <n v="-1.1900000000000001E-2"/>
    <x v="0"/>
    <n v="3"/>
    <n v="12"/>
  </r>
  <r>
    <d v="2020-12-16T00:00:00"/>
    <n v="2627.05"/>
    <n v="2650.05"/>
    <n v="2678.45"/>
    <n v="2605"/>
    <s v="452.43K"/>
    <n v="-4.8999999999999998E-3"/>
    <x v="0"/>
    <n v="3"/>
    <n v="12"/>
  </r>
  <r>
    <d v="2020-12-17T00:00:00"/>
    <n v="2556.0500000000002"/>
    <n v="2645"/>
    <n v="2650"/>
    <n v="2503"/>
    <s v="796.30K"/>
    <n v="-2.7E-2"/>
    <x v="0"/>
    <n v="3"/>
    <n v="12"/>
  </r>
  <r>
    <d v="2020-12-18T00:00:00"/>
    <n v="2637.05"/>
    <n v="2574"/>
    <n v="2650"/>
    <n v="2555"/>
    <s v="681.41K"/>
    <n v="3.1699999999999999E-2"/>
    <x v="0"/>
    <n v="3"/>
    <n v="12"/>
  </r>
  <r>
    <d v="2020-12-21T00:00:00"/>
    <n v="2682.4"/>
    <n v="2645"/>
    <n v="2715"/>
    <n v="2460.8000000000002"/>
    <s v="1.20M"/>
    <n v="1.72E-2"/>
    <x v="0"/>
    <n v="3"/>
    <n v="12"/>
  </r>
  <r>
    <d v="2020-12-22T00:00:00"/>
    <n v="2625.75"/>
    <n v="2676"/>
    <n v="2678.3"/>
    <n v="2552.25"/>
    <s v="744.98K"/>
    <n v="-2.1100000000000001E-2"/>
    <x v="0"/>
    <n v="3"/>
    <n v="12"/>
  </r>
  <r>
    <d v="2020-12-23T00:00:00"/>
    <n v="2661.85"/>
    <n v="2650"/>
    <n v="2675"/>
    <n v="2621.3000000000002"/>
    <s v="374.14K"/>
    <n v="1.37E-2"/>
    <x v="0"/>
    <n v="3"/>
    <n v="12"/>
  </r>
  <r>
    <d v="2020-12-24T00:00:00"/>
    <n v="2673.1"/>
    <n v="2661.85"/>
    <n v="2700"/>
    <n v="2604.8000000000002"/>
    <s v="432.16K"/>
    <n v="4.1999999999999997E-3"/>
    <x v="0"/>
    <n v="3"/>
    <n v="12"/>
  </r>
  <r>
    <d v="2020-12-28T00:00:00"/>
    <n v="2678"/>
    <n v="2685.95"/>
    <n v="2698.95"/>
    <n v="2655"/>
    <s v="319.38K"/>
    <n v="1.8E-3"/>
    <x v="0"/>
    <n v="3"/>
    <n v="12"/>
  </r>
  <r>
    <d v="2020-12-29T00:00:00"/>
    <n v="2665.7"/>
    <n v="2690"/>
    <n v="2694.7"/>
    <n v="2645"/>
    <s v="345.14K"/>
    <n v="-4.5999999999999999E-3"/>
    <x v="0"/>
    <n v="3"/>
    <n v="12"/>
  </r>
  <r>
    <d v="2020-12-30T00:00:00"/>
    <n v="2680.3"/>
    <n v="2666.2"/>
    <n v="2725"/>
    <n v="2642.35"/>
    <s v="479.32K"/>
    <n v="5.4999999999999997E-3"/>
    <x v="0"/>
    <n v="3"/>
    <n v="12"/>
  </r>
  <r>
    <d v="2020-12-31T00:00:00"/>
    <n v="2763.6"/>
    <n v="2691"/>
    <n v="2780"/>
    <n v="2670"/>
    <s v="984.71K"/>
    <n v="3.1099999999999999E-2"/>
    <x v="0"/>
    <n v="3"/>
    <n v="12"/>
  </r>
  <r>
    <d v="2021-01-01T00:00:00"/>
    <n v="2789.1"/>
    <n v="2767"/>
    <n v="2804.1"/>
    <n v="2747"/>
    <s v="432.86K"/>
    <n v="9.1999999999999998E-3"/>
    <x v="1"/>
    <n v="4"/>
    <n v="1"/>
  </r>
  <r>
    <d v="2021-01-04T00:00:00"/>
    <n v="2898.45"/>
    <n v="2808"/>
    <n v="2949"/>
    <n v="2805"/>
    <s v="868.53K"/>
    <n v="3.9199999999999999E-2"/>
    <x v="1"/>
    <n v="4"/>
    <n v="1"/>
  </r>
  <r>
    <d v="2021-01-05T00:00:00"/>
    <n v="2991.15"/>
    <n v="2890"/>
    <n v="3064"/>
    <n v="2810.1"/>
    <s v="808.89K"/>
    <n v="3.2000000000000001E-2"/>
    <x v="1"/>
    <n v="4"/>
    <n v="1"/>
  </r>
  <r>
    <d v="2021-01-06T00:00:00"/>
    <n v="2914.95"/>
    <n v="3006.45"/>
    <n v="3100"/>
    <n v="2832.8"/>
    <s v="1.11M"/>
    <n v="-2.5499999999999998E-2"/>
    <x v="1"/>
    <n v="4"/>
    <n v="1"/>
  </r>
  <r>
    <d v="2021-01-07T00:00:00"/>
    <n v="2921.45"/>
    <n v="2971.7"/>
    <n v="3008"/>
    <n v="2880"/>
    <s v="872.26K"/>
    <n v="2.2000000000000001E-3"/>
    <x v="1"/>
    <n v="4"/>
    <n v="1"/>
  </r>
  <r>
    <d v="2021-01-08T00:00:00"/>
    <n v="2967.5"/>
    <n v="2949.9"/>
    <n v="2999"/>
    <n v="2932.25"/>
    <s v="742.34K"/>
    <n v="1.5800000000000002E-2"/>
    <x v="1"/>
    <n v="4"/>
    <n v="1"/>
  </r>
  <r>
    <d v="2021-01-11T00:00:00"/>
    <n v="2984.85"/>
    <n v="3137"/>
    <n v="3137"/>
    <n v="2940"/>
    <s v="1.85M"/>
    <n v="5.7999999999999996E-3"/>
    <x v="1"/>
    <n v="4"/>
    <n v="1"/>
  </r>
  <r>
    <d v="2021-01-12T00:00:00"/>
    <n v="2998.2"/>
    <n v="2959"/>
    <n v="3009.5"/>
    <n v="2939.45"/>
    <s v="1.08M"/>
    <n v="4.4999999999999997E-3"/>
    <x v="1"/>
    <n v="4"/>
    <n v="1"/>
  </r>
  <r>
    <d v="2021-01-13T00:00:00"/>
    <n v="2926.1"/>
    <n v="3001"/>
    <n v="3008.65"/>
    <n v="2878.5"/>
    <s v="421.06K"/>
    <n v="-2.4E-2"/>
    <x v="1"/>
    <n v="4"/>
    <n v="1"/>
  </r>
  <r>
    <d v="2021-01-14T00:00:00"/>
    <n v="2895.55"/>
    <n v="2939"/>
    <n v="2940"/>
    <n v="2875.25"/>
    <s v="340.92K"/>
    <n v="-1.04E-2"/>
    <x v="1"/>
    <n v="4"/>
    <n v="1"/>
  </r>
  <r>
    <d v="2021-01-15T00:00:00"/>
    <n v="2820.95"/>
    <n v="2904"/>
    <n v="2920"/>
    <n v="2801"/>
    <s v="356.13K"/>
    <n v="-2.58E-2"/>
    <x v="1"/>
    <n v="4"/>
    <n v="1"/>
  </r>
  <r>
    <d v="2021-01-18T00:00:00"/>
    <n v="2744.9"/>
    <n v="2800"/>
    <n v="2829.9"/>
    <n v="2715"/>
    <s v="518.63K"/>
    <n v="-2.7E-2"/>
    <x v="1"/>
    <n v="4"/>
    <n v="1"/>
  </r>
  <r>
    <d v="2021-01-19T00:00:00"/>
    <n v="2778.4"/>
    <n v="2754.9"/>
    <n v="2818.6"/>
    <n v="2750"/>
    <s v="317.83K"/>
    <n v="1.2200000000000001E-2"/>
    <x v="1"/>
    <n v="4"/>
    <n v="1"/>
  </r>
  <r>
    <d v="2021-01-20T00:00:00"/>
    <n v="2764.95"/>
    <n v="2797.85"/>
    <n v="2798"/>
    <n v="2740.1"/>
    <s v="303.83K"/>
    <n v="-4.7999999999999996E-3"/>
    <x v="1"/>
    <n v="4"/>
    <n v="1"/>
  </r>
  <r>
    <d v="2021-01-21T00:00:00"/>
    <n v="2719.15"/>
    <n v="2775"/>
    <n v="2802.95"/>
    <n v="2701"/>
    <s v="342.83K"/>
    <n v="-1.66E-2"/>
    <x v="1"/>
    <n v="4"/>
    <n v="1"/>
  </r>
  <r>
    <d v="2021-01-22T00:00:00"/>
    <n v="2862.75"/>
    <n v="2730.1"/>
    <n v="2899"/>
    <n v="2730"/>
    <s v="1.03M"/>
    <n v="5.28E-2"/>
    <x v="1"/>
    <n v="4"/>
    <n v="1"/>
  </r>
  <r>
    <d v="2021-01-25T00:00:00"/>
    <n v="2837"/>
    <n v="2894"/>
    <n v="2940.65"/>
    <n v="2805.4"/>
    <s v="460.31K"/>
    <n v="-8.9999999999999993E-3"/>
    <x v="1"/>
    <n v="4"/>
    <n v="1"/>
  </r>
  <r>
    <d v="2021-01-27T00:00:00"/>
    <n v="2811.75"/>
    <n v="2850.7"/>
    <n v="2889.55"/>
    <n v="2790"/>
    <s v="550.09K"/>
    <n v="-8.8999999999999999E-3"/>
    <x v="1"/>
    <n v="4"/>
    <n v="1"/>
  </r>
  <r>
    <d v="2021-01-28T00:00:00"/>
    <n v="2794.45"/>
    <n v="2812"/>
    <n v="2879.75"/>
    <n v="2771"/>
    <s v="620.35K"/>
    <n v="-6.1999999999999998E-3"/>
    <x v="1"/>
    <n v="4"/>
    <n v="1"/>
  </r>
  <r>
    <d v="2021-01-29T00:00:00"/>
    <n v="2651.5"/>
    <n v="2825"/>
    <n v="2836"/>
    <n v="2610"/>
    <s v="900.89K"/>
    <n v="-5.1200000000000002E-2"/>
    <x v="1"/>
    <n v="4"/>
    <n v="1"/>
  </r>
  <r>
    <d v="2021-02-01T00:00:00"/>
    <n v="2812"/>
    <n v="2700"/>
    <n v="2894"/>
    <n v="2640"/>
    <s v="1.12M"/>
    <n v="6.0499999999999998E-2"/>
    <x v="1"/>
    <n v="4"/>
    <n v="2"/>
  </r>
  <r>
    <d v="2021-02-02T00:00:00"/>
    <n v="2869.1"/>
    <n v="2820.5"/>
    <n v="2907"/>
    <n v="2781.7"/>
    <s v="837.63K"/>
    <n v="2.0299999999999999E-2"/>
    <x v="1"/>
    <n v="4"/>
    <n v="2"/>
  </r>
  <r>
    <d v="2021-02-03T00:00:00"/>
    <n v="2877"/>
    <n v="2864.8"/>
    <n v="2945.75"/>
    <n v="2825.2"/>
    <s v="575.81K"/>
    <n v="2.8E-3"/>
    <x v="1"/>
    <n v="4"/>
    <n v="2"/>
  </r>
  <r>
    <d v="2021-02-04T00:00:00"/>
    <n v="2959.85"/>
    <n v="2891.35"/>
    <n v="2975"/>
    <n v="2871"/>
    <s v="592.42K"/>
    <n v="2.8799999999999999E-2"/>
    <x v="1"/>
    <n v="4"/>
    <n v="2"/>
  </r>
  <r>
    <d v="2021-02-05T00:00:00"/>
    <n v="2946.05"/>
    <n v="2959.95"/>
    <n v="2987"/>
    <n v="2922.85"/>
    <s v="349.72K"/>
    <n v="-4.7000000000000002E-3"/>
    <x v="1"/>
    <n v="4"/>
    <n v="2"/>
  </r>
  <r>
    <d v="2021-02-08T00:00:00"/>
    <n v="2984.4"/>
    <n v="2948"/>
    <n v="3009"/>
    <n v="2910.5"/>
    <s v="442.78K"/>
    <n v="1.2999999999999999E-2"/>
    <x v="1"/>
    <n v="4"/>
    <n v="2"/>
  </r>
  <r>
    <d v="2021-02-09T00:00:00"/>
    <n v="2925"/>
    <n v="3005"/>
    <n v="3007.9"/>
    <n v="2900"/>
    <s v="281.24K"/>
    <n v="-1.9900000000000001E-2"/>
    <x v="1"/>
    <n v="4"/>
    <n v="2"/>
  </r>
  <r>
    <d v="2021-02-10T00:00:00"/>
    <n v="2967.7"/>
    <n v="2925"/>
    <n v="2980"/>
    <n v="2910.35"/>
    <s v="326.07K"/>
    <n v="1.46E-2"/>
    <x v="1"/>
    <n v="4"/>
    <n v="2"/>
  </r>
  <r>
    <d v="2021-02-11T00:00:00"/>
    <n v="2951.9"/>
    <n v="2975"/>
    <n v="2998"/>
    <n v="2924.15"/>
    <s v="236.56K"/>
    <n v="-5.3E-3"/>
    <x v="1"/>
    <n v="4"/>
    <n v="2"/>
  </r>
  <r>
    <d v="2021-02-12T00:00:00"/>
    <n v="2928.9"/>
    <n v="2960"/>
    <n v="2963.55"/>
    <n v="2915"/>
    <s v="188.89K"/>
    <n v="-7.7999999999999996E-3"/>
    <x v="1"/>
    <n v="4"/>
    <n v="2"/>
  </r>
  <r>
    <d v="2021-02-15T00:00:00"/>
    <n v="3044.55"/>
    <n v="2955"/>
    <n v="3060"/>
    <n v="2933"/>
    <s v="868.08K"/>
    <n v="3.95E-2"/>
    <x v="1"/>
    <n v="4"/>
    <n v="2"/>
  </r>
  <r>
    <d v="2021-02-16T00:00:00"/>
    <n v="3130.85"/>
    <n v="3054"/>
    <n v="3155"/>
    <n v="3045.95"/>
    <s v="792.80K"/>
    <n v="2.8299999999999999E-2"/>
    <x v="1"/>
    <n v="4"/>
    <n v="2"/>
  </r>
  <r>
    <d v="2021-02-17T00:00:00"/>
    <n v="3190.25"/>
    <n v="3120"/>
    <n v="3242"/>
    <n v="3090"/>
    <s v="918.19K"/>
    <n v="1.9E-2"/>
    <x v="1"/>
    <n v="4"/>
    <n v="2"/>
  </r>
  <r>
    <d v="2021-02-18T00:00:00"/>
    <n v="3127.75"/>
    <n v="3220.7"/>
    <n v="3220.7"/>
    <n v="3052.15"/>
    <s v="697.91K"/>
    <n v="-1.9599999999999999E-2"/>
    <x v="1"/>
    <n v="4"/>
    <n v="2"/>
  </r>
  <r>
    <d v="2021-02-19T00:00:00"/>
    <n v="3101.65"/>
    <n v="3127.65"/>
    <n v="3166"/>
    <n v="3058"/>
    <s v="404.44K"/>
    <n v="-8.3000000000000001E-3"/>
    <x v="1"/>
    <n v="4"/>
    <n v="2"/>
  </r>
  <r>
    <d v="2021-02-22T00:00:00"/>
    <n v="2992.6"/>
    <n v="3093.55"/>
    <n v="3108.4"/>
    <n v="2950"/>
    <s v="293.19K"/>
    <n v="-3.5200000000000002E-2"/>
    <x v="1"/>
    <n v="4"/>
    <n v="2"/>
  </r>
  <r>
    <d v="2021-02-23T00:00:00"/>
    <n v="3151.95"/>
    <n v="3000"/>
    <n v="3174"/>
    <n v="2987.3"/>
    <s v="605.90K"/>
    <n v="5.3199999999999997E-2"/>
    <x v="1"/>
    <n v="4"/>
    <n v="2"/>
  </r>
  <r>
    <d v="2021-02-24T00:00:00"/>
    <n v="3139.7"/>
    <n v="3143"/>
    <n v="3164"/>
    <n v="2900"/>
    <s v="188.72K"/>
    <n v="-3.8999999999999998E-3"/>
    <x v="1"/>
    <n v="4"/>
    <n v="2"/>
  </r>
  <r>
    <d v="2021-02-25T00:00:00"/>
    <n v="3089.2"/>
    <n v="3150"/>
    <n v="3175.85"/>
    <n v="3070"/>
    <s v="405.66K"/>
    <n v="-1.61E-2"/>
    <x v="1"/>
    <n v="4"/>
    <n v="2"/>
  </r>
  <r>
    <d v="2021-02-26T00:00:00"/>
    <n v="2994.2"/>
    <n v="3059.8"/>
    <n v="3105"/>
    <n v="2950"/>
    <s v="1.01M"/>
    <n v="-3.0800000000000001E-2"/>
    <x v="1"/>
    <n v="4"/>
    <n v="2"/>
  </r>
  <r>
    <d v="2021-03-01T00:00:00"/>
    <n v="2908.45"/>
    <n v="3023.4"/>
    <n v="3024.15"/>
    <n v="2900"/>
    <s v="439.92K"/>
    <n v="-2.86E-2"/>
    <x v="1"/>
    <n v="4"/>
    <n v="3"/>
  </r>
  <r>
    <d v="2021-03-02T00:00:00"/>
    <n v="3073.5"/>
    <n v="2908.45"/>
    <n v="3106"/>
    <n v="2885.5"/>
    <s v="721.43K"/>
    <n v="5.67E-2"/>
    <x v="1"/>
    <n v="4"/>
    <n v="3"/>
  </r>
  <r>
    <d v="2021-03-03T00:00:00"/>
    <n v="3167.7"/>
    <n v="3100"/>
    <n v="3179"/>
    <n v="3085"/>
    <s v="675.75K"/>
    <n v="3.0599999999999999E-2"/>
    <x v="1"/>
    <n v="4"/>
    <n v="3"/>
  </r>
  <r>
    <d v="2021-03-04T00:00:00"/>
    <n v="3178.7"/>
    <n v="3129.9"/>
    <n v="3213.85"/>
    <n v="3115"/>
    <s v="635.42K"/>
    <n v="3.5000000000000001E-3"/>
    <x v="1"/>
    <n v="4"/>
    <n v="3"/>
  </r>
  <r>
    <d v="2021-03-05T00:00:00"/>
    <n v="3286.1"/>
    <n v="3130"/>
    <n v="3330"/>
    <n v="3120"/>
    <s v="1.54M"/>
    <n v="3.3799999999999997E-2"/>
    <x v="1"/>
    <n v="4"/>
    <n v="3"/>
  </r>
  <r>
    <d v="2021-03-08T00:00:00"/>
    <n v="3191.15"/>
    <n v="3309"/>
    <n v="3309"/>
    <n v="3170"/>
    <s v="406.75K"/>
    <n v="-2.8899999999999999E-2"/>
    <x v="1"/>
    <n v="4"/>
    <n v="3"/>
  </r>
  <r>
    <d v="2021-03-09T00:00:00"/>
    <n v="3151.85"/>
    <n v="3196"/>
    <n v="3254.25"/>
    <n v="3120.15"/>
    <s v="423.69K"/>
    <n v="-1.23E-2"/>
    <x v="1"/>
    <n v="4"/>
    <n v="3"/>
  </r>
  <r>
    <d v="2021-03-10T00:00:00"/>
    <n v="3155.2"/>
    <n v="3164"/>
    <n v="3179.9"/>
    <n v="3113.45"/>
    <s v="252.90K"/>
    <n v="1.1000000000000001E-3"/>
    <x v="1"/>
    <n v="4"/>
    <n v="3"/>
  </r>
  <r>
    <d v="2021-03-12T00:00:00"/>
    <n v="3129.35"/>
    <n v="3183"/>
    <n v="3228.9"/>
    <n v="3113"/>
    <s v="253.80K"/>
    <n v="-8.2000000000000007E-3"/>
    <x v="1"/>
    <n v="4"/>
    <n v="3"/>
  </r>
  <r>
    <d v="2021-03-15T00:00:00"/>
    <n v="3108.75"/>
    <n v="3136"/>
    <n v="3171.1"/>
    <n v="3096"/>
    <s v="162.46K"/>
    <n v="-6.6E-3"/>
    <x v="1"/>
    <n v="4"/>
    <n v="3"/>
  </r>
  <r>
    <d v="2021-03-16T00:00:00"/>
    <n v="3071"/>
    <n v="3117"/>
    <n v="3166"/>
    <n v="3050"/>
    <s v="298.80K"/>
    <n v="-1.21E-2"/>
    <x v="1"/>
    <n v="4"/>
    <n v="3"/>
  </r>
  <r>
    <d v="2021-03-17T00:00:00"/>
    <n v="3014.85"/>
    <n v="3071"/>
    <n v="3095"/>
    <n v="2991.1"/>
    <s v="304.94K"/>
    <n v="-1.83E-2"/>
    <x v="1"/>
    <n v="4"/>
    <n v="3"/>
  </r>
  <r>
    <d v="2021-03-18T00:00:00"/>
    <n v="3034.6"/>
    <n v="3045"/>
    <n v="3074.9"/>
    <n v="2980"/>
    <s v="354.86K"/>
    <n v="6.6E-3"/>
    <x v="1"/>
    <n v="4"/>
    <n v="3"/>
  </r>
  <r>
    <d v="2021-03-19T00:00:00"/>
    <n v="2960.3"/>
    <n v="3021.5"/>
    <n v="3021.5"/>
    <n v="2925"/>
    <s v="571.00K"/>
    <n v="-2.4500000000000001E-2"/>
    <x v="1"/>
    <n v="4"/>
    <n v="3"/>
  </r>
  <r>
    <d v="2021-03-22T00:00:00"/>
    <n v="2880.1"/>
    <n v="2980"/>
    <n v="2988"/>
    <n v="2862"/>
    <s v="652.75K"/>
    <n v="-2.7099999999999999E-2"/>
    <x v="1"/>
    <n v="4"/>
    <n v="3"/>
  </r>
  <r>
    <d v="2021-03-23T00:00:00"/>
    <n v="2933.65"/>
    <n v="2908"/>
    <n v="3000.8"/>
    <n v="2905"/>
    <s v="650.77K"/>
    <n v="1.8599999999999998E-2"/>
    <x v="1"/>
    <n v="4"/>
    <n v="3"/>
  </r>
  <r>
    <d v="2021-03-24T00:00:00"/>
    <n v="2855.6"/>
    <n v="2933.65"/>
    <n v="2947.7"/>
    <n v="2840"/>
    <s v="455.90K"/>
    <n v="-2.6599999999999999E-2"/>
    <x v="1"/>
    <n v="4"/>
    <n v="3"/>
  </r>
  <r>
    <d v="2021-03-25T00:00:00"/>
    <n v="2796"/>
    <n v="2875"/>
    <n v="2893"/>
    <n v="2775"/>
    <s v="621.11K"/>
    <n v="-2.0899999999999998E-2"/>
    <x v="1"/>
    <n v="4"/>
    <n v="3"/>
  </r>
  <r>
    <d v="2021-03-26T00:00:00"/>
    <n v="2855.2"/>
    <n v="2829"/>
    <n v="2898.8"/>
    <n v="2805"/>
    <s v="482.76K"/>
    <n v="2.12E-2"/>
    <x v="1"/>
    <n v="4"/>
    <n v="3"/>
  </r>
  <r>
    <d v="2021-03-30T00:00:00"/>
    <n v="2837.55"/>
    <n v="2867"/>
    <n v="2918"/>
    <n v="2807"/>
    <s v="696.63K"/>
    <n v="-6.1999999999999998E-3"/>
    <x v="1"/>
    <n v="4"/>
    <n v="3"/>
  </r>
  <r>
    <d v="2021-03-31T00:00:00"/>
    <n v="2859.05"/>
    <n v="2869"/>
    <n v="2890"/>
    <n v="2830"/>
    <s v="433.04K"/>
    <n v="7.6E-3"/>
    <x v="1"/>
    <n v="4"/>
    <n v="3"/>
  </r>
  <r>
    <d v="2021-04-01T00:00:00"/>
    <n v="2912.7"/>
    <n v="2885"/>
    <n v="2925"/>
    <n v="2855.5"/>
    <s v="416.62K"/>
    <n v="1.8800000000000001E-2"/>
    <x v="1"/>
    <n v="1"/>
    <n v="4"/>
  </r>
  <r>
    <d v="2021-04-05T00:00:00"/>
    <n v="2846.95"/>
    <n v="2890"/>
    <n v="2890"/>
    <n v="2793"/>
    <s v="460.93K"/>
    <n v="-2.2599999999999999E-2"/>
    <x v="1"/>
    <n v="1"/>
    <n v="4"/>
  </r>
  <r>
    <d v="2021-04-06T00:00:00"/>
    <n v="2843.65"/>
    <n v="2873"/>
    <n v="2878.1"/>
    <n v="2826.1"/>
    <s v="342.98K"/>
    <n v="-1.1999999999999999E-3"/>
    <x v="1"/>
    <n v="1"/>
    <n v="4"/>
  </r>
  <r>
    <d v="2021-04-07T00:00:00"/>
    <n v="2890.65"/>
    <n v="2855"/>
    <n v="2900"/>
    <n v="2835"/>
    <s v="334.65K"/>
    <n v="1.6500000000000001E-2"/>
    <x v="1"/>
    <n v="1"/>
    <n v="4"/>
  </r>
  <r>
    <d v="2021-04-08T00:00:00"/>
    <n v="2936.5"/>
    <n v="2899.65"/>
    <n v="2945"/>
    <n v="2890.65"/>
    <s v="478.17K"/>
    <n v="1.5900000000000001E-2"/>
    <x v="1"/>
    <n v="1"/>
    <n v="4"/>
  </r>
  <r>
    <d v="2021-04-09T00:00:00"/>
    <n v="2947.75"/>
    <n v="2937.1"/>
    <n v="2973.35"/>
    <n v="2917.25"/>
    <s v="808.88K"/>
    <n v="3.8E-3"/>
    <x v="1"/>
    <n v="1"/>
    <n v="4"/>
  </r>
  <r>
    <d v="2021-04-12T00:00:00"/>
    <n v="2814.9"/>
    <n v="2861.1"/>
    <n v="2889"/>
    <n v="2790.1"/>
    <s v="475.66K"/>
    <n v="-4.5100000000000001E-2"/>
    <x v="1"/>
    <n v="1"/>
    <n v="4"/>
  </r>
  <r>
    <d v="2021-04-13T00:00:00"/>
    <n v="2832.7"/>
    <n v="2832.95"/>
    <n v="2885"/>
    <n v="2812"/>
    <s v="267.79K"/>
    <n v="6.3E-3"/>
    <x v="1"/>
    <n v="1"/>
    <n v="4"/>
  </r>
  <r>
    <d v="2021-04-15T00:00:00"/>
    <n v="2928.9"/>
    <n v="2844"/>
    <n v="2952.95"/>
    <n v="2828.1"/>
    <s v="377.54K"/>
    <n v="3.4000000000000002E-2"/>
    <x v="1"/>
    <n v="1"/>
    <n v="4"/>
  </r>
  <r>
    <d v="2021-04-16T00:00:00"/>
    <n v="2919.9"/>
    <n v="2947"/>
    <n v="2980"/>
    <n v="2902"/>
    <s v="334.48K"/>
    <n v="-3.0999999999999999E-3"/>
    <x v="1"/>
    <n v="1"/>
    <n v="4"/>
  </r>
  <r>
    <d v="2021-04-19T00:00:00"/>
    <n v="2850.75"/>
    <n v="2860.45"/>
    <n v="2869.5"/>
    <n v="2820.25"/>
    <s v="267.69K"/>
    <n v="-2.3699999999999999E-2"/>
    <x v="1"/>
    <n v="1"/>
    <n v="4"/>
  </r>
  <r>
    <d v="2021-04-20T00:00:00"/>
    <n v="2778.25"/>
    <n v="2880"/>
    <n v="2889.8"/>
    <n v="2756"/>
    <s v="451.85K"/>
    <n v="-2.5399999999999999E-2"/>
    <x v="1"/>
    <n v="1"/>
    <n v="4"/>
  </r>
  <r>
    <d v="2021-04-22T00:00:00"/>
    <n v="2717.6"/>
    <n v="2785"/>
    <n v="2792.85"/>
    <n v="2699"/>
    <s v="913.85K"/>
    <n v="-2.18E-2"/>
    <x v="1"/>
    <n v="1"/>
    <n v="4"/>
  </r>
  <r>
    <d v="2021-04-23T00:00:00"/>
    <n v="2713.7"/>
    <n v="2709"/>
    <n v="2743.9"/>
    <n v="2676.4"/>
    <s v="436.47K"/>
    <n v="-1.4E-3"/>
    <x v="1"/>
    <n v="1"/>
    <n v="4"/>
  </r>
  <r>
    <d v="2021-04-26T00:00:00"/>
    <n v="2808.25"/>
    <n v="2729.9"/>
    <n v="2819.4"/>
    <n v="2719.15"/>
    <s v="476.87K"/>
    <n v="3.4799999999999998E-2"/>
    <x v="1"/>
    <n v="1"/>
    <n v="4"/>
  </r>
  <r>
    <d v="2021-04-27T00:00:00"/>
    <n v="2826.95"/>
    <n v="2815"/>
    <n v="2865"/>
    <n v="2810"/>
    <s v="394.48K"/>
    <n v="6.7000000000000002E-3"/>
    <x v="1"/>
    <n v="1"/>
    <n v="4"/>
  </r>
  <r>
    <d v="2021-04-28T00:00:00"/>
    <n v="2936.8"/>
    <n v="2865"/>
    <n v="2953.7"/>
    <n v="2850.95"/>
    <s v="542.98K"/>
    <n v="3.8899999999999997E-2"/>
    <x v="1"/>
    <n v="1"/>
    <n v="4"/>
  </r>
  <r>
    <d v="2021-04-29T00:00:00"/>
    <n v="2906.35"/>
    <n v="2960"/>
    <n v="2988"/>
    <n v="2880"/>
    <s v="296.75K"/>
    <n v="-1.04E-2"/>
    <x v="1"/>
    <n v="1"/>
    <n v="4"/>
  </r>
  <r>
    <d v="2021-04-30T00:00:00"/>
    <n v="2852.9"/>
    <n v="2889.8"/>
    <n v="2931.9"/>
    <n v="2818.9"/>
    <s v="322.95K"/>
    <n v="-1.84E-2"/>
    <x v="1"/>
    <n v="1"/>
    <n v="4"/>
  </r>
  <r>
    <d v="2021-05-03T00:00:00"/>
    <n v="2898.65"/>
    <n v="2845"/>
    <n v="2911"/>
    <n v="2822.9"/>
    <s v="232.24K"/>
    <n v="1.6E-2"/>
    <x v="1"/>
    <n v="1"/>
    <n v="5"/>
  </r>
  <r>
    <d v="2021-05-04T00:00:00"/>
    <n v="2858.4"/>
    <n v="2908"/>
    <n v="2934.75"/>
    <n v="2845"/>
    <s v="239.28K"/>
    <n v="-1.3899999999999999E-2"/>
    <x v="1"/>
    <n v="1"/>
    <n v="5"/>
  </r>
  <r>
    <d v="2021-05-05T00:00:00"/>
    <n v="2874.4"/>
    <n v="2878.7"/>
    <n v="2889.6"/>
    <n v="2855"/>
    <s v="136.96K"/>
    <n v="5.5999999999999999E-3"/>
    <x v="1"/>
    <n v="1"/>
    <n v="5"/>
  </r>
  <r>
    <d v="2021-05-06T00:00:00"/>
    <n v="2878.15"/>
    <n v="2874.95"/>
    <n v="2895"/>
    <n v="2850.5"/>
    <s v="158.58K"/>
    <n v="1.2999999999999999E-3"/>
    <x v="1"/>
    <n v="1"/>
    <n v="5"/>
  </r>
  <r>
    <d v="2021-05-07T00:00:00"/>
    <n v="2895.5"/>
    <n v="2880"/>
    <n v="2955"/>
    <n v="2855.5"/>
    <s v="365.60K"/>
    <n v="6.0000000000000001E-3"/>
    <x v="1"/>
    <n v="1"/>
    <n v="5"/>
  </r>
  <r>
    <d v="2021-05-10T00:00:00"/>
    <n v="2852.45"/>
    <n v="2925"/>
    <n v="2960"/>
    <n v="2840"/>
    <s v="771.22K"/>
    <n v="-1.49E-2"/>
    <x v="1"/>
    <n v="1"/>
    <n v="5"/>
  </r>
  <r>
    <d v="2021-05-11T00:00:00"/>
    <n v="2850.55"/>
    <n v="2850"/>
    <n v="2884.6"/>
    <n v="2825"/>
    <s v="323.51K"/>
    <n v="-6.9999999999999999E-4"/>
    <x v="1"/>
    <n v="1"/>
    <n v="5"/>
  </r>
  <r>
    <d v="2021-05-12T00:00:00"/>
    <n v="2856.15"/>
    <n v="2850.55"/>
    <n v="2869.95"/>
    <n v="2827.5"/>
    <s v="246.32K"/>
    <n v="2E-3"/>
    <x v="1"/>
    <n v="1"/>
    <n v="5"/>
  </r>
  <r>
    <d v="2021-05-14T00:00:00"/>
    <n v="2844.65"/>
    <n v="2874"/>
    <n v="2874"/>
    <n v="2830"/>
    <s v="227.26K"/>
    <n v="-4.0000000000000001E-3"/>
    <x v="1"/>
    <n v="1"/>
    <n v="5"/>
  </r>
  <r>
    <d v="2021-05-17T00:00:00"/>
    <n v="2898.7"/>
    <n v="2864"/>
    <n v="2907.9"/>
    <n v="2840.3"/>
    <s v="449.53K"/>
    <n v="1.9E-2"/>
    <x v="1"/>
    <n v="1"/>
    <n v="5"/>
  </r>
  <r>
    <d v="2021-05-18T00:00:00"/>
    <n v="3056.3"/>
    <n v="2920"/>
    <n v="3080"/>
    <n v="2910.75"/>
    <s v="1.02M"/>
    <n v="5.4399999999999997E-2"/>
    <x v="1"/>
    <n v="1"/>
    <n v="5"/>
  </r>
  <r>
    <d v="2021-05-19T00:00:00"/>
    <n v="3027.9"/>
    <n v="3069"/>
    <n v="3090.95"/>
    <n v="3010.1"/>
    <s v="683.43K"/>
    <n v="-9.2999999999999992E-3"/>
    <x v="1"/>
    <n v="1"/>
    <n v="5"/>
  </r>
  <r>
    <d v="2021-05-20T00:00:00"/>
    <n v="3026.6"/>
    <n v="3055"/>
    <n v="3055"/>
    <n v="3001"/>
    <s v="352.48K"/>
    <n v="-4.0000000000000002E-4"/>
    <x v="1"/>
    <n v="1"/>
    <n v="5"/>
  </r>
  <r>
    <d v="2021-05-21T00:00:00"/>
    <n v="3034.15"/>
    <n v="3041"/>
    <n v="3070"/>
    <n v="3013"/>
    <s v="375.40K"/>
    <n v="2.5000000000000001E-3"/>
    <x v="1"/>
    <n v="1"/>
    <n v="5"/>
  </r>
  <r>
    <d v="2021-05-24T00:00:00"/>
    <n v="3040.45"/>
    <n v="3046"/>
    <n v="3064.7"/>
    <n v="3020"/>
    <s v="236.83K"/>
    <n v="2.0999999999999999E-3"/>
    <x v="1"/>
    <n v="1"/>
    <n v="5"/>
  </r>
  <r>
    <d v="2021-05-25T00:00:00"/>
    <n v="3103.85"/>
    <n v="3055"/>
    <n v="3123"/>
    <n v="3053"/>
    <s v="455.04K"/>
    <n v="2.0899999999999998E-2"/>
    <x v="1"/>
    <n v="1"/>
    <n v="5"/>
  </r>
  <r>
    <d v="2021-05-26T00:00:00"/>
    <n v="3096.2"/>
    <n v="3125"/>
    <n v="3135"/>
    <n v="3070.45"/>
    <s v="284.20K"/>
    <n v="-2.5000000000000001E-3"/>
    <x v="1"/>
    <n v="1"/>
    <n v="5"/>
  </r>
  <r>
    <d v="2021-05-27T00:00:00"/>
    <n v="3025.5"/>
    <n v="3100"/>
    <n v="3104.95"/>
    <n v="3008.1"/>
    <s v="433.63K"/>
    <n v="-2.2800000000000001E-2"/>
    <x v="1"/>
    <n v="1"/>
    <n v="5"/>
  </r>
  <r>
    <d v="2021-05-28T00:00:00"/>
    <n v="3022.1"/>
    <n v="3052"/>
    <n v="3105.5"/>
    <n v="3000"/>
    <s v="345.90K"/>
    <n v="-1.1000000000000001E-3"/>
    <x v="1"/>
    <n v="1"/>
    <n v="5"/>
  </r>
  <r>
    <d v="2021-05-31T00:00:00"/>
    <n v="3069.4"/>
    <n v="3042.5"/>
    <n v="3085"/>
    <n v="3025"/>
    <s v="318.68K"/>
    <n v="1.5699999999999999E-2"/>
    <x v="1"/>
    <n v="1"/>
    <n v="5"/>
  </r>
  <r>
    <d v="2021-06-01T00:00:00"/>
    <n v="3044.8"/>
    <n v="3071.05"/>
    <n v="3087.95"/>
    <n v="3030.8"/>
    <s v="180.50K"/>
    <n v="-8.0000000000000002E-3"/>
    <x v="1"/>
    <n v="1"/>
    <n v="6"/>
  </r>
  <r>
    <d v="2021-06-02T00:00:00"/>
    <n v="3066.2"/>
    <n v="3050"/>
    <n v="3093.3"/>
    <n v="3050"/>
    <s v="236.97K"/>
    <n v="7.0000000000000001E-3"/>
    <x v="1"/>
    <n v="1"/>
    <n v="6"/>
  </r>
  <r>
    <d v="2021-06-03T00:00:00"/>
    <n v="3192.7"/>
    <n v="3080"/>
    <n v="3200"/>
    <n v="3075.3"/>
    <s v="820.81K"/>
    <n v="4.1300000000000003E-2"/>
    <x v="1"/>
    <n v="1"/>
    <n v="6"/>
  </r>
  <r>
    <d v="2021-06-04T00:00:00"/>
    <n v="3197"/>
    <n v="3222"/>
    <n v="3257"/>
    <n v="3170"/>
    <s v="393.04K"/>
    <n v="1.2999999999999999E-3"/>
    <x v="1"/>
    <n v="1"/>
    <n v="6"/>
  </r>
  <r>
    <d v="2021-06-07T00:00:00"/>
    <n v="3188.95"/>
    <n v="3219.95"/>
    <n v="3221.6"/>
    <n v="3175.05"/>
    <s v="196.76K"/>
    <n v="-2.5000000000000001E-3"/>
    <x v="1"/>
    <n v="1"/>
    <n v="6"/>
  </r>
  <r>
    <d v="2021-06-08T00:00:00"/>
    <n v="3179.8"/>
    <n v="3200"/>
    <n v="3210"/>
    <n v="3165"/>
    <s v="171.58K"/>
    <n v="-2.8999999999999998E-3"/>
    <x v="1"/>
    <n v="1"/>
    <n v="6"/>
  </r>
  <r>
    <d v="2021-06-09T00:00:00"/>
    <n v="3194.7"/>
    <n v="3198"/>
    <n v="3254.4"/>
    <n v="3160"/>
    <s v="397.35K"/>
    <n v="4.7000000000000002E-3"/>
    <x v="1"/>
    <n v="1"/>
    <n v="6"/>
  </r>
  <r>
    <d v="2021-06-10T00:00:00"/>
    <n v="3194.5"/>
    <n v="3206.85"/>
    <n v="3240"/>
    <n v="3181.05"/>
    <s v="236.41K"/>
    <n v="-1E-4"/>
    <x v="1"/>
    <n v="1"/>
    <n v="6"/>
  </r>
  <r>
    <d v="2021-06-11T00:00:00"/>
    <n v="3175.55"/>
    <n v="3215"/>
    <n v="3224.1"/>
    <n v="3161"/>
    <s v="158.64K"/>
    <n v="-5.8999999999999999E-3"/>
    <x v="1"/>
    <n v="1"/>
    <n v="6"/>
  </r>
  <r>
    <d v="2021-06-14T00:00:00"/>
    <n v="3274.1"/>
    <n v="3180"/>
    <n v="3294"/>
    <n v="3108.05"/>
    <s v="735.98K"/>
    <n v="3.1E-2"/>
    <x v="1"/>
    <n v="1"/>
    <n v="6"/>
  </r>
  <r>
    <d v="2021-06-15T00:00:00"/>
    <n v="3359.5"/>
    <n v="3300"/>
    <n v="3394.45"/>
    <n v="3294"/>
    <s v="884.87K"/>
    <n v="2.6100000000000002E-2"/>
    <x v="1"/>
    <n v="1"/>
    <n v="6"/>
  </r>
  <r>
    <d v="2021-06-16T00:00:00"/>
    <n v="3310.4"/>
    <n v="3359.5"/>
    <n v="3396.9"/>
    <n v="3275.65"/>
    <s v="441.19K"/>
    <n v="-1.46E-2"/>
    <x v="1"/>
    <n v="1"/>
    <n v="6"/>
  </r>
  <r>
    <d v="2021-06-17T00:00:00"/>
    <n v="3285.55"/>
    <n v="3283.95"/>
    <n v="3306.6"/>
    <n v="3260"/>
    <s v="290.18K"/>
    <n v="-7.4999999999999997E-3"/>
    <x v="1"/>
    <n v="1"/>
    <n v="6"/>
  </r>
  <r>
    <d v="2021-06-18T00:00:00"/>
    <n v="3317.7"/>
    <n v="3317.5"/>
    <n v="3372.35"/>
    <n v="3252.2"/>
    <s v="765.94K"/>
    <n v="9.7999999999999997E-3"/>
    <x v="1"/>
    <n v="1"/>
    <n v="6"/>
  </r>
  <r>
    <d v="2021-06-21T00:00:00"/>
    <n v="3311"/>
    <n v="3319.7"/>
    <n v="3319.7"/>
    <n v="3274"/>
    <s v="164.98K"/>
    <n v="-2E-3"/>
    <x v="1"/>
    <n v="1"/>
    <n v="6"/>
  </r>
  <r>
    <d v="2021-06-22T00:00:00"/>
    <n v="3373.8"/>
    <n v="3328"/>
    <n v="3408.45"/>
    <n v="3320"/>
    <s v="518.27K"/>
    <n v="1.9E-2"/>
    <x v="1"/>
    <n v="1"/>
    <n v="6"/>
  </r>
  <r>
    <d v="2021-06-23T00:00:00"/>
    <n v="3310.9"/>
    <n v="3400"/>
    <n v="3400"/>
    <n v="3300.95"/>
    <s v="244.16K"/>
    <n v="-1.8599999999999998E-2"/>
    <x v="1"/>
    <n v="1"/>
    <n v="6"/>
  </r>
  <r>
    <d v="2021-06-24T00:00:00"/>
    <n v="3323.8"/>
    <n v="3345"/>
    <n v="3352"/>
    <n v="3304"/>
    <s v="157.65K"/>
    <n v="3.8999999999999998E-3"/>
    <x v="1"/>
    <n v="1"/>
    <n v="6"/>
  </r>
  <r>
    <d v="2021-06-25T00:00:00"/>
    <n v="3315.35"/>
    <n v="3325"/>
    <n v="3347.85"/>
    <n v="3307"/>
    <s v="107.60K"/>
    <n v="-2.5000000000000001E-3"/>
    <x v="1"/>
    <n v="1"/>
    <n v="6"/>
  </r>
  <r>
    <d v="2021-06-28T00:00:00"/>
    <n v="3332.2"/>
    <n v="3315"/>
    <n v="3350"/>
    <n v="3277"/>
    <s v="184.38K"/>
    <n v="5.1000000000000004E-3"/>
    <x v="1"/>
    <n v="1"/>
    <n v="6"/>
  </r>
  <r>
    <d v="2021-06-29T00:00:00"/>
    <n v="3270.85"/>
    <n v="3338"/>
    <n v="3349.7"/>
    <n v="3251"/>
    <s v="310.35K"/>
    <n v="-1.84E-2"/>
    <x v="1"/>
    <n v="1"/>
    <n v="6"/>
  </r>
  <r>
    <d v="2021-06-30T00:00:00"/>
    <n v="3344.1"/>
    <n v="3278"/>
    <n v="3358"/>
    <n v="3278"/>
    <s v="502.70K"/>
    <n v="2.24E-2"/>
    <x v="1"/>
    <n v="1"/>
    <n v="6"/>
  </r>
  <r>
    <d v="2021-07-01T00:00:00"/>
    <n v="3315.65"/>
    <n v="3373.7"/>
    <n v="3373.7"/>
    <n v="3305"/>
    <s v="155.97K"/>
    <n v="-8.5000000000000006E-3"/>
    <x v="1"/>
    <n v="2"/>
    <n v="7"/>
  </r>
  <r>
    <d v="2021-07-02T00:00:00"/>
    <n v="3314.3"/>
    <n v="3340"/>
    <n v="3342.75"/>
    <n v="3305"/>
    <s v="262.66K"/>
    <n v="-4.0000000000000002E-4"/>
    <x v="1"/>
    <n v="2"/>
    <n v="7"/>
  </r>
  <r>
    <d v="2021-07-05T00:00:00"/>
    <n v="3360.65"/>
    <n v="3375"/>
    <n v="3395"/>
    <n v="3341.3"/>
    <s v="379.87K"/>
    <n v="1.4E-2"/>
    <x v="1"/>
    <n v="2"/>
    <n v="7"/>
  </r>
  <r>
    <d v="2021-07-06T00:00:00"/>
    <n v="3364.6"/>
    <n v="3366"/>
    <n v="3425"/>
    <n v="3332"/>
    <s v="336.46K"/>
    <n v="1.1999999999999999E-3"/>
    <x v="1"/>
    <n v="2"/>
    <n v="7"/>
  </r>
  <r>
    <d v="2021-07-07T00:00:00"/>
    <n v="3396.4"/>
    <n v="3366"/>
    <n v="3402"/>
    <n v="3326"/>
    <s v="276.02K"/>
    <n v="9.4999999999999998E-3"/>
    <x v="1"/>
    <n v="2"/>
    <n v="7"/>
  </r>
  <r>
    <d v="2021-07-08T00:00:00"/>
    <n v="3389.2"/>
    <n v="3400"/>
    <n v="3420"/>
    <n v="3368"/>
    <s v="184.90K"/>
    <n v="-2.0999999999999999E-3"/>
    <x v="1"/>
    <n v="2"/>
    <n v="7"/>
  </r>
  <r>
    <d v="2021-07-09T00:00:00"/>
    <n v="3377.6"/>
    <n v="3390"/>
    <n v="3398"/>
    <n v="3361.1"/>
    <s v="146.42K"/>
    <n v="-3.3999999999999998E-3"/>
    <x v="1"/>
    <n v="2"/>
    <n v="7"/>
  </r>
  <r>
    <d v="2021-07-12T00:00:00"/>
    <n v="3349.05"/>
    <n v="3369.6"/>
    <n v="3378"/>
    <n v="3310.2"/>
    <s v="639.20K"/>
    <n v="-8.5000000000000006E-3"/>
    <x v="1"/>
    <n v="2"/>
    <n v="7"/>
  </r>
  <r>
    <d v="2021-07-13T00:00:00"/>
    <n v="3355"/>
    <n v="3330"/>
    <n v="3370"/>
    <n v="3307.55"/>
    <s v="264.07K"/>
    <n v="1.8E-3"/>
    <x v="1"/>
    <n v="2"/>
    <n v="7"/>
  </r>
  <r>
    <d v="2021-07-14T00:00:00"/>
    <n v="3330.05"/>
    <n v="3349.95"/>
    <n v="3350.1"/>
    <n v="3319"/>
    <s v="253.37K"/>
    <n v="-7.4000000000000003E-3"/>
    <x v="1"/>
    <n v="2"/>
    <n v="7"/>
  </r>
  <r>
    <d v="2021-07-15T00:00:00"/>
    <n v="3328.5"/>
    <n v="3319"/>
    <n v="3363"/>
    <n v="3300"/>
    <s v="188.08K"/>
    <n v="-5.0000000000000001E-4"/>
    <x v="1"/>
    <n v="2"/>
    <n v="7"/>
  </r>
  <r>
    <d v="2021-07-16T00:00:00"/>
    <n v="3349.2"/>
    <n v="3332.95"/>
    <n v="3365"/>
    <n v="3327"/>
    <s v="316.99K"/>
    <n v="6.1999999999999998E-3"/>
    <x v="1"/>
    <n v="2"/>
    <n v="7"/>
  </r>
  <r>
    <d v="2021-07-19T00:00:00"/>
    <n v="3331.6"/>
    <n v="3320"/>
    <n v="3348.9"/>
    <n v="3315.15"/>
    <s v="143.63K"/>
    <n v="-5.3E-3"/>
    <x v="1"/>
    <n v="2"/>
    <n v="7"/>
  </r>
  <r>
    <d v="2021-07-20T00:00:00"/>
    <n v="3397.3"/>
    <n v="3347"/>
    <n v="3419"/>
    <n v="3334"/>
    <s v="553.49K"/>
    <n v="1.9699999999999999E-2"/>
    <x v="1"/>
    <n v="2"/>
    <n v="7"/>
  </r>
  <r>
    <d v="2021-07-22T00:00:00"/>
    <n v="3397.35"/>
    <n v="3434"/>
    <n v="3449"/>
    <n v="3383"/>
    <s v="216.22K"/>
    <n v="0"/>
    <x v="1"/>
    <n v="2"/>
    <n v="7"/>
  </r>
  <r>
    <d v="2021-07-23T00:00:00"/>
    <n v="3413.2"/>
    <n v="3417.85"/>
    <n v="3425"/>
    <n v="3393.05"/>
    <s v="155.19K"/>
    <n v="4.7000000000000002E-3"/>
    <x v="1"/>
    <n v="2"/>
    <n v="7"/>
  </r>
  <r>
    <d v="2021-07-26T00:00:00"/>
    <n v="3483.55"/>
    <n v="3410"/>
    <n v="3499.5"/>
    <n v="3398.3"/>
    <s v="319.73K"/>
    <n v="2.06E-2"/>
    <x v="1"/>
    <n v="2"/>
    <n v="7"/>
  </r>
  <r>
    <d v="2021-07-27T00:00:00"/>
    <n v="3499.4"/>
    <n v="3499"/>
    <n v="3533.4"/>
    <n v="3465.25"/>
    <s v="286.35K"/>
    <n v="4.4999999999999997E-3"/>
    <x v="1"/>
    <n v="2"/>
    <n v="7"/>
  </r>
  <r>
    <d v="2021-07-28T00:00:00"/>
    <n v="3488.5"/>
    <n v="3499"/>
    <n v="3518.2"/>
    <n v="3441.1"/>
    <s v="172.83K"/>
    <n v="-3.0999999999999999E-3"/>
    <x v="1"/>
    <n v="2"/>
    <n v="7"/>
  </r>
  <r>
    <d v="2021-07-29T00:00:00"/>
    <n v="3502.6"/>
    <n v="3500"/>
    <n v="3524"/>
    <n v="3492.25"/>
    <s v="131.75K"/>
    <n v="4.0000000000000001E-3"/>
    <x v="1"/>
    <n v="2"/>
    <n v="7"/>
  </r>
  <r>
    <d v="2021-07-30T00:00:00"/>
    <n v="3500.8"/>
    <n v="3524"/>
    <n v="3524"/>
    <n v="3475.25"/>
    <s v="270.55K"/>
    <n v="-5.0000000000000001E-4"/>
    <x v="1"/>
    <n v="2"/>
    <n v="7"/>
  </r>
  <r>
    <d v="2021-08-02T00:00:00"/>
    <n v="3502.4"/>
    <n v="3524.8"/>
    <n v="3524.8"/>
    <n v="3486"/>
    <s v="147.60K"/>
    <n v="5.0000000000000001E-4"/>
    <x v="1"/>
    <n v="2"/>
    <n v="8"/>
  </r>
  <r>
    <d v="2021-08-03T00:00:00"/>
    <n v="3566.25"/>
    <n v="3508"/>
    <n v="3579"/>
    <n v="3504"/>
    <s v="224.34K"/>
    <n v="1.8200000000000001E-2"/>
    <x v="1"/>
    <n v="2"/>
    <n v="8"/>
  </r>
  <r>
    <d v="2021-08-04T00:00:00"/>
    <n v="3593.05"/>
    <n v="3575"/>
    <n v="3609"/>
    <n v="3535.85"/>
    <s v="197.38K"/>
    <n v="7.4999999999999997E-3"/>
    <x v="1"/>
    <n v="2"/>
    <n v="8"/>
  </r>
  <r>
    <d v="2021-08-05T00:00:00"/>
    <n v="3564.15"/>
    <n v="3600"/>
    <n v="3624.45"/>
    <n v="3551"/>
    <s v="117.49K"/>
    <n v="-8.0000000000000002E-3"/>
    <x v="1"/>
    <n v="2"/>
    <n v="8"/>
  </r>
  <r>
    <d v="2021-08-06T00:00:00"/>
    <n v="3529.2"/>
    <n v="3569"/>
    <n v="3593"/>
    <n v="3520"/>
    <s v="128.77K"/>
    <n v="-9.7999999999999997E-3"/>
    <x v="1"/>
    <n v="2"/>
    <n v="8"/>
  </r>
  <r>
    <d v="2021-08-09T00:00:00"/>
    <n v="3523"/>
    <n v="3549"/>
    <n v="3577.65"/>
    <n v="3501"/>
    <s v="254.76K"/>
    <n v="-1.8E-3"/>
    <x v="1"/>
    <n v="2"/>
    <n v="8"/>
  </r>
  <r>
    <d v="2021-08-10T00:00:00"/>
    <n v="3551.65"/>
    <n v="3541"/>
    <n v="3586.55"/>
    <n v="3515"/>
    <s v="162.58K"/>
    <n v="8.0999999999999996E-3"/>
    <x v="1"/>
    <n v="2"/>
    <n v="8"/>
  </r>
  <r>
    <d v="2021-08-11T00:00:00"/>
    <n v="3563.95"/>
    <n v="3551.65"/>
    <n v="3575"/>
    <n v="3465"/>
    <s v="167.99K"/>
    <n v="3.5000000000000001E-3"/>
    <x v="1"/>
    <n v="2"/>
    <n v="8"/>
  </r>
  <r>
    <d v="2021-08-12T00:00:00"/>
    <n v="3561"/>
    <n v="3573.8"/>
    <n v="3589"/>
    <n v="3546.6"/>
    <s v="114.74K"/>
    <n v="-8.0000000000000004E-4"/>
    <x v="1"/>
    <n v="2"/>
    <n v="8"/>
  </r>
  <r>
    <d v="2021-08-13T00:00:00"/>
    <n v="3594.55"/>
    <n v="3584"/>
    <n v="3634.45"/>
    <n v="3518"/>
    <s v="292.71K"/>
    <n v="9.4000000000000004E-3"/>
    <x v="1"/>
    <n v="2"/>
    <n v="8"/>
  </r>
  <r>
    <d v="2021-08-16T00:00:00"/>
    <n v="3633.5"/>
    <n v="3594"/>
    <n v="3659"/>
    <n v="3566.3"/>
    <s v="180.47K"/>
    <n v="1.0800000000000001E-2"/>
    <x v="1"/>
    <n v="2"/>
    <n v="8"/>
  </r>
  <r>
    <d v="2021-08-17T00:00:00"/>
    <n v="3634.35"/>
    <n v="3655"/>
    <n v="3655"/>
    <n v="3604"/>
    <s v="201.36K"/>
    <n v="2.0000000000000001E-4"/>
    <x v="1"/>
    <n v="2"/>
    <n v="8"/>
  </r>
  <r>
    <d v="2021-08-18T00:00:00"/>
    <n v="3650.6"/>
    <n v="3640"/>
    <n v="3668.25"/>
    <n v="3626.15"/>
    <s v="147.89K"/>
    <n v="4.4999999999999997E-3"/>
    <x v="1"/>
    <n v="2"/>
    <n v="8"/>
  </r>
  <r>
    <d v="2021-08-20T00:00:00"/>
    <n v="3643.1"/>
    <n v="3650"/>
    <n v="3707.15"/>
    <n v="3618"/>
    <s v="232.76K"/>
    <n v="-2.0999999999999999E-3"/>
    <x v="1"/>
    <n v="2"/>
    <n v="8"/>
  </r>
  <r>
    <d v="2021-08-23T00:00:00"/>
    <n v="3673.75"/>
    <n v="3663"/>
    <n v="3700"/>
    <n v="3644"/>
    <s v="163.35K"/>
    <n v="8.3999999999999995E-3"/>
    <x v="1"/>
    <n v="2"/>
    <n v="8"/>
  </r>
  <r>
    <d v="2021-08-24T00:00:00"/>
    <n v="3708.55"/>
    <n v="3700"/>
    <n v="3770"/>
    <n v="3680"/>
    <s v="343.94K"/>
    <n v="9.4999999999999998E-3"/>
    <x v="1"/>
    <n v="2"/>
    <n v="8"/>
  </r>
  <r>
    <d v="2021-08-25T00:00:00"/>
    <n v="3789.7"/>
    <n v="3749.95"/>
    <n v="3847.45"/>
    <n v="3716.15"/>
    <s v="332.20K"/>
    <n v="2.1899999999999999E-2"/>
    <x v="1"/>
    <n v="2"/>
    <n v="8"/>
  </r>
  <r>
    <d v="2021-08-26T00:00:00"/>
    <n v="3847.8"/>
    <n v="3814"/>
    <n v="3889.8"/>
    <n v="3800.05"/>
    <s v="532.72K"/>
    <n v="1.5299999999999999E-2"/>
    <x v="1"/>
    <n v="2"/>
    <n v="8"/>
  </r>
  <r>
    <d v="2021-08-27T00:00:00"/>
    <n v="3833.05"/>
    <n v="3887"/>
    <n v="3898"/>
    <n v="3815"/>
    <s v="349.70K"/>
    <n v="-3.8E-3"/>
    <x v="1"/>
    <n v="2"/>
    <n v="8"/>
  </r>
  <r>
    <d v="2021-08-30T00:00:00"/>
    <n v="3888.35"/>
    <n v="3862"/>
    <n v="3899"/>
    <n v="3835.3"/>
    <s v="267.92K"/>
    <n v="1.44E-2"/>
    <x v="1"/>
    <n v="2"/>
    <n v="8"/>
  </r>
  <r>
    <d v="2021-08-31T00:00:00"/>
    <n v="3954.8"/>
    <n v="3899"/>
    <n v="3979.75"/>
    <n v="3871.15"/>
    <s v="378.86K"/>
    <n v="1.7100000000000001E-2"/>
    <x v="1"/>
    <n v="2"/>
    <n v="8"/>
  </r>
  <r>
    <d v="2021-09-01T00:00:00"/>
    <n v="3968.6"/>
    <n v="3978"/>
    <n v="4015"/>
    <n v="3960.05"/>
    <s v="249.49K"/>
    <n v="3.5000000000000001E-3"/>
    <x v="1"/>
    <n v="2"/>
    <n v="9"/>
  </r>
  <r>
    <d v="2021-09-02T00:00:00"/>
    <n v="3917.65"/>
    <n v="3979"/>
    <n v="3984.45"/>
    <n v="3911"/>
    <s v="206.22K"/>
    <n v="-1.2800000000000001E-2"/>
    <x v="1"/>
    <n v="2"/>
    <n v="9"/>
  </r>
  <r>
    <d v="2021-09-03T00:00:00"/>
    <n v="3938.9"/>
    <n v="3940"/>
    <n v="3961.7"/>
    <n v="3925.05"/>
    <s v="262.99K"/>
    <n v="5.4000000000000003E-3"/>
    <x v="1"/>
    <n v="2"/>
    <n v="9"/>
  </r>
  <r>
    <d v="2021-09-06T00:00:00"/>
    <n v="3921.3"/>
    <n v="3959.9"/>
    <n v="3960"/>
    <n v="3902.2"/>
    <s v="227.17K"/>
    <n v="-4.4999999999999997E-3"/>
    <x v="1"/>
    <n v="2"/>
    <n v="9"/>
  </r>
  <r>
    <d v="2021-09-07T00:00:00"/>
    <n v="3937.55"/>
    <n v="3938"/>
    <n v="3963.7"/>
    <n v="3875.1"/>
    <s v="357.26K"/>
    <n v="4.1000000000000003E-3"/>
    <x v="1"/>
    <n v="2"/>
    <n v="9"/>
  </r>
  <r>
    <d v="2021-09-08T00:00:00"/>
    <n v="3932.95"/>
    <n v="3945"/>
    <n v="3977"/>
    <n v="3921.1"/>
    <s v="462.53K"/>
    <n v="-1.1999999999999999E-3"/>
    <x v="1"/>
    <n v="2"/>
    <n v="9"/>
  </r>
  <r>
    <d v="2021-09-09T00:00:00"/>
    <n v="3950.5"/>
    <n v="3934"/>
    <n v="3964"/>
    <n v="3908"/>
    <s v="154.86K"/>
    <n v="4.4999999999999997E-3"/>
    <x v="1"/>
    <n v="2"/>
    <n v="9"/>
  </r>
  <r>
    <d v="2021-09-13T00:00:00"/>
    <n v="3961.85"/>
    <n v="3951"/>
    <n v="3986.15"/>
    <n v="3948.1"/>
    <s v="145.93K"/>
    <n v="2.8999999999999998E-3"/>
    <x v="1"/>
    <n v="2"/>
    <n v="9"/>
  </r>
  <r>
    <d v="2021-09-14T00:00:00"/>
    <n v="3979.7"/>
    <n v="3970"/>
    <n v="4000"/>
    <n v="3964.9"/>
    <s v="203.69K"/>
    <n v="4.4999999999999997E-3"/>
    <x v="1"/>
    <n v="2"/>
    <n v="9"/>
  </r>
  <r>
    <d v="2021-09-15T00:00:00"/>
    <n v="3982.6"/>
    <n v="3979.9"/>
    <n v="3992.2"/>
    <n v="3961"/>
    <s v="339.80K"/>
    <n v="6.9999999999999999E-4"/>
    <x v="1"/>
    <n v="2"/>
    <n v="9"/>
  </r>
  <r>
    <d v="2021-09-16T00:00:00"/>
    <n v="4084.5"/>
    <n v="3982.6"/>
    <n v="4100"/>
    <n v="3981.05"/>
    <s v="486.43K"/>
    <n v="2.5600000000000001E-2"/>
    <x v="1"/>
    <n v="2"/>
    <n v="9"/>
  </r>
  <r>
    <d v="2021-09-17T00:00:00"/>
    <n v="4239.6499999999996"/>
    <n v="4124"/>
    <n v="4294.6499999999996"/>
    <n v="4120"/>
    <s v="767.51K"/>
    <n v="3.7999999999999999E-2"/>
    <x v="1"/>
    <n v="2"/>
    <n v="9"/>
  </r>
  <r>
    <d v="2021-09-20T00:00:00"/>
    <n v="4355.8999999999996"/>
    <n v="4208"/>
    <n v="4430"/>
    <n v="4151"/>
    <s v="438.43K"/>
    <n v="2.7400000000000001E-2"/>
    <x v="1"/>
    <n v="2"/>
    <n v="9"/>
  </r>
  <r>
    <d v="2021-09-21T00:00:00"/>
    <n v="4361.95"/>
    <n v="4415.1000000000004"/>
    <n v="4450"/>
    <n v="4305.05"/>
    <s v="437.84K"/>
    <n v="1.4E-3"/>
    <x v="1"/>
    <n v="2"/>
    <n v="9"/>
  </r>
  <r>
    <d v="2021-09-22T00:00:00"/>
    <n v="4378.6499999999996"/>
    <n v="4373"/>
    <n v="4420"/>
    <n v="4331.2"/>
    <s v="244.00K"/>
    <n v="3.8E-3"/>
    <x v="1"/>
    <n v="2"/>
    <n v="9"/>
  </r>
  <r>
    <d v="2021-09-23T00:00:00"/>
    <n v="4409.8999999999996"/>
    <n v="4408.95"/>
    <n v="4500"/>
    <n v="4372.3500000000004"/>
    <s v="325.05K"/>
    <n v="7.1000000000000004E-3"/>
    <x v="1"/>
    <n v="2"/>
    <n v="9"/>
  </r>
  <r>
    <d v="2021-09-24T00:00:00"/>
    <n v="4422.3500000000004"/>
    <n v="4440"/>
    <n v="4461"/>
    <n v="4405"/>
    <s v="198.74K"/>
    <n v="2.8E-3"/>
    <x v="1"/>
    <n v="2"/>
    <n v="9"/>
  </r>
  <r>
    <d v="2021-09-27T00:00:00"/>
    <n v="4385.75"/>
    <n v="4435"/>
    <n v="4448.95"/>
    <n v="4292.5"/>
    <s v="555.19K"/>
    <n v="-8.3000000000000001E-3"/>
    <x v="1"/>
    <n v="2"/>
    <n v="9"/>
  </r>
  <r>
    <d v="2021-09-28T00:00:00"/>
    <n v="4315.75"/>
    <n v="4397"/>
    <n v="4421.8999999999996"/>
    <n v="4294.95"/>
    <s v="305.67K"/>
    <n v="-1.6E-2"/>
    <x v="1"/>
    <n v="2"/>
    <n v="9"/>
  </r>
  <r>
    <d v="2021-09-29T00:00:00"/>
    <n v="4251.2"/>
    <n v="4316"/>
    <n v="4395.95"/>
    <n v="4202"/>
    <s v="377.25K"/>
    <n v="-1.4999999999999999E-2"/>
    <x v="1"/>
    <n v="2"/>
    <n v="9"/>
  </r>
  <r>
    <d v="2021-09-30T00:00:00"/>
    <n v="4250.2"/>
    <n v="4259.75"/>
    <n v="4310"/>
    <n v="4205.25"/>
    <s v="339.96K"/>
    <n v="-2.0000000000000001E-4"/>
    <x v="1"/>
    <n v="2"/>
    <n v="9"/>
  </r>
  <r>
    <d v="2021-10-01T00:00:00"/>
    <n v="4235.6000000000004"/>
    <n v="4250"/>
    <n v="4284.2"/>
    <n v="4220.1000000000004"/>
    <s v="203.93K"/>
    <n v="-3.3999999999999998E-3"/>
    <x v="1"/>
    <n v="3"/>
    <n v="10"/>
  </r>
  <r>
    <d v="2021-10-04T00:00:00"/>
    <n v="4257.3500000000004"/>
    <n v="4393.95"/>
    <n v="4464.3500000000004"/>
    <n v="4232.2"/>
    <s v="906.26K"/>
    <n v="5.1000000000000004E-3"/>
    <x v="1"/>
    <n v="3"/>
    <n v="10"/>
  </r>
  <r>
    <d v="2021-10-05T00:00:00"/>
    <n v="4257.3"/>
    <n v="4284"/>
    <n v="4284"/>
    <n v="4246.8500000000004"/>
    <s v="242.57K"/>
    <n v="0"/>
    <x v="1"/>
    <n v="3"/>
    <n v="10"/>
  </r>
  <r>
    <d v="2021-10-06T00:00:00"/>
    <n v="4218.55"/>
    <n v="4292.1499999999996"/>
    <n v="4295"/>
    <n v="4205"/>
    <s v="301.39K"/>
    <n v="-9.1000000000000004E-3"/>
    <x v="1"/>
    <n v="3"/>
    <n v="10"/>
  </r>
  <r>
    <d v="2021-10-07T00:00:00"/>
    <n v="4311.7"/>
    <n v="4254.95"/>
    <n v="4337"/>
    <n v="4251"/>
    <s v="570.32K"/>
    <n v="2.2100000000000002E-2"/>
    <x v="1"/>
    <n v="3"/>
    <n v="10"/>
  </r>
  <r>
    <d v="2021-10-08T00:00:00"/>
    <n v="4407.95"/>
    <n v="4326.3999999999996"/>
    <n v="4421.95"/>
    <n v="4299.05"/>
    <s v="314.76K"/>
    <n v="2.23E-2"/>
    <x v="1"/>
    <n v="3"/>
    <n v="10"/>
  </r>
  <r>
    <d v="2021-10-11T00:00:00"/>
    <n v="4719.45"/>
    <n v="4438"/>
    <n v="4840"/>
    <n v="4407"/>
    <s v="1.02M"/>
    <n v="7.0699999999999999E-2"/>
    <x v="1"/>
    <n v="3"/>
    <n v="10"/>
  </r>
  <r>
    <d v="2021-10-12T00:00:00"/>
    <n v="4739"/>
    <n v="4780"/>
    <n v="4895"/>
    <n v="4718.8500000000004"/>
    <s v="817.03K"/>
    <n v="4.1000000000000003E-3"/>
    <x v="1"/>
    <n v="3"/>
    <n v="10"/>
  </r>
  <r>
    <d v="2021-10-13T00:00:00"/>
    <n v="5117.1499999999996"/>
    <n v="4777"/>
    <n v="5595"/>
    <n v="4760.25"/>
    <s v="2.59M"/>
    <n v="7.9799999999999996E-2"/>
    <x v="1"/>
    <n v="3"/>
    <n v="10"/>
  </r>
  <r>
    <d v="2021-10-14T00:00:00"/>
    <n v="5323.75"/>
    <n v="5194"/>
    <n v="5420"/>
    <n v="5180.05"/>
    <s v="1.19M"/>
    <n v="4.0399999999999998E-2"/>
    <x v="1"/>
    <n v="3"/>
    <n v="10"/>
  </r>
  <r>
    <d v="2021-10-18T00:00:00"/>
    <n v="4897.8"/>
    <n v="5599"/>
    <n v="5900"/>
    <n v="4851.1000000000004"/>
    <s v="4.75M"/>
    <n v="-0.08"/>
    <x v="1"/>
    <n v="3"/>
    <n v="10"/>
  </r>
  <r>
    <d v="2021-10-19T00:00:00"/>
    <n v="4754.55"/>
    <n v="5000"/>
    <n v="5100"/>
    <n v="4725"/>
    <s v="1.80M"/>
    <n v="-2.92E-2"/>
    <x v="1"/>
    <n v="3"/>
    <n v="10"/>
  </r>
  <r>
    <d v="2021-10-20T00:00:00"/>
    <n v="4596.3999999999996"/>
    <n v="4789"/>
    <n v="4860"/>
    <n v="4470.25"/>
    <s v="1.68M"/>
    <n v="-3.3300000000000003E-2"/>
    <x v="1"/>
    <n v="3"/>
    <n v="10"/>
  </r>
  <r>
    <d v="2021-10-21T00:00:00"/>
    <n v="4521.25"/>
    <n v="4650"/>
    <n v="4699.5"/>
    <n v="4500"/>
    <s v="1.03M"/>
    <n v="-1.6299999999999999E-2"/>
    <x v="1"/>
    <n v="3"/>
    <n v="10"/>
  </r>
  <r>
    <d v="2021-10-22T00:00:00"/>
    <n v="4521.45"/>
    <n v="4559"/>
    <n v="4560"/>
    <n v="4482"/>
    <s v="739.60K"/>
    <n v="0"/>
    <x v="1"/>
    <n v="3"/>
    <n v="10"/>
  </r>
  <r>
    <d v="2021-10-25T00:00:00"/>
    <n v="4400.6000000000004"/>
    <n v="4534.3"/>
    <n v="4550"/>
    <n v="4351"/>
    <s v="591.42K"/>
    <n v="-2.6700000000000002E-2"/>
    <x v="1"/>
    <n v="3"/>
    <n v="10"/>
  </r>
  <r>
    <d v="2021-10-26T00:00:00"/>
    <n v="4568.5"/>
    <n v="4419"/>
    <n v="4599"/>
    <n v="4365"/>
    <s v="637.83K"/>
    <n v="3.8199999999999998E-2"/>
    <x v="1"/>
    <n v="3"/>
    <n v="10"/>
  </r>
  <r>
    <d v="2021-10-27T00:00:00"/>
    <n v="4733"/>
    <n v="4600"/>
    <n v="4770"/>
    <n v="4591.55"/>
    <s v="762.61K"/>
    <n v="3.5999999999999997E-2"/>
    <x v="1"/>
    <n v="3"/>
    <n v="10"/>
  </r>
  <r>
    <d v="2021-10-28T00:00:00"/>
    <n v="4675.6499999999996"/>
    <n v="4748"/>
    <n v="4776.8500000000004"/>
    <n v="4620"/>
    <s v="375.07K"/>
    <n v="-1.21E-2"/>
    <x v="1"/>
    <n v="3"/>
    <n v="10"/>
  </r>
  <r>
    <d v="2021-10-29T00:00:00"/>
    <n v="4635.45"/>
    <n v="4669"/>
    <n v="4725"/>
    <n v="4561.1499999999996"/>
    <s v="437.82K"/>
    <n v="-8.6E-3"/>
    <x v="1"/>
    <n v="3"/>
    <n v="10"/>
  </r>
  <r>
    <d v="2021-11-01T00:00:00"/>
    <n v="4564.75"/>
    <n v="4670"/>
    <n v="4708"/>
    <n v="4550"/>
    <s v="392.45K"/>
    <n v="-1.5299999999999999E-2"/>
    <x v="1"/>
    <n v="3"/>
    <n v="11"/>
  </r>
  <r>
    <d v="2021-11-02T00:00:00"/>
    <n v="4597.05"/>
    <n v="4596.7"/>
    <n v="4666.8"/>
    <n v="4580"/>
    <s v="304.77K"/>
    <n v="7.1000000000000004E-3"/>
    <x v="1"/>
    <n v="3"/>
    <n v="11"/>
  </r>
  <r>
    <d v="2021-11-03T00:00:00"/>
    <n v="4741.3"/>
    <n v="4644"/>
    <n v="4790"/>
    <n v="4600"/>
    <s v="462.22K"/>
    <n v="3.1399999999999997E-2"/>
    <x v="1"/>
    <n v="3"/>
    <n v="11"/>
  </r>
  <r>
    <d v="2021-11-04T00:00:00"/>
    <n v="4783.7"/>
    <n v="4780"/>
    <n v="4824.8"/>
    <n v="4760.05"/>
    <s v="136.78K"/>
    <n v="8.8999999999999999E-3"/>
    <x v="1"/>
    <n v="3"/>
    <n v="11"/>
  </r>
  <r>
    <d v="2021-11-08T00:00:00"/>
    <n v="4748.5"/>
    <n v="4783"/>
    <n v="4867.3"/>
    <n v="4720"/>
    <s v="340.16K"/>
    <n v="-7.4000000000000003E-3"/>
    <x v="1"/>
    <n v="3"/>
    <n v="11"/>
  </r>
  <r>
    <d v="2021-11-09T00:00:00"/>
    <n v="4757.1499999999996"/>
    <n v="4748"/>
    <n v="4774.3"/>
    <n v="4723.7"/>
    <s v="180.36K"/>
    <n v="1.8E-3"/>
    <x v="1"/>
    <n v="3"/>
    <n v="11"/>
  </r>
  <r>
    <d v="2021-11-10T00:00:00"/>
    <n v="4960.3"/>
    <n v="4745"/>
    <n v="5000"/>
    <n v="4726"/>
    <s v="1.13M"/>
    <n v="4.2700000000000002E-2"/>
    <x v="1"/>
    <n v="3"/>
    <n v="11"/>
  </r>
  <r>
    <d v="2021-11-11T00:00:00"/>
    <n v="4997.75"/>
    <n v="4960.3"/>
    <n v="5040"/>
    <n v="4901.1499999999996"/>
    <s v="735.03K"/>
    <n v="7.4999999999999997E-3"/>
    <x v="1"/>
    <n v="3"/>
    <n v="11"/>
  </r>
  <r>
    <d v="2021-11-12T00:00:00"/>
    <n v="5078.55"/>
    <n v="5044.95"/>
    <n v="5097.6499999999996"/>
    <n v="5026.95"/>
    <s v="487.06K"/>
    <n v="1.6199999999999999E-2"/>
    <x v="1"/>
    <n v="3"/>
    <n v="11"/>
  </r>
  <r>
    <d v="2021-11-15T00:00:00"/>
    <n v="5023.3"/>
    <n v="5075"/>
    <n v="5075"/>
    <n v="4980"/>
    <s v="324.40K"/>
    <n v="-1.09E-2"/>
    <x v="1"/>
    <n v="3"/>
    <n v="11"/>
  </r>
  <r>
    <d v="2021-11-16T00:00:00"/>
    <n v="5081.5"/>
    <n v="5025"/>
    <n v="5100"/>
    <n v="4982"/>
    <s v="538.84K"/>
    <n v="1.1599999999999999E-2"/>
    <x v="1"/>
    <n v="3"/>
    <n v="11"/>
  </r>
  <r>
    <d v="2021-11-17T00:00:00"/>
    <n v="5126.3999999999996"/>
    <n v="5080"/>
    <n v="5180"/>
    <n v="5079.75"/>
    <s v="447.91K"/>
    <n v="8.8000000000000005E-3"/>
    <x v="1"/>
    <n v="3"/>
    <n v="11"/>
  </r>
  <r>
    <d v="2021-11-18T00:00:00"/>
    <n v="5080.8999999999996"/>
    <n v="5130"/>
    <n v="5180"/>
    <n v="5037"/>
    <s v="428.37K"/>
    <n v="-8.8999999999999999E-3"/>
    <x v="1"/>
    <n v="3"/>
    <n v="11"/>
  </r>
  <r>
    <d v="2021-11-22T00:00:00"/>
    <n v="4828.3"/>
    <n v="5100"/>
    <n v="5100"/>
    <n v="4782"/>
    <s v="650.66K"/>
    <n v="-4.9700000000000001E-2"/>
    <x v="1"/>
    <n v="3"/>
    <n v="11"/>
  </r>
  <r>
    <d v="2021-11-23T00:00:00"/>
    <n v="4843.3"/>
    <n v="4829"/>
    <n v="4920"/>
    <n v="4758.1499999999996"/>
    <s v="580.93K"/>
    <n v="3.0999999999999999E-3"/>
    <x v="1"/>
    <n v="3"/>
    <n v="11"/>
  </r>
  <r>
    <d v="2021-11-24T00:00:00"/>
    <n v="4882.6000000000004"/>
    <n v="4876"/>
    <n v="4958.95"/>
    <n v="4850.05"/>
    <s v="483.90K"/>
    <n v="8.0999999999999996E-3"/>
    <x v="1"/>
    <n v="3"/>
    <n v="11"/>
  </r>
  <r>
    <d v="2021-11-25T00:00:00"/>
    <n v="4894.5"/>
    <n v="4930"/>
    <n v="4930"/>
    <n v="4854.6499999999996"/>
    <s v="364.38K"/>
    <n v="2.3999999999999998E-3"/>
    <x v="1"/>
    <n v="3"/>
    <n v="11"/>
  </r>
  <r>
    <d v="2021-11-26T00:00:00"/>
    <n v="4718.75"/>
    <n v="4860"/>
    <n v="4860"/>
    <n v="4700.1000000000004"/>
    <s v="518.55K"/>
    <n v="-3.5900000000000001E-2"/>
    <x v="1"/>
    <n v="3"/>
    <n v="11"/>
  </r>
  <r>
    <d v="2021-11-29T00:00:00"/>
    <n v="4673.3500000000004"/>
    <n v="4687"/>
    <n v="4721"/>
    <n v="4455"/>
    <s v="609.71K"/>
    <n v="-9.5999999999999992E-3"/>
    <x v="1"/>
    <n v="3"/>
    <n v="11"/>
  </r>
  <r>
    <d v="2021-11-30T00:00:00"/>
    <n v="4710.8999999999996"/>
    <n v="4673.3999999999996"/>
    <n v="4800"/>
    <n v="4661"/>
    <s v="790.48K"/>
    <n v="8.0000000000000002E-3"/>
    <x v="1"/>
    <n v="3"/>
    <n v="11"/>
  </r>
  <r>
    <d v="2021-12-01T00:00:00"/>
    <n v="4693.7"/>
    <n v="4750"/>
    <n v="4848"/>
    <n v="4666"/>
    <s v="374.83K"/>
    <n v="-3.7000000000000002E-3"/>
    <x v="1"/>
    <n v="3"/>
    <n v="12"/>
  </r>
  <r>
    <d v="2021-12-02T00:00:00"/>
    <n v="4782.95"/>
    <n v="4750"/>
    <n v="4794.55"/>
    <n v="4718.45"/>
    <s v="351.34K"/>
    <n v="1.9E-2"/>
    <x v="1"/>
    <n v="3"/>
    <n v="12"/>
  </r>
  <r>
    <d v="2021-12-03T00:00:00"/>
    <n v="4799.05"/>
    <n v="4799"/>
    <n v="4850"/>
    <n v="4775"/>
    <s v="287.73K"/>
    <n v="3.3999999999999998E-3"/>
    <x v="1"/>
    <n v="3"/>
    <n v="12"/>
  </r>
  <r>
    <d v="2021-12-06T00:00:00"/>
    <n v="4593.45"/>
    <n v="4820"/>
    <n v="4821.95"/>
    <n v="4580"/>
    <s v="466.60K"/>
    <n v="-4.2799999999999998E-2"/>
    <x v="1"/>
    <n v="3"/>
    <n v="12"/>
  </r>
  <r>
    <d v="2021-12-07T00:00:00"/>
    <n v="4660.6499999999996"/>
    <n v="4674.7"/>
    <n v="4719"/>
    <n v="4611"/>
    <s v="435.52K"/>
    <n v="1.46E-2"/>
    <x v="1"/>
    <n v="3"/>
    <n v="12"/>
  </r>
  <r>
    <d v="2021-12-08T00:00:00"/>
    <n v="4814.6000000000004"/>
    <n v="4708.2"/>
    <n v="4842"/>
    <n v="4708.2"/>
    <s v="763.28K"/>
    <n v="3.3000000000000002E-2"/>
    <x v="1"/>
    <n v="3"/>
    <n v="12"/>
  </r>
  <r>
    <d v="2021-12-09T00:00:00"/>
    <n v="4821.2"/>
    <n v="4822"/>
    <n v="4878.3999999999996"/>
    <n v="4777"/>
    <s v="316.69K"/>
    <n v="1.4E-3"/>
    <x v="1"/>
    <n v="3"/>
    <n v="12"/>
  </r>
  <r>
    <d v="2021-12-10T00:00:00"/>
    <n v="4796.6000000000004"/>
    <n v="4798"/>
    <n v="4809.7"/>
    <n v="4775.5"/>
    <s v="173.57K"/>
    <n v="-5.1000000000000004E-3"/>
    <x v="1"/>
    <n v="3"/>
    <n v="12"/>
  </r>
  <r>
    <d v="2021-12-13T00:00:00"/>
    <n v="4765.8"/>
    <n v="4830"/>
    <n v="4870"/>
    <n v="4750"/>
    <s v="283.32K"/>
    <n v="-6.4000000000000003E-3"/>
    <x v="1"/>
    <n v="3"/>
    <n v="12"/>
  </r>
  <r>
    <d v="2021-12-14T00:00:00"/>
    <n v="4814.3999999999996"/>
    <n v="4764.75"/>
    <n v="4840"/>
    <n v="4714.1000000000004"/>
    <s v="352.40K"/>
    <n v="1.0200000000000001E-2"/>
    <x v="1"/>
    <n v="3"/>
    <n v="12"/>
  </r>
  <r>
    <d v="2021-12-15T00:00:00"/>
    <n v="4749.45"/>
    <n v="4799.8999999999996"/>
    <n v="4814.25"/>
    <n v="4740"/>
    <s v="410.08K"/>
    <n v="-1.35E-2"/>
    <x v="1"/>
    <n v="3"/>
    <n v="12"/>
  </r>
  <r>
    <d v="2021-12-16T00:00:00"/>
    <n v="4742.1000000000004"/>
    <n v="4801"/>
    <n v="4815.1499999999996"/>
    <n v="4726.1499999999996"/>
    <s v="243.57K"/>
    <n v="-1.5E-3"/>
    <x v="1"/>
    <n v="3"/>
    <n v="12"/>
  </r>
  <r>
    <d v="2021-12-17T00:00:00"/>
    <n v="4697.8"/>
    <n v="4771"/>
    <n v="4791.25"/>
    <n v="4672.1499999999996"/>
    <s v="454.82K"/>
    <n v="-9.2999999999999992E-3"/>
    <x v="1"/>
    <n v="3"/>
    <n v="12"/>
  </r>
  <r>
    <d v="2021-12-20T00:00:00"/>
    <n v="4618.95"/>
    <n v="4669"/>
    <n v="4690"/>
    <n v="4552.25"/>
    <s v="310.44K"/>
    <n v="-1.6799999999999999E-2"/>
    <x v="1"/>
    <n v="3"/>
    <n v="12"/>
  </r>
  <r>
    <d v="2021-12-21T00:00:00"/>
    <n v="4587.3999999999996"/>
    <n v="4612.5"/>
    <n v="4677"/>
    <n v="4571.05"/>
    <s v="312.54K"/>
    <n v="-6.7999999999999996E-3"/>
    <x v="1"/>
    <n v="3"/>
    <n v="12"/>
  </r>
  <r>
    <d v="2021-12-22T00:00:00"/>
    <n v="4655.8500000000004"/>
    <n v="4627.95"/>
    <n v="4695.5"/>
    <n v="4587.3999999999996"/>
    <s v="338.38K"/>
    <n v="1.49E-2"/>
    <x v="1"/>
    <n v="3"/>
    <n v="12"/>
  </r>
  <r>
    <d v="2021-12-23T00:00:00"/>
    <n v="4647.8999999999996"/>
    <n v="4711.25"/>
    <n v="4711.25"/>
    <n v="4631.3999999999996"/>
    <s v="204.21K"/>
    <n v="-1.6999999999999999E-3"/>
    <x v="1"/>
    <n v="3"/>
    <n v="12"/>
  </r>
  <r>
    <d v="2021-12-24T00:00:00"/>
    <n v="4628.8999999999996"/>
    <n v="4674"/>
    <n v="4674"/>
    <n v="4615"/>
    <s v="122.08K"/>
    <n v="-4.1000000000000003E-3"/>
    <x v="1"/>
    <n v="3"/>
    <n v="12"/>
  </r>
  <r>
    <d v="2021-12-27T00:00:00"/>
    <n v="4668.6499999999996"/>
    <n v="4599"/>
    <n v="4680"/>
    <n v="4555.25"/>
    <s v="294.37K"/>
    <n v="8.6E-3"/>
    <x v="1"/>
    <n v="3"/>
    <n v="12"/>
  </r>
  <r>
    <d v="2021-12-28T00:00:00"/>
    <n v="4721.95"/>
    <n v="4680"/>
    <n v="4760.95"/>
    <n v="4645"/>
    <s v="320.96K"/>
    <n v="1.14E-2"/>
    <x v="1"/>
    <n v="3"/>
    <n v="12"/>
  </r>
  <r>
    <d v="2021-12-29T00:00:00"/>
    <n v="4683.95"/>
    <n v="4739"/>
    <n v="4748.7"/>
    <n v="4675"/>
    <s v="176.72K"/>
    <n v="-8.0000000000000002E-3"/>
    <x v="1"/>
    <n v="3"/>
    <n v="12"/>
  </r>
  <r>
    <d v="2021-12-30T00:00:00"/>
    <n v="4639.3500000000004"/>
    <n v="4677.5"/>
    <n v="4699"/>
    <n v="4625"/>
    <s v="195.75K"/>
    <n v="-9.4999999999999998E-3"/>
    <x v="1"/>
    <n v="3"/>
    <n v="12"/>
  </r>
  <r>
    <d v="2021-12-31T00:00:00"/>
    <n v="4671.45"/>
    <n v="4641"/>
    <n v="4692.75"/>
    <n v="4636"/>
    <s v="172.79K"/>
    <n v="6.8999999999999999E-3"/>
    <x v="1"/>
    <n v="3"/>
    <n v="12"/>
  </r>
  <r>
    <d v="2022-01-03T00:00:00"/>
    <n v="4711.5"/>
    <n v="4770"/>
    <n v="4799"/>
    <n v="4701.2"/>
    <s v="534.38K"/>
    <n v="8.6E-3"/>
    <x v="2"/>
    <n v="4"/>
    <n v="1"/>
  </r>
  <r>
    <d v="2022-01-04T00:00:00"/>
    <n v="4726.95"/>
    <n v="4758.8999999999996"/>
    <n v="4758.8999999999996"/>
    <n v="4685"/>
    <s v="242.29K"/>
    <n v="3.3E-3"/>
    <x v="2"/>
    <n v="4"/>
    <n v="1"/>
  </r>
  <r>
    <d v="2022-01-05T00:00:00"/>
    <n v="4687.3999999999996"/>
    <n v="4725"/>
    <n v="4725"/>
    <n v="4646"/>
    <s v="287.95K"/>
    <n v="-8.3999999999999995E-3"/>
    <x v="2"/>
    <n v="4"/>
    <n v="1"/>
  </r>
  <r>
    <d v="2022-01-06T00:00:00"/>
    <n v="4705.6499999999996"/>
    <n v="4669.1000000000004"/>
    <n v="4716"/>
    <n v="4642.6499999999996"/>
    <s v="361.51K"/>
    <n v="3.8999999999999998E-3"/>
    <x v="2"/>
    <n v="4"/>
    <n v="1"/>
  </r>
  <r>
    <d v="2022-01-07T00:00:00"/>
    <n v="4731.3500000000004"/>
    <n v="4715"/>
    <n v="4748"/>
    <n v="4696.1499999999996"/>
    <s v="301.52K"/>
    <n v="5.4999999999999997E-3"/>
    <x v="2"/>
    <n v="4"/>
    <n v="1"/>
  </r>
  <r>
    <d v="2022-01-10T00:00:00"/>
    <n v="4633.55"/>
    <n v="4784.8999999999996"/>
    <n v="4784.8999999999996"/>
    <n v="4620"/>
    <s v="1.04M"/>
    <n v="-2.07E-2"/>
    <x v="2"/>
    <n v="4"/>
    <n v="1"/>
  </r>
  <r>
    <d v="2022-01-11T00:00:00"/>
    <n v="4504.8999999999996"/>
    <n v="4649"/>
    <n v="4654.8999999999996"/>
    <n v="4499"/>
    <s v="791.42K"/>
    <n v="-2.7799999999999998E-2"/>
    <x v="2"/>
    <n v="4"/>
    <n v="1"/>
  </r>
  <r>
    <d v="2022-01-12T00:00:00"/>
    <n v="4276.1000000000004"/>
    <n v="4500"/>
    <n v="4500"/>
    <n v="4165.3"/>
    <s v="2.52M"/>
    <n v="-5.0799999999999998E-2"/>
    <x v="2"/>
    <n v="4"/>
    <n v="1"/>
  </r>
  <r>
    <d v="2022-01-13T00:00:00"/>
    <n v="4254.6000000000004"/>
    <n v="4276"/>
    <n v="4354.45"/>
    <n v="4221.6000000000004"/>
    <s v="1.09M"/>
    <n v="-5.0000000000000001E-3"/>
    <x v="2"/>
    <n v="4"/>
    <n v="1"/>
  </r>
  <r>
    <d v="2022-01-14T00:00:00"/>
    <n v="4322.7"/>
    <n v="4266"/>
    <n v="4344.45"/>
    <n v="4256.1499999999996"/>
    <s v="896.93K"/>
    <n v="1.6E-2"/>
    <x v="2"/>
    <n v="4"/>
    <n v="1"/>
  </r>
  <r>
    <d v="2022-01-17T00:00:00"/>
    <n v="4400.5"/>
    <n v="4365"/>
    <n v="4414"/>
    <n v="4290.45"/>
    <s v="870.34K"/>
    <n v="1.7999999999999999E-2"/>
    <x v="2"/>
    <n v="4"/>
    <n v="1"/>
  </r>
  <r>
    <d v="2022-01-18T00:00:00"/>
    <n v="4441.1499999999996"/>
    <n v="4425"/>
    <n v="4500"/>
    <n v="4381"/>
    <s v="940.89K"/>
    <n v="9.1999999999999998E-3"/>
    <x v="2"/>
    <n v="4"/>
    <n v="1"/>
  </r>
  <r>
    <d v="2022-01-19T00:00:00"/>
    <n v="4483.3999999999996"/>
    <n v="4459"/>
    <n v="4505"/>
    <n v="4365"/>
    <s v="579.89K"/>
    <n v="9.4999999999999998E-3"/>
    <x v="2"/>
    <n v="4"/>
    <n v="1"/>
  </r>
  <r>
    <d v="2022-01-20T00:00:00"/>
    <n v="4483.55"/>
    <n v="4517"/>
    <n v="4517"/>
    <n v="4462.3500000000004"/>
    <s v="350.12K"/>
    <n v="0"/>
    <x v="2"/>
    <n v="4"/>
    <n v="1"/>
  </r>
  <r>
    <d v="2022-01-21T00:00:00"/>
    <n v="4299.8"/>
    <n v="4410"/>
    <n v="4435.45"/>
    <n v="4281"/>
    <s v="606.58K"/>
    <n v="-4.1000000000000002E-2"/>
    <x v="2"/>
    <n v="4"/>
    <n v="1"/>
  </r>
  <r>
    <d v="2022-01-24T00:00:00"/>
    <n v="4035.3"/>
    <n v="4300"/>
    <n v="4316.8999999999996"/>
    <n v="3978"/>
    <s v="1.13M"/>
    <n v="-6.1499999999999999E-2"/>
    <x v="2"/>
    <n v="4"/>
    <n v="1"/>
  </r>
  <r>
    <d v="2022-01-25T00:00:00"/>
    <n v="4095.45"/>
    <n v="4025"/>
    <n v="4120"/>
    <n v="3881.25"/>
    <s v="810.52K"/>
    <n v="1.49E-2"/>
    <x v="2"/>
    <n v="4"/>
    <n v="1"/>
  </r>
  <r>
    <d v="2022-01-27T00:00:00"/>
    <n v="4063.3"/>
    <n v="4040"/>
    <n v="4144.1000000000004"/>
    <n v="3994.95"/>
    <s v="675.65K"/>
    <n v="-7.9000000000000008E-3"/>
    <x v="2"/>
    <n v="4"/>
    <n v="1"/>
  </r>
  <r>
    <d v="2022-01-28T00:00:00"/>
    <n v="4076"/>
    <n v="4130"/>
    <n v="4150.8999999999996"/>
    <n v="4046"/>
    <s v="582.48K"/>
    <n v="3.0999999999999999E-3"/>
    <x v="2"/>
    <n v="4"/>
    <n v="1"/>
  </r>
  <r>
    <d v="2022-01-31T00:00:00"/>
    <n v="4114.3500000000004"/>
    <n v="4140"/>
    <n v="4171"/>
    <n v="4092"/>
    <s v="478.10K"/>
    <n v="9.4000000000000004E-3"/>
    <x v="2"/>
    <n v="4"/>
    <n v="1"/>
  </r>
  <r>
    <d v="2022-02-01T00:00:00"/>
    <n v="4225.6000000000004"/>
    <n v="4133.2"/>
    <n v="4278"/>
    <n v="4092"/>
    <s v="321.74K"/>
    <n v="2.7E-2"/>
    <x v="2"/>
    <n v="4"/>
    <n v="2"/>
  </r>
  <r>
    <d v="2022-02-02T00:00:00"/>
    <n v="4236.6499999999996"/>
    <n v="4274.3"/>
    <n v="4275"/>
    <n v="4211"/>
    <s v="249.20K"/>
    <n v="2.5999999999999999E-3"/>
    <x v="2"/>
    <n v="4"/>
    <n v="2"/>
  </r>
  <r>
    <d v="2022-02-03T00:00:00"/>
    <n v="4140"/>
    <n v="4231.05"/>
    <n v="4235"/>
    <n v="4122.3500000000004"/>
    <s v="337.72K"/>
    <n v="-2.2800000000000001E-2"/>
    <x v="2"/>
    <n v="4"/>
    <n v="2"/>
  </r>
  <r>
    <d v="2022-02-04T00:00:00"/>
    <n v="4081.9"/>
    <n v="4140"/>
    <n v="4140.2"/>
    <n v="4075"/>
    <s v="299.98K"/>
    <n v="-1.4E-2"/>
    <x v="2"/>
    <n v="4"/>
    <n v="2"/>
  </r>
  <r>
    <d v="2022-02-07T00:00:00"/>
    <n v="4073.55"/>
    <n v="4090"/>
    <n v="4146.8"/>
    <n v="4045.2"/>
    <s v="288.09K"/>
    <n v="-2E-3"/>
    <x v="2"/>
    <n v="4"/>
    <n v="2"/>
  </r>
  <r>
    <d v="2022-02-08T00:00:00"/>
    <n v="4015"/>
    <n v="4098.8999999999996"/>
    <n v="4128.95"/>
    <n v="3995"/>
    <s v="456.87K"/>
    <n v="-1.44E-2"/>
    <x v="2"/>
    <n v="4"/>
    <n v="2"/>
  </r>
  <r>
    <d v="2022-02-09T00:00:00"/>
    <n v="4002.1"/>
    <n v="4078.7"/>
    <n v="4078.7"/>
    <n v="3983"/>
    <s v="380.36K"/>
    <n v="-3.2000000000000002E-3"/>
    <x v="2"/>
    <n v="4"/>
    <n v="2"/>
  </r>
  <r>
    <d v="2022-02-10T00:00:00"/>
    <n v="4162.7"/>
    <n v="4034.1"/>
    <n v="4182"/>
    <n v="4001"/>
    <s v="699.25K"/>
    <n v="4.0099999999999997E-2"/>
    <x v="2"/>
    <n v="4"/>
    <n v="2"/>
  </r>
  <r>
    <d v="2022-02-11T00:00:00"/>
    <n v="4142.25"/>
    <n v="4138"/>
    <n v="4157"/>
    <n v="4080.1"/>
    <s v="336.88K"/>
    <n v="-4.8999999999999998E-3"/>
    <x v="2"/>
    <n v="4"/>
    <n v="2"/>
  </r>
  <r>
    <d v="2022-02-14T00:00:00"/>
    <n v="3979.75"/>
    <n v="4015"/>
    <n v="4125"/>
    <n v="3958.05"/>
    <s v="466.10K"/>
    <n v="-3.9199999999999999E-2"/>
    <x v="2"/>
    <n v="4"/>
    <n v="2"/>
  </r>
  <r>
    <d v="2022-02-15T00:00:00"/>
    <n v="4081.75"/>
    <n v="4015"/>
    <n v="4128.8999999999996"/>
    <n v="3980"/>
    <s v="377.21K"/>
    <n v="2.5600000000000001E-2"/>
    <x v="2"/>
    <n v="4"/>
    <n v="2"/>
  </r>
  <r>
    <d v="2022-02-16T00:00:00"/>
    <n v="4051.15"/>
    <n v="4139.8999999999996"/>
    <n v="4155"/>
    <n v="4035"/>
    <s v="313.24K"/>
    <n v="-7.4999999999999997E-3"/>
    <x v="2"/>
    <n v="4"/>
    <n v="2"/>
  </r>
  <r>
    <d v="2022-02-17T00:00:00"/>
    <n v="4115.3999999999996"/>
    <n v="4095.6"/>
    <n v="4152"/>
    <n v="4080"/>
    <s v="357.26K"/>
    <n v="1.5900000000000001E-2"/>
    <x v="2"/>
    <n v="4"/>
    <n v="2"/>
  </r>
  <r>
    <d v="2022-02-18T00:00:00"/>
    <n v="4073.1"/>
    <n v="4098"/>
    <n v="4121"/>
    <n v="4056.05"/>
    <s v="169.50K"/>
    <n v="-1.03E-2"/>
    <x v="2"/>
    <n v="4"/>
    <n v="2"/>
  </r>
  <r>
    <d v="2022-02-21T00:00:00"/>
    <n v="4096.6000000000004"/>
    <n v="4048"/>
    <n v="4170"/>
    <n v="3990"/>
    <s v="480.54K"/>
    <n v="5.7999999999999996E-3"/>
    <x v="2"/>
    <n v="4"/>
    <n v="2"/>
  </r>
  <r>
    <d v="2022-02-22T00:00:00"/>
    <n v="4157.1000000000004"/>
    <n v="4001"/>
    <n v="4179"/>
    <n v="3990"/>
    <s v="484.78K"/>
    <n v="1.4800000000000001E-2"/>
    <x v="2"/>
    <n v="4"/>
    <n v="2"/>
  </r>
  <r>
    <d v="2022-02-23T00:00:00"/>
    <n v="4193.45"/>
    <n v="4165"/>
    <n v="4217.7"/>
    <n v="4135"/>
    <s v="360.45K"/>
    <n v="8.6999999999999994E-3"/>
    <x v="2"/>
    <n v="4"/>
    <n v="2"/>
  </r>
  <r>
    <d v="2022-02-24T00:00:00"/>
    <n v="4014.65"/>
    <n v="3993.85"/>
    <n v="4131.95"/>
    <n v="3947.85"/>
    <s v="552.29K"/>
    <n v="-4.2599999999999999E-2"/>
    <x v="2"/>
    <n v="4"/>
    <n v="2"/>
  </r>
  <r>
    <d v="2022-02-25T00:00:00"/>
    <n v="4190.75"/>
    <n v="4080"/>
    <n v="4210"/>
    <n v="4037.65"/>
    <s v="425.23K"/>
    <n v="4.3900000000000002E-2"/>
    <x v="2"/>
    <n v="4"/>
    <n v="2"/>
  </r>
  <r>
    <d v="2022-02-28T00:00:00"/>
    <n v="4340.3500000000004"/>
    <n v="4155"/>
    <n v="4355"/>
    <n v="4062.1"/>
    <s v="647.57K"/>
    <n v="3.5700000000000003E-2"/>
    <x v="2"/>
    <n v="4"/>
    <n v="2"/>
  </r>
  <r>
    <d v="2022-03-02T00:00:00"/>
    <n v="4295.1499999999996"/>
    <n v="4299.95"/>
    <n v="4446.95"/>
    <n v="4270"/>
    <s v="479.51K"/>
    <n v="-1.04E-2"/>
    <x v="2"/>
    <n v="4"/>
    <n v="3"/>
  </r>
  <r>
    <d v="2022-03-03T00:00:00"/>
    <n v="4276.5"/>
    <n v="4370"/>
    <n v="4395"/>
    <n v="4253.8999999999996"/>
    <s v="303.43K"/>
    <n v="-4.3E-3"/>
    <x v="2"/>
    <n v="4"/>
    <n v="3"/>
  </r>
  <r>
    <d v="2022-03-04T00:00:00"/>
    <n v="4110.2"/>
    <n v="4260.2"/>
    <n v="4260.2"/>
    <n v="4075.05"/>
    <s v="437.69K"/>
    <n v="-3.8899999999999997E-2"/>
    <x v="2"/>
    <n v="4"/>
    <n v="3"/>
  </r>
  <r>
    <d v="2022-03-07T00:00:00"/>
    <n v="3991.65"/>
    <n v="4001"/>
    <n v="4175"/>
    <n v="3970.8"/>
    <s v="694.63K"/>
    <n v="-2.8799999999999999E-2"/>
    <x v="2"/>
    <n v="4"/>
    <n v="3"/>
  </r>
  <r>
    <d v="2022-03-08T00:00:00"/>
    <n v="4124"/>
    <n v="4016"/>
    <n v="4160"/>
    <n v="3992.4"/>
    <s v="713.00K"/>
    <n v="3.32E-2"/>
    <x v="2"/>
    <n v="4"/>
    <n v="3"/>
  </r>
  <r>
    <d v="2022-03-09T00:00:00"/>
    <n v="4096.7"/>
    <n v="4155"/>
    <n v="4172.8999999999996"/>
    <n v="4071.1"/>
    <s v="395.07K"/>
    <n v="-6.6E-3"/>
    <x v="2"/>
    <n v="4"/>
    <n v="3"/>
  </r>
  <r>
    <d v="2022-03-10T00:00:00"/>
    <n v="4168.6000000000004"/>
    <n v="4210"/>
    <n v="4239.8999999999996"/>
    <n v="4142.3"/>
    <s v="439.78K"/>
    <n v="1.7600000000000001E-2"/>
    <x v="2"/>
    <n v="4"/>
    <n v="3"/>
  </r>
  <r>
    <d v="2022-03-11T00:00:00"/>
    <n v="4198.95"/>
    <n v="4167"/>
    <n v="4210"/>
    <n v="4109.25"/>
    <s v="387.53K"/>
    <n v="7.3000000000000001E-3"/>
    <x v="2"/>
    <n v="4"/>
    <n v="3"/>
  </r>
  <r>
    <d v="2022-03-14T00:00:00"/>
    <n v="4168.25"/>
    <n v="4190"/>
    <n v="4218"/>
    <n v="4150"/>
    <s v="305.33K"/>
    <n v="-7.3000000000000001E-3"/>
    <x v="2"/>
    <n v="4"/>
    <n v="3"/>
  </r>
  <r>
    <d v="2022-03-15T00:00:00"/>
    <n v="4231.05"/>
    <n v="4191"/>
    <n v="4251"/>
    <n v="4171.75"/>
    <s v="560.82K"/>
    <n v="1.5100000000000001E-2"/>
    <x v="2"/>
    <n v="4"/>
    <n v="3"/>
  </r>
  <r>
    <d v="2022-03-16T00:00:00"/>
    <n v="4169.55"/>
    <n v="4229.75"/>
    <n v="4243.6000000000004"/>
    <n v="4153"/>
    <s v="470.36K"/>
    <n v="-1.4500000000000001E-2"/>
    <x v="2"/>
    <n v="4"/>
    <n v="3"/>
  </r>
  <r>
    <d v="2022-03-17T00:00:00"/>
    <n v="4192.75"/>
    <n v="4218"/>
    <n v="4239"/>
    <n v="4166.1000000000004"/>
    <s v="608.02K"/>
    <n v="5.5999999999999999E-3"/>
    <x v="2"/>
    <n v="4"/>
    <n v="3"/>
  </r>
  <r>
    <d v="2022-03-21T00:00:00"/>
    <n v="4095.2"/>
    <n v="4217"/>
    <n v="4217"/>
    <n v="4080.6"/>
    <s v="370.64K"/>
    <n v="-2.3300000000000001E-2"/>
    <x v="2"/>
    <n v="4"/>
    <n v="3"/>
  </r>
  <r>
    <d v="2022-03-22T00:00:00"/>
    <n v="4054"/>
    <n v="4129"/>
    <n v="4129"/>
    <n v="4031"/>
    <s v="396.90K"/>
    <n v="-1.01E-2"/>
    <x v="2"/>
    <n v="4"/>
    <n v="3"/>
  </r>
  <r>
    <d v="2022-03-23T00:00:00"/>
    <n v="4091.35"/>
    <n v="4085.7"/>
    <n v="4119"/>
    <n v="4064.6"/>
    <s v="285.64K"/>
    <n v="9.1999999999999998E-3"/>
    <x v="2"/>
    <n v="4"/>
    <n v="3"/>
  </r>
  <r>
    <d v="2022-03-24T00:00:00"/>
    <n v="4042.85"/>
    <n v="4086.25"/>
    <n v="4086.25"/>
    <n v="4031.55"/>
    <s v="374.57K"/>
    <n v="-1.1900000000000001E-2"/>
    <x v="2"/>
    <n v="4"/>
    <n v="3"/>
  </r>
  <r>
    <d v="2022-03-25T00:00:00"/>
    <n v="4001.3"/>
    <n v="4069"/>
    <n v="4069"/>
    <n v="3995"/>
    <s v="440.56K"/>
    <n v="-1.03E-2"/>
    <x v="2"/>
    <n v="4"/>
    <n v="3"/>
  </r>
  <r>
    <d v="2022-03-28T00:00:00"/>
    <n v="4010.05"/>
    <n v="4005.15"/>
    <n v="4021"/>
    <n v="3975.05"/>
    <s v="428.03K"/>
    <n v="2.2000000000000001E-3"/>
    <x v="2"/>
    <n v="4"/>
    <n v="3"/>
  </r>
  <r>
    <d v="2022-03-29T00:00:00"/>
    <n v="4006.1"/>
    <n v="4010.05"/>
    <n v="4037.8"/>
    <n v="3985"/>
    <s v="397.61K"/>
    <n v="-1E-3"/>
    <x v="2"/>
    <n v="4"/>
    <n v="3"/>
  </r>
  <r>
    <d v="2022-03-30T00:00:00"/>
    <n v="3973.4"/>
    <n v="4025"/>
    <n v="4084"/>
    <n v="3945"/>
    <s v="580.73K"/>
    <n v="-8.2000000000000007E-3"/>
    <x v="2"/>
    <n v="4"/>
    <n v="3"/>
  </r>
  <r>
    <d v="2022-03-31T00:00:00"/>
    <n v="4003.35"/>
    <n v="4028"/>
    <n v="4040"/>
    <n v="3983.05"/>
    <s v="492.44K"/>
    <n v="7.4999999999999997E-3"/>
    <x v="2"/>
    <n v="4"/>
    <n v="3"/>
  </r>
  <r>
    <d v="2022-04-01T00:00:00"/>
    <n v="4082.2"/>
    <n v="4013"/>
    <n v="4093"/>
    <n v="4000"/>
    <s v="416.60K"/>
    <n v="1.9699999999999999E-2"/>
    <x v="2"/>
    <n v="1"/>
    <n v="4"/>
  </r>
  <r>
    <d v="2022-04-04T00:00:00"/>
    <n v="4106.6499999999996"/>
    <n v="4120"/>
    <n v="4150"/>
    <n v="4076.15"/>
    <s v="438.58K"/>
    <n v="6.0000000000000001E-3"/>
    <x v="2"/>
    <n v="1"/>
    <n v="4"/>
  </r>
  <r>
    <d v="2022-04-05T00:00:00"/>
    <n v="4109.7"/>
    <n v="4138.75"/>
    <n v="4148"/>
    <n v="4100"/>
    <s v="277.25K"/>
    <n v="6.9999999999999999E-4"/>
    <x v="2"/>
    <n v="1"/>
    <n v="4"/>
  </r>
  <r>
    <d v="2022-04-06T00:00:00"/>
    <n v="4101.8999999999996"/>
    <n v="4090"/>
    <n v="4139.8"/>
    <n v="4085.6"/>
    <s v="218.18K"/>
    <n v="-1.9E-3"/>
    <x v="2"/>
    <n v="1"/>
    <n v="4"/>
  </r>
  <r>
    <d v="2022-04-07T00:00:00"/>
    <n v="4159.7"/>
    <n v="4099.8999999999996"/>
    <n v="4244"/>
    <n v="4092"/>
    <s v="979.78K"/>
    <n v="1.41E-2"/>
    <x v="2"/>
    <n v="1"/>
    <n v="4"/>
  </r>
  <r>
    <d v="2022-04-08T00:00:00"/>
    <n v="4146.25"/>
    <n v="4165"/>
    <n v="4208"/>
    <n v="4118"/>
    <s v="358.04K"/>
    <n v="-3.2000000000000002E-3"/>
    <x v="2"/>
    <n v="1"/>
    <n v="4"/>
  </r>
  <r>
    <d v="2022-04-11T00:00:00"/>
    <n v="4171.6000000000004"/>
    <n v="4136.8"/>
    <n v="4200"/>
    <n v="4130.05"/>
    <s v="202.94K"/>
    <n v="6.1000000000000004E-3"/>
    <x v="2"/>
    <n v="1"/>
    <n v="4"/>
  </r>
  <r>
    <d v="2022-04-12T00:00:00"/>
    <n v="4088.7"/>
    <n v="4174.95"/>
    <n v="4174.95"/>
    <n v="4075"/>
    <s v="228.55K"/>
    <n v="-1.9900000000000001E-2"/>
    <x v="2"/>
    <n v="1"/>
    <n v="4"/>
  </r>
  <r>
    <d v="2022-04-13T00:00:00"/>
    <n v="4090.9"/>
    <n v="4101"/>
    <n v="4117.95"/>
    <n v="4081.7"/>
    <s v="157.52K"/>
    <n v="5.0000000000000001E-4"/>
    <x v="2"/>
    <n v="1"/>
    <n v="4"/>
  </r>
  <r>
    <d v="2022-04-18T00:00:00"/>
    <n v="4056"/>
    <n v="4065"/>
    <n v="4079"/>
    <n v="4009"/>
    <s v="193.90K"/>
    <n v="-8.5000000000000006E-3"/>
    <x v="2"/>
    <n v="1"/>
    <n v="4"/>
  </r>
  <r>
    <d v="2022-04-19T00:00:00"/>
    <n v="4008.9"/>
    <n v="4089.9"/>
    <n v="4131.8999999999996"/>
    <n v="3975"/>
    <s v="222.20K"/>
    <n v="-1.1599999999999999E-2"/>
    <x v="2"/>
    <n v="1"/>
    <n v="4"/>
  </r>
  <r>
    <d v="2022-04-20T00:00:00"/>
    <n v="4054.8"/>
    <n v="4026"/>
    <n v="4065"/>
    <n v="4000"/>
    <s v="222.82K"/>
    <n v="1.14E-2"/>
    <x v="2"/>
    <n v="1"/>
    <n v="4"/>
  </r>
  <r>
    <d v="2022-04-21T00:00:00"/>
    <n v="4030.25"/>
    <n v="4075"/>
    <n v="4080"/>
    <n v="4015"/>
    <s v="209.20K"/>
    <n v="-6.1000000000000004E-3"/>
    <x v="2"/>
    <n v="1"/>
    <n v="4"/>
  </r>
  <r>
    <d v="2022-04-22T00:00:00"/>
    <n v="4028.85"/>
    <n v="4028.65"/>
    <n v="4060.05"/>
    <n v="3995.75"/>
    <s v="210.64K"/>
    <n v="-2.9999999999999997E-4"/>
    <x v="2"/>
    <n v="1"/>
    <n v="4"/>
  </r>
  <r>
    <d v="2022-04-25T00:00:00"/>
    <n v="3989.2"/>
    <n v="4000"/>
    <n v="4022.35"/>
    <n v="3975.05"/>
    <s v="204.73K"/>
    <n v="-9.7999999999999997E-3"/>
    <x v="2"/>
    <n v="1"/>
    <n v="4"/>
  </r>
  <r>
    <d v="2022-04-26T00:00:00"/>
    <n v="4044.25"/>
    <n v="4009.8"/>
    <n v="4050"/>
    <n v="3994.4"/>
    <s v="198.10K"/>
    <n v="1.38E-2"/>
    <x v="2"/>
    <n v="1"/>
    <n v="4"/>
  </r>
  <r>
    <d v="2022-04-27T00:00:00"/>
    <n v="3977.7"/>
    <n v="4006.1"/>
    <n v="4024.35"/>
    <n v="3960"/>
    <s v="169.92K"/>
    <n v="-1.6500000000000001E-2"/>
    <x v="2"/>
    <n v="1"/>
    <n v="4"/>
  </r>
  <r>
    <d v="2022-04-28T00:00:00"/>
    <n v="4024.55"/>
    <n v="4023.9"/>
    <n v="4054"/>
    <n v="3995.55"/>
    <s v="247.75K"/>
    <n v="1.18E-2"/>
    <x v="2"/>
    <n v="1"/>
    <n v="4"/>
  </r>
  <r>
    <d v="2022-04-29T00:00:00"/>
    <n v="3944.25"/>
    <n v="4048.9"/>
    <n v="4085"/>
    <n v="3906"/>
    <s v="238.65K"/>
    <n v="-0.02"/>
    <x v="2"/>
    <n v="1"/>
    <n v="4"/>
  </r>
  <r>
    <d v="2022-05-02T00:00:00"/>
    <n v="3983.35"/>
    <n v="3939.6"/>
    <n v="3997.8"/>
    <n v="3889"/>
    <s v="265.83K"/>
    <n v="9.9000000000000008E-3"/>
    <x v="2"/>
    <n v="1"/>
    <n v="5"/>
  </r>
  <r>
    <d v="2022-05-04T00:00:00"/>
    <n v="3867.15"/>
    <n v="4000"/>
    <n v="4023.95"/>
    <n v="3850.2"/>
    <s v="270.40K"/>
    <n v="-2.92E-2"/>
    <x v="2"/>
    <n v="1"/>
    <n v="5"/>
  </r>
  <r>
    <d v="2022-05-05T00:00:00"/>
    <n v="3943.8"/>
    <n v="3920"/>
    <n v="3980"/>
    <n v="3775"/>
    <s v="457.77K"/>
    <n v="1.9800000000000002E-2"/>
    <x v="2"/>
    <n v="1"/>
    <n v="5"/>
  </r>
  <r>
    <d v="2022-05-06T00:00:00"/>
    <n v="3666.2"/>
    <n v="3866"/>
    <n v="3889.65"/>
    <n v="3602.15"/>
    <s v="858.79K"/>
    <n v="-7.0400000000000004E-2"/>
    <x v="2"/>
    <n v="1"/>
    <n v="5"/>
  </r>
  <r>
    <d v="2022-05-09T00:00:00"/>
    <n v="3520.3"/>
    <n v="3655"/>
    <n v="3655"/>
    <n v="3486"/>
    <s v="732.79K"/>
    <n v="-3.9800000000000002E-2"/>
    <x v="2"/>
    <n v="1"/>
    <n v="5"/>
  </r>
  <r>
    <d v="2022-05-10T00:00:00"/>
    <n v="3414.95"/>
    <n v="3501"/>
    <n v="3545.25"/>
    <n v="3402.15"/>
    <s v="696.67K"/>
    <n v="-2.9899999999999999E-2"/>
    <x v="2"/>
    <n v="1"/>
    <n v="5"/>
  </r>
  <r>
    <d v="2022-05-11T00:00:00"/>
    <n v="3339.7"/>
    <n v="3448"/>
    <n v="3448"/>
    <n v="3311.7"/>
    <s v="689.55K"/>
    <n v="-2.1999999999999999E-2"/>
    <x v="2"/>
    <n v="1"/>
    <n v="5"/>
  </r>
  <r>
    <d v="2022-05-12T00:00:00"/>
    <n v="3270.45"/>
    <n v="3310"/>
    <n v="3334.95"/>
    <n v="3241.25"/>
    <s v="725.55K"/>
    <n v="-2.07E-2"/>
    <x v="2"/>
    <n v="1"/>
    <n v="5"/>
  </r>
  <r>
    <d v="2022-05-13T00:00:00"/>
    <n v="3230.6"/>
    <n v="3351"/>
    <n v="3357.75"/>
    <n v="3205"/>
    <s v="546.75K"/>
    <n v="-1.2200000000000001E-2"/>
    <x v="2"/>
    <n v="1"/>
    <n v="5"/>
  </r>
  <r>
    <d v="2022-05-16T00:00:00"/>
    <n v="3561.1"/>
    <n v="3260"/>
    <n v="3620"/>
    <n v="3186"/>
    <s v="1.87M"/>
    <n v="0.1023"/>
    <x v="2"/>
    <n v="1"/>
    <n v="5"/>
  </r>
  <r>
    <d v="2022-05-17T00:00:00"/>
    <n v="3657"/>
    <n v="3620"/>
    <n v="3724"/>
    <n v="3473.45"/>
    <s v="926.15K"/>
    <n v="2.69E-2"/>
    <x v="2"/>
    <n v="1"/>
    <n v="5"/>
  </r>
  <r>
    <d v="2022-05-18T00:00:00"/>
    <n v="3664.05"/>
    <n v="3700"/>
    <n v="3781"/>
    <n v="3650"/>
    <s v="712.47K"/>
    <n v="1.9E-3"/>
    <x v="2"/>
    <n v="1"/>
    <n v="5"/>
  </r>
  <r>
    <d v="2022-05-19T00:00:00"/>
    <n v="3614.85"/>
    <n v="3513"/>
    <n v="3649"/>
    <n v="3491.5"/>
    <s v="439.66K"/>
    <n v="-1.34E-2"/>
    <x v="2"/>
    <n v="1"/>
    <n v="5"/>
  </r>
  <r>
    <d v="2022-05-20T00:00:00"/>
    <n v="3630.4"/>
    <n v="3708.9"/>
    <n v="3717.2"/>
    <n v="3610"/>
    <s v="334.17K"/>
    <n v="4.3E-3"/>
    <x v="2"/>
    <n v="1"/>
    <n v="5"/>
  </r>
  <r>
    <d v="2022-05-23T00:00:00"/>
    <n v="3574.1"/>
    <n v="3650"/>
    <n v="3694.5"/>
    <n v="3552.05"/>
    <s v="258.25K"/>
    <n v="-1.55E-2"/>
    <x v="2"/>
    <n v="1"/>
    <n v="5"/>
  </r>
  <r>
    <d v="2022-05-24T00:00:00"/>
    <n v="3656.75"/>
    <n v="3579.95"/>
    <n v="3685"/>
    <n v="3571.2"/>
    <s v="391.19K"/>
    <n v="2.3099999999999999E-2"/>
    <x v="2"/>
    <n v="1"/>
    <n v="5"/>
  </r>
  <r>
    <d v="2022-05-25T00:00:00"/>
    <n v="3586.45"/>
    <n v="3670"/>
    <n v="3694"/>
    <n v="3555.65"/>
    <s v="224.38K"/>
    <n v="-1.9199999999999998E-2"/>
    <x v="2"/>
    <n v="1"/>
    <n v="5"/>
  </r>
  <r>
    <d v="2022-05-26T00:00:00"/>
    <n v="3577.45"/>
    <n v="3586.45"/>
    <n v="3635.7"/>
    <n v="3465.3"/>
    <s v="279.25K"/>
    <n v="-2.5000000000000001E-3"/>
    <x v="2"/>
    <n v="1"/>
    <n v="5"/>
  </r>
  <r>
    <d v="2022-05-27T00:00:00"/>
    <n v="3613.85"/>
    <n v="3605"/>
    <n v="3649"/>
    <n v="3586"/>
    <s v="199.69K"/>
    <n v="1.0200000000000001E-2"/>
    <x v="2"/>
    <n v="1"/>
    <n v="5"/>
  </r>
  <r>
    <d v="2022-05-30T00:00:00"/>
    <n v="3796.4"/>
    <n v="3660"/>
    <n v="3824.9"/>
    <n v="3645"/>
    <s v="429.99K"/>
    <n v="5.0500000000000003E-2"/>
    <x v="2"/>
    <n v="1"/>
    <n v="5"/>
  </r>
  <r>
    <d v="2022-05-31T00:00:00"/>
    <n v="3972.8"/>
    <n v="3807.75"/>
    <n v="4049"/>
    <n v="3767.9"/>
    <s v="1.34M"/>
    <n v="4.65E-2"/>
    <x v="2"/>
    <n v="1"/>
    <n v="5"/>
  </r>
  <r>
    <d v="2022-06-01T00:00:00"/>
    <n v="3874.05"/>
    <n v="3960"/>
    <n v="4039"/>
    <n v="3812.55"/>
    <s v="620.37K"/>
    <n v="-2.4899999999999999E-2"/>
    <x v="2"/>
    <n v="1"/>
    <n v="6"/>
  </r>
  <r>
    <d v="2022-06-02T00:00:00"/>
    <n v="3856.9"/>
    <n v="3885"/>
    <n v="3927.55"/>
    <n v="3831.1"/>
    <s v="302.04K"/>
    <n v="-4.4000000000000003E-3"/>
    <x v="2"/>
    <n v="1"/>
    <n v="6"/>
  </r>
  <r>
    <d v="2022-06-03T00:00:00"/>
    <n v="3820.1"/>
    <n v="3888"/>
    <n v="3888.4"/>
    <n v="3768"/>
    <s v="349.88K"/>
    <n v="-9.4999999999999998E-3"/>
    <x v="2"/>
    <n v="1"/>
    <n v="6"/>
  </r>
  <r>
    <d v="2022-06-06T00:00:00"/>
    <n v="3734.75"/>
    <n v="3800"/>
    <n v="3800"/>
    <n v="3675"/>
    <s v="295.31K"/>
    <n v="-2.23E-2"/>
    <x v="2"/>
    <n v="1"/>
    <n v="6"/>
  </r>
  <r>
    <d v="2022-06-07T00:00:00"/>
    <n v="3726.7"/>
    <n v="3704"/>
    <n v="3778.8"/>
    <n v="3652.05"/>
    <s v="301.55K"/>
    <n v="-2.2000000000000001E-3"/>
    <x v="2"/>
    <n v="1"/>
    <n v="6"/>
  </r>
  <r>
    <d v="2022-06-08T00:00:00"/>
    <n v="3739.4"/>
    <n v="3765"/>
    <n v="3771"/>
    <n v="3700"/>
    <s v="250.67K"/>
    <n v="3.3999999999999998E-3"/>
    <x v="2"/>
    <n v="1"/>
    <n v="6"/>
  </r>
  <r>
    <d v="2022-06-09T00:00:00"/>
    <n v="3830.35"/>
    <n v="3729.9"/>
    <n v="3850"/>
    <n v="3686.4"/>
    <s v="445.08K"/>
    <n v="2.4299999999999999E-2"/>
    <x v="2"/>
    <n v="1"/>
    <n v="6"/>
  </r>
  <r>
    <d v="2022-06-10T00:00:00"/>
    <n v="3755.65"/>
    <n v="3790"/>
    <n v="3838"/>
    <n v="3735.1"/>
    <s v="235.99K"/>
    <n v="-1.95E-2"/>
    <x v="2"/>
    <n v="1"/>
    <n v="6"/>
  </r>
  <r>
    <d v="2022-06-13T00:00:00"/>
    <n v="3661.6"/>
    <n v="3700"/>
    <n v="3743.6"/>
    <n v="3644.4"/>
    <s v="252.91K"/>
    <n v="-2.5000000000000001E-2"/>
    <x v="2"/>
    <n v="1"/>
    <n v="6"/>
  </r>
  <r>
    <d v="2022-06-14T00:00:00"/>
    <n v="3648.3"/>
    <n v="3628"/>
    <n v="3712.7"/>
    <n v="3552.25"/>
    <s v="424.14K"/>
    <n v="-3.5999999999999999E-3"/>
    <x v="2"/>
    <n v="1"/>
    <n v="6"/>
  </r>
  <r>
    <d v="2022-06-15T00:00:00"/>
    <n v="3662.9"/>
    <n v="3669.9"/>
    <n v="3743.95"/>
    <n v="3645.35"/>
    <s v="274.60K"/>
    <n v="4.0000000000000001E-3"/>
    <x v="2"/>
    <n v="1"/>
    <n v="6"/>
  </r>
  <r>
    <d v="2022-06-16T00:00:00"/>
    <n v="3682.6"/>
    <n v="3736"/>
    <n v="3737.9"/>
    <n v="3562"/>
    <s v="408.56K"/>
    <n v="5.4000000000000003E-3"/>
    <x v="2"/>
    <n v="1"/>
    <n v="6"/>
  </r>
  <r>
    <d v="2022-06-17T00:00:00"/>
    <n v="3460.55"/>
    <n v="3670"/>
    <n v="3673.85"/>
    <n v="3413.7"/>
    <s v="1.10M"/>
    <n v="-6.0299999999999999E-2"/>
    <x v="2"/>
    <n v="1"/>
    <n v="6"/>
  </r>
  <r>
    <d v="2022-06-20T00:00:00"/>
    <n v="3479.1"/>
    <n v="3493.45"/>
    <n v="3536.7"/>
    <n v="3460.55"/>
    <s v="222.23K"/>
    <n v="5.4000000000000003E-3"/>
    <x v="2"/>
    <n v="1"/>
    <n v="6"/>
  </r>
  <r>
    <d v="2022-06-21T00:00:00"/>
    <n v="3519.55"/>
    <n v="3520"/>
    <n v="3545"/>
    <n v="3450"/>
    <s v="340.69K"/>
    <n v="1.1599999999999999E-2"/>
    <x v="2"/>
    <n v="1"/>
    <n v="6"/>
  </r>
  <r>
    <d v="2022-06-22T00:00:00"/>
    <n v="3486.35"/>
    <n v="3524.45"/>
    <n v="3524.45"/>
    <n v="3466.05"/>
    <s v="197.30K"/>
    <n v="-9.4000000000000004E-3"/>
    <x v="2"/>
    <n v="1"/>
    <n v="6"/>
  </r>
  <r>
    <d v="2022-06-23T00:00:00"/>
    <n v="3440.45"/>
    <n v="3487.75"/>
    <n v="3502.65"/>
    <n v="3401"/>
    <s v="355.86K"/>
    <n v="-1.32E-2"/>
    <x v="2"/>
    <n v="1"/>
    <n v="6"/>
  </r>
  <r>
    <d v="2022-06-24T00:00:00"/>
    <n v="3412"/>
    <n v="3489.95"/>
    <n v="3489.95"/>
    <n v="3390.1"/>
    <s v="454.59K"/>
    <n v="-8.3000000000000001E-3"/>
    <x v="2"/>
    <n v="1"/>
    <n v="6"/>
  </r>
  <r>
    <d v="2022-06-27T00:00:00"/>
    <n v="3408.6"/>
    <n v="3460"/>
    <n v="3460"/>
    <n v="3400"/>
    <s v="276.84K"/>
    <n v="-1E-3"/>
    <x v="2"/>
    <n v="1"/>
    <n v="6"/>
  </r>
  <r>
    <d v="2022-06-28T00:00:00"/>
    <n v="3479.95"/>
    <n v="3407.55"/>
    <n v="3497"/>
    <n v="3374"/>
    <s v="440.89K"/>
    <n v="2.0899999999999998E-2"/>
    <x v="2"/>
    <n v="1"/>
    <n v="6"/>
  </r>
  <r>
    <d v="2022-06-29T00:00:00"/>
    <n v="3445.25"/>
    <n v="3450.45"/>
    <n v="3527"/>
    <n v="3425"/>
    <s v="405.63K"/>
    <n v="-0.01"/>
    <x v="2"/>
    <n v="1"/>
    <n v="6"/>
  </r>
  <r>
    <d v="2022-06-30T00:00:00"/>
    <n v="3406.1"/>
    <n v="3445.2"/>
    <n v="3469"/>
    <n v="3370"/>
    <s v="384.40K"/>
    <n v="-1.14E-2"/>
    <x v="2"/>
    <n v="1"/>
    <n v="6"/>
  </r>
  <r>
    <d v="2022-07-01T00:00:00"/>
    <n v="3388.75"/>
    <n v="3394.45"/>
    <n v="3406.65"/>
    <n v="3331.1"/>
    <s v="311.23K"/>
    <n v="-5.1000000000000004E-3"/>
    <x v="2"/>
    <n v="2"/>
    <n v="7"/>
  </r>
  <r>
    <d v="2022-07-04T00:00:00"/>
    <n v="3495.5"/>
    <n v="3530"/>
    <n v="3555"/>
    <n v="3460"/>
    <s v="766.62K"/>
    <n v="3.15E-2"/>
    <x v="2"/>
    <n v="2"/>
    <n v="7"/>
  </r>
  <r>
    <d v="2022-07-05T00:00:00"/>
    <n v="3639.05"/>
    <n v="3506"/>
    <n v="3657.65"/>
    <n v="3506"/>
    <s v="859.25K"/>
    <n v="4.1099999999999998E-2"/>
    <x v="2"/>
    <n v="2"/>
    <n v="7"/>
  </r>
  <r>
    <d v="2022-07-06T00:00:00"/>
    <n v="3792"/>
    <n v="3650"/>
    <n v="3830"/>
    <n v="3650"/>
    <s v="751.85K"/>
    <n v="4.2000000000000003E-2"/>
    <x v="2"/>
    <n v="2"/>
    <n v="7"/>
  </r>
  <r>
    <d v="2022-07-07T00:00:00"/>
    <n v="3850.95"/>
    <n v="3870"/>
    <n v="3935.6"/>
    <n v="3830"/>
    <s v="463.19K"/>
    <n v="1.55E-2"/>
    <x v="2"/>
    <n v="2"/>
    <n v="7"/>
  </r>
  <r>
    <d v="2022-07-08T00:00:00"/>
    <n v="3941.7"/>
    <n v="3868.4"/>
    <n v="3974"/>
    <n v="3851.1"/>
    <s v="568.79K"/>
    <n v="2.3599999999999999E-2"/>
    <x v="2"/>
    <n v="2"/>
    <n v="7"/>
  </r>
  <r>
    <d v="2022-07-11T00:00:00"/>
    <n v="3986.85"/>
    <n v="4000"/>
    <n v="4087.85"/>
    <n v="3892"/>
    <s v="2.33M"/>
    <n v="1.15E-2"/>
    <x v="2"/>
    <n v="2"/>
    <n v="7"/>
  </r>
  <r>
    <d v="2022-07-12T00:00:00"/>
    <n v="3878.4"/>
    <n v="3986.5"/>
    <n v="3986.85"/>
    <n v="3855"/>
    <s v="569.13K"/>
    <n v="-2.7199999999999998E-2"/>
    <x v="2"/>
    <n v="2"/>
    <n v="7"/>
  </r>
  <r>
    <d v="2022-07-13T00:00:00"/>
    <n v="3883.35"/>
    <n v="3900"/>
    <n v="3944"/>
    <n v="3870"/>
    <s v="423.70K"/>
    <n v="1.2999999999999999E-3"/>
    <x v="2"/>
    <n v="2"/>
    <n v="7"/>
  </r>
  <r>
    <d v="2022-07-14T00:00:00"/>
    <n v="3924.85"/>
    <n v="3913.9"/>
    <n v="3944"/>
    <n v="3884"/>
    <s v="372.53K"/>
    <n v="1.0699999999999999E-2"/>
    <x v="2"/>
    <n v="2"/>
    <n v="7"/>
  </r>
  <r>
    <d v="2022-07-15T00:00:00"/>
    <n v="3926.8"/>
    <n v="3925"/>
    <n v="3939.9"/>
    <n v="3888"/>
    <s v="194.37K"/>
    <n v="5.0000000000000001E-4"/>
    <x v="2"/>
    <n v="2"/>
    <n v="7"/>
  </r>
  <r>
    <d v="2022-07-18T00:00:00"/>
    <n v="3945.75"/>
    <n v="3951"/>
    <n v="3968"/>
    <n v="3920"/>
    <s v="287.48K"/>
    <n v="4.7999999999999996E-3"/>
    <x v="2"/>
    <n v="2"/>
    <n v="7"/>
  </r>
  <r>
    <d v="2022-07-19T00:00:00"/>
    <n v="3931.3"/>
    <n v="3911"/>
    <n v="3942"/>
    <n v="3911"/>
    <s v="169.00K"/>
    <n v="-3.7000000000000002E-3"/>
    <x v="2"/>
    <n v="2"/>
    <n v="7"/>
  </r>
  <r>
    <d v="2022-07-20T00:00:00"/>
    <n v="3915.45"/>
    <n v="3960"/>
    <n v="3965"/>
    <n v="3902"/>
    <s v="251.62K"/>
    <n v="-4.0000000000000001E-3"/>
    <x v="2"/>
    <n v="2"/>
    <n v="7"/>
  </r>
  <r>
    <d v="2022-07-21T00:00:00"/>
    <n v="4035.35"/>
    <n v="3930"/>
    <n v="4059"/>
    <n v="3920.05"/>
    <s v="587.93K"/>
    <n v="3.0599999999999999E-2"/>
    <x v="2"/>
    <n v="2"/>
    <n v="7"/>
  </r>
  <r>
    <d v="2022-07-22T00:00:00"/>
    <n v="3963.4"/>
    <n v="4070"/>
    <n v="4077.9"/>
    <n v="3950"/>
    <s v="457.90K"/>
    <n v="-1.78E-2"/>
    <x v="2"/>
    <n v="2"/>
    <n v="7"/>
  </r>
  <r>
    <d v="2022-07-25T00:00:00"/>
    <n v="4040.05"/>
    <n v="3973"/>
    <n v="4050"/>
    <n v="3935"/>
    <s v="444.45K"/>
    <n v="1.9300000000000001E-2"/>
    <x v="2"/>
    <n v="2"/>
    <n v="7"/>
  </r>
  <r>
    <d v="2022-07-26T00:00:00"/>
    <n v="3932.4"/>
    <n v="4038"/>
    <n v="4038"/>
    <n v="3909"/>
    <s v="430.99K"/>
    <n v="-2.6599999999999999E-2"/>
    <x v="2"/>
    <n v="2"/>
    <n v="7"/>
  </r>
  <r>
    <d v="2022-07-27T00:00:00"/>
    <n v="4000.95"/>
    <n v="3940"/>
    <n v="4010"/>
    <n v="3920"/>
    <s v="245.97K"/>
    <n v="1.7399999999999999E-2"/>
    <x v="2"/>
    <n v="2"/>
    <n v="7"/>
  </r>
  <r>
    <d v="2022-07-28T00:00:00"/>
    <n v="4147.8"/>
    <n v="4020"/>
    <n v="4164"/>
    <n v="4001"/>
    <s v="725.28K"/>
    <n v="3.6700000000000003E-2"/>
    <x v="2"/>
    <n v="2"/>
    <n v="7"/>
  </r>
  <r>
    <d v="2022-07-29T00:00:00"/>
    <n v="4243.8500000000004"/>
    <n v="4215"/>
    <n v="4250"/>
    <n v="4183.45"/>
    <s v="514.75K"/>
    <n v="2.3199999999999998E-2"/>
    <x v="2"/>
    <n v="2"/>
    <n v="7"/>
  </r>
  <r>
    <d v="2022-08-01T00:00:00"/>
    <n v="4307.6499999999996"/>
    <n v="4251.95"/>
    <n v="4317"/>
    <n v="4246.5"/>
    <s v="399.73K"/>
    <n v="1.4999999999999999E-2"/>
    <x v="2"/>
    <n v="2"/>
    <n v="8"/>
  </r>
  <r>
    <d v="2022-08-02T00:00:00"/>
    <n v="4259.1000000000004"/>
    <n v="4306"/>
    <n v="4306"/>
    <n v="4235.05"/>
    <s v="311.28K"/>
    <n v="-1.1299999999999999E-2"/>
    <x v="2"/>
    <n v="2"/>
    <n v="8"/>
  </r>
  <r>
    <d v="2022-08-03T00:00:00"/>
    <n v="4253.1499999999996"/>
    <n v="4251"/>
    <n v="4298"/>
    <n v="4180.1000000000004"/>
    <s v="289.00K"/>
    <n v="-1.4E-3"/>
    <x v="2"/>
    <n v="2"/>
    <n v="8"/>
  </r>
  <r>
    <d v="2022-08-04T00:00:00"/>
    <n v="4239.1000000000004"/>
    <n v="4268"/>
    <n v="4314.8999999999996"/>
    <n v="4175"/>
    <s v="593.27K"/>
    <n v="-3.3E-3"/>
    <x v="2"/>
    <n v="2"/>
    <n v="8"/>
  </r>
  <r>
    <d v="2022-08-05T00:00:00"/>
    <n v="4232.25"/>
    <n v="4238"/>
    <n v="4295"/>
    <n v="4187.1499999999996"/>
    <s v="528.88K"/>
    <n v="-1.6000000000000001E-3"/>
    <x v="2"/>
    <n v="2"/>
    <n v="8"/>
  </r>
  <r>
    <d v="2022-08-08T00:00:00"/>
    <n v="4250.05"/>
    <n v="4237.3999999999996"/>
    <n v="4267.3999999999996"/>
    <n v="4233"/>
    <s v="200.01K"/>
    <n v="4.1999999999999997E-3"/>
    <x v="2"/>
    <n v="2"/>
    <n v="8"/>
  </r>
  <r>
    <d v="2022-08-10T00:00:00"/>
    <n v="4250.7"/>
    <n v="4250.05"/>
    <n v="4278.95"/>
    <n v="4219.8500000000004"/>
    <s v="238.24K"/>
    <n v="2.0000000000000001E-4"/>
    <x v="2"/>
    <n v="2"/>
    <n v="8"/>
  </r>
  <r>
    <d v="2022-08-11T00:00:00"/>
    <n v="4274.8500000000004"/>
    <n v="4280"/>
    <n v="4295"/>
    <n v="4260"/>
    <s v="246.09K"/>
    <n v="5.7000000000000002E-3"/>
    <x v="2"/>
    <n v="2"/>
    <n v="8"/>
  </r>
  <r>
    <d v="2022-08-12T00:00:00"/>
    <n v="4336.7"/>
    <n v="4274.8500000000004"/>
    <n v="4387"/>
    <n v="4255"/>
    <s v="448.30K"/>
    <n v="1.4500000000000001E-2"/>
    <x v="2"/>
    <n v="2"/>
    <n v="8"/>
  </r>
  <r>
    <d v="2022-08-16T00:00:00"/>
    <n v="4402.1000000000004"/>
    <n v="4355"/>
    <n v="4412"/>
    <n v="4350.55"/>
    <s v="290.41K"/>
    <n v="1.5100000000000001E-2"/>
    <x v="2"/>
    <n v="2"/>
    <n v="8"/>
  </r>
  <r>
    <d v="2022-08-17T00:00:00"/>
    <n v="4398.6499999999996"/>
    <n v="4422"/>
    <n v="4438"/>
    <n v="4370"/>
    <s v="316.83K"/>
    <n v="-8.0000000000000004E-4"/>
    <x v="2"/>
    <n v="2"/>
    <n v="8"/>
  </r>
  <r>
    <d v="2022-08-18T00:00:00"/>
    <n v="4460.95"/>
    <n v="4425"/>
    <n v="4493.1000000000004"/>
    <n v="4401.05"/>
    <s v="468.55K"/>
    <n v="1.4200000000000001E-2"/>
    <x v="2"/>
    <n v="2"/>
    <n v="8"/>
  </r>
  <r>
    <d v="2022-08-19T00:00:00"/>
    <n v="4382"/>
    <n v="4487"/>
    <n v="4523.5"/>
    <n v="4352.75"/>
    <s v="437.76K"/>
    <n v="-1.77E-2"/>
    <x v="2"/>
    <n v="2"/>
    <n v="8"/>
  </r>
  <r>
    <d v="2022-08-22T00:00:00"/>
    <n v="4250.75"/>
    <n v="4371"/>
    <n v="4371"/>
    <n v="4231"/>
    <s v="330.92K"/>
    <n v="-0.03"/>
    <x v="2"/>
    <n v="2"/>
    <n v="8"/>
  </r>
  <r>
    <d v="2022-08-23T00:00:00"/>
    <n v="4256.95"/>
    <n v="4195"/>
    <n v="4301"/>
    <n v="4170.55"/>
    <s v="285.84K"/>
    <n v="1.5E-3"/>
    <x v="2"/>
    <n v="2"/>
    <n v="8"/>
  </r>
  <r>
    <d v="2022-08-24T00:00:00"/>
    <n v="4304.25"/>
    <n v="4269"/>
    <n v="4356"/>
    <n v="4266"/>
    <s v="270.84K"/>
    <n v="1.11E-2"/>
    <x v="2"/>
    <n v="2"/>
    <n v="8"/>
  </r>
  <r>
    <d v="2022-08-25T00:00:00"/>
    <n v="4341.25"/>
    <n v="4339.8999999999996"/>
    <n v="4394"/>
    <n v="4312.05"/>
    <s v="246.54K"/>
    <n v="8.6E-3"/>
    <x v="2"/>
    <n v="2"/>
    <n v="8"/>
  </r>
  <r>
    <d v="2022-08-26T00:00:00"/>
    <n v="4409.6499999999996"/>
    <n v="4384"/>
    <n v="4414.5"/>
    <n v="4370.05"/>
    <s v="202.95K"/>
    <n v="1.5800000000000002E-2"/>
    <x v="2"/>
    <n v="2"/>
    <n v="8"/>
  </r>
  <r>
    <d v="2022-08-29T00:00:00"/>
    <n v="4431.55"/>
    <n v="4270"/>
    <n v="4450"/>
    <n v="4270"/>
    <s v="352.55K"/>
    <n v="5.0000000000000001E-3"/>
    <x v="2"/>
    <n v="2"/>
    <n v="8"/>
  </r>
  <r>
    <d v="2022-08-30T00:00:00"/>
    <n v="4531.3500000000004"/>
    <n v="4475"/>
    <n v="4550"/>
    <n v="4460.3"/>
    <s v="426.17K"/>
    <n v="2.2499999999999999E-2"/>
    <x v="2"/>
    <n v="2"/>
    <n v="8"/>
  </r>
  <r>
    <d v="2022-09-01T00:00:00"/>
    <n v="4565.8500000000004"/>
    <n v="4494"/>
    <n v="4599.3999999999996"/>
    <n v="4462"/>
    <s v="431.84K"/>
    <n v="7.6E-3"/>
    <x v="2"/>
    <n v="2"/>
    <n v="9"/>
  </r>
  <r>
    <d v="2022-09-02T00:00:00"/>
    <n v="4576.8"/>
    <n v="4572.8999999999996"/>
    <n v="4609"/>
    <n v="4511"/>
    <s v="268.70K"/>
    <n v="2.3999999999999998E-3"/>
    <x v="2"/>
    <n v="2"/>
    <n v="9"/>
  </r>
  <r>
    <d v="2022-09-05T00:00:00"/>
    <n v="4577.45"/>
    <n v="4584.8"/>
    <n v="4606.1499999999996"/>
    <n v="4550"/>
    <s v="216.54K"/>
    <n v="1E-4"/>
    <x v="2"/>
    <n v="2"/>
    <n v="9"/>
  </r>
  <r>
    <d v="2022-09-06T00:00:00"/>
    <n v="4557.1000000000004"/>
    <n v="4599"/>
    <n v="4603.95"/>
    <n v="4531"/>
    <s v="258.98K"/>
    <n v="-4.4000000000000003E-3"/>
    <x v="2"/>
    <n v="2"/>
    <n v="9"/>
  </r>
  <r>
    <d v="2022-09-07T00:00:00"/>
    <n v="4426.3"/>
    <n v="4532"/>
    <n v="4548"/>
    <n v="4402.3"/>
    <s v="322.46K"/>
    <n v="-2.87E-2"/>
    <x v="2"/>
    <n v="2"/>
    <n v="9"/>
  </r>
  <r>
    <d v="2022-09-08T00:00:00"/>
    <n v="4406.05"/>
    <n v="4499"/>
    <n v="4499"/>
    <n v="4390"/>
    <s v="214.78K"/>
    <n v="-4.5999999999999999E-3"/>
    <x v="2"/>
    <n v="2"/>
    <n v="9"/>
  </r>
  <r>
    <d v="2022-09-09T00:00:00"/>
    <n v="4386.1000000000004"/>
    <n v="4448.55"/>
    <n v="4448.55"/>
    <n v="4370"/>
    <s v="210.60K"/>
    <n v="-4.4999999999999997E-3"/>
    <x v="2"/>
    <n v="2"/>
    <n v="9"/>
  </r>
  <r>
    <d v="2022-09-12T00:00:00"/>
    <n v="4443.95"/>
    <n v="4440"/>
    <n v="4475"/>
    <n v="4400"/>
    <s v="252.38K"/>
    <n v="1.32E-2"/>
    <x v="2"/>
    <n v="2"/>
    <n v="9"/>
  </r>
  <r>
    <d v="2022-09-13T00:00:00"/>
    <n v="4493.25"/>
    <n v="4470"/>
    <n v="4510"/>
    <n v="4447.8"/>
    <s v="293.08K"/>
    <n v="1.11E-2"/>
    <x v="2"/>
    <n v="2"/>
    <n v="9"/>
  </r>
  <r>
    <d v="2022-09-14T00:00:00"/>
    <n v="4478.25"/>
    <n v="4450"/>
    <n v="4518"/>
    <n v="4426.1499999999996"/>
    <s v="268.51K"/>
    <n v="-3.3E-3"/>
    <x v="2"/>
    <n v="2"/>
    <n v="9"/>
  </r>
  <r>
    <d v="2022-09-15T00:00:00"/>
    <n v="4525.8500000000004"/>
    <n v="4499"/>
    <n v="4539"/>
    <n v="4475"/>
    <s v="221.68K"/>
    <n v="1.06E-2"/>
    <x v="2"/>
    <n v="2"/>
    <n v="9"/>
  </r>
  <r>
    <d v="2022-09-16T00:00:00"/>
    <n v="4327.55"/>
    <n v="4528.8999999999996"/>
    <n v="4550"/>
    <n v="4285.3999999999996"/>
    <s v="584.16K"/>
    <n v="-4.3799999999999999E-2"/>
    <x v="2"/>
    <n v="2"/>
    <n v="9"/>
  </r>
  <r>
    <d v="2022-09-19T00:00:00"/>
    <n v="4348"/>
    <n v="4340"/>
    <n v="4417.2"/>
    <n v="4271.25"/>
    <s v="235.76K"/>
    <n v="4.7000000000000002E-3"/>
    <x v="2"/>
    <n v="2"/>
    <n v="9"/>
  </r>
  <r>
    <d v="2022-09-20T00:00:00"/>
    <n v="4349.3"/>
    <n v="4401.1000000000004"/>
    <n v="4412"/>
    <n v="4330"/>
    <s v="203.66K"/>
    <n v="2.9999999999999997E-4"/>
    <x v="2"/>
    <n v="2"/>
    <n v="9"/>
  </r>
  <r>
    <d v="2022-09-21T00:00:00"/>
    <n v="4308.7"/>
    <n v="4349"/>
    <n v="4394.95"/>
    <n v="4292.05"/>
    <s v="223.83K"/>
    <n v="-9.2999999999999992E-3"/>
    <x v="2"/>
    <n v="2"/>
    <n v="9"/>
  </r>
  <r>
    <d v="2022-09-22T00:00:00"/>
    <n v="4431.7"/>
    <n v="4288.75"/>
    <n v="4440.6000000000004"/>
    <n v="4257"/>
    <s v="465.23K"/>
    <n v="2.8500000000000001E-2"/>
    <x v="2"/>
    <n v="2"/>
    <n v="9"/>
  </r>
  <r>
    <d v="2022-09-23T00:00:00"/>
    <n v="4367"/>
    <n v="4450"/>
    <n v="4469.8999999999996"/>
    <n v="4351"/>
    <s v="241.65K"/>
    <n v="-1.46E-2"/>
    <x v="2"/>
    <n v="2"/>
    <n v="9"/>
  </r>
  <r>
    <d v="2022-09-26T00:00:00"/>
    <n v="4375.3"/>
    <n v="4323"/>
    <n v="4448"/>
    <n v="4261"/>
    <s v="403.08K"/>
    <n v="1.9E-3"/>
    <x v="2"/>
    <n v="2"/>
    <n v="9"/>
  </r>
  <r>
    <d v="2022-09-27T00:00:00"/>
    <n v="4283.2"/>
    <n v="4375.3"/>
    <n v="4417.5"/>
    <n v="4270"/>
    <s v="237.46K"/>
    <n v="-2.1000000000000001E-2"/>
    <x v="2"/>
    <n v="2"/>
    <n v="9"/>
  </r>
  <r>
    <d v="2022-09-28T00:00:00"/>
    <n v="4318.1499999999996"/>
    <n v="4249"/>
    <n v="4367.95"/>
    <n v="4240"/>
    <s v="352.26K"/>
    <n v="8.2000000000000007E-3"/>
    <x v="2"/>
    <n v="2"/>
    <n v="9"/>
  </r>
  <r>
    <d v="2022-09-29T00:00:00"/>
    <n v="4240.55"/>
    <n v="4365"/>
    <n v="4416.95"/>
    <n v="4220.1000000000004"/>
    <s v="518.36K"/>
    <n v="-1.7999999999999999E-2"/>
    <x v="2"/>
    <n v="2"/>
    <n v="9"/>
  </r>
  <r>
    <d v="2022-09-30T00:00:00"/>
    <n v="4386.55"/>
    <n v="4270"/>
    <n v="4400"/>
    <n v="4251.2"/>
    <s v="352.70K"/>
    <n v="3.44E-2"/>
    <x v="2"/>
    <n v="2"/>
    <n v="9"/>
  </r>
  <r>
    <d v="2022-10-03T00:00:00"/>
    <n v="4443.75"/>
    <n v="4399"/>
    <n v="4465.8500000000004"/>
    <n v="4389.8"/>
    <s v="296.10K"/>
    <n v="1.2999999999999999E-2"/>
    <x v="2"/>
    <n v="3"/>
    <n v="10"/>
  </r>
  <r>
    <d v="2022-10-04T00:00:00"/>
    <n v="4479.55"/>
    <n v="4600"/>
    <n v="4600"/>
    <n v="4460.55"/>
    <s v="605.86K"/>
    <n v="8.0999999999999996E-3"/>
    <x v="2"/>
    <n v="3"/>
    <n v="10"/>
  </r>
  <r>
    <d v="2022-10-06T00:00:00"/>
    <n v="4413.8500000000004"/>
    <n v="4540"/>
    <n v="4540"/>
    <n v="4400"/>
    <s v="326.25K"/>
    <n v="-1.47E-2"/>
    <x v="2"/>
    <n v="3"/>
    <n v="10"/>
  </r>
  <r>
    <d v="2022-10-07T00:00:00"/>
    <n v="4471.45"/>
    <n v="4435.95"/>
    <n v="4482"/>
    <n v="4411.25"/>
    <s v="213.20K"/>
    <n v="1.2999999999999999E-2"/>
    <x v="2"/>
    <n v="3"/>
    <n v="10"/>
  </r>
  <r>
    <d v="2022-10-10T00:00:00"/>
    <n v="4471.75"/>
    <n v="4440.1000000000004"/>
    <n v="4495"/>
    <n v="4406.05"/>
    <s v="183.91K"/>
    <n v="1E-4"/>
    <x v="2"/>
    <n v="3"/>
    <n v="10"/>
  </r>
  <r>
    <d v="2022-10-11T00:00:00"/>
    <n v="4381.1000000000004"/>
    <n v="4485"/>
    <n v="4486"/>
    <n v="4358.5"/>
    <s v="268.07K"/>
    <n v="-2.0299999999999999E-2"/>
    <x v="2"/>
    <n v="3"/>
    <n v="10"/>
  </r>
  <r>
    <d v="2022-10-12T00:00:00"/>
    <n v="4352.8999999999996"/>
    <n v="4398.75"/>
    <n v="4429"/>
    <n v="4330"/>
    <s v="207.34K"/>
    <n v="-6.4000000000000003E-3"/>
    <x v="2"/>
    <n v="3"/>
    <n v="10"/>
  </r>
  <r>
    <d v="2022-10-13T00:00:00"/>
    <n v="4309.95"/>
    <n v="4366"/>
    <n v="4366"/>
    <n v="4300.1000000000004"/>
    <s v="171.14K"/>
    <n v="-9.9000000000000008E-3"/>
    <x v="2"/>
    <n v="3"/>
    <n v="10"/>
  </r>
  <r>
    <d v="2022-10-14T00:00:00"/>
    <n v="4306.1499999999996"/>
    <n v="4398.5"/>
    <n v="4399"/>
    <n v="4291.1499999999996"/>
    <s v="188.04K"/>
    <n v="-8.9999999999999998E-4"/>
    <x v="2"/>
    <n v="3"/>
    <n v="10"/>
  </r>
  <r>
    <d v="2022-10-17T00:00:00"/>
    <n v="4153.45"/>
    <n v="4283.95"/>
    <n v="4307.95"/>
    <n v="4140.05"/>
    <s v="950.22K"/>
    <n v="-3.5499999999999997E-2"/>
    <x v="2"/>
    <n v="3"/>
    <n v="10"/>
  </r>
  <r>
    <d v="2022-10-18T00:00:00"/>
    <n v="4139.3500000000004"/>
    <n v="4188"/>
    <n v="4189"/>
    <n v="4110"/>
    <s v="346.22K"/>
    <n v="-3.3999999999999998E-3"/>
    <x v="2"/>
    <n v="3"/>
    <n v="10"/>
  </r>
  <r>
    <d v="2022-10-19T00:00:00"/>
    <n v="4167.8500000000004"/>
    <n v="4168"/>
    <n v="4194.1000000000004"/>
    <n v="4139.3500000000004"/>
    <s v="266.99K"/>
    <n v="6.8999999999999999E-3"/>
    <x v="2"/>
    <n v="3"/>
    <n v="10"/>
  </r>
  <r>
    <d v="2022-10-20T00:00:00"/>
    <n v="4226.25"/>
    <n v="4155"/>
    <n v="4233"/>
    <n v="4140.45"/>
    <s v="292.76K"/>
    <n v="1.4E-2"/>
    <x v="2"/>
    <n v="3"/>
    <n v="10"/>
  </r>
  <r>
    <d v="2022-10-21T00:00:00"/>
    <n v="4215.55"/>
    <n v="4244"/>
    <n v="4249.75"/>
    <n v="4190.5"/>
    <s v="184.55K"/>
    <n v="-2.5000000000000001E-3"/>
    <x v="2"/>
    <n v="3"/>
    <n v="10"/>
  </r>
  <r>
    <d v="2022-10-24T00:00:00"/>
    <n v="4229.95"/>
    <n v="4271.8999999999996"/>
    <n v="4273"/>
    <n v="4210"/>
    <s v="71.40K"/>
    <n v="3.3999999999999998E-3"/>
    <x v="2"/>
    <n v="3"/>
    <n v="10"/>
  </r>
  <r>
    <d v="2022-10-25T00:00:00"/>
    <n v="4235.6000000000004"/>
    <n v="4221"/>
    <n v="4249.5"/>
    <n v="4165"/>
    <s v="160.11K"/>
    <n v="1.2999999999999999E-3"/>
    <x v="2"/>
    <n v="3"/>
    <n v="10"/>
  </r>
  <r>
    <d v="2022-10-27T00:00:00"/>
    <n v="4271.3999999999996"/>
    <n v="4248"/>
    <n v="4300"/>
    <n v="4217.3"/>
    <s v="301.44K"/>
    <n v="8.5000000000000006E-3"/>
    <x v="2"/>
    <n v="3"/>
    <n v="10"/>
  </r>
  <r>
    <d v="2022-10-28T00:00:00"/>
    <n v="4307.3500000000004"/>
    <n v="4281.3999999999996"/>
    <n v="4320"/>
    <n v="4251.55"/>
    <s v="120.31K"/>
    <n v="8.3999999999999995E-3"/>
    <x v="2"/>
    <n v="3"/>
    <n v="10"/>
  </r>
  <r>
    <d v="2022-10-31T00:00:00"/>
    <n v="4320.8999999999996"/>
    <n v="4316.5"/>
    <n v="4348"/>
    <n v="4290"/>
    <s v="186.41K"/>
    <n v="3.0999999999999999E-3"/>
    <x v="2"/>
    <n v="3"/>
    <n v="10"/>
  </r>
  <r>
    <d v="2022-11-01T00:00:00"/>
    <n v="4247.5"/>
    <n v="4329"/>
    <n v="4347.1000000000004"/>
    <n v="4232.55"/>
    <s v="249.23K"/>
    <n v="-1.7000000000000001E-2"/>
    <x v="2"/>
    <n v="3"/>
    <n v="11"/>
  </r>
  <r>
    <d v="2022-11-02T00:00:00"/>
    <n v="4193.6499999999996"/>
    <n v="4264.8"/>
    <n v="4268"/>
    <n v="4177"/>
    <s v="254.61K"/>
    <n v="-1.2699999999999999E-2"/>
    <x v="2"/>
    <n v="3"/>
    <n v="11"/>
  </r>
  <r>
    <d v="2022-11-03T00:00:00"/>
    <n v="4194.2"/>
    <n v="4180"/>
    <n v="4230"/>
    <n v="4165"/>
    <s v="153.18K"/>
    <n v="1E-4"/>
    <x v="2"/>
    <n v="3"/>
    <n v="11"/>
  </r>
  <r>
    <d v="2022-11-04T00:00:00"/>
    <n v="4167.3500000000004"/>
    <n v="4200"/>
    <n v="4207.95"/>
    <n v="4150"/>
    <s v="532.07K"/>
    <n v="-6.4000000000000003E-3"/>
    <x v="2"/>
    <n v="3"/>
    <n v="11"/>
  </r>
  <r>
    <d v="2022-11-07T00:00:00"/>
    <n v="4173.5"/>
    <n v="4188.8"/>
    <n v="4214.1000000000004"/>
    <n v="4140.5"/>
    <s v="395.44K"/>
    <n v="1.5E-3"/>
    <x v="2"/>
    <n v="3"/>
    <n v="11"/>
  </r>
  <r>
    <d v="2022-11-09T00:00:00"/>
    <n v="4158.7"/>
    <n v="4199"/>
    <n v="4199"/>
    <n v="4118"/>
    <s v="361.59K"/>
    <n v="-3.5000000000000001E-3"/>
    <x v="2"/>
    <n v="3"/>
    <n v="11"/>
  </r>
  <r>
    <d v="2022-11-10T00:00:00"/>
    <n v="4138.8500000000004"/>
    <n v="4158.7"/>
    <n v="4175"/>
    <n v="4104.3999999999996"/>
    <s v="254.48K"/>
    <n v="-4.7999999999999996E-3"/>
    <x v="2"/>
    <n v="3"/>
    <n v="11"/>
  </r>
  <r>
    <d v="2022-11-11T00:00:00"/>
    <n v="4128.3500000000004"/>
    <n v="4159.55"/>
    <n v="4169"/>
    <n v="4117.05"/>
    <s v="214.39K"/>
    <n v="-2.5000000000000001E-3"/>
    <x v="2"/>
    <n v="3"/>
    <n v="11"/>
  </r>
  <r>
    <d v="2022-11-14T00:00:00"/>
    <n v="4098.3500000000004"/>
    <n v="4144.8"/>
    <n v="4144.8"/>
    <n v="4081.8"/>
    <s v="300.51K"/>
    <n v="-7.3000000000000001E-3"/>
    <x v="2"/>
    <n v="3"/>
    <n v="11"/>
  </r>
  <r>
    <d v="2022-11-15T00:00:00"/>
    <n v="4053.8"/>
    <n v="4082"/>
    <n v="4109.8"/>
    <n v="4046"/>
    <s v="496.89K"/>
    <n v="-1.09E-2"/>
    <x v="2"/>
    <n v="3"/>
    <n v="11"/>
  </r>
  <r>
    <d v="2022-11-16T00:00:00"/>
    <n v="4011.7"/>
    <n v="4053.8"/>
    <n v="4059.95"/>
    <n v="4003.15"/>
    <s v="290.47K"/>
    <n v="-1.04E-2"/>
    <x v="2"/>
    <n v="3"/>
    <n v="11"/>
  </r>
  <r>
    <d v="2022-11-17T00:00:00"/>
    <n v="3949.2"/>
    <n v="4000"/>
    <n v="4009.95"/>
    <n v="3940"/>
    <s v="365.37K"/>
    <n v="-1.5599999999999999E-2"/>
    <x v="2"/>
    <n v="3"/>
    <n v="11"/>
  </r>
  <r>
    <d v="2022-11-18T00:00:00"/>
    <n v="3910.6"/>
    <n v="3968.9"/>
    <n v="4020"/>
    <n v="3890.05"/>
    <s v="402.30K"/>
    <n v="-9.7999999999999997E-3"/>
    <x v="2"/>
    <n v="3"/>
    <n v="11"/>
  </r>
  <r>
    <d v="2022-11-21T00:00:00"/>
    <n v="3882.3"/>
    <n v="3923"/>
    <n v="3936"/>
    <n v="3871.05"/>
    <s v="204.06K"/>
    <n v="-7.1999999999999998E-3"/>
    <x v="2"/>
    <n v="3"/>
    <n v="11"/>
  </r>
  <r>
    <d v="2022-11-22T00:00:00"/>
    <n v="3955.2"/>
    <n v="3884.95"/>
    <n v="4026"/>
    <n v="3883"/>
    <s v="504.84K"/>
    <n v="1.8800000000000001E-2"/>
    <x v="2"/>
    <n v="3"/>
    <n v="11"/>
  </r>
  <r>
    <d v="2022-11-23T00:00:00"/>
    <n v="3954.75"/>
    <n v="3975"/>
    <n v="3998.6"/>
    <n v="3934.25"/>
    <s v="182.63K"/>
    <n v="-1E-4"/>
    <x v="2"/>
    <n v="3"/>
    <n v="11"/>
  </r>
  <r>
    <d v="2022-11-24T00:00:00"/>
    <n v="3968.05"/>
    <n v="3974.35"/>
    <n v="3994.75"/>
    <n v="3951.1"/>
    <s v="155.80K"/>
    <n v="3.3999999999999998E-3"/>
    <x v="2"/>
    <n v="3"/>
    <n v="11"/>
  </r>
  <r>
    <d v="2022-11-25T00:00:00"/>
    <n v="3904.45"/>
    <n v="3969"/>
    <n v="3977.05"/>
    <n v="3901"/>
    <s v="291.85K"/>
    <n v="-1.6E-2"/>
    <x v="2"/>
    <n v="3"/>
    <n v="11"/>
  </r>
  <r>
    <d v="2022-11-28T00:00:00"/>
    <n v="3907.7"/>
    <n v="3913.4"/>
    <n v="3934"/>
    <n v="3890"/>
    <s v="228.98K"/>
    <n v="8.0000000000000004E-4"/>
    <x v="2"/>
    <n v="3"/>
    <n v="11"/>
  </r>
  <r>
    <d v="2022-11-29T00:00:00"/>
    <n v="3965.1"/>
    <n v="3907"/>
    <n v="3977.55"/>
    <n v="3898"/>
    <s v="344.37K"/>
    <n v="1.47E-2"/>
    <x v="2"/>
    <n v="3"/>
    <n v="11"/>
  </r>
  <r>
    <d v="2022-11-30T00:00:00"/>
    <n v="4025.5"/>
    <n v="3975"/>
    <n v="4040"/>
    <n v="3955"/>
    <s v="604.67K"/>
    <n v="1.52E-2"/>
    <x v="2"/>
    <n v="3"/>
    <n v="11"/>
  </r>
  <r>
    <d v="2022-12-01T00:00:00"/>
    <n v="4044.15"/>
    <n v="4041"/>
    <n v="4064"/>
    <n v="4032.1"/>
    <s v="255.28K"/>
    <n v="4.5999999999999999E-3"/>
    <x v="2"/>
    <n v="3"/>
    <n v="12"/>
  </r>
  <r>
    <d v="2022-12-02T00:00:00"/>
    <n v="4005.75"/>
    <n v="4049"/>
    <n v="4055"/>
    <n v="3992.55"/>
    <s v="222.15K"/>
    <n v="-9.4999999999999998E-3"/>
    <x v="2"/>
    <n v="3"/>
    <n v="12"/>
  </r>
  <r>
    <d v="2022-12-05T00:00:00"/>
    <n v="4028.15"/>
    <n v="4010"/>
    <n v="4049.95"/>
    <n v="3975"/>
    <s v="217.72K"/>
    <n v="5.5999999999999999E-3"/>
    <x v="2"/>
    <n v="3"/>
    <n v="12"/>
  </r>
  <r>
    <d v="2022-12-06T00:00:00"/>
    <n v="4063.4"/>
    <n v="4018"/>
    <n v="4094"/>
    <n v="3995"/>
    <s v="224.61K"/>
    <n v="8.8000000000000005E-3"/>
    <x v="2"/>
    <n v="3"/>
    <n v="12"/>
  </r>
  <r>
    <d v="2022-12-07T00:00:00"/>
    <n v="4083.15"/>
    <n v="4080"/>
    <n v="4100"/>
    <n v="4045.15"/>
    <s v="257.22K"/>
    <n v="4.8999999999999998E-3"/>
    <x v="2"/>
    <n v="3"/>
    <n v="12"/>
  </r>
  <r>
    <d v="2022-12-08T00:00:00"/>
    <n v="4037.2"/>
    <n v="4090"/>
    <n v="4090"/>
    <n v="4015.4"/>
    <s v="177.56K"/>
    <n v="-1.1299999999999999E-2"/>
    <x v="2"/>
    <n v="3"/>
    <n v="12"/>
  </r>
  <r>
    <d v="2022-12-09T00:00:00"/>
    <n v="4002.4"/>
    <n v="4054.9"/>
    <n v="4057.75"/>
    <n v="3983.4"/>
    <s v="265.65K"/>
    <n v="-8.6E-3"/>
    <x v="2"/>
    <n v="3"/>
    <n v="12"/>
  </r>
  <r>
    <d v="2022-12-12T00:00:00"/>
    <n v="4057.35"/>
    <n v="3980"/>
    <n v="4074"/>
    <n v="3948"/>
    <s v="242.44K"/>
    <n v="1.37E-2"/>
    <x v="2"/>
    <n v="3"/>
    <n v="12"/>
  </r>
  <r>
    <d v="2022-12-13T00:00:00"/>
    <n v="4108.95"/>
    <n v="4060"/>
    <n v="4120"/>
    <n v="4060"/>
    <s v="275.77K"/>
    <n v="1.2699999999999999E-2"/>
    <x v="2"/>
    <n v="3"/>
    <n v="12"/>
  </r>
  <r>
    <d v="2022-12-14T00:00:00"/>
    <n v="4201.1000000000004"/>
    <n v="4089.1"/>
    <n v="4209.8500000000004"/>
    <n v="4089.1"/>
    <s v="545.14K"/>
    <n v="2.24E-2"/>
    <x v="2"/>
    <n v="3"/>
    <n v="12"/>
  </r>
  <r>
    <d v="2022-12-15T00:00:00"/>
    <n v="4182"/>
    <n v="4209"/>
    <n v="4228.95"/>
    <n v="4151"/>
    <s v="312.11K"/>
    <n v="-4.4999999999999997E-3"/>
    <x v="2"/>
    <n v="3"/>
    <n v="12"/>
  </r>
  <r>
    <d v="2022-12-16T00:00:00"/>
    <n v="3990"/>
    <n v="4140.6499999999996"/>
    <n v="4150.5"/>
    <n v="3956"/>
    <s v="380.72K"/>
    <n v="-4.5900000000000003E-2"/>
    <x v="2"/>
    <n v="3"/>
    <n v="12"/>
  </r>
  <r>
    <d v="2022-12-19T00:00:00"/>
    <n v="4090.2"/>
    <n v="4020"/>
    <n v="4099.8999999999996"/>
    <n v="4000"/>
    <s v="300.72K"/>
    <n v="2.5100000000000001E-2"/>
    <x v="2"/>
    <n v="3"/>
    <n v="12"/>
  </r>
  <r>
    <d v="2022-12-20T00:00:00"/>
    <n v="4089.55"/>
    <n v="4088"/>
    <n v="4138.6000000000004"/>
    <n v="4052.15"/>
    <s v="217.79K"/>
    <n v="-2.0000000000000001E-4"/>
    <x v="2"/>
    <n v="3"/>
    <n v="12"/>
  </r>
  <r>
    <d v="2022-12-21T00:00:00"/>
    <n v="3993.2"/>
    <n v="4094"/>
    <n v="4109.95"/>
    <n v="3975.15"/>
    <s v="252.19K"/>
    <n v="-2.3599999999999999E-2"/>
    <x v="2"/>
    <n v="3"/>
    <n v="12"/>
  </r>
  <r>
    <d v="2022-12-22T00:00:00"/>
    <n v="3921.55"/>
    <n v="4008"/>
    <n v="4029"/>
    <n v="3905.5"/>
    <s v="283.00K"/>
    <n v="-1.7899999999999999E-2"/>
    <x v="2"/>
    <n v="3"/>
    <n v="12"/>
  </r>
  <r>
    <d v="2022-12-23T00:00:00"/>
    <n v="3875.6"/>
    <n v="3896.55"/>
    <n v="3911.75"/>
    <n v="3835"/>
    <s v="255.26K"/>
    <n v="-1.17E-2"/>
    <x v="2"/>
    <n v="3"/>
    <n v="12"/>
  </r>
  <r>
    <d v="2022-12-26T00:00:00"/>
    <n v="4036.6"/>
    <n v="3896"/>
    <n v="4049"/>
    <n v="3871"/>
    <s v="205.54K"/>
    <n v="4.1500000000000002E-2"/>
    <x v="2"/>
    <n v="3"/>
    <n v="12"/>
  </r>
  <r>
    <d v="2022-12-27T00:00:00"/>
    <n v="4074.6"/>
    <n v="4060"/>
    <n v="4094"/>
    <n v="4005"/>
    <s v="168.07K"/>
    <n v="9.4000000000000004E-3"/>
    <x v="2"/>
    <n v="3"/>
    <n v="12"/>
  </r>
  <r>
    <d v="2022-12-28T00:00:00"/>
    <n v="4017.75"/>
    <n v="4077.95"/>
    <n v="4077.95"/>
    <n v="4007.4"/>
    <s v="130.50K"/>
    <n v="-1.4E-2"/>
    <x v="2"/>
    <n v="3"/>
    <n v="12"/>
  </r>
  <r>
    <d v="2022-12-29T00:00:00"/>
    <n v="4178.3"/>
    <n v="4003.15"/>
    <n v="4207.95"/>
    <n v="3971.8"/>
    <s v="475.19K"/>
    <n v="0.04"/>
    <x v="2"/>
    <n v="3"/>
    <n v="12"/>
  </r>
  <r>
    <d v="2022-12-30T00:00:00"/>
    <n v="4068.75"/>
    <n v="4178"/>
    <n v="4195"/>
    <n v="4025.15"/>
    <s v="387.43K"/>
    <n v="-2.6200000000000001E-2"/>
    <x v="2"/>
    <n v="3"/>
    <n v="12"/>
  </r>
  <r>
    <d v="2023-01-02T00:00:00"/>
    <n v="4072.75"/>
    <n v="4075"/>
    <n v="4117.95"/>
    <n v="4055"/>
    <s v="119.12K"/>
    <n v="1E-3"/>
    <x v="3"/>
    <n v="4"/>
    <n v="1"/>
  </r>
  <r>
    <d v="2023-01-03T00:00:00"/>
    <n v="4060.9"/>
    <n v="4072.75"/>
    <n v="4099"/>
    <n v="4044"/>
    <s v="114.01K"/>
    <n v="-2.8999999999999998E-3"/>
    <x v="3"/>
    <n v="4"/>
    <n v="1"/>
  </r>
  <r>
    <d v="2023-01-04T00:00:00"/>
    <n v="3924.2"/>
    <n v="4049.95"/>
    <n v="4049.95"/>
    <n v="3916"/>
    <s v="740.44K"/>
    <n v="-3.3700000000000001E-2"/>
    <x v="3"/>
    <n v="4"/>
    <n v="1"/>
  </r>
  <r>
    <d v="2023-01-05T00:00:00"/>
    <n v="3857.8"/>
    <n v="3955"/>
    <n v="3964"/>
    <n v="3845.5"/>
    <s v="483.90K"/>
    <n v="-1.6899999999999998E-2"/>
    <x v="3"/>
    <n v="4"/>
    <n v="1"/>
  </r>
  <r>
    <d v="2023-01-06T00:00:00"/>
    <n v="3842.5"/>
    <n v="3870"/>
    <n v="3930"/>
    <n v="3835"/>
    <s v="345.75K"/>
    <n v="-4.0000000000000001E-3"/>
    <x v="3"/>
    <n v="4"/>
    <n v="1"/>
  </r>
  <r>
    <d v="2023-01-09T00:00:00"/>
    <n v="3879.55"/>
    <n v="3905.8"/>
    <n v="3915"/>
    <n v="3855.55"/>
    <s v="280.21K"/>
    <n v="9.5999999999999992E-3"/>
    <x v="3"/>
    <n v="4"/>
    <n v="1"/>
  </r>
  <r>
    <d v="2023-01-10T00:00:00"/>
    <n v="3877.4"/>
    <n v="3898"/>
    <n v="3919.45"/>
    <n v="3861"/>
    <s v="357.86K"/>
    <n v="-5.9999999999999995E-4"/>
    <x v="3"/>
    <n v="4"/>
    <n v="1"/>
  </r>
  <r>
    <d v="2023-01-11T00:00:00"/>
    <n v="3872.9"/>
    <n v="3896"/>
    <n v="3910"/>
    <n v="3860"/>
    <s v="156.40K"/>
    <n v="-1.1999999999999999E-3"/>
    <x v="3"/>
    <n v="4"/>
    <n v="1"/>
  </r>
  <r>
    <d v="2023-01-12T00:00:00"/>
    <n v="3911.8"/>
    <n v="3892"/>
    <n v="3925.5"/>
    <n v="3863"/>
    <s v="212.52K"/>
    <n v="0.01"/>
    <x v="3"/>
    <n v="4"/>
    <n v="1"/>
  </r>
  <r>
    <d v="2023-01-13T00:00:00"/>
    <n v="3863.7"/>
    <n v="3925"/>
    <n v="3929.65"/>
    <n v="3850.1"/>
    <s v="283.28K"/>
    <n v="-1.23E-2"/>
    <x v="3"/>
    <n v="4"/>
    <n v="1"/>
  </r>
  <r>
    <d v="2023-01-16T00:00:00"/>
    <n v="3678.35"/>
    <n v="3690"/>
    <n v="3748"/>
    <n v="3645.2"/>
    <s v="1.81M"/>
    <n v="-4.8000000000000001E-2"/>
    <x v="3"/>
    <n v="4"/>
    <n v="1"/>
  </r>
  <r>
    <d v="2023-01-17T00:00:00"/>
    <n v="3689.8"/>
    <n v="3681.05"/>
    <n v="3733.85"/>
    <n v="3675"/>
    <s v="463.95K"/>
    <n v="3.0999999999999999E-3"/>
    <x v="3"/>
    <n v="4"/>
    <n v="1"/>
  </r>
  <r>
    <d v="2023-01-18T00:00:00"/>
    <n v="3648.6"/>
    <n v="3708.25"/>
    <n v="3720"/>
    <n v="3641.5"/>
    <s v="407.99K"/>
    <n v="-1.12E-2"/>
    <x v="3"/>
    <n v="4"/>
    <n v="1"/>
  </r>
  <r>
    <d v="2023-01-19T00:00:00"/>
    <n v="3565.1"/>
    <n v="3647"/>
    <n v="3647.8"/>
    <n v="3560"/>
    <s v="583.39K"/>
    <n v="-2.29E-2"/>
    <x v="3"/>
    <n v="4"/>
    <n v="1"/>
  </r>
  <r>
    <d v="2023-01-20T00:00:00"/>
    <n v="3513.75"/>
    <n v="3571.95"/>
    <n v="3580"/>
    <n v="3510"/>
    <s v="522.64K"/>
    <n v="-1.44E-2"/>
    <x v="3"/>
    <n v="4"/>
    <n v="1"/>
  </r>
  <r>
    <d v="2023-01-23T00:00:00"/>
    <n v="3434"/>
    <n v="3525"/>
    <n v="3529.75"/>
    <n v="3425"/>
    <s v="892.61K"/>
    <n v="-2.2700000000000001E-2"/>
    <x v="3"/>
    <n v="4"/>
    <n v="1"/>
  </r>
  <r>
    <d v="2023-01-24T00:00:00"/>
    <n v="3513.5"/>
    <n v="3450"/>
    <n v="3578"/>
    <n v="3441"/>
    <s v="768.03K"/>
    <n v="2.3199999999999998E-2"/>
    <x v="3"/>
    <n v="4"/>
    <n v="1"/>
  </r>
  <r>
    <d v="2023-01-25T00:00:00"/>
    <n v="3515.1"/>
    <n v="3531.1"/>
    <n v="3554.5"/>
    <n v="3507.3"/>
    <s v="474.77K"/>
    <n v="5.0000000000000001E-4"/>
    <x v="3"/>
    <n v="4"/>
    <n v="1"/>
  </r>
  <r>
    <d v="2023-01-27T00:00:00"/>
    <n v="3562.35"/>
    <n v="3532.7"/>
    <n v="3584"/>
    <n v="3518.5"/>
    <s v="308.09K"/>
    <n v="1.34E-2"/>
    <x v="3"/>
    <n v="4"/>
    <n v="1"/>
  </r>
  <r>
    <d v="2023-01-30T00:00:00"/>
    <n v="3546.3"/>
    <n v="3574.9"/>
    <n v="3575"/>
    <n v="3486.05"/>
    <s v="272.77K"/>
    <n v="-4.4999999999999997E-3"/>
    <x v="3"/>
    <n v="4"/>
    <n v="1"/>
  </r>
  <r>
    <d v="2023-01-31T00:00:00"/>
    <n v="3502.3"/>
    <n v="3555.05"/>
    <n v="3582.15"/>
    <n v="3492.65"/>
    <s v="537.43K"/>
    <n v="-1.24E-2"/>
    <x v="3"/>
    <n v="4"/>
    <n v="1"/>
  </r>
  <r>
    <d v="2023-02-01T00:00:00"/>
    <n v="3551.35"/>
    <n v="3558"/>
    <n v="3580"/>
    <n v="3469.7"/>
    <s v="361.70K"/>
    <n v="1.4E-2"/>
    <x v="3"/>
    <n v="4"/>
    <n v="2"/>
  </r>
  <r>
    <d v="2023-02-02T00:00:00"/>
    <n v="3502.9"/>
    <n v="3547"/>
    <n v="3577.8"/>
    <n v="3485"/>
    <s v="222.69K"/>
    <n v="-1.3599999999999999E-2"/>
    <x v="3"/>
    <n v="4"/>
    <n v="2"/>
  </r>
  <r>
    <d v="2023-02-03T00:00:00"/>
    <n v="3470.35"/>
    <n v="3517.65"/>
    <n v="3522.9"/>
    <n v="3465"/>
    <s v="322.65K"/>
    <n v="-9.2999999999999992E-3"/>
    <x v="3"/>
    <n v="4"/>
    <n v="2"/>
  </r>
  <r>
    <d v="2023-02-06T00:00:00"/>
    <n v="3441.5"/>
    <n v="3476.5"/>
    <n v="3488.4"/>
    <n v="3432"/>
    <s v="314.36K"/>
    <n v="-8.3000000000000001E-3"/>
    <x v="3"/>
    <n v="4"/>
    <n v="2"/>
  </r>
  <r>
    <d v="2023-02-07T00:00:00"/>
    <n v="3440.9"/>
    <n v="3471.5"/>
    <n v="3475"/>
    <n v="3438.95"/>
    <s v="369.29K"/>
    <n v="-2.0000000000000001E-4"/>
    <x v="3"/>
    <n v="4"/>
    <n v="2"/>
  </r>
  <r>
    <d v="2023-02-08T00:00:00"/>
    <n v="3458.6"/>
    <n v="3449"/>
    <n v="3510"/>
    <n v="3446.05"/>
    <s v="217.38K"/>
    <n v="5.1000000000000004E-3"/>
    <x v="3"/>
    <n v="4"/>
    <n v="2"/>
  </r>
  <r>
    <d v="2023-02-09T00:00:00"/>
    <n v="3482.05"/>
    <n v="3469.65"/>
    <n v="3544.15"/>
    <n v="3465.15"/>
    <s v="372.57K"/>
    <n v="6.7999999999999996E-3"/>
    <x v="3"/>
    <n v="4"/>
    <n v="2"/>
  </r>
  <r>
    <d v="2023-02-10T00:00:00"/>
    <n v="3498.85"/>
    <n v="3499.5"/>
    <n v="3544.25"/>
    <n v="3490.6"/>
    <s v="393.16K"/>
    <n v="4.7999999999999996E-3"/>
    <x v="3"/>
    <n v="4"/>
    <n v="2"/>
  </r>
  <r>
    <d v="2023-02-13T00:00:00"/>
    <n v="3495.2"/>
    <n v="3502"/>
    <n v="3510"/>
    <n v="3483"/>
    <s v="252.48K"/>
    <n v="-1E-3"/>
    <x v="3"/>
    <n v="4"/>
    <n v="2"/>
  </r>
  <r>
    <d v="2023-02-14T00:00:00"/>
    <n v="3482.7"/>
    <n v="3509"/>
    <n v="3512"/>
    <n v="3472"/>
    <s v="496.97K"/>
    <n v="-3.5999999999999999E-3"/>
    <x v="3"/>
    <n v="4"/>
    <n v="2"/>
  </r>
  <r>
    <d v="2023-02-15T00:00:00"/>
    <n v="3545.6"/>
    <n v="3480"/>
    <n v="3568.65"/>
    <n v="3464.3"/>
    <s v="211.64K"/>
    <n v="1.8100000000000002E-2"/>
    <x v="3"/>
    <n v="4"/>
    <n v="2"/>
  </r>
  <r>
    <d v="2023-02-16T00:00:00"/>
    <n v="3541.7"/>
    <n v="3546"/>
    <n v="3567.95"/>
    <n v="3535"/>
    <s v="315.15K"/>
    <n v="-1.1000000000000001E-3"/>
    <x v="3"/>
    <n v="4"/>
    <n v="2"/>
  </r>
  <r>
    <d v="2023-02-17T00:00:00"/>
    <n v="3545"/>
    <n v="3530"/>
    <n v="3567.7"/>
    <n v="3515"/>
    <s v="202.56K"/>
    <n v="8.9999999999999998E-4"/>
    <x v="3"/>
    <n v="4"/>
    <n v="2"/>
  </r>
  <r>
    <d v="2023-02-20T00:00:00"/>
    <n v="3552.85"/>
    <n v="3545.95"/>
    <n v="3574.75"/>
    <n v="3540.05"/>
    <s v="191.04K"/>
    <n v="2.2000000000000001E-3"/>
    <x v="3"/>
    <n v="4"/>
    <n v="2"/>
  </r>
  <r>
    <d v="2023-02-21T00:00:00"/>
    <n v="3525.6"/>
    <n v="3570"/>
    <n v="3570"/>
    <n v="3516.25"/>
    <s v="302.26K"/>
    <n v="-7.7000000000000002E-3"/>
    <x v="3"/>
    <n v="4"/>
    <n v="2"/>
  </r>
  <r>
    <d v="2023-02-22T00:00:00"/>
    <n v="3500.15"/>
    <n v="3502"/>
    <n v="3521.85"/>
    <n v="3486.6"/>
    <s v="117.55K"/>
    <n v="-7.1999999999999998E-3"/>
    <x v="3"/>
    <n v="4"/>
    <n v="2"/>
  </r>
  <r>
    <d v="2023-02-23T00:00:00"/>
    <n v="3478.75"/>
    <n v="3503.9"/>
    <n v="3515"/>
    <n v="3437"/>
    <s v="237.98K"/>
    <n v="-6.1000000000000004E-3"/>
    <x v="3"/>
    <n v="4"/>
    <n v="2"/>
  </r>
  <r>
    <d v="2023-02-24T00:00:00"/>
    <n v="3499.2"/>
    <n v="3496.15"/>
    <n v="3514.4"/>
    <n v="3468"/>
    <s v="113.84K"/>
    <n v="5.8999999999999999E-3"/>
    <x v="3"/>
    <n v="4"/>
    <n v="2"/>
  </r>
  <r>
    <d v="2023-02-27T00:00:00"/>
    <n v="3491.3"/>
    <n v="3485.05"/>
    <n v="3499.9"/>
    <n v="3441"/>
    <s v="132.24K"/>
    <n v="-2.3E-3"/>
    <x v="3"/>
    <n v="4"/>
    <n v="2"/>
  </r>
  <r>
    <d v="2023-02-28T00:00:00"/>
    <n v="3416.95"/>
    <n v="3490.2"/>
    <n v="3508"/>
    <n v="3373"/>
    <s v="328.22K"/>
    <n v="-2.1299999999999999E-2"/>
    <x v="3"/>
    <n v="4"/>
    <n v="2"/>
  </r>
  <r>
    <d v="2023-03-01T00:00:00"/>
    <n v="3439.35"/>
    <n v="3441.4"/>
    <n v="3474"/>
    <n v="3431.05"/>
    <s v="145.32K"/>
    <n v="6.6E-3"/>
    <x v="3"/>
    <n v="4"/>
    <n v="3"/>
  </r>
  <r>
    <d v="2023-03-02T00:00:00"/>
    <n v="3443.2"/>
    <n v="3447"/>
    <n v="3450"/>
    <n v="3425.5"/>
    <s v="191.13K"/>
    <n v="1.1000000000000001E-3"/>
    <x v="3"/>
    <n v="4"/>
    <n v="3"/>
  </r>
  <r>
    <d v="2023-03-03T00:00:00"/>
    <n v="3463.25"/>
    <n v="3460.45"/>
    <n v="3474"/>
    <n v="3420.4"/>
    <s v="264.63K"/>
    <n v="5.7999999999999996E-3"/>
    <x v="3"/>
    <n v="4"/>
    <n v="3"/>
  </r>
  <r>
    <d v="2023-03-06T00:00:00"/>
    <n v="3437.15"/>
    <n v="3480.6"/>
    <n v="3482.9"/>
    <n v="3423.2"/>
    <s v="189.78K"/>
    <n v="-7.4999999999999997E-3"/>
    <x v="3"/>
    <n v="4"/>
    <n v="3"/>
  </r>
  <r>
    <d v="2023-03-08T00:00:00"/>
    <n v="3389.7"/>
    <n v="3439.75"/>
    <n v="3453"/>
    <n v="3380.5"/>
    <s v="355.09K"/>
    <n v="-1.38E-2"/>
    <x v="3"/>
    <n v="4"/>
    <n v="3"/>
  </r>
  <r>
    <d v="2023-03-09T00:00:00"/>
    <n v="3397.85"/>
    <n v="3393"/>
    <n v="3413.3"/>
    <n v="3385"/>
    <s v="389.61K"/>
    <n v="2.3999999999999998E-3"/>
    <x v="3"/>
    <n v="4"/>
    <n v="3"/>
  </r>
  <r>
    <d v="2023-03-10T00:00:00"/>
    <n v="3391.85"/>
    <n v="3390"/>
    <n v="3415.7"/>
    <n v="3380.05"/>
    <s v="265.31K"/>
    <n v="-1.8E-3"/>
    <x v="3"/>
    <n v="4"/>
    <n v="3"/>
  </r>
  <r>
    <d v="2023-03-13T00:00:00"/>
    <n v="3351.75"/>
    <n v="3391.85"/>
    <n v="3415"/>
    <n v="3348.1"/>
    <s v="195.35K"/>
    <n v="-1.18E-2"/>
    <x v="3"/>
    <n v="4"/>
    <n v="3"/>
  </r>
  <r>
    <d v="2023-03-14T00:00:00"/>
    <n v="3350.95"/>
    <n v="3350"/>
    <n v="3367.7"/>
    <n v="3303.3"/>
    <s v="268.25K"/>
    <n v="-2.0000000000000001E-4"/>
    <x v="3"/>
    <n v="4"/>
    <n v="3"/>
  </r>
  <r>
    <d v="2023-03-15T00:00:00"/>
    <n v="3337.25"/>
    <n v="3350"/>
    <n v="3363.15"/>
    <n v="3330"/>
    <s v="231.76K"/>
    <n v="-4.1000000000000003E-3"/>
    <x v="3"/>
    <n v="4"/>
    <n v="3"/>
  </r>
  <r>
    <d v="2023-03-16T00:00:00"/>
    <n v="3382.15"/>
    <n v="3337.25"/>
    <n v="3455.15"/>
    <n v="3292"/>
    <s v="353.91K"/>
    <n v="1.35E-2"/>
    <x v="3"/>
    <n v="4"/>
    <n v="3"/>
  </r>
  <r>
    <d v="2023-03-17T00:00:00"/>
    <n v="3311.3"/>
    <n v="3398"/>
    <n v="3399"/>
    <n v="3300"/>
    <s v="562.87K"/>
    <n v="-2.0899999999999998E-2"/>
    <x v="3"/>
    <n v="4"/>
    <n v="3"/>
  </r>
  <r>
    <d v="2023-03-20T00:00:00"/>
    <n v="3366.1"/>
    <n v="3295"/>
    <n v="3377.55"/>
    <n v="3295"/>
    <s v="240.06K"/>
    <n v="1.6500000000000001E-2"/>
    <x v="3"/>
    <n v="4"/>
    <n v="3"/>
  </r>
  <r>
    <d v="2023-03-21T00:00:00"/>
    <n v="3357.6"/>
    <n v="3371.9"/>
    <n v="3374.05"/>
    <n v="3326.15"/>
    <s v="223.59K"/>
    <n v="-2.5000000000000001E-3"/>
    <x v="3"/>
    <n v="4"/>
    <n v="3"/>
  </r>
  <r>
    <d v="2023-03-22T00:00:00"/>
    <n v="3361.4"/>
    <n v="3365"/>
    <n v="3415"/>
    <n v="3355"/>
    <s v="226.67K"/>
    <n v="1.1000000000000001E-3"/>
    <x v="3"/>
    <n v="4"/>
    <n v="3"/>
  </r>
  <r>
    <d v="2023-03-23T00:00:00"/>
    <n v="3373.5"/>
    <n v="3361.35"/>
    <n v="3393.8"/>
    <n v="3342.1"/>
    <s v="191.33K"/>
    <n v="3.5999999999999999E-3"/>
    <x v="3"/>
    <n v="4"/>
    <n v="3"/>
  </r>
  <r>
    <d v="2023-03-24T00:00:00"/>
    <n v="3358.4"/>
    <n v="3372"/>
    <n v="3386.05"/>
    <n v="3350.05"/>
    <s v="178.78K"/>
    <n v="-4.4999999999999997E-3"/>
    <x v="3"/>
    <n v="4"/>
    <n v="3"/>
  </r>
  <r>
    <d v="2023-03-27T00:00:00"/>
    <n v="3306.8"/>
    <n v="3367"/>
    <n v="3369"/>
    <n v="3300.3"/>
    <s v="211.47K"/>
    <n v="-1.54E-2"/>
    <x v="3"/>
    <n v="4"/>
    <n v="3"/>
  </r>
  <r>
    <d v="2023-03-28T00:00:00"/>
    <n v="3316.45"/>
    <n v="3308"/>
    <n v="3355"/>
    <n v="3300"/>
    <s v="155.62K"/>
    <n v="2.8999999999999998E-3"/>
    <x v="3"/>
    <n v="4"/>
    <n v="3"/>
  </r>
  <r>
    <d v="2023-03-29T00:00:00"/>
    <n v="3325.45"/>
    <n v="3320"/>
    <n v="3385"/>
    <n v="3315"/>
    <s v="276.93K"/>
    <n v="2.7000000000000001E-3"/>
    <x v="3"/>
    <n v="4"/>
    <n v="3"/>
  </r>
  <r>
    <d v="2023-03-31T00:00:00"/>
    <n v="3401.05"/>
    <n v="3325"/>
    <n v="3415"/>
    <n v="3325"/>
    <s v="286.36K"/>
    <n v="2.2700000000000001E-2"/>
    <x v="3"/>
    <n v="4"/>
    <n v="3"/>
  </r>
  <r>
    <d v="2023-04-03T00:00:00"/>
    <n v="3553.75"/>
    <n v="3413.05"/>
    <n v="3580"/>
    <n v="3413.05"/>
    <s v="429.16K"/>
    <n v="4.4900000000000002E-2"/>
    <x v="3"/>
    <n v="1"/>
    <n v="4"/>
  </r>
  <r>
    <d v="2023-04-05T00:00:00"/>
    <n v="3654.85"/>
    <n v="3571.95"/>
    <n v="3666.7"/>
    <n v="3565.05"/>
    <s v="481.02K"/>
    <n v="2.8400000000000002E-2"/>
    <x v="3"/>
    <n v="1"/>
    <n v="4"/>
  </r>
  <r>
    <d v="2023-04-06T00:00:00"/>
    <n v="3496.1"/>
    <n v="3644.85"/>
    <n v="3644.85"/>
    <n v="3480.1"/>
    <s v="886.24K"/>
    <n v="-4.3400000000000001E-2"/>
    <x v="3"/>
    <n v="1"/>
    <n v="4"/>
  </r>
  <r>
    <d v="2023-04-10T00:00:00"/>
    <n v="3450.7"/>
    <n v="3504"/>
    <n v="3533.95"/>
    <n v="3437.8"/>
    <s v="242.78K"/>
    <n v="-1.2999999999999999E-2"/>
    <x v="3"/>
    <n v="1"/>
    <n v="4"/>
  </r>
  <r>
    <d v="2023-04-11T00:00:00"/>
    <n v="3454.2"/>
    <n v="3465"/>
    <n v="3499"/>
    <n v="3446"/>
    <s v="193.99K"/>
    <n v="1E-3"/>
    <x v="3"/>
    <n v="1"/>
    <n v="4"/>
  </r>
  <r>
    <d v="2023-04-12T00:00:00"/>
    <n v="3473.1"/>
    <n v="3467"/>
    <n v="3498"/>
    <n v="3458"/>
    <s v="214.20K"/>
    <n v="5.4999999999999997E-3"/>
    <x v="3"/>
    <n v="1"/>
    <n v="4"/>
  </r>
  <r>
    <d v="2023-04-13T00:00:00"/>
    <n v="3501.05"/>
    <n v="3480"/>
    <n v="3518.95"/>
    <n v="3470.05"/>
    <s v="159.63K"/>
    <n v="8.0000000000000002E-3"/>
    <x v="3"/>
    <n v="1"/>
    <n v="4"/>
  </r>
  <r>
    <d v="2023-04-17T00:00:00"/>
    <n v="3497.1"/>
    <n v="3500"/>
    <n v="3530"/>
    <n v="3446"/>
    <s v="239.35K"/>
    <n v="-1.1000000000000001E-3"/>
    <x v="3"/>
    <n v="1"/>
    <n v="4"/>
  </r>
  <r>
    <d v="2023-04-18T00:00:00"/>
    <n v="3506.8"/>
    <n v="3501.95"/>
    <n v="3565"/>
    <n v="3461"/>
    <s v="304.63K"/>
    <n v="2.8E-3"/>
    <x v="3"/>
    <n v="1"/>
    <n v="4"/>
  </r>
  <r>
    <d v="2023-04-19T00:00:00"/>
    <n v="3476.2"/>
    <n v="3506.75"/>
    <n v="3528"/>
    <n v="3470"/>
    <s v="157.61K"/>
    <n v="-8.6999999999999994E-3"/>
    <x v="3"/>
    <n v="1"/>
    <n v="4"/>
  </r>
  <r>
    <d v="2023-04-20T00:00:00"/>
    <n v="3482.2"/>
    <n v="3489.2"/>
    <n v="3492"/>
    <n v="3455"/>
    <s v="137.58K"/>
    <n v="1.6999999999999999E-3"/>
    <x v="3"/>
    <n v="1"/>
    <n v="4"/>
  </r>
  <r>
    <d v="2023-04-21T00:00:00"/>
    <n v="3455.9"/>
    <n v="3482.1"/>
    <n v="3482.2"/>
    <n v="3440"/>
    <s v="191.22K"/>
    <n v="-7.6E-3"/>
    <x v="3"/>
    <n v="1"/>
    <n v="4"/>
  </r>
  <r>
    <d v="2023-04-24T00:00:00"/>
    <n v="3467.2"/>
    <n v="3469.8"/>
    <n v="3474"/>
    <n v="3445"/>
    <s v="95.56K"/>
    <n v="3.3E-3"/>
    <x v="3"/>
    <n v="1"/>
    <n v="4"/>
  </r>
  <r>
    <d v="2023-04-25T00:00:00"/>
    <n v="3465.85"/>
    <n v="3469.05"/>
    <n v="3479"/>
    <n v="3443.05"/>
    <s v="179.51K"/>
    <n v="-4.0000000000000002E-4"/>
    <x v="3"/>
    <n v="1"/>
    <n v="4"/>
  </r>
  <r>
    <d v="2023-04-26T00:00:00"/>
    <n v="3461.6"/>
    <n v="3465.85"/>
    <n v="3476.15"/>
    <n v="3447"/>
    <s v="300.05K"/>
    <n v="-1.1999999999999999E-3"/>
    <x v="3"/>
    <n v="1"/>
    <n v="4"/>
  </r>
  <r>
    <d v="2023-04-27T00:00:00"/>
    <n v="3500.8"/>
    <n v="3460.1"/>
    <n v="3509.95"/>
    <n v="3449.2"/>
    <s v="235.41K"/>
    <n v="1.1299999999999999E-2"/>
    <x v="3"/>
    <n v="1"/>
    <n v="4"/>
  </r>
  <r>
    <d v="2023-04-28T00:00:00"/>
    <n v="3511.95"/>
    <n v="3500.8"/>
    <n v="3522"/>
    <n v="3480"/>
    <s v="224.16K"/>
    <n v="3.2000000000000002E-3"/>
    <x v="3"/>
    <n v="1"/>
    <n v="4"/>
  </r>
  <r>
    <d v="2023-05-02T00:00:00"/>
    <n v="3545.9"/>
    <n v="3515"/>
    <n v="3552.75"/>
    <n v="3504.65"/>
    <s v="237.13K"/>
    <n v="9.7000000000000003E-3"/>
    <x v="3"/>
    <n v="1"/>
    <n v="5"/>
  </r>
  <r>
    <d v="2023-05-03T00:00:00"/>
    <n v="3554"/>
    <n v="3540"/>
    <n v="3584.8"/>
    <n v="3516.05"/>
    <s v="195.08K"/>
    <n v="2.3E-3"/>
    <x v="3"/>
    <n v="1"/>
    <n v="5"/>
  </r>
  <r>
    <d v="2023-05-04T00:00:00"/>
    <n v="3584.5"/>
    <n v="3550"/>
    <n v="3589"/>
    <n v="3533"/>
    <s v="148.56K"/>
    <n v="8.6E-3"/>
    <x v="3"/>
    <n v="1"/>
    <n v="5"/>
  </r>
  <r>
    <d v="2023-05-05T00:00:00"/>
    <n v="3598.2"/>
    <n v="3560.05"/>
    <n v="3605"/>
    <n v="3556.35"/>
    <s v="183.73K"/>
    <n v="3.8E-3"/>
    <x v="3"/>
    <n v="1"/>
    <n v="5"/>
  </r>
  <r>
    <d v="2023-05-08T00:00:00"/>
    <n v="3677.85"/>
    <n v="3615.1"/>
    <n v="3690"/>
    <n v="3610"/>
    <s v="313.50K"/>
    <n v="2.2100000000000002E-2"/>
    <x v="3"/>
    <n v="1"/>
    <n v="5"/>
  </r>
  <r>
    <d v="2023-05-09T00:00:00"/>
    <n v="3659.7"/>
    <n v="3721"/>
    <n v="3750"/>
    <n v="3640.2"/>
    <s v="385.76K"/>
    <n v="-4.8999999999999998E-3"/>
    <x v="3"/>
    <n v="1"/>
    <n v="5"/>
  </r>
  <r>
    <d v="2023-05-10T00:00:00"/>
    <n v="3672.3"/>
    <n v="3660"/>
    <n v="3693.65"/>
    <n v="3622.65"/>
    <s v="181.72K"/>
    <n v="3.3999999999999998E-3"/>
    <x v="3"/>
    <n v="1"/>
    <n v="5"/>
  </r>
  <r>
    <d v="2023-05-11T00:00:00"/>
    <n v="3704.65"/>
    <n v="3673.3"/>
    <n v="3730.1"/>
    <n v="3665"/>
    <s v="178.60K"/>
    <n v="8.8000000000000005E-3"/>
    <x v="3"/>
    <n v="1"/>
    <n v="5"/>
  </r>
  <r>
    <d v="2023-05-12T00:00:00"/>
    <n v="3677.55"/>
    <n v="3715"/>
    <n v="3717"/>
    <n v="3641"/>
    <s v="253.52K"/>
    <n v="-7.3000000000000001E-3"/>
    <x v="3"/>
    <n v="1"/>
    <n v="5"/>
  </r>
  <r>
    <d v="2023-05-15T00:00:00"/>
    <n v="3523.4"/>
    <n v="3550"/>
    <n v="3589"/>
    <n v="3506.6"/>
    <s v="943.99K"/>
    <n v="-4.19E-2"/>
    <x v="3"/>
    <n v="1"/>
    <n v="5"/>
  </r>
  <r>
    <d v="2023-05-16T00:00:00"/>
    <n v="3479.25"/>
    <n v="3535.4"/>
    <n v="3557.05"/>
    <n v="3475"/>
    <s v="536.28K"/>
    <n v="-1.2500000000000001E-2"/>
    <x v="3"/>
    <n v="1"/>
    <n v="5"/>
  </r>
  <r>
    <d v="2023-05-17T00:00:00"/>
    <n v="3400.2"/>
    <n v="3491.7"/>
    <n v="3498.5"/>
    <n v="3394"/>
    <s v="560.39K"/>
    <n v="-2.2700000000000001E-2"/>
    <x v="3"/>
    <n v="1"/>
    <n v="5"/>
  </r>
  <r>
    <d v="2023-05-18T00:00:00"/>
    <n v="3368.55"/>
    <n v="3420.05"/>
    <n v="3451.1"/>
    <n v="3352"/>
    <s v="289.25K"/>
    <n v="-9.2999999999999992E-3"/>
    <x v="3"/>
    <n v="1"/>
    <n v="5"/>
  </r>
  <r>
    <d v="2023-05-19T00:00:00"/>
    <n v="3395.25"/>
    <n v="3390"/>
    <n v="3434"/>
    <n v="3375.6"/>
    <s v="265.44K"/>
    <n v="7.9000000000000008E-3"/>
    <x v="3"/>
    <n v="1"/>
    <n v="5"/>
  </r>
  <r>
    <d v="2023-05-22T00:00:00"/>
    <n v="3425.1"/>
    <n v="3400"/>
    <n v="3438.75"/>
    <n v="3382.15"/>
    <s v="221.48K"/>
    <n v="8.8000000000000005E-3"/>
    <x v="3"/>
    <n v="1"/>
    <n v="5"/>
  </r>
  <r>
    <d v="2023-05-23T00:00:00"/>
    <n v="3432.95"/>
    <n v="3425.5"/>
    <n v="3445"/>
    <n v="3420.6"/>
    <s v="168.59K"/>
    <n v="2.3E-3"/>
    <x v="3"/>
    <n v="1"/>
    <n v="5"/>
  </r>
  <r>
    <d v="2023-05-24T00:00:00"/>
    <n v="3429.55"/>
    <n v="3432"/>
    <n v="3439.9"/>
    <n v="3406.2"/>
    <s v="148.60K"/>
    <n v="-1E-3"/>
    <x v="3"/>
    <n v="1"/>
    <n v="5"/>
  </r>
  <r>
    <d v="2023-05-25T00:00:00"/>
    <n v="3435.35"/>
    <n v="3430"/>
    <n v="3450.75"/>
    <n v="3429"/>
    <s v="153.24K"/>
    <n v="1.6999999999999999E-3"/>
    <x v="3"/>
    <n v="1"/>
    <n v="5"/>
  </r>
  <r>
    <d v="2023-05-26T00:00:00"/>
    <n v="3501.75"/>
    <n v="3448.9"/>
    <n v="3512"/>
    <n v="3442.1"/>
    <s v="277.11K"/>
    <n v="1.9300000000000001E-2"/>
    <x v="3"/>
    <n v="1"/>
    <n v="5"/>
  </r>
  <r>
    <d v="2023-05-29T00:00:00"/>
    <n v="3503.3"/>
    <n v="3540"/>
    <n v="3545"/>
    <n v="3482.25"/>
    <s v="228.84K"/>
    <n v="4.0000000000000002E-4"/>
    <x v="3"/>
    <n v="1"/>
    <n v="5"/>
  </r>
  <r>
    <d v="2023-05-30T00:00:00"/>
    <n v="3507.5"/>
    <n v="3517.95"/>
    <n v="3530"/>
    <n v="3496.85"/>
    <s v="294.22K"/>
    <n v="1.1999999999999999E-3"/>
    <x v="3"/>
    <n v="1"/>
    <n v="5"/>
  </r>
  <r>
    <d v="2023-05-31T00:00:00"/>
    <n v="3471.25"/>
    <n v="3519.9"/>
    <n v="3522.35"/>
    <n v="3437.35"/>
    <s v="917.96K"/>
    <n v="-1.03E-2"/>
    <x v="3"/>
    <n v="1"/>
    <n v="5"/>
  </r>
  <r>
    <d v="2023-06-01T00:00:00"/>
    <n v="3500.9"/>
    <n v="3480"/>
    <n v="3527"/>
    <n v="3473"/>
    <s v="189.63K"/>
    <n v="8.5000000000000006E-3"/>
    <x v="3"/>
    <n v="1"/>
    <n v="6"/>
  </r>
  <r>
    <d v="2023-06-02T00:00:00"/>
    <n v="3531.6"/>
    <n v="3510"/>
    <n v="3555"/>
    <n v="3506.1"/>
    <s v="396.07K"/>
    <n v="8.8000000000000005E-3"/>
    <x v="3"/>
    <n v="1"/>
    <n v="6"/>
  </r>
  <r>
    <d v="2023-06-05T00:00:00"/>
    <n v="3536.85"/>
    <n v="3550"/>
    <n v="3555"/>
    <n v="3521.7"/>
    <s v="182.06K"/>
    <n v="1.5E-3"/>
    <x v="3"/>
    <n v="1"/>
    <n v="6"/>
  </r>
  <r>
    <d v="2023-06-06T00:00:00"/>
    <n v="3527.75"/>
    <n v="3536"/>
    <n v="3565"/>
    <n v="3495.05"/>
    <s v="179.04K"/>
    <n v="-2.5999999999999999E-3"/>
    <x v="3"/>
    <n v="1"/>
    <n v="6"/>
  </r>
  <r>
    <d v="2023-06-07T00:00:00"/>
    <n v="3544.05"/>
    <n v="3536"/>
    <n v="3550"/>
    <n v="3516.05"/>
    <s v="228.65K"/>
    <n v="4.5999999999999999E-3"/>
    <x v="3"/>
    <n v="1"/>
    <n v="6"/>
  </r>
  <r>
    <d v="2023-06-08T00:00:00"/>
    <n v="3546.8"/>
    <n v="3554.8"/>
    <n v="3572.7"/>
    <n v="3535"/>
    <s v="185.10K"/>
    <n v="8.0000000000000004E-4"/>
    <x v="3"/>
    <n v="1"/>
    <n v="6"/>
  </r>
  <r>
    <d v="2023-06-09T00:00:00"/>
    <n v="3632.1"/>
    <n v="3586"/>
    <n v="3648"/>
    <n v="3568.55"/>
    <s v="661.36K"/>
    <n v="2.4E-2"/>
    <x v="3"/>
    <n v="1"/>
    <n v="6"/>
  </r>
  <r>
    <d v="2023-06-12T00:00:00"/>
    <n v="3629.4"/>
    <n v="3646.95"/>
    <n v="3646.95"/>
    <n v="3584.05"/>
    <s v="247.07K"/>
    <n v="-6.9999999999999999E-4"/>
    <x v="3"/>
    <n v="1"/>
    <n v="6"/>
  </r>
  <r>
    <d v="2023-06-13T00:00:00"/>
    <n v="3677.9"/>
    <n v="3644"/>
    <n v="3703.45"/>
    <n v="3630"/>
    <s v="353.63K"/>
    <n v="1.34E-2"/>
    <x v="3"/>
    <n v="1"/>
    <n v="6"/>
  </r>
  <r>
    <d v="2023-06-14T00:00:00"/>
    <n v="3704.85"/>
    <n v="3693.75"/>
    <n v="3740"/>
    <n v="3662"/>
    <s v="376.20K"/>
    <n v="7.3000000000000001E-3"/>
    <x v="3"/>
    <n v="1"/>
    <n v="6"/>
  </r>
  <r>
    <d v="2023-06-15T00:00:00"/>
    <n v="3917.7"/>
    <n v="3745"/>
    <n v="3960"/>
    <n v="3723.25"/>
    <s v="1.16M"/>
    <n v="5.7500000000000002E-2"/>
    <x v="3"/>
    <n v="1"/>
    <n v="6"/>
  </r>
  <r>
    <d v="2023-06-16T00:00:00"/>
    <n v="4085.6"/>
    <n v="3952"/>
    <n v="4144"/>
    <n v="3951.5"/>
    <s v="2.11M"/>
    <n v="4.2900000000000001E-2"/>
    <x v="3"/>
    <n v="1"/>
    <n v="6"/>
  </r>
  <r>
    <d v="2023-06-19T00:00:00"/>
    <n v="3975.7"/>
    <n v="4086"/>
    <n v="4150"/>
    <n v="3956.25"/>
    <s v="703.10K"/>
    <n v="-2.69E-2"/>
    <x v="3"/>
    <n v="1"/>
    <n v="6"/>
  </r>
  <r>
    <d v="2023-06-20T00:00:00"/>
    <n v="3986.9"/>
    <n v="3985"/>
    <n v="4045"/>
    <n v="3910"/>
    <s v="531.75K"/>
    <n v="2.8E-3"/>
    <x v="3"/>
    <n v="1"/>
    <n v="6"/>
  </r>
  <r>
    <d v="2023-06-21T00:00:00"/>
    <n v="3919.5"/>
    <n v="3987"/>
    <n v="4028.85"/>
    <n v="3898.05"/>
    <s v="310.78K"/>
    <n v="-1.6899999999999998E-2"/>
    <x v="3"/>
    <n v="1"/>
    <n v="6"/>
  </r>
  <r>
    <d v="2023-06-22T00:00:00"/>
    <n v="3812.15"/>
    <n v="3935"/>
    <n v="3940"/>
    <n v="3800"/>
    <s v="311.63K"/>
    <n v="-2.7400000000000001E-2"/>
    <x v="3"/>
    <n v="1"/>
    <n v="6"/>
  </r>
  <r>
    <d v="2023-06-23T00:00:00"/>
    <n v="3744.05"/>
    <n v="3823.95"/>
    <n v="3845"/>
    <n v="3731.9"/>
    <s v="278.87K"/>
    <n v="-1.7899999999999999E-2"/>
    <x v="3"/>
    <n v="1"/>
    <n v="6"/>
  </r>
  <r>
    <d v="2023-06-26T00:00:00"/>
    <n v="3848.25"/>
    <n v="3744.05"/>
    <n v="3879"/>
    <n v="3744.05"/>
    <s v="344.38K"/>
    <n v="2.7799999999999998E-2"/>
    <x v="3"/>
    <n v="1"/>
    <n v="6"/>
  </r>
  <r>
    <d v="2023-06-27T00:00:00"/>
    <n v="3872.1"/>
    <n v="3849"/>
    <n v="3919.95"/>
    <n v="3841"/>
    <s v="499.70K"/>
    <n v="6.1999999999999998E-3"/>
    <x v="3"/>
    <n v="1"/>
    <n v="6"/>
  </r>
  <r>
    <d v="2023-06-28T00:00:00"/>
    <n v="3963.6"/>
    <n v="3865"/>
    <n v="3988"/>
    <n v="3852.05"/>
    <s v="478.73K"/>
    <n v="2.3599999999999999E-2"/>
    <x v="3"/>
    <n v="1"/>
    <n v="6"/>
  </r>
  <r>
    <d v="2023-06-30T00:00:00"/>
    <n v="3889.2"/>
    <n v="3965"/>
    <n v="3966"/>
    <n v="3880"/>
    <s v="401.86K"/>
    <n v="-1.8800000000000001E-2"/>
    <x v="3"/>
    <n v="1"/>
    <n v="6"/>
  </r>
  <r>
    <d v="2023-07-03T00:00:00"/>
    <n v="3868.6"/>
    <n v="3889.2"/>
    <n v="3948"/>
    <n v="3843"/>
    <s v="371.88K"/>
    <n v="-5.3E-3"/>
    <x v="3"/>
    <n v="2"/>
    <n v="7"/>
  </r>
  <r>
    <d v="2023-07-04T00:00:00"/>
    <n v="3857.2"/>
    <n v="3929.95"/>
    <n v="3929.95"/>
    <n v="3844.25"/>
    <s v="554.48K"/>
    <n v="-2.8999999999999998E-3"/>
    <x v="3"/>
    <n v="2"/>
    <n v="7"/>
  </r>
  <r>
    <d v="2023-07-05T00:00:00"/>
    <n v="3820.1"/>
    <n v="3880"/>
    <n v="3897"/>
    <n v="3801.2"/>
    <s v="311.49K"/>
    <n v="-9.5999999999999992E-3"/>
    <x v="3"/>
    <n v="2"/>
    <n v="7"/>
  </r>
  <r>
    <d v="2023-07-06T00:00:00"/>
    <n v="3815.9"/>
    <n v="3844"/>
    <n v="3850"/>
    <n v="3810"/>
    <s v="247.80K"/>
    <n v="-1.1000000000000001E-3"/>
    <x v="3"/>
    <n v="2"/>
    <n v="7"/>
  </r>
  <r>
    <d v="2023-07-07T00:00:00"/>
    <n v="3808.95"/>
    <n v="3818"/>
    <n v="3844"/>
    <n v="3800"/>
    <s v="206.83K"/>
    <n v="-1.8E-3"/>
    <x v="3"/>
    <n v="2"/>
    <n v="7"/>
  </r>
  <r>
    <d v="2023-07-10T00:00:00"/>
    <n v="3767.7"/>
    <n v="3810"/>
    <n v="3834.25"/>
    <n v="3757"/>
    <s v="180.96K"/>
    <n v="-1.0800000000000001E-2"/>
    <x v="3"/>
    <n v="2"/>
    <n v="7"/>
  </r>
  <r>
    <d v="2023-07-11T00:00:00"/>
    <n v="3827.1"/>
    <n v="3786.95"/>
    <n v="3838"/>
    <n v="3772.05"/>
    <s v="175.29K"/>
    <n v="1.5800000000000002E-2"/>
    <x v="3"/>
    <n v="2"/>
    <n v="7"/>
  </r>
  <r>
    <d v="2023-07-12T00:00:00"/>
    <n v="3806.35"/>
    <n v="3847.1"/>
    <n v="3850"/>
    <n v="3790"/>
    <s v="362.07K"/>
    <n v="-5.4000000000000003E-3"/>
    <x v="3"/>
    <n v="2"/>
    <n v="7"/>
  </r>
  <r>
    <d v="2023-07-13T00:00:00"/>
    <n v="3821.65"/>
    <n v="3823"/>
    <n v="3828"/>
    <n v="3795"/>
    <s v="250.71K"/>
    <n v="4.0000000000000001E-3"/>
    <x v="3"/>
    <n v="2"/>
    <n v="7"/>
  </r>
  <r>
    <d v="2023-07-14T00:00:00"/>
    <n v="3838.75"/>
    <n v="3840.8"/>
    <n v="3881.85"/>
    <n v="3782"/>
    <s v="369.70K"/>
    <n v="4.4999999999999997E-3"/>
    <x v="3"/>
    <n v="2"/>
    <n v="7"/>
  </r>
  <r>
    <d v="2023-07-17T00:00:00"/>
    <n v="3713.55"/>
    <n v="3796.85"/>
    <n v="3823.35"/>
    <n v="3700"/>
    <s v="1.05M"/>
    <n v="-3.2599999999999997E-2"/>
    <x v="3"/>
    <n v="2"/>
    <n v="7"/>
  </r>
  <r>
    <d v="2023-07-18T00:00:00"/>
    <n v="3676.5"/>
    <n v="3700"/>
    <n v="3711.95"/>
    <n v="3672"/>
    <s v="499.88K"/>
    <n v="-0.01"/>
    <x v="3"/>
    <n v="2"/>
    <n v="7"/>
  </r>
  <r>
    <d v="2023-07-19T00:00:00"/>
    <n v="3705.85"/>
    <n v="3689.95"/>
    <n v="3720"/>
    <n v="3678.55"/>
    <s v="277.42K"/>
    <n v="8.0000000000000002E-3"/>
    <x v="3"/>
    <n v="2"/>
    <n v="7"/>
  </r>
  <r>
    <d v="2023-07-20T00:00:00"/>
    <n v="3678.8"/>
    <n v="3705.85"/>
    <n v="3713.35"/>
    <n v="3668.05"/>
    <s v="503.72K"/>
    <n v="-7.3000000000000001E-3"/>
    <x v="3"/>
    <n v="2"/>
    <n v="7"/>
  </r>
  <r>
    <d v="2023-07-21T00:00:00"/>
    <n v="3675.7"/>
    <n v="3653"/>
    <n v="3692"/>
    <n v="3643.6"/>
    <s v="369.92K"/>
    <n v="-8.0000000000000004E-4"/>
    <x v="3"/>
    <n v="2"/>
    <n v="7"/>
  </r>
  <r>
    <d v="2023-07-24T00:00:00"/>
    <n v="3668.2"/>
    <n v="3676"/>
    <n v="3680"/>
    <n v="3642.05"/>
    <s v="197.86K"/>
    <n v="-2E-3"/>
    <x v="3"/>
    <n v="2"/>
    <n v="7"/>
  </r>
  <r>
    <d v="2023-07-25T00:00:00"/>
    <n v="3677.05"/>
    <n v="3668.05"/>
    <n v="3701.75"/>
    <n v="3660.05"/>
    <s v="237.64K"/>
    <n v="2.3999999999999998E-3"/>
    <x v="3"/>
    <n v="2"/>
    <n v="7"/>
  </r>
  <r>
    <d v="2023-07-26T00:00:00"/>
    <n v="3712.65"/>
    <n v="3691.55"/>
    <n v="3718.4"/>
    <n v="3672.05"/>
    <s v="182.43K"/>
    <n v="9.7000000000000003E-3"/>
    <x v="3"/>
    <n v="2"/>
    <n v="7"/>
  </r>
  <r>
    <d v="2023-07-27T00:00:00"/>
    <n v="3693.35"/>
    <n v="3717.8"/>
    <n v="3732.15"/>
    <n v="3661.05"/>
    <s v="286.46K"/>
    <n v="-5.1999999999999998E-3"/>
    <x v="3"/>
    <n v="2"/>
    <n v="7"/>
  </r>
  <r>
    <d v="2023-07-28T00:00:00"/>
    <n v="3713.9"/>
    <n v="3704"/>
    <n v="3729"/>
    <n v="3674.05"/>
    <s v="219.19K"/>
    <n v="5.5999999999999999E-3"/>
    <x v="3"/>
    <n v="2"/>
    <n v="7"/>
  </r>
  <r>
    <d v="2023-07-31T00:00:00"/>
    <n v="3752.8"/>
    <n v="3713.05"/>
    <n v="3764"/>
    <n v="3703"/>
    <s v="276.80K"/>
    <n v="1.0500000000000001E-2"/>
    <x v="3"/>
    <n v="2"/>
    <n v="7"/>
  </r>
  <r>
    <d v="2023-08-01T00:00:00"/>
    <n v="3740.3"/>
    <n v="3758.95"/>
    <n v="3768.15"/>
    <n v="3716.2"/>
    <s v="212.46K"/>
    <n v="-3.3E-3"/>
    <x v="3"/>
    <n v="2"/>
    <n v="8"/>
  </r>
  <r>
    <d v="2023-08-02T00:00:00"/>
    <n v="3713.4"/>
    <n v="3750"/>
    <n v="3779.9"/>
    <n v="3690.05"/>
    <s v="206.75K"/>
    <n v="-7.1999999999999998E-3"/>
    <x v="3"/>
    <n v="2"/>
    <n v="8"/>
  </r>
  <r>
    <d v="2023-08-03T00:00:00"/>
    <n v="3699.9"/>
    <n v="3713.4"/>
    <n v="3725"/>
    <n v="3675"/>
    <s v="168.75K"/>
    <n v="-3.5999999999999999E-3"/>
    <x v="3"/>
    <n v="2"/>
    <n v="8"/>
  </r>
  <r>
    <d v="2023-08-04T00:00:00"/>
    <n v="3652.1"/>
    <n v="3699.9"/>
    <n v="3700"/>
    <n v="3640"/>
    <s v="482.85K"/>
    <n v="-1.29E-2"/>
    <x v="3"/>
    <n v="2"/>
    <n v="8"/>
  </r>
  <r>
    <d v="2023-08-07T00:00:00"/>
    <n v="3640.35"/>
    <n v="3661.9"/>
    <n v="3671.25"/>
    <n v="3630.05"/>
    <s v="340.84K"/>
    <n v="-3.2000000000000002E-3"/>
    <x v="3"/>
    <n v="2"/>
    <n v="8"/>
  </r>
  <r>
    <d v="2023-08-08T00:00:00"/>
    <n v="3648.45"/>
    <n v="3660"/>
    <n v="3686.7"/>
    <n v="3635"/>
    <s v="269.12K"/>
    <n v="2.2000000000000001E-3"/>
    <x v="3"/>
    <n v="2"/>
    <n v="8"/>
  </r>
  <r>
    <d v="2023-08-09T00:00:00"/>
    <n v="3628.75"/>
    <n v="3648.45"/>
    <n v="3659.95"/>
    <n v="3615.35"/>
    <s v="257.38K"/>
    <n v="-5.4000000000000003E-3"/>
    <x v="3"/>
    <n v="2"/>
    <n v="8"/>
  </r>
  <r>
    <d v="2023-08-10T00:00:00"/>
    <n v="3598.2"/>
    <n v="3633.95"/>
    <n v="3644.95"/>
    <n v="3587"/>
    <s v="381.56K"/>
    <n v="-8.3999999999999995E-3"/>
    <x v="3"/>
    <n v="2"/>
    <n v="8"/>
  </r>
  <r>
    <d v="2023-08-11T00:00:00"/>
    <n v="3550.05"/>
    <n v="3600"/>
    <n v="3607.85"/>
    <n v="3545"/>
    <s v="740.37K"/>
    <n v="-1.34E-2"/>
    <x v="3"/>
    <n v="2"/>
    <n v="8"/>
  </r>
  <r>
    <d v="2023-08-14T00:00:00"/>
    <n v="3509.3"/>
    <n v="3567.95"/>
    <n v="3567.95"/>
    <n v="3500"/>
    <s v="244.50K"/>
    <n v="-1.15E-2"/>
    <x v="3"/>
    <n v="2"/>
    <n v="8"/>
  </r>
  <r>
    <d v="2023-08-16T00:00:00"/>
    <n v="3499.35"/>
    <n v="3527.95"/>
    <n v="3527.95"/>
    <n v="3491.25"/>
    <s v="321.02K"/>
    <n v="-2.8E-3"/>
    <x v="3"/>
    <n v="2"/>
    <n v="8"/>
  </r>
  <r>
    <d v="2023-08-17T00:00:00"/>
    <n v="3507.65"/>
    <n v="3509.25"/>
    <n v="3552"/>
    <n v="3500"/>
    <s v="805.81K"/>
    <n v="2.3999999999999998E-3"/>
    <x v="3"/>
    <n v="2"/>
    <n v="8"/>
  </r>
  <r>
    <d v="2023-08-18T00:00:00"/>
    <n v="3540.95"/>
    <n v="3510"/>
    <n v="3594.15"/>
    <n v="3501"/>
    <s v="570.31K"/>
    <n v="9.4999999999999998E-3"/>
    <x v="3"/>
    <n v="2"/>
    <n v="8"/>
  </r>
  <r>
    <d v="2023-08-21T00:00:00"/>
    <n v="3547.7"/>
    <n v="3540"/>
    <n v="3565"/>
    <n v="3522"/>
    <s v="319.92K"/>
    <n v="1.9E-3"/>
    <x v="3"/>
    <n v="2"/>
    <n v="8"/>
  </r>
  <r>
    <d v="2023-08-22T00:00:00"/>
    <n v="3568.9"/>
    <n v="3550"/>
    <n v="3582.95"/>
    <n v="3530.55"/>
    <s v="258.02K"/>
    <n v="6.0000000000000001E-3"/>
    <x v="3"/>
    <n v="2"/>
    <n v="8"/>
  </r>
  <r>
    <d v="2023-08-23T00:00:00"/>
    <n v="3539.3"/>
    <n v="3582"/>
    <n v="3582"/>
    <n v="3531.5"/>
    <s v="341.11K"/>
    <n v="-8.3000000000000001E-3"/>
    <x v="3"/>
    <n v="2"/>
    <n v="8"/>
  </r>
  <r>
    <d v="2023-08-24T00:00:00"/>
    <n v="3561.5"/>
    <n v="3550"/>
    <n v="3569.95"/>
    <n v="3545"/>
    <s v="352.85K"/>
    <n v="6.3E-3"/>
    <x v="3"/>
    <n v="2"/>
    <n v="8"/>
  </r>
  <r>
    <d v="2023-08-25T00:00:00"/>
    <n v="3534.6"/>
    <n v="3554"/>
    <n v="3573.65"/>
    <n v="3530.05"/>
    <s v="254.51K"/>
    <n v="-7.6E-3"/>
    <x v="3"/>
    <n v="2"/>
    <n v="8"/>
  </r>
  <r>
    <d v="2023-08-28T00:00:00"/>
    <n v="3592.9"/>
    <n v="3533"/>
    <n v="3635.95"/>
    <n v="3533"/>
    <s v="619.10K"/>
    <n v="1.6500000000000001E-2"/>
    <x v="3"/>
    <n v="2"/>
    <n v="8"/>
  </r>
  <r>
    <d v="2023-08-29T00:00:00"/>
    <n v="3664.35"/>
    <n v="3632"/>
    <n v="3675"/>
    <n v="3615"/>
    <s v="615.53K"/>
    <n v="1.9900000000000001E-2"/>
    <x v="3"/>
    <n v="2"/>
    <n v="8"/>
  </r>
  <r>
    <d v="2023-08-30T00:00:00"/>
    <n v="3736.3"/>
    <n v="3693.95"/>
    <n v="3742.75"/>
    <n v="3684.55"/>
    <s v="440.06K"/>
    <n v="1.9599999999999999E-2"/>
    <x v="3"/>
    <n v="2"/>
    <n v="8"/>
  </r>
  <r>
    <d v="2023-08-31T00:00:00"/>
    <n v="3720.4"/>
    <n v="3736.3"/>
    <n v="3750"/>
    <n v="3680.1"/>
    <s v="672.80K"/>
    <n v="-4.3E-3"/>
    <x v="3"/>
    <n v="2"/>
    <n v="8"/>
  </r>
  <r>
    <d v="2023-09-01T00:00:00"/>
    <n v="3761.05"/>
    <n v="3730"/>
    <n v="3765"/>
    <n v="3716"/>
    <s v="361.00K"/>
    <n v="1.09E-2"/>
    <x v="3"/>
    <n v="2"/>
    <n v="9"/>
  </r>
  <r>
    <d v="2023-09-04T00:00:00"/>
    <n v="3755.75"/>
    <n v="3771.95"/>
    <n v="3781.95"/>
    <n v="3739.1"/>
    <s v="145.38K"/>
    <n v="-1.4E-3"/>
    <x v="3"/>
    <n v="2"/>
    <n v="9"/>
  </r>
  <r>
    <d v="2023-09-05T00:00:00"/>
    <n v="3776.9"/>
    <n v="3759.95"/>
    <n v="3794.95"/>
    <n v="3727.7"/>
    <s v="232.85K"/>
    <n v="5.5999999999999999E-3"/>
    <x v="3"/>
    <n v="2"/>
    <n v="9"/>
  </r>
  <r>
    <d v="2023-09-06T00:00:00"/>
    <n v="3796.8"/>
    <n v="3777"/>
    <n v="3810.2"/>
    <n v="3760.5"/>
    <s v="224.92K"/>
    <n v="5.3E-3"/>
    <x v="3"/>
    <n v="2"/>
    <n v="9"/>
  </r>
  <r>
    <d v="2023-09-07T00:00:00"/>
    <n v="3785.1"/>
    <n v="3815"/>
    <n v="3856.8"/>
    <n v="3770"/>
    <s v="443.56K"/>
    <n v="-3.0999999999999999E-3"/>
    <x v="3"/>
    <n v="2"/>
    <n v="9"/>
  </r>
  <r>
    <d v="2023-09-08T00:00:00"/>
    <n v="3782.4"/>
    <n v="3820"/>
    <n v="3825"/>
    <n v="3776"/>
    <s v="155.20K"/>
    <n v="-6.9999999999999999E-4"/>
    <x v="3"/>
    <n v="2"/>
    <n v="9"/>
  </r>
  <r>
    <d v="2023-09-11T00:00:00"/>
    <n v="3810.75"/>
    <n v="3791.7"/>
    <n v="3815"/>
    <n v="3772.4"/>
    <s v="170.28K"/>
    <n v="7.4999999999999997E-3"/>
    <x v="3"/>
    <n v="2"/>
    <n v="9"/>
  </r>
  <r>
    <d v="2023-09-12T00:00:00"/>
    <n v="3753.25"/>
    <n v="3836"/>
    <n v="3847"/>
    <n v="3740.05"/>
    <s v="289.75K"/>
    <n v="-1.5100000000000001E-2"/>
    <x v="3"/>
    <n v="2"/>
    <n v="9"/>
  </r>
  <r>
    <d v="2023-09-13T00:00:00"/>
    <n v="3813.7"/>
    <n v="3760.95"/>
    <n v="3823.95"/>
    <n v="3731.2"/>
    <s v="282.45K"/>
    <n v="1.61E-2"/>
    <x v="3"/>
    <n v="2"/>
    <n v="9"/>
  </r>
  <r>
    <d v="2023-09-14T00:00:00"/>
    <n v="3808.05"/>
    <n v="3845"/>
    <n v="3850"/>
    <n v="3775"/>
    <s v="281.68K"/>
    <n v="-1.5E-3"/>
    <x v="3"/>
    <n v="2"/>
    <n v="9"/>
  </r>
  <r>
    <d v="2023-09-15T00:00:00"/>
    <n v="3796"/>
    <n v="3819.85"/>
    <n v="3820"/>
    <n v="3770"/>
    <s v="252.02K"/>
    <n v="-3.2000000000000002E-3"/>
    <x v="3"/>
    <n v="2"/>
    <n v="9"/>
  </r>
  <r>
    <d v="2023-09-18T00:00:00"/>
    <n v="3797.9"/>
    <n v="3795.8"/>
    <n v="3810"/>
    <n v="3771.25"/>
    <s v="114.21K"/>
    <n v="5.0000000000000001E-4"/>
    <x v="3"/>
    <n v="2"/>
    <n v="9"/>
  </r>
  <r>
    <d v="2023-09-20T00:00:00"/>
    <n v="3729.4"/>
    <n v="3789.95"/>
    <n v="3789.95"/>
    <n v="3715.5"/>
    <s v="182.67K"/>
    <n v="-1.7999999999999999E-2"/>
    <x v="3"/>
    <n v="2"/>
    <n v="9"/>
  </r>
  <r>
    <d v="2023-09-21T00:00:00"/>
    <n v="3686.95"/>
    <n v="3747"/>
    <n v="3775"/>
    <n v="3679"/>
    <s v="191.01K"/>
    <n v="-1.14E-2"/>
    <x v="3"/>
    <n v="2"/>
    <n v="9"/>
  </r>
  <r>
    <d v="2023-09-22T00:00:00"/>
    <n v="3689.1"/>
    <n v="3687"/>
    <n v="3717.55"/>
    <n v="3653.95"/>
    <s v="148.10K"/>
    <n v="5.9999999999999995E-4"/>
    <x v="3"/>
    <n v="2"/>
    <n v="9"/>
  </r>
  <r>
    <d v="2023-09-25T00:00:00"/>
    <n v="3664.1"/>
    <n v="3700"/>
    <n v="3702.95"/>
    <n v="3656.2"/>
    <s v="112.47K"/>
    <n v="-6.7999999999999996E-3"/>
    <x v="3"/>
    <n v="2"/>
    <n v="9"/>
  </r>
  <r>
    <d v="2023-09-26T00:00:00"/>
    <n v="3633.6"/>
    <n v="3664.1"/>
    <n v="3680.95"/>
    <n v="3625"/>
    <s v="170.69K"/>
    <n v="-8.3000000000000001E-3"/>
    <x v="3"/>
    <n v="2"/>
    <n v="9"/>
  </r>
  <r>
    <d v="2023-09-27T00:00:00"/>
    <n v="3640.7"/>
    <n v="3650"/>
    <n v="3669"/>
    <n v="3625"/>
    <s v="427.21K"/>
    <n v="2E-3"/>
    <x v="3"/>
    <n v="2"/>
    <n v="9"/>
  </r>
  <r>
    <d v="2023-09-28T00:00:00"/>
    <n v="3671.05"/>
    <n v="3692"/>
    <n v="3692"/>
    <n v="3651"/>
    <s v="451.17K"/>
    <n v="8.3000000000000001E-3"/>
    <x v="3"/>
    <n v="2"/>
    <n v="9"/>
  </r>
  <r>
    <d v="2023-09-29T00:00:00"/>
    <n v="3675.6"/>
    <n v="3671.05"/>
    <n v="3698"/>
    <n v="3651.3"/>
    <s v="321.46K"/>
    <n v="1.1999999999999999E-3"/>
    <x v="3"/>
    <n v="2"/>
    <n v="9"/>
  </r>
  <r>
    <d v="2023-10-03T00:00:00"/>
    <n v="3725.7"/>
    <n v="3675.4"/>
    <n v="3740.25"/>
    <n v="3616"/>
    <s v="235.05K"/>
    <n v="1.3599999999999999E-2"/>
    <x v="3"/>
    <n v="3"/>
    <n v="10"/>
  </r>
  <r>
    <d v="2023-10-04T00:00:00"/>
    <n v="3872.95"/>
    <n v="3760"/>
    <n v="3909.95"/>
    <n v="3760"/>
    <s v="1.74M"/>
    <n v="3.95E-2"/>
    <x v="3"/>
    <n v="3"/>
    <n v="10"/>
  </r>
  <r>
    <d v="2023-10-05T00:00:00"/>
    <n v="3861.5"/>
    <n v="3880"/>
    <n v="3938.4"/>
    <n v="3842.05"/>
    <s v="607.63K"/>
    <n v="-3.0000000000000001E-3"/>
    <x v="3"/>
    <n v="3"/>
    <n v="10"/>
  </r>
  <r>
    <d v="2023-10-06T00:00:00"/>
    <n v="3833.95"/>
    <n v="3860"/>
    <n v="3890.8"/>
    <n v="3786.75"/>
    <s v="345.06K"/>
    <n v="-7.1000000000000004E-3"/>
    <x v="3"/>
    <n v="3"/>
    <n v="10"/>
  </r>
  <r>
    <d v="2023-10-09T00:00:00"/>
    <n v="3798.6"/>
    <n v="3809.6"/>
    <n v="3818"/>
    <n v="3771"/>
    <s v="278.93K"/>
    <n v="-9.1999999999999998E-3"/>
    <x v="3"/>
    <n v="3"/>
    <n v="10"/>
  </r>
  <r>
    <d v="2023-10-10T00:00:00"/>
    <n v="3793.8"/>
    <n v="3809.95"/>
    <n v="3829.85"/>
    <n v="3775.55"/>
    <s v="284.84K"/>
    <n v="-1.2999999999999999E-3"/>
    <x v="3"/>
    <n v="3"/>
    <n v="10"/>
  </r>
  <r>
    <d v="2023-10-11T00:00:00"/>
    <n v="3852.05"/>
    <n v="3812.5"/>
    <n v="3889"/>
    <n v="3804.3"/>
    <s v="304.83K"/>
    <n v="1.54E-2"/>
    <x v="3"/>
    <n v="3"/>
    <n v="10"/>
  </r>
  <r>
    <d v="2023-10-12T00:00:00"/>
    <n v="3862.75"/>
    <n v="3874.8"/>
    <n v="3890"/>
    <n v="3820.3"/>
    <s v="226.26K"/>
    <n v="2.8E-3"/>
    <x v="3"/>
    <n v="3"/>
    <n v="10"/>
  </r>
  <r>
    <d v="2023-10-13T00:00:00"/>
    <n v="3935.85"/>
    <n v="3853.95"/>
    <n v="3941"/>
    <n v="3836.05"/>
    <s v="554.57K"/>
    <n v="1.89E-2"/>
    <x v="3"/>
    <n v="3"/>
    <n v="10"/>
  </r>
  <r>
    <d v="2023-10-16T00:00:00"/>
    <n v="3856.8"/>
    <n v="3825.05"/>
    <n v="3873.9"/>
    <n v="3772.75"/>
    <s v="1.10M"/>
    <n v="-2.01E-2"/>
    <x v="3"/>
    <n v="3"/>
    <n v="10"/>
  </r>
  <r>
    <d v="2023-10-17T00:00:00"/>
    <n v="3842.85"/>
    <n v="3879.15"/>
    <n v="3885"/>
    <n v="3834.3"/>
    <s v="394.33K"/>
    <n v="-3.5999999999999999E-3"/>
    <x v="3"/>
    <n v="3"/>
    <n v="10"/>
  </r>
  <r>
    <d v="2023-10-18T00:00:00"/>
    <n v="3795.95"/>
    <n v="3842.85"/>
    <n v="3853.1"/>
    <n v="3776.25"/>
    <s v="356.32K"/>
    <n v="-1.2200000000000001E-2"/>
    <x v="3"/>
    <n v="3"/>
    <n v="10"/>
  </r>
  <r>
    <d v="2023-10-19T00:00:00"/>
    <n v="3766.85"/>
    <n v="3790"/>
    <n v="3790"/>
    <n v="3746.85"/>
    <s v="168.08K"/>
    <n v="-7.7000000000000002E-3"/>
    <x v="3"/>
    <n v="3"/>
    <n v="10"/>
  </r>
  <r>
    <d v="2023-10-20T00:00:00"/>
    <n v="3749.5"/>
    <n v="3760.05"/>
    <n v="3780.95"/>
    <n v="3742.1"/>
    <s v="200.04K"/>
    <n v="-4.5999999999999999E-3"/>
    <x v="3"/>
    <n v="3"/>
    <n v="10"/>
  </r>
  <r>
    <d v="2023-10-23T00:00:00"/>
    <n v="3668.95"/>
    <n v="3750.05"/>
    <n v="3768"/>
    <n v="3641.35"/>
    <s v="297.13K"/>
    <n v="-2.1499999999999998E-2"/>
    <x v="3"/>
    <n v="3"/>
    <n v="10"/>
  </r>
  <r>
    <d v="2023-10-25T00:00:00"/>
    <n v="3740.55"/>
    <n v="3685"/>
    <n v="3755"/>
    <n v="3620.1"/>
    <s v="333.02K"/>
    <n v="1.95E-2"/>
    <x v="3"/>
    <n v="3"/>
    <n v="10"/>
  </r>
  <r>
    <d v="2023-10-26T00:00:00"/>
    <n v="3684.65"/>
    <n v="3728.05"/>
    <n v="3731.95"/>
    <n v="3662"/>
    <s v="289.96K"/>
    <n v="-1.49E-2"/>
    <x v="3"/>
    <n v="3"/>
    <n v="10"/>
  </r>
  <r>
    <d v="2023-10-27T00:00:00"/>
    <n v="3665.45"/>
    <n v="3700"/>
    <n v="3758"/>
    <n v="3651"/>
    <s v="365.48K"/>
    <n v="-5.1999999999999998E-3"/>
    <x v="3"/>
    <n v="3"/>
    <n v="10"/>
  </r>
  <r>
    <d v="2023-10-30T00:00:00"/>
    <n v="3646.65"/>
    <n v="3686.7"/>
    <n v="3688"/>
    <n v="3624.25"/>
    <s v="254.30K"/>
    <n v="-5.1000000000000004E-3"/>
    <x v="3"/>
    <n v="3"/>
    <n v="10"/>
  </r>
  <r>
    <d v="2023-10-31T00:00:00"/>
    <n v="3633.4"/>
    <n v="3657.65"/>
    <n v="3671.25"/>
    <n v="3620"/>
    <s v="820.39K"/>
    <n v="-3.5999999999999999E-3"/>
    <x v="3"/>
    <n v="3"/>
    <n v="10"/>
  </r>
  <r>
    <d v="2023-11-01T00:00:00"/>
    <n v="3639.45"/>
    <n v="3637.5"/>
    <n v="3660.6"/>
    <n v="3621"/>
    <s v="242.47K"/>
    <n v="1.6999999999999999E-3"/>
    <x v="3"/>
    <n v="3"/>
    <n v="11"/>
  </r>
  <r>
    <d v="2023-11-02T00:00:00"/>
    <n v="3647.45"/>
    <n v="3639"/>
    <n v="3677.95"/>
    <n v="3624.15"/>
    <s v="216.10K"/>
    <n v="2.2000000000000001E-3"/>
    <x v="3"/>
    <n v="3"/>
    <n v="11"/>
  </r>
  <r>
    <d v="2023-11-03T00:00:00"/>
    <n v="3649.7"/>
    <n v="3667.6"/>
    <n v="3667.6"/>
    <n v="3621.25"/>
    <s v="316.18K"/>
    <n v="5.9999999999999995E-4"/>
    <x v="3"/>
    <n v="3"/>
    <n v="11"/>
  </r>
  <r>
    <d v="2023-11-06T00:00:00"/>
    <n v="3649.55"/>
    <n v="3654.55"/>
    <n v="3692.9"/>
    <n v="3635.3"/>
    <s v="277.25K"/>
    <n v="0"/>
    <x v="3"/>
    <n v="3"/>
    <n v="11"/>
  </r>
  <r>
    <d v="2023-11-07T00:00:00"/>
    <n v="3653.3"/>
    <n v="3649.5"/>
    <n v="3667.95"/>
    <n v="3636"/>
    <s v="287.03K"/>
    <n v="1E-3"/>
    <x v="3"/>
    <n v="3"/>
    <n v="11"/>
  </r>
  <r>
    <d v="2023-11-08T00:00:00"/>
    <n v="3712.4"/>
    <n v="3658"/>
    <n v="3727.95"/>
    <n v="3658"/>
    <s v="246.72K"/>
    <n v="1.6199999999999999E-2"/>
    <x v="3"/>
    <n v="3"/>
    <n v="11"/>
  </r>
  <r>
    <d v="2023-11-09T00:00:00"/>
    <n v="3747.6"/>
    <n v="3733.9"/>
    <n v="3765"/>
    <n v="3725"/>
    <s v="248.75K"/>
    <n v="9.4999999999999998E-3"/>
    <x v="3"/>
    <n v="3"/>
    <n v="11"/>
  </r>
  <r>
    <d v="2023-11-10T00:00:00"/>
    <n v="3798.4"/>
    <n v="3750"/>
    <n v="3800"/>
    <n v="3738.55"/>
    <s v="205.43K"/>
    <n v="1.3599999999999999E-2"/>
    <x v="3"/>
    <n v="3"/>
    <n v="11"/>
  </r>
  <r>
    <d v="2023-11-12T00:00:00"/>
    <n v="3802.7"/>
    <n v="3815"/>
    <n v="3824.85"/>
    <n v="3800"/>
    <s v="40.14K"/>
    <n v="1.1000000000000001E-3"/>
    <x v="3"/>
    <n v="3"/>
    <n v="11"/>
  </r>
  <r>
    <d v="2023-11-13T00:00:00"/>
    <n v="3798.45"/>
    <n v="3809.95"/>
    <n v="3819.8"/>
    <n v="3740.2"/>
    <s v="166.50K"/>
    <n v="-1.1000000000000001E-3"/>
    <x v="3"/>
    <n v="3"/>
    <n v="11"/>
  </r>
  <r>
    <d v="2023-11-15T00:00:00"/>
    <n v="3791.95"/>
    <n v="3810"/>
    <n v="3814.95"/>
    <n v="3750.1"/>
    <s v="372.29K"/>
    <n v="-1.6999999999999999E-3"/>
    <x v="3"/>
    <n v="3"/>
    <n v="11"/>
  </r>
  <r>
    <d v="2023-11-16T00:00:00"/>
    <n v="3790.25"/>
    <n v="3795"/>
    <n v="3800"/>
    <n v="3765"/>
    <s v="148.95K"/>
    <n v="-4.0000000000000002E-4"/>
    <x v="3"/>
    <n v="3"/>
    <n v="11"/>
  </r>
  <r>
    <d v="2023-11-17T00:00:00"/>
    <n v="3810.9"/>
    <n v="3794.95"/>
    <n v="3843"/>
    <n v="3780"/>
    <s v="266.48K"/>
    <n v="5.4000000000000003E-3"/>
    <x v="3"/>
    <n v="3"/>
    <n v="11"/>
  </r>
  <r>
    <d v="2023-11-20T00:00:00"/>
    <n v="3792.9"/>
    <n v="3810.9"/>
    <n v="3833"/>
    <n v="3771.7"/>
    <s v="253.00K"/>
    <n v="-4.7000000000000002E-3"/>
    <x v="3"/>
    <n v="3"/>
    <n v="11"/>
  </r>
  <r>
    <d v="2023-11-21T00:00:00"/>
    <n v="3814.95"/>
    <n v="3796"/>
    <n v="3842"/>
    <n v="3796"/>
    <s v="196.06K"/>
    <n v="5.7999999999999996E-3"/>
    <x v="3"/>
    <n v="3"/>
    <n v="11"/>
  </r>
  <r>
    <d v="2023-11-22T00:00:00"/>
    <n v="3838.25"/>
    <n v="3820"/>
    <n v="3873.85"/>
    <n v="3812.35"/>
    <s v="200.61K"/>
    <n v="6.1000000000000004E-3"/>
    <x v="3"/>
    <n v="3"/>
    <n v="11"/>
  </r>
  <r>
    <d v="2023-11-23T00:00:00"/>
    <n v="3844.4"/>
    <n v="3848"/>
    <n v="3865"/>
    <n v="3798.95"/>
    <s v="201.01K"/>
    <n v="1.6000000000000001E-3"/>
    <x v="3"/>
    <n v="3"/>
    <n v="11"/>
  </r>
  <r>
    <d v="2023-11-24T00:00:00"/>
    <n v="3842.9"/>
    <n v="3820"/>
    <n v="3869"/>
    <n v="3799"/>
    <s v="96.39K"/>
    <n v="-4.0000000000000002E-4"/>
    <x v="3"/>
    <n v="3"/>
    <n v="11"/>
  </r>
  <r>
    <d v="2023-11-28T00:00:00"/>
    <n v="3912.15"/>
    <n v="3815"/>
    <n v="3934"/>
    <n v="3815"/>
    <s v="449.71K"/>
    <n v="1.7999999999999999E-2"/>
    <x v="3"/>
    <n v="3"/>
    <n v="11"/>
  </r>
  <r>
    <d v="2023-11-29T00:00:00"/>
    <n v="3861.5"/>
    <n v="3915"/>
    <n v="3937"/>
    <n v="3841"/>
    <s v="333.85K"/>
    <n v="-1.29E-2"/>
    <x v="3"/>
    <n v="3"/>
    <n v="11"/>
  </r>
  <r>
    <d v="2023-11-30T00:00:00"/>
    <n v="3949.75"/>
    <n v="3878"/>
    <n v="3962"/>
    <n v="3834"/>
    <s v="698.85K"/>
    <n v="2.29E-2"/>
    <x v="3"/>
    <n v="3"/>
    <n v="11"/>
  </r>
  <r>
    <d v="2023-12-01T00:00:00"/>
    <n v="3988.4"/>
    <n v="3969.65"/>
    <n v="3995"/>
    <n v="3931.15"/>
    <s v="380.04K"/>
    <n v="9.7999999999999997E-3"/>
    <x v="3"/>
    <n v="3"/>
    <n v="12"/>
  </r>
  <r>
    <d v="2023-12-04T00:00:00"/>
    <n v="3967.1"/>
    <n v="4000"/>
    <n v="4049"/>
    <n v="3950.05"/>
    <s v="389.63K"/>
    <n v="-5.3E-3"/>
    <x v="3"/>
    <n v="3"/>
    <n v="12"/>
  </r>
  <r>
    <d v="2023-12-05T00:00:00"/>
    <n v="4039.55"/>
    <n v="3950"/>
    <n v="4041"/>
    <n v="3949"/>
    <s v="443.42K"/>
    <n v="1.83E-2"/>
    <x v="3"/>
    <n v="3"/>
    <n v="12"/>
  </r>
  <r>
    <d v="2023-12-06T00:00:00"/>
    <n v="4137.1499999999996"/>
    <n v="4039.55"/>
    <n v="4175"/>
    <n v="4039"/>
    <s v="861.09K"/>
    <n v="2.4199999999999999E-2"/>
    <x v="3"/>
    <n v="3"/>
    <n v="12"/>
  </r>
  <r>
    <d v="2023-12-07T00:00:00"/>
    <n v="4115.45"/>
    <n v="4140.05"/>
    <n v="4206"/>
    <n v="4095"/>
    <s v="414.58K"/>
    <n v="-5.1999999999999998E-3"/>
    <x v="3"/>
    <n v="3"/>
    <n v="12"/>
  </r>
  <r>
    <d v="2023-12-08T00:00:00"/>
    <n v="4070.65"/>
    <n v="4155.95"/>
    <n v="4170"/>
    <n v="4027.65"/>
    <s v="495.58K"/>
    <n v="-1.09E-2"/>
    <x v="3"/>
    <n v="3"/>
    <n v="12"/>
  </r>
  <r>
    <d v="2023-12-11T00:00:00"/>
    <n v="4069.75"/>
    <n v="4070.65"/>
    <n v="4075"/>
    <n v="4025.05"/>
    <s v="239.94K"/>
    <n v="-2.0000000000000001E-4"/>
    <x v="3"/>
    <n v="3"/>
    <n v="12"/>
  </r>
  <r>
    <d v="2023-12-12T00:00:00"/>
    <n v="4075.4"/>
    <n v="4080.9"/>
    <n v="4100"/>
    <n v="4038.1"/>
    <s v="349.45K"/>
    <n v="1.4E-3"/>
    <x v="3"/>
    <n v="3"/>
    <n v="12"/>
  </r>
  <r>
    <d v="2023-12-13T00:00:00"/>
    <n v="4033.05"/>
    <n v="4075"/>
    <n v="4075.4"/>
    <n v="3945.1"/>
    <s v="388.57K"/>
    <n v="-1.04E-2"/>
    <x v="3"/>
    <n v="3"/>
    <n v="12"/>
  </r>
  <r>
    <d v="2023-12-14T00:00:00"/>
    <n v="4070.05"/>
    <n v="4044.95"/>
    <n v="4081"/>
    <n v="3996.05"/>
    <s v="264.68K"/>
    <n v="9.1999999999999998E-3"/>
    <x v="3"/>
    <n v="3"/>
    <n v="12"/>
  </r>
  <r>
    <d v="2023-12-15T00:00:00"/>
    <n v="4045.65"/>
    <n v="4085"/>
    <n v="4097.8999999999996"/>
    <n v="4017"/>
    <s v="300.27K"/>
    <n v="-6.0000000000000001E-3"/>
    <x v="3"/>
    <n v="3"/>
    <n v="12"/>
  </r>
  <r>
    <d v="2023-12-18T00:00:00"/>
    <n v="4010.15"/>
    <n v="4045"/>
    <n v="4079.8"/>
    <n v="4000"/>
    <s v="221.53K"/>
    <n v="-8.8000000000000005E-3"/>
    <x v="3"/>
    <n v="3"/>
    <n v="12"/>
  </r>
  <r>
    <d v="2023-12-19T00:00:00"/>
    <n v="4021.35"/>
    <n v="4010"/>
    <n v="4048.95"/>
    <n v="3990.25"/>
    <s v="185.00K"/>
    <n v="2.8E-3"/>
    <x v="3"/>
    <n v="3"/>
    <n v="12"/>
  </r>
  <r>
    <d v="2023-12-20T00:00:00"/>
    <n v="3965.9"/>
    <n v="4011"/>
    <n v="4046.45"/>
    <n v="3905"/>
    <s v="244.86K"/>
    <n v="-1.38E-2"/>
    <x v="3"/>
    <n v="3"/>
    <n v="12"/>
  </r>
  <r>
    <d v="2023-12-21T00:00:00"/>
    <n v="3954.5"/>
    <n v="3950"/>
    <n v="4009.9"/>
    <n v="3920.05"/>
    <s v="286.85K"/>
    <n v="-2.8999999999999998E-3"/>
    <x v="3"/>
    <n v="3"/>
    <n v="12"/>
  </r>
  <r>
    <d v="2023-12-22T00:00:00"/>
    <n v="4007.95"/>
    <n v="3977.95"/>
    <n v="4015"/>
    <n v="3962.05"/>
    <s v="224.83K"/>
    <n v="1.35E-2"/>
    <x v="3"/>
    <n v="3"/>
    <n v="12"/>
  </r>
  <r>
    <d v="2023-12-26T00:00:00"/>
    <n v="4023.45"/>
    <n v="4009.95"/>
    <n v="4038.2"/>
    <n v="3995.35"/>
    <s v="299.14K"/>
    <n v="3.8999999999999998E-3"/>
    <x v="3"/>
    <n v="3"/>
    <n v="12"/>
  </r>
  <r>
    <d v="2023-12-27T00:00:00"/>
    <n v="4027.45"/>
    <n v="4020"/>
    <n v="4063.3"/>
    <n v="4000"/>
    <s v="349.03K"/>
    <n v="1E-3"/>
    <x v="3"/>
    <n v="3"/>
    <n v="12"/>
  </r>
  <r>
    <d v="2023-12-28T00:00:00"/>
    <n v="4044.65"/>
    <n v="4048.9"/>
    <n v="4058.4"/>
    <n v="4015"/>
    <s v="403.87K"/>
    <n v="4.3E-3"/>
    <x v="3"/>
    <n v="3"/>
    <n v="12"/>
  </r>
  <r>
    <d v="2023-12-29T00:00:00"/>
    <n v="4082.65"/>
    <n v="4045.1"/>
    <n v="4098.8999999999996"/>
    <n v="3984.2"/>
    <s v="224.99K"/>
    <n v="9.4000000000000004E-3"/>
    <x v="3"/>
    <n v="3"/>
    <n v="12"/>
  </r>
  <r>
    <d v="2024-01-01T00:00:00"/>
    <n v="4064.75"/>
    <n v="4075"/>
    <n v="4080"/>
    <n v="4042.1"/>
    <s v="131.61K"/>
    <n v="-4.4000000000000003E-3"/>
    <x v="4"/>
    <n v="4"/>
    <n v="1"/>
  </r>
  <r>
    <d v="2024-01-02T00:00:00"/>
    <n v="4103.3500000000004"/>
    <n v="4070"/>
    <n v="4155"/>
    <n v="4006.25"/>
    <s v="843.25K"/>
    <n v="9.4999999999999998E-3"/>
    <x v="4"/>
    <n v="4"/>
    <n v="1"/>
  </r>
  <r>
    <d v="2024-01-03T00:00:00"/>
    <n v="3932.35"/>
    <n v="4080"/>
    <n v="4080"/>
    <n v="3919.4"/>
    <s v="964.47K"/>
    <n v="-4.1700000000000001E-2"/>
    <x v="4"/>
    <n v="4"/>
    <n v="1"/>
  </r>
  <r>
    <d v="2024-01-04T00:00:00"/>
    <n v="3897.85"/>
    <n v="3965"/>
    <n v="3965"/>
    <n v="3888"/>
    <s v="754.49K"/>
    <n v="-8.8000000000000005E-3"/>
    <x v="4"/>
    <n v="4"/>
    <n v="1"/>
  </r>
  <r>
    <d v="2024-01-05T00:00:00"/>
    <n v="3863.5"/>
    <n v="3902"/>
    <n v="3940"/>
    <n v="3810"/>
    <s v="513.82K"/>
    <n v="-8.8000000000000005E-3"/>
    <x v="4"/>
    <n v="4"/>
    <n v="1"/>
  </r>
  <r>
    <d v="2024-01-08T00:00:00"/>
    <n v="3804.4"/>
    <n v="3893.95"/>
    <n v="3919.9"/>
    <n v="3791"/>
    <s v="692.90K"/>
    <n v="-1.5299999999999999E-2"/>
    <x v="4"/>
    <n v="4"/>
    <n v="1"/>
  </r>
  <r>
    <d v="2024-01-09T00:00:00"/>
    <n v="3810.75"/>
    <n v="3810.1"/>
    <n v="3850"/>
    <n v="3787"/>
    <s v="440.69K"/>
    <n v="1.6999999999999999E-3"/>
    <x v="4"/>
    <n v="4"/>
    <n v="1"/>
  </r>
  <r>
    <d v="2024-01-10T00:00:00"/>
    <n v="3822"/>
    <n v="3818.9"/>
    <n v="3837.95"/>
    <n v="3792.35"/>
    <s v="338.25K"/>
    <n v="3.0000000000000001E-3"/>
    <x v="4"/>
    <n v="4"/>
    <n v="1"/>
  </r>
  <r>
    <d v="2024-01-11T00:00:00"/>
    <n v="3821.35"/>
    <n v="3845"/>
    <n v="3845"/>
    <n v="3805"/>
    <s v="213.49K"/>
    <n v="-2.0000000000000001E-4"/>
    <x v="4"/>
    <n v="4"/>
    <n v="1"/>
  </r>
  <r>
    <d v="2024-01-12T00:00:00"/>
    <n v="3841"/>
    <n v="3827.95"/>
    <n v="3848"/>
    <n v="3794.1"/>
    <s v="456.63K"/>
    <n v="5.1000000000000004E-3"/>
    <x v="4"/>
    <n v="4"/>
    <n v="1"/>
  </r>
  <r>
    <d v="2024-01-15T00:00:00"/>
    <n v="3858.25"/>
    <n v="3924.95"/>
    <n v="3933"/>
    <n v="3851"/>
    <s v="505.10K"/>
    <n v="4.4999999999999997E-3"/>
    <x v="4"/>
    <n v="4"/>
    <n v="1"/>
  </r>
  <r>
    <d v="2024-01-16T00:00:00"/>
    <n v="3828.3"/>
    <n v="3860"/>
    <n v="3865"/>
    <n v="3807"/>
    <s v="445.67K"/>
    <n v="-7.7999999999999996E-3"/>
    <x v="4"/>
    <n v="4"/>
    <n v="1"/>
  </r>
  <r>
    <d v="2024-01-17T00:00:00"/>
    <n v="3786.45"/>
    <n v="3750"/>
    <n v="3811.9"/>
    <n v="3750"/>
    <s v="516.40K"/>
    <n v="-1.09E-2"/>
    <x v="4"/>
    <n v="4"/>
    <n v="1"/>
  </r>
  <r>
    <d v="2024-01-18T00:00:00"/>
    <n v="3748.85"/>
    <n v="3786.45"/>
    <n v="3790"/>
    <n v="3740"/>
    <s v="489.75K"/>
    <n v="-9.9000000000000008E-3"/>
    <x v="4"/>
    <n v="4"/>
    <n v="1"/>
  </r>
  <r>
    <d v="2024-01-19T00:00:00"/>
    <n v="3731.7"/>
    <n v="3762.95"/>
    <n v="3768.7"/>
    <n v="3704.5"/>
    <s v="565.53K"/>
    <n v="-4.5999999999999999E-3"/>
    <x v="4"/>
    <n v="4"/>
    <n v="1"/>
  </r>
  <r>
    <d v="2024-01-20T00:00:00"/>
    <n v="3681"/>
    <n v="3714.7"/>
    <n v="3714.7"/>
    <n v="3667.2"/>
    <s v="340.14K"/>
    <n v="-1.3599999999999999E-2"/>
    <x v="4"/>
    <n v="4"/>
    <n v="1"/>
  </r>
  <r>
    <d v="2024-01-23T00:00:00"/>
    <n v="3675.9"/>
    <n v="3675"/>
    <n v="3714"/>
    <n v="3651.05"/>
    <s v="299.75K"/>
    <n v="-1.4E-3"/>
    <x v="4"/>
    <n v="4"/>
    <n v="1"/>
  </r>
  <r>
    <d v="2024-01-24T00:00:00"/>
    <n v="3727.75"/>
    <n v="3675.9"/>
    <n v="3748"/>
    <n v="3646.05"/>
    <s v="316.65K"/>
    <n v="1.41E-2"/>
    <x v="4"/>
    <n v="4"/>
    <n v="1"/>
  </r>
  <r>
    <d v="2024-01-25T00:00:00"/>
    <n v="3734.25"/>
    <n v="3731"/>
    <n v="3750"/>
    <n v="3695.5"/>
    <s v="200.27K"/>
    <n v="1.6999999999999999E-3"/>
    <x v="4"/>
    <n v="4"/>
    <n v="1"/>
  </r>
  <r>
    <d v="2024-01-29T00:00:00"/>
    <n v="3749.4"/>
    <n v="3700"/>
    <n v="3764.2"/>
    <n v="3689"/>
    <s v="216.52K"/>
    <n v="4.1000000000000003E-3"/>
    <x v="4"/>
    <n v="4"/>
    <n v="1"/>
  </r>
  <r>
    <d v="2024-01-30T00:00:00"/>
    <n v="3687.3"/>
    <n v="3740"/>
    <n v="3772.85"/>
    <n v="3680"/>
    <s v="263.27K"/>
    <n v="-1.66E-2"/>
    <x v="4"/>
    <n v="4"/>
    <n v="1"/>
  </r>
  <r>
    <d v="2024-01-31T00:00:00"/>
    <n v="3792.7"/>
    <n v="3680"/>
    <n v="3821.4"/>
    <n v="3652.75"/>
    <s v="353.88K"/>
    <n v="2.86E-2"/>
    <x v="4"/>
    <n v="4"/>
    <n v="1"/>
  </r>
  <r>
    <d v="2024-02-01T00:00:00"/>
    <n v="3808.2"/>
    <n v="3810"/>
    <n v="3826.6"/>
    <n v="3772"/>
    <s v="188.30K"/>
    <n v="4.1000000000000003E-3"/>
    <x v="4"/>
    <n v="4"/>
    <n v="2"/>
  </r>
  <r>
    <d v="2024-02-02T00:00:00"/>
    <n v="3784.3"/>
    <n v="3808.2"/>
    <n v="3815"/>
    <n v="3770"/>
    <s v="186.32K"/>
    <n v="-6.3E-3"/>
    <x v="4"/>
    <n v="4"/>
    <n v="2"/>
  </r>
  <r>
    <d v="2024-02-05T00:00:00"/>
    <n v="3729.6"/>
    <n v="3785"/>
    <n v="3791.55"/>
    <n v="3720.05"/>
    <s v="216.05K"/>
    <n v="-1.4500000000000001E-2"/>
    <x v="4"/>
    <n v="4"/>
    <n v="2"/>
  </r>
  <r>
    <d v="2024-02-06T00:00:00"/>
    <n v="3727.4"/>
    <n v="3730"/>
    <n v="3737.7"/>
    <n v="3702.05"/>
    <s v="148.11K"/>
    <n v="-5.9999999999999995E-4"/>
    <x v="4"/>
    <n v="4"/>
    <n v="2"/>
  </r>
  <r>
    <d v="2024-02-07T00:00:00"/>
    <n v="3717.7"/>
    <n v="3759"/>
    <n v="3785"/>
    <n v="3703"/>
    <s v="173.09K"/>
    <n v="-2.5999999999999999E-3"/>
    <x v="4"/>
    <n v="4"/>
    <n v="2"/>
  </r>
  <r>
    <d v="2024-02-08T00:00:00"/>
    <n v="3731.05"/>
    <n v="3718.95"/>
    <n v="3787.95"/>
    <n v="3715"/>
    <s v="261.69K"/>
    <n v="3.5999999999999999E-3"/>
    <x v="4"/>
    <n v="4"/>
    <n v="2"/>
  </r>
  <r>
    <d v="2024-02-09T00:00:00"/>
    <n v="3719.2"/>
    <n v="3732.15"/>
    <n v="3758"/>
    <n v="3699"/>
    <s v="306.43K"/>
    <n v="-3.2000000000000002E-3"/>
    <x v="4"/>
    <n v="4"/>
    <n v="2"/>
  </r>
  <r>
    <d v="2024-02-12T00:00:00"/>
    <n v="3675.6"/>
    <n v="3719.2"/>
    <n v="3734.95"/>
    <n v="3644.3"/>
    <s v="199.15K"/>
    <n v="-1.17E-2"/>
    <x v="4"/>
    <n v="4"/>
    <n v="2"/>
  </r>
  <r>
    <d v="2024-02-13T00:00:00"/>
    <n v="3703.2"/>
    <n v="3685.05"/>
    <n v="3728"/>
    <n v="3660.9"/>
    <s v="294.14K"/>
    <n v="7.4999999999999997E-3"/>
    <x v="4"/>
    <n v="4"/>
    <n v="2"/>
  </r>
  <r>
    <d v="2024-02-14T00:00:00"/>
    <n v="3722.4"/>
    <n v="3700"/>
    <n v="3739"/>
    <n v="3691.05"/>
    <s v="257.69K"/>
    <n v="5.1999999999999998E-3"/>
    <x v="4"/>
    <n v="4"/>
    <n v="2"/>
  </r>
  <r>
    <d v="2024-02-15T00:00:00"/>
    <n v="3678.6"/>
    <n v="3722.4"/>
    <n v="3729.95"/>
    <n v="3671.35"/>
    <s v="507.42K"/>
    <n v="-1.18E-2"/>
    <x v="4"/>
    <n v="4"/>
    <n v="2"/>
  </r>
  <r>
    <d v="2024-02-16T00:00:00"/>
    <n v="3693.3"/>
    <n v="3698.6"/>
    <n v="3724.65"/>
    <n v="3665.1"/>
    <s v="726.60K"/>
    <n v="4.0000000000000001E-3"/>
    <x v="4"/>
    <n v="4"/>
    <n v="2"/>
  </r>
  <r>
    <d v="2024-02-19T00:00:00"/>
    <n v="3707.25"/>
    <n v="3673.3"/>
    <n v="3722"/>
    <n v="3673.3"/>
    <s v="226.67K"/>
    <n v="3.8E-3"/>
    <x v="4"/>
    <n v="4"/>
    <n v="2"/>
  </r>
  <r>
    <d v="2024-02-20T00:00:00"/>
    <n v="3756.2"/>
    <n v="3701"/>
    <n v="3784"/>
    <n v="3691.4"/>
    <s v="316.52K"/>
    <n v="1.32E-2"/>
    <x v="4"/>
    <n v="4"/>
    <n v="2"/>
  </r>
  <r>
    <d v="2024-02-21T00:00:00"/>
    <n v="3835.75"/>
    <n v="3752"/>
    <n v="3889"/>
    <n v="3752"/>
    <s v="592.51K"/>
    <n v="2.12E-2"/>
    <x v="4"/>
    <n v="4"/>
    <n v="2"/>
  </r>
  <r>
    <d v="2024-02-22T00:00:00"/>
    <n v="3851.45"/>
    <n v="3860"/>
    <n v="3869"/>
    <n v="3801.85"/>
    <s v="237.41K"/>
    <n v="4.1000000000000003E-3"/>
    <x v="4"/>
    <n v="4"/>
    <n v="2"/>
  </r>
  <r>
    <d v="2024-02-23T00:00:00"/>
    <n v="3840.55"/>
    <n v="3860"/>
    <n v="3872"/>
    <n v="3828.65"/>
    <s v="226.73K"/>
    <n v="-2.8E-3"/>
    <x v="4"/>
    <n v="4"/>
    <n v="2"/>
  </r>
  <r>
    <d v="2024-02-26T00:00:00"/>
    <n v="3850.35"/>
    <n v="3840.55"/>
    <n v="3859"/>
    <n v="3796.25"/>
    <s v="346.65K"/>
    <n v="2.5999999999999999E-3"/>
    <x v="4"/>
    <n v="4"/>
    <n v="2"/>
  </r>
  <r>
    <d v="2024-02-27T00:00:00"/>
    <n v="3852.2"/>
    <n v="3859"/>
    <n v="3885"/>
    <n v="3818.05"/>
    <s v="256.24K"/>
    <n v="5.0000000000000001E-4"/>
    <x v="4"/>
    <n v="4"/>
    <n v="2"/>
  </r>
  <r>
    <d v="2024-02-28T00:00:00"/>
    <n v="3850"/>
    <n v="3856.4"/>
    <n v="3948.3"/>
    <n v="3838.1"/>
    <s v="505.41K"/>
    <n v="-5.9999999999999995E-4"/>
    <x v="4"/>
    <n v="4"/>
    <n v="2"/>
  </r>
  <r>
    <d v="2024-02-29T00:00:00"/>
    <n v="3918.9"/>
    <n v="3818.4"/>
    <n v="3940"/>
    <n v="3797.05"/>
    <s v="499.78K"/>
    <n v="1.7899999999999999E-2"/>
    <x v="4"/>
    <n v="4"/>
    <n v="2"/>
  </r>
  <r>
    <d v="2024-03-01T00:00:00"/>
    <n v="3884.15"/>
    <n v="3925"/>
    <n v="3936.75"/>
    <n v="3867"/>
    <s v="261.67K"/>
    <n v="-8.8999999999999999E-3"/>
    <x v="4"/>
    <n v="4"/>
    <n v="3"/>
  </r>
  <r>
    <d v="2024-03-02T00:00:00"/>
    <n v="3868.25"/>
    <n v="3908.05"/>
    <n v="3913"/>
    <n v="3858.45"/>
    <s v="11.56K"/>
    <n v="-4.1000000000000003E-3"/>
    <x v="4"/>
    <n v="4"/>
    <n v="3"/>
  </r>
  <r>
    <d v="2024-03-04T00:00:00"/>
    <n v="3846.35"/>
    <n v="3870.95"/>
    <n v="3878.65"/>
    <n v="3831"/>
    <s v="153.06K"/>
    <n v="-5.7000000000000002E-3"/>
    <x v="4"/>
    <n v="4"/>
    <n v="3"/>
  </r>
  <r>
    <d v="2024-03-05T00:00:00"/>
    <n v="3834.5"/>
    <n v="3830"/>
    <n v="3884.35"/>
    <n v="3811.3"/>
    <s v="185.83K"/>
    <n v="-3.0999999999999999E-3"/>
    <x v="4"/>
    <n v="4"/>
    <n v="3"/>
  </r>
  <r>
    <d v="2024-03-06T00:00:00"/>
    <n v="3888.65"/>
    <n v="3834.5"/>
    <n v="3895"/>
    <n v="3825.15"/>
    <s v="308.89K"/>
    <n v="1.41E-2"/>
    <x v="4"/>
    <n v="4"/>
    <n v="3"/>
  </r>
  <r>
    <d v="2024-03-07T00:00:00"/>
    <n v="3925.95"/>
    <n v="3888.65"/>
    <n v="3942.65"/>
    <n v="3877.2"/>
    <s v="330.46K"/>
    <n v="9.5999999999999992E-3"/>
    <x v="4"/>
    <n v="4"/>
    <n v="3"/>
  </r>
  <r>
    <d v="2024-03-11T00:00:00"/>
    <n v="3979.65"/>
    <n v="3948.85"/>
    <n v="4025"/>
    <n v="3936.05"/>
    <s v="689.78K"/>
    <n v="1.37E-2"/>
    <x v="4"/>
    <n v="4"/>
    <n v="3"/>
  </r>
  <r>
    <d v="2024-03-12T00:00:00"/>
    <n v="4031.7"/>
    <n v="3999"/>
    <n v="4042"/>
    <n v="3900"/>
    <s v="500.00K"/>
    <n v="1.3100000000000001E-2"/>
    <x v="4"/>
    <n v="4"/>
    <n v="3"/>
  </r>
  <r>
    <d v="2024-03-13T00:00:00"/>
    <n v="3967.8"/>
    <n v="4055"/>
    <n v="4056"/>
    <n v="3932.05"/>
    <s v="521.70K"/>
    <n v="-1.5800000000000002E-2"/>
    <x v="4"/>
    <n v="4"/>
    <n v="3"/>
  </r>
  <r>
    <d v="2024-03-14T00:00:00"/>
    <n v="4019.25"/>
    <n v="3966.95"/>
    <n v="4040"/>
    <n v="3890"/>
    <s v="355.23K"/>
    <n v="1.2999999999999999E-2"/>
    <x v="4"/>
    <n v="4"/>
    <n v="3"/>
  </r>
  <r>
    <d v="2024-03-15T00:00:00"/>
    <n v="3932.1"/>
    <n v="4019.45"/>
    <n v="4035"/>
    <n v="3904"/>
    <s v="348.20K"/>
    <n v="-2.1700000000000001E-2"/>
    <x v="4"/>
    <n v="4"/>
    <n v="3"/>
  </r>
  <r>
    <d v="2024-03-18T00:00:00"/>
    <n v="4010.55"/>
    <n v="3932.1"/>
    <n v="4019"/>
    <n v="3918.7"/>
    <s v="230.45K"/>
    <n v="0.02"/>
    <x v="4"/>
    <n v="4"/>
    <n v="3"/>
  </r>
  <r>
    <d v="2024-03-19T00:00:00"/>
    <n v="4014.1"/>
    <n v="4008"/>
    <n v="4046.05"/>
    <n v="3983.05"/>
    <s v="451.33K"/>
    <n v="8.9999999999999998E-4"/>
    <x v="4"/>
    <n v="4"/>
    <n v="3"/>
  </r>
  <r>
    <d v="2024-03-20T00:00:00"/>
    <n v="4056.35"/>
    <n v="4015"/>
    <n v="4068"/>
    <n v="4009.25"/>
    <s v="346.43K"/>
    <n v="1.0500000000000001E-2"/>
    <x v="4"/>
    <n v="4"/>
    <n v="3"/>
  </r>
  <r>
    <d v="2024-03-21T00:00:00"/>
    <n v="4163.1000000000004"/>
    <n v="4117"/>
    <n v="4238"/>
    <n v="4091.5"/>
    <s v="1.13M"/>
    <n v="2.63E-2"/>
    <x v="4"/>
    <n v="4"/>
    <n v="3"/>
  </r>
  <r>
    <d v="2024-03-22T00:00:00"/>
    <n v="4297.6000000000004"/>
    <n v="4159.8"/>
    <n v="4330.5"/>
    <n v="4151.1499999999996"/>
    <s v="921.65K"/>
    <n v="3.2300000000000002E-2"/>
    <x v="4"/>
    <n v="4"/>
    <n v="3"/>
  </r>
  <r>
    <d v="2024-03-26T00:00:00"/>
    <n v="4486.2"/>
    <n v="4315.75"/>
    <n v="4509.45"/>
    <n v="4297.25"/>
    <s v="1.84M"/>
    <n v="4.3900000000000002E-2"/>
    <x v="4"/>
    <n v="4"/>
    <n v="3"/>
  </r>
  <r>
    <d v="2024-03-27T00:00:00"/>
    <n v="4420.55"/>
    <n v="4480.5"/>
    <n v="4533"/>
    <n v="4387.05"/>
    <s v="814.04K"/>
    <n v="-1.46E-2"/>
    <x v="4"/>
    <n v="4"/>
    <n v="3"/>
  </r>
  <r>
    <d v="2024-03-28T00:00:00"/>
    <n v="4525.6000000000004"/>
    <n v="4424.95"/>
    <n v="4560"/>
    <n v="4397.05"/>
    <s v="892.57K"/>
    <n v="2.3800000000000002E-2"/>
    <x v="4"/>
    <n v="4"/>
    <n v="3"/>
  </r>
  <r>
    <d v="2024-04-01T00:00:00"/>
    <n v="4483.3"/>
    <n v="4570"/>
    <n v="4592"/>
    <n v="4456.3"/>
    <s v="410.98K"/>
    <n v="-9.2999999999999992E-3"/>
    <x v="4"/>
    <n v="1"/>
    <n v="4"/>
  </r>
  <r>
    <d v="2024-04-02T00:00:00"/>
    <n v="4411.8500000000004"/>
    <n v="4503"/>
    <n v="4563"/>
    <n v="4400.05"/>
    <s v="442.91K"/>
    <n v="-1.5900000000000001E-2"/>
    <x v="4"/>
    <n v="1"/>
    <n v="4"/>
  </r>
  <r>
    <d v="2024-04-03T00:00:00"/>
    <n v="4460.8999999999996"/>
    <n v="4455"/>
    <n v="4494.45"/>
    <n v="4415"/>
    <s v="257.33K"/>
    <n v="1.11E-2"/>
    <x v="4"/>
    <n v="1"/>
    <n v="4"/>
  </r>
  <r>
    <d v="2024-04-04T00:00:00"/>
    <n v="4645.05"/>
    <n v="4562"/>
    <n v="4715"/>
    <n v="4540"/>
    <s v="1.56M"/>
    <n v="4.1300000000000003E-2"/>
    <x v="4"/>
    <n v="1"/>
    <n v="4"/>
  </r>
  <r>
    <d v="2024-04-05T00:00:00"/>
    <n v="4619.25"/>
    <n v="4645"/>
    <n v="4685"/>
    <n v="4557"/>
    <s v="418.02K"/>
    <n v="-5.5999999999999999E-3"/>
    <x v="4"/>
    <n v="1"/>
    <n v="4"/>
  </r>
  <r>
    <d v="2024-04-08T00:00:00"/>
    <n v="4672.8"/>
    <n v="4648.1499999999996"/>
    <n v="4748"/>
    <n v="4640"/>
    <s v="461.32K"/>
    <n v="1.1599999999999999E-2"/>
    <x v="4"/>
    <n v="1"/>
    <n v="4"/>
  </r>
  <r>
    <d v="2024-04-09T00:00:00"/>
    <n v="4716.1499999999996"/>
    <n v="4671.95"/>
    <n v="4747.8"/>
    <n v="4622"/>
    <s v="285.67K"/>
    <n v="9.2999999999999992E-3"/>
    <x v="4"/>
    <n v="1"/>
    <n v="4"/>
  </r>
  <r>
    <d v="2024-04-10T00:00:00"/>
    <n v="4754"/>
    <n v="4736.6000000000004"/>
    <n v="4831.8500000000004"/>
    <n v="4711"/>
    <s v="728.45K"/>
    <n v="8.0000000000000002E-3"/>
    <x v="4"/>
    <n v="1"/>
    <n v="4"/>
  </r>
  <r>
    <d v="2024-04-12T00:00:00"/>
    <n v="4765.05"/>
    <n v="4753.8999999999996"/>
    <n v="4806.75"/>
    <n v="4725"/>
    <s v="676.86K"/>
    <n v="2.3E-3"/>
    <x v="4"/>
    <n v="1"/>
    <n v="4"/>
  </r>
  <r>
    <d v="2024-04-15T00:00:00"/>
    <n v="4686.8"/>
    <n v="4680"/>
    <n v="4736.55"/>
    <n v="4620.6000000000004"/>
    <s v="358.71K"/>
    <n v="-1.6400000000000001E-2"/>
    <x v="4"/>
    <n v="1"/>
    <n v="4"/>
  </r>
  <r>
    <d v="2024-04-16T00:00:00"/>
    <n v="4644.3"/>
    <n v="4650"/>
    <n v="4689.3"/>
    <n v="4611.3500000000004"/>
    <s v="245.23K"/>
    <n v="-9.1000000000000004E-3"/>
    <x v="4"/>
    <n v="1"/>
    <n v="4"/>
  </r>
  <r>
    <d v="2024-04-18T00:00:00"/>
    <n v="4627.1000000000004"/>
    <n v="4644.3"/>
    <n v="4694.3"/>
    <n v="4605"/>
    <s v="417.77K"/>
    <n v="-3.7000000000000002E-3"/>
    <x v="4"/>
    <n v="1"/>
    <n v="4"/>
  </r>
  <r>
    <d v="2024-04-19T00:00:00"/>
    <n v="4696"/>
    <n v="4766.95"/>
    <n v="4836.7"/>
    <n v="4651.1000000000004"/>
    <s v="778.08K"/>
    <n v="1.49E-2"/>
    <x v="4"/>
    <n v="1"/>
    <n v="4"/>
  </r>
  <r>
    <d v="2024-04-22T00:00:00"/>
    <n v="4758"/>
    <n v="4743"/>
    <n v="4815.95"/>
    <n v="4692.05"/>
    <s v="257.71K"/>
    <n v="1.32E-2"/>
    <x v="4"/>
    <n v="1"/>
    <n v="4"/>
  </r>
  <r>
    <d v="2024-04-23T00:00:00"/>
    <n v="4800.55"/>
    <n v="4804.5"/>
    <n v="4890"/>
    <n v="4773"/>
    <s v="458.15K"/>
    <n v="8.8999999999999999E-3"/>
    <x v="4"/>
    <n v="1"/>
    <n v="4"/>
  </r>
  <r>
    <d v="2024-04-24T00:00:00"/>
    <n v="4797.55"/>
    <n v="4820"/>
    <n v="4835.7"/>
    <n v="4778"/>
    <s v="199.88K"/>
    <n v="-5.9999999999999995E-4"/>
    <x v="4"/>
    <n v="1"/>
    <n v="4"/>
  </r>
  <r>
    <d v="2024-04-25T00:00:00"/>
    <n v="4657.1000000000004"/>
    <n v="4801"/>
    <n v="4817.6499999999996"/>
    <n v="4615.1499999999996"/>
    <s v="462.02K"/>
    <n v="-2.93E-2"/>
    <x v="4"/>
    <n v="1"/>
    <n v="4"/>
  </r>
  <r>
    <d v="2024-04-26T00:00:00"/>
    <n v="4553.1499999999996"/>
    <n v="4657.05"/>
    <n v="4719.95"/>
    <n v="4531.5"/>
    <s v="254.51K"/>
    <n v="-2.23E-2"/>
    <x v="4"/>
    <n v="1"/>
    <n v="4"/>
  </r>
  <r>
    <d v="2024-04-29T00:00:00"/>
    <n v="4483.8"/>
    <n v="4560.5"/>
    <n v="4562.45"/>
    <n v="4450"/>
    <s v="385.60K"/>
    <n v="-1.52E-2"/>
    <x v="4"/>
    <n v="1"/>
    <n v="4"/>
  </r>
  <r>
    <d v="2024-04-30T00:00:00"/>
    <n v="4603.8"/>
    <n v="4455.1499999999996"/>
    <n v="4650"/>
    <n v="4455.1499999999996"/>
    <s v="637.70K"/>
    <n v="2.6800000000000001E-2"/>
    <x v="4"/>
    <n v="1"/>
    <n v="4"/>
  </r>
  <r>
    <d v="2024-05-02T00:00:00"/>
    <n v="4605.05"/>
    <n v="4609.95"/>
    <n v="4642.45"/>
    <n v="4578"/>
    <s v="256.07K"/>
    <n v="2.9999999999999997E-4"/>
    <x v="4"/>
    <n v="1"/>
    <n v="5"/>
  </r>
  <r>
    <d v="2024-05-03T00:00:00"/>
    <n v="4612.3500000000004"/>
    <n v="4626.95"/>
    <n v="4627"/>
    <n v="4545.05"/>
    <s v="436.79K"/>
    <n v="1.6000000000000001E-3"/>
    <x v="4"/>
    <n v="1"/>
    <n v="5"/>
  </r>
  <r>
    <d v="2024-05-06T00:00:00"/>
    <n v="4600.6000000000004"/>
    <n v="4620"/>
    <n v="4739.8999999999996"/>
    <n v="4576"/>
    <s v="643.04K"/>
    <n v="-2.5000000000000001E-3"/>
    <x v="4"/>
    <n v="1"/>
    <n v="5"/>
  </r>
  <r>
    <d v="2024-05-07T00:00:00"/>
    <n v="4660.45"/>
    <n v="4619.95"/>
    <n v="4698"/>
    <n v="4581"/>
    <s v="431.03K"/>
    <n v="1.2999999999999999E-2"/>
    <x v="4"/>
    <n v="1"/>
    <n v="5"/>
  </r>
  <r>
    <d v="2024-05-08T00:00:00"/>
    <n v="4806.75"/>
    <n v="4674.8"/>
    <n v="4863.8"/>
    <n v="4670"/>
    <s v="829.72K"/>
    <n v="3.1399999999999997E-2"/>
    <x v="4"/>
    <n v="1"/>
    <n v="5"/>
  </r>
  <r>
    <d v="2024-05-09T00:00:00"/>
    <n v="4798.6499999999996"/>
    <n v="4806.75"/>
    <n v="4895.6000000000004"/>
    <n v="4730"/>
    <s v="618.01K"/>
    <n v="-1.6999999999999999E-3"/>
    <x v="4"/>
    <n v="1"/>
    <n v="5"/>
  </r>
  <r>
    <d v="2024-05-10T00:00:00"/>
    <n v="4796.8"/>
    <n v="4798.6499999999996"/>
    <n v="4852"/>
    <n v="4735.8500000000004"/>
    <s v="290.60K"/>
    <n v="-4.0000000000000002E-4"/>
    <x v="4"/>
    <n v="1"/>
    <n v="5"/>
  </r>
  <r>
    <d v="2024-05-13T00:00:00"/>
    <n v="4693.7"/>
    <n v="4799.95"/>
    <n v="4809"/>
    <n v="4667"/>
    <s v="190.78K"/>
    <n v="-2.1499999999999998E-2"/>
    <x v="4"/>
    <n v="1"/>
    <n v="5"/>
  </r>
  <r>
    <d v="2024-05-14T00:00:00"/>
    <n v="4597.05"/>
    <n v="4739"/>
    <n v="4755"/>
    <n v="4550.3500000000004"/>
    <s v="376.74K"/>
    <n v="-2.06E-2"/>
    <x v="4"/>
    <n v="1"/>
    <n v="5"/>
  </r>
  <r>
    <d v="2024-05-15T00:00:00"/>
    <n v="4652.45"/>
    <n v="4614.95"/>
    <n v="4680"/>
    <n v="4597.1000000000004"/>
    <s v="298.26K"/>
    <n v="1.21E-2"/>
    <x v="4"/>
    <n v="1"/>
    <n v="5"/>
  </r>
  <r>
    <d v="2024-05-16T00:00:00"/>
    <n v="4671.25"/>
    <n v="4674.3"/>
    <n v="4699"/>
    <n v="4660.05"/>
    <s v="519.29K"/>
    <n v="4.0000000000000001E-3"/>
    <x v="4"/>
    <n v="1"/>
    <n v="5"/>
  </r>
  <r>
    <d v="2024-05-17T00:00:00"/>
    <n v="4682.8999999999996"/>
    <n v="4680"/>
    <n v="4710"/>
    <n v="4665.05"/>
    <s v="203.11K"/>
    <n v="2.5000000000000001E-3"/>
    <x v="4"/>
    <n v="1"/>
    <n v="5"/>
  </r>
  <r>
    <d v="2024-05-18T00:00:00"/>
    <n v="4670.6499999999996"/>
    <n v="4670.6499999999996"/>
    <n v="4670.6499999999996"/>
    <n v="4670.6499999999996"/>
    <s v=""/>
    <n v="-2.5999999999999999E-3"/>
    <x v="4"/>
    <n v="1"/>
    <n v="5"/>
  </r>
  <r>
    <d v="2024-05-21T00:00:00"/>
    <n v="4705.8999999999996"/>
    <n v="4670"/>
    <n v="4737.45"/>
    <n v="4605.45"/>
    <s v="179.17K"/>
    <n v="7.4999999999999997E-3"/>
    <x v="4"/>
    <n v="1"/>
    <n v="5"/>
  </r>
  <r>
    <d v="2024-05-22T00:00:00"/>
    <n v="4798.8"/>
    <n v="4763.1499999999996"/>
    <n v="4924.2"/>
    <n v="4737.1499999999996"/>
    <s v="716.98K"/>
    <n v="1.9699999999999999E-2"/>
    <x v="4"/>
    <n v="1"/>
    <n v="5"/>
  </r>
  <r>
    <d v="2024-05-23T00:00:00"/>
    <n v="4793.55"/>
    <n v="4794.5"/>
    <n v="4812"/>
    <n v="4755.8"/>
    <s v="151.03K"/>
    <n v="-1.1000000000000001E-3"/>
    <x v="4"/>
    <n v="1"/>
    <n v="5"/>
  </r>
  <r>
    <d v="2024-05-24T00:00:00"/>
    <n v="4684.5"/>
    <n v="4797.8999999999996"/>
    <n v="4841.3999999999996"/>
    <n v="4674.1000000000004"/>
    <s v="307.32K"/>
    <n v="-2.2700000000000001E-2"/>
    <x v="4"/>
    <n v="1"/>
    <n v="5"/>
  </r>
  <r>
    <d v="2024-05-27T00:00:00"/>
    <n v="4537.3500000000004"/>
    <n v="4651.55"/>
    <n v="4669"/>
    <n v="4508"/>
    <s v="392.85K"/>
    <n v="-3.1399999999999997E-2"/>
    <x v="4"/>
    <n v="1"/>
    <n v="5"/>
  </r>
  <r>
    <d v="2024-05-28T00:00:00"/>
    <n v="4474.45"/>
    <n v="4551.8999999999996"/>
    <n v="4588.8500000000004"/>
    <n v="4440.2"/>
    <s v="224.69K"/>
    <n v="-1.3899999999999999E-2"/>
    <x v="4"/>
    <n v="1"/>
    <n v="5"/>
  </r>
  <r>
    <d v="2024-05-29T00:00:00"/>
    <n v="4476.8500000000004"/>
    <n v="4474"/>
    <n v="4564.8500000000004"/>
    <n v="4435.1000000000004"/>
    <s v="234.52K"/>
    <n v="5.0000000000000001E-4"/>
    <x v="4"/>
    <n v="1"/>
    <n v="5"/>
  </r>
  <r>
    <d v="2024-05-30T00:00:00"/>
    <n v="4444.95"/>
    <n v="4475.8999999999996"/>
    <n v="4497.25"/>
    <n v="4410"/>
    <s v="141.71K"/>
    <n v="-7.1000000000000004E-3"/>
    <x v="4"/>
    <n v="1"/>
    <n v="5"/>
  </r>
  <r>
    <d v="2024-05-31T00:00:00"/>
    <n v="4302.1499999999996"/>
    <n v="4440"/>
    <n v="4450"/>
    <n v="4250.3999999999996"/>
    <s v="866.44K"/>
    <n v="-3.2099999999999997E-2"/>
    <x v="4"/>
    <n v="1"/>
    <n v="5"/>
  </r>
  <r>
    <d v="2024-06-03T00:00:00"/>
    <n v="4349.3500000000004"/>
    <n v="4392.95"/>
    <n v="4400"/>
    <n v="4301"/>
    <s v="279.80K"/>
    <n v="1.0999999999999999E-2"/>
    <x v="4"/>
    <n v="1"/>
    <n v="6"/>
  </r>
  <r>
    <d v="2024-06-04T00:00:00"/>
    <n v="4548.75"/>
    <n v="4399"/>
    <n v="4590"/>
    <n v="4355.6499999999996"/>
    <s v="1.09M"/>
    <n v="4.58E-2"/>
    <x v="4"/>
    <n v="1"/>
    <n v="6"/>
  </r>
  <r>
    <d v="2024-06-05T00:00:00"/>
    <n v="4862.25"/>
    <n v="4590"/>
    <n v="4900"/>
    <n v="4562.2"/>
    <s v="1.50M"/>
    <n v="6.8900000000000003E-2"/>
    <x v="4"/>
    <n v="1"/>
    <n v="6"/>
  </r>
  <r>
    <d v="2024-06-06T00:00:00"/>
    <n v="4687.05"/>
    <n v="4861.95"/>
    <n v="4861.95"/>
    <n v="4675.25"/>
    <s v="664.30K"/>
    <n v="-3.5999999999999997E-2"/>
    <x v="4"/>
    <n v="1"/>
    <n v="6"/>
  </r>
  <r>
    <d v="2024-06-07T00:00:00"/>
    <n v="4747.25"/>
    <n v="4700"/>
    <n v="4806.3500000000004"/>
    <n v="4690.75"/>
    <s v="352.97K"/>
    <n v="1.2800000000000001E-2"/>
    <x v="4"/>
    <n v="1"/>
    <n v="6"/>
  </r>
  <r>
    <d v="2024-06-10T00:00:00"/>
    <n v="4778.3999999999996"/>
    <n v="4769.05"/>
    <n v="4812"/>
    <n v="4688"/>
    <s v="276.91K"/>
    <n v="6.6E-3"/>
    <x v="4"/>
    <n v="1"/>
    <n v="6"/>
  </r>
  <r>
    <d v="2024-06-11T00:00:00"/>
    <n v="4701.45"/>
    <n v="4800"/>
    <n v="4829.8999999999996"/>
    <n v="4676"/>
    <s v="266.81K"/>
    <n v="-1.61E-2"/>
    <x v="4"/>
    <n v="1"/>
    <n v="6"/>
  </r>
  <r>
    <d v="2024-06-12T00:00:00"/>
    <n v="4666.75"/>
    <n v="4710.05"/>
    <n v="4740"/>
    <n v="4645"/>
    <s v="555.09K"/>
    <n v="-7.4000000000000003E-3"/>
    <x v="4"/>
    <n v="1"/>
    <n v="6"/>
  </r>
  <r>
    <d v="2024-06-13T00:00:00"/>
    <n v="4656.6499999999996"/>
    <n v="4697.25"/>
    <n v="4739.95"/>
    <n v="4640.05"/>
    <s v="238.27K"/>
    <n v="-2.2000000000000001E-3"/>
    <x v="4"/>
    <n v="1"/>
    <n v="6"/>
  </r>
  <r>
    <d v="2024-06-14T00:00:00"/>
    <n v="4739.95"/>
    <n v="4692"/>
    <n v="4759.95"/>
    <n v="4671.05"/>
    <s v="258.98K"/>
    <n v="1.7899999999999999E-2"/>
    <x v="4"/>
    <n v="1"/>
    <n v="6"/>
  </r>
  <r>
    <d v="2024-06-18T00:00:00"/>
    <n v="5039.3"/>
    <n v="4739.95"/>
    <n v="5080"/>
    <n v="4734.8"/>
    <s v="2.05M"/>
    <n v="6.3200000000000006E-2"/>
    <x v="4"/>
    <n v="1"/>
    <n v="6"/>
  </r>
  <r>
    <d v="2024-06-19T00:00:00"/>
    <n v="4933.8999999999996"/>
    <n v="5079"/>
    <n v="5219"/>
    <n v="4901.3500000000004"/>
    <s v="1.44M"/>
    <n v="-2.0899999999999998E-2"/>
    <x v="4"/>
    <n v="1"/>
    <n v="6"/>
  </r>
  <r>
    <d v="2024-06-20T00:00:00"/>
    <n v="4861.7"/>
    <n v="4947.45"/>
    <n v="5022.5"/>
    <n v="4832.2"/>
    <s v="577.84K"/>
    <n v="-1.46E-2"/>
    <x v="4"/>
    <n v="1"/>
    <n v="6"/>
  </r>
  <r>
    <d v="2024-06-21T00:00:00"/>
    <n v="4804.8500000000004"/>
    <n v="4928"/>
    <n v="5082.95"/>
    <n v="4763"/>
    <s v="726.52K"/>
    <n v="-1.17E-2"/>
    <x v="4"/>
    <n v="1"/>
    <n v="6"/>
  </r>
  <r>
    <d v="2024-06-24T00:00:00"/>
    <n v="4833.7"/>
    <n v="4792"/>
    <n v="4875"/>
    <n v="4765.8500000000004"/>
    <s v="356.82K"/>
    <n v="6.0000000000000001E-3"/>
    <x v="4"/>
    <n v="1"/>
    <n v="6"/>
  </r>
  <r>
    <d v="2024-06-25T00:00:00"/>
    <n v="4783.3500000000004"/>
    <n v="4850"/>
    <n v="4905"/>
    <n v="4755"/>
    <s v="376.89K"/>
    <n v="-1.04E-2"/>
    <x v="4"/>
    <n v="1"/>
    <n v="6"/>
  </r>
  <r>
    <d v="2024-06-26T00:00:00"/>
    <n v="4801"/>
    <n v="4775"/>
    <n v="4823.95"/>
    <n v="4690"/>
    <s v="546.31K"/>
    <n v="3.7000000000000002E-3"/>
    <x v="4"/>
    <n v="1"/>
    <n v="6"/>
  </r>
  <r>
    <d v="2024-06-27T00:00:00"/>
    <n v="4900.1000000000004"/>
    <n v="4819.95"/>
    <n v="4960"/>
    <n v="4738"/>
    <s v="503.72K"/>
    <n v="2.06E-2"/>
    <x v="4"/>
    <n v="1"/>
    <n v="6"/>
  </r>
  <r>
    <d v="2024-06-28T00:00:00"/>
    <n v="4716.75"/>
    <n v="4900"/>
    <n v="4921.95"/>
    <n v="4680"/>
    <s v="685.01K"/>
    <n v="-3.7400000000000003E-2"/>
    <x v="4"/>
    <n v="1"/>
    <n v="6"/>
  </r>
  <r>
    <d v="2024-07-01T00:00:00"/>
    <n v="4735.8999999999996"/>
    <n v="4725.1000000000004"/>
    <n v="4754.45"/>
    <n v="4612.5"/>
    <s v="642.17K"/>
    <n v="4.1000000000000003E-3"/>
    <x v="4"/>
    <n v="2"/>
    <n v="7"/>
  </r>
  <r>
    <d v="2024-07-02T00:00:00"/>
    <n v="4773.8500000000004"/>
    <n v="4759.1000000000004"/>
    <n v="4825.25"/>
    <n v="4719.55"/>
    <s v="360.01K"/>
    <n v="8.0000000000000002E-3"/>
    <x v="4"/>
    <n v="2"/>
    <n v="7"/>
  </r>
  <r>
    <d v="2024-07-03T00:00:00"/>
    <n v="4792.8999999999996"/>
    <n v="4760"/>
    <n v="4810.8999999999996"/>
    <n v="4700.7"/>
    <s v="799.11K"/>
    <n v="4.0000000000000001E-3"/>
    <x v="4"/>
    <n v="2"/>
    <n v="7"/>
  </r>
  <r>
    <d v="2024-07-04T00:00:00"/>
    <n v="4768.1000000000004"/>
    <n v="4785.1000000000004"/>
    <n v="4825"/>
    <n v="4725"/>
    <s v="317.76K"/>
    <n v="-5.1999999999999998E-3"/>
    <x v="4"/>
    <n v="2"/>
    <n v="7"/>
  </r>
  <r>
    <d v="2024-07-05T00:00:00"/>
    <n v="4853.1000000000004"/>
    <n v="4768.8500000000004"/>
    <n v="4871"/>
    <n v="4742.8"/>
    <s v="359.69K"/>
    <n v="1.78E-2"/>
    <x v="4"/>
    <n v="2"/>
    <n v="7"/>
  </r>
  <r>
    <d v="2024-07-08T00:00:00"/>
    <n v="4851.55"/>
    <n v="4860"/>
    <n v="4935.2"/>
    <n v="4820"/>
    <s v="706.77K"/>
    <n v="-2.9999999999999997E-4"/>
    <x v="4"/>
    <n v="2"/>
    <n v="7"/>
  </r>
  <r>
    <d v="2024-07-09T00:00:00"/>
    <n v="4806.3500000000004"/>
    <n v="4853.1000000000004"/>
    <n v="4893.95"/>
    <n v="4780"/>
    <s v="421.55K"/>
    <n v="-9.2999999999999992E-3"/>
    <x v="4"/>
    <n v="2"/>
    <n v="7"/>
  </r>
  <r>
    <d v="2024-07-10T00:00:00"/>
    <n v="4834.45"/>
    <n v="4825"/>
    <n v="4894.3500000000004"/>
    <n v="4731.1000000000004"/>
    <s v="284.15K"/>
    <n v="5.7999999999999996E-3"/>
    <x v="4"/>
    <n v="2"/>
    <n v="7"/>
  </r>
  <r>
    <d v="2024-07-11T00:00:00"/>
    <n v="4898.8999999999996"/>
    <n v="4853.8999999999996"/>
    <n v="4969"/>
    <n v="4832.25"/>
    <s v="568.25K"/>
    <n v="1.3299999999999999E-2"/>
    <x v="4"/>
    <n v="2"/>
    <n v="7"/>
  </r>
  <r>
    <d v="2024-07-12T00:00:00"/>
    <n v="4943.6499999999996"/>
    <n v="4939.8999999999996"/>
    <n v="5016.95"/>
    <n v="4909"/>
    <s v="598.09K"/>
    <n v="9.1000000000000004E-3"/>
    <x v="4"/>
    <n v="2"/>
    <n v="7"/>
  </r>
  <r>
    <d v="2024-07-15T00:00:00"/>
    <n v="4988.8500000000004"/>
    <n v="5126.45"/>
    <n v="5164"/>
    <n v="4943.6499999999996"/>
    <s v="1.41M"/>
    <n v="9.1000000000000004E-3"/>
    <x v="4"/>
    <n v="2"/>
    <n v="7"/>
  </r>
  <r>
    <d v="2024-07-16T00:00:00"/>
    <n v="5039.8500000000004"/>
    <n v="5000"/>
    <n v="5104"/>
    <n v="4979"/>
    <s v="1.06M"/>
    <n v="1.0200000000000001E-2"/>
    <x v="4"/>
    <n v="2"/>
    <n v="7"/>
  </r>
  <r>
    <d v="2024-07-18T00:00:00"/>
    <n v="5083.45"/>
    <n v="5039.8500000000004"/>
    <n v="5096.95"/>
    <n v="5028"/>
    <s v="837.64K"/>
    <n v="8.6999999999999994E-3"/>
    <x v="4"/>
    <n v="2"/>
    <n v="7"/>
  </r>
  <r>
    <d v="2024-07-19T00:00:00"/>
    <n v="5010.7"/>
    <n v="5062.1000000000004"/>
    <n v="5078.5"/>
    <n v="4955"/>
    <s v="444.96K"/>
    <n v="-1.43E-2"/>
    <x v="4"/>
    <n v="2"/>
    <n v="7"/>
  </r>
  <r>
    <d v="2024-07-22T00:00:00"/>
    <n v="5012.8500000000004"/>
    <n v="4955"/>
    <n v="5031.95"/>
    <n v="4922.75"/>
    <s v="559.76K"/>
    <n v="4.0000000000000002E-4"/>
    <x v="4"/>
    <n v="2"/>
    <n v="7"/>
  </r>
  <r>
    <d v="2024-07-23T00:00:00"/>
    <n v="5065.25"/>
    <n v="5013"/>
    <n v="5095.45"/>
    <n v="4925.1000000000004"/>
    <s v="431.81K"/>
    <n v="1.0500000000000001E-2"/>
    <x v="4"/>
    <n v="2"/>
    <n v="7"/>
  </r>
  <r>
    <d v="2024-07-24T00:00:00"/>
    <n v="5158.45"/>
    <n v="5100"/>
    <n v="5205"/>
    <n v="5082.6499999999996"/>
    <s v="630.16K"/>
    <n v="1.84E-2"/>
    <x v="4"/>
    <n v="2"/>
    <n v="7"/>
  </r>
  <r>
    <d v="2024-07-25T00:00:00"/>
    <n v="5171.3500000000004"/>
    <n v="5148"/>
    <n v="5184.8999999999996"/>
    <n v="5058.1000000000004"/>
    <s v="393.01K"/>
    <n v="2.5000000000000001E-3"/>
    <x v="4"/>
    <n v="2"/>
    <n v="7"/>
  </r>
  <r>
    <d v="2024-07-26T00:00:00"/>
    <n v="5071.6000000000004"/>
    <n v="5199"/>
    <n v="5199"/>
    <n v="5040"/>
    <s v="234.45K"/>
    <n v="-1.9300000000000001E-2"/>
    <x v="4"/>
    <n v="2"/>
    <n v="7"/>
  </r>
  <r>
    <d v="2024-07-29T00:00:00"/>
    <n v="5112.8500000000004"/>
    <n v="5144"/>
    <n v="5144"/>
    <n v="5041.8"/>
    <s v="206.61K"/>
    <n v="8.0999999999999996E-3"/>
    <x v="4"/>
    <n v="2"/>
    <n v="7"/>
  </r>
  <r>
    <d v="2024-07-30T00:00:00"/>
    <n v="5027.2"/>
    <n v="5140"/>
    <n v="5175.55"/>
    <n v="5000.1000000000004"/>
    <s v="299.95K"/>
    <n v="-1.6799999999999999E-2"/>
    <x v="4"/>
    <n v="2"/>
    <n v="7"/>
  </r>
  <r>
    <d v="2024-07-31T00:00:00"/>
    <n v="4935.95"/>
    <n v="5040"/>
    <n v="5068.8999999999996"/>
    <n v="4910.2"/>
    <s v="912.33K"/>
    <n v="-1.8200000000000001E-2"/>
    <x v="4"/>
    <n v="2"/>
    <n v="7"/>
  </r>
  <r>
    <d v="2024-08-01T00:00:00"/>
    <n v="4993.8"/>
    <n v="4949"/>
    <n v="5008"/>
    <n v="4883"/>
    <s v="202.18K"/>
    <n v="1.17E-2"/>
    <x v="4"/>
    <n v="2"/>
    <n v="8"/>
  </r>
  <r>
    <d v="2024-08-02T00:00:00"/>
    <n v="4909.7"/>
    <n v="4950"/>
    <n v="5029.75"/>
    <n v="4890.1499999999996"/>
    <s v="486.36K"/>
    <n v="-1.6799999999999999E-2"/>
    <x v="4"/>
    <n v="2"/>
    <n v="8"/>
  </r>
  <r>
    <d v="2024-08-05T00:00:00"/>
    <n v="4817.45"/>
    <n v="4861.5"/>
    <n v="5010"/>
    <n v="4801"/>
    <s v="715.44K"/>
    <n v="-1.8800000000000001E-2"/>
    <x v="4"/>
    <n v="2"/>
    <n v="8"/>
  </r>
  <r>
    <d v="2024-08-06T00:00:00"/>
    <n v="4909.8999999999996"/>
    <n v="4818.1499999999996"/>
    <n v="5045.25"/>
    <n v="4818.1499999999996"/>
    <s v="798.72K"/>
    <n v="1.9199999999999998E-2"/>
    <x v="4"/>
    <n v="2"/>
    <n v="8"/>
  </r>
  <r>
    <d v="2024-08-07T00:00:00"/>
    <n v="5018.5"/>
    <n v="4960"/>
    <n v="5063.55"/>
    <n v="4954.45"/>
    <s v="322.15K"/>
    <n v="2.2100000000000002E-2"/>
    <x v="4"/>
    <n v="2"/>
    <n v="8"/>
  </r>
  <r>
    <d v="2024-08-08T00:00:00"/>
    <n v="4980.1000000000004"/>
    <n v="5049.95"/>
    <n v="5063.8999999999996"/>
    <n v="4942"/>
    <s v="348.30K"/>
    <n v="-7.7000000000000002E-3"/>
    <x v="4"/>
    <n v="2"/>
    <n v="8"/>
  </r>
  <r>
    <d v="2024-08-09T00:00:00"/>
    <n v="4989.95"/>
    <n v="5033"/>
    <n v="5063.8"/>
    <n v="4971.3500000000004"/>
    <s v="102.06K"/>
    <n v="2E-3"/>
    <x v="4"/>
    <n v="2"/>
    <n v="8"/>
  </r>
  <r>
    <d v="2024-08-12T00:00:00"/>
    <n v="5013.8"/>
    <n v="4999"/>
    <n v="5025"/>
    <n v="4960.55"/>
    <s v="167.41K"/>
    <n v="4.7999999999999996E-3"/>
    <x v="4"/>
    <n v="2"/>
    <n v="8"/>
  </r>
  <r>
    <d v="2024-08-13T00:00:00"/>
    <n v="4929.5"/>
    <n v="5039.95"/>
    <n v="5048"/>
    <n v="4905.5"/>
    <s v="138.44K"/>
    <n v="-1.6799999999999999E-2"/>
    <x v="4"/>
    <n v="2"/>
    <n v="8"/>
  </r>
  <r>
    <d v="2024-08-14T00:00:00"/>
    <n v="4960.3"/>
    <n v="4950"/>
    <n v="5020"/>
    <n v="4913.3"/>
    <s v="282.58K"/>
    <n v="6.1999999999999998E-3"/>
    <x v="4"/>
    <n v="2"/>
    <n v="8"/>
  </r>
  <r>
    <d v="2024-08-16T00:00:00"/>
    <n v="5021.3"/>
    <n v="4995"/>
    <n v="5025"/>
    <n v="4902.7"/>
    <s v="193.83K"/>
    <n v="1.23E-2"/>
    <x v="4"/>
    <n v="2"/>
    <n v="8"/>
  </r>
  <r>
    <d v="2024-08-19T00:00:00"/>
    <n v="5002.7"/>
    <n v="5040"/>
    <n v="5048"/>
    <n v="4982.05"/>
    <s v="171.80K"/>
    <n v="-3.7000000000000002E-3"/>
    <x v="4"/>
    <n v="2"/>
    <n v="8"/>
  </r>
  <r>
    <d v="2024-08-20T00:00:00"/>
    <n v="5079.2"/>
    <n v="5008"/>
    <n v="5095.95"/>
    <n v="4987.7"/>
    <s v="320.09K"/>
    <n v="1.5299999999999999E-2"/>
    <x v="4"/>
    <n v="2"/>
    <n v="8"/>
  </r>
  <r>
    <d v="2024-08-21T00:00:00"/>
    <n v="5099.45"/>
    <n v="5095"/>
    <n v="5164"/>
    <n v="5051.8500000000004"/>
    <s v="796.49K"/>
    <n v="4.0000000000000001E-3"/>
    <x v="4"/>
    <n v="2"/>
    <n v="8"/>
  </r>
  <r>
    <d v="2024-08-22T00:00:00"/>
    <n v="5057.8500000000004"/>
    <n v="5145"/>
    <n v="5145"/>
    <n v="5021.1499999999996"/>
    <s v="353.20K"/>
    <n v="-8.2000000000000007E-3"/>
    <x v="4"/>
    <n v="2"/>
    <n v="8"/>
  </r>
  <r>
    <d v="2024-08-23T00:00:00"/>
    <n v="4901.5"/>
    <n v="5045"/>
    <n v="5088.8"/>
    <n v="4880"/>
    <s v="802.97K"/>
    <n v="-3.09E-2"/>
    <x v="4"/>
    <n v="2"/>
    <n v="8"/>
  </r>
  <r>
    <d v="2024-08-26T00:00:00"/>
    <n v="4959.3999999999996"/>
    <n v="4903"/>
    <n v="4978.75"/>
    <n v="4900.1000000000004"/>
    <s v="475.10K"/>
    <n v="1.18E-2"/>
    <x v="4"/>
    <n v="2"/>
    <n v="8"/>
  </r>
  <r>
    <d v="2024-08-27T00:00:00"/>
    <n v="4958.55"/>
    <n v="5010"/>
    <n v="5010"/>
    <n v="4925.6499999999996"/>
    <s v="144.91K"/>
    <n v="-2.0000000000000001E-4"/>
    <x v="4"/>
    <n v="2"/>
    <n v="8"/>
  </r>
  <r>
    <d v="2024-08-28T00:00:00"/>
    <n v="4964.8500000000004"/>
    <n v="4995.5"/>
    <n v="4995.5"/>
    <n v="4905"/>
    <s v="504.52K"/>
    <n v="1.2999999999999999E-3"/>
    <x v="4"/>
    <n v="2"/>
    <n v="8"/>
  </r>
  <r>
    <d v="2024-08-29T00:00:00"/>
    <n v="5008.8"/>
    <n v="4991.5"/>
    <n v="5155.55"/>
    <n v="4980.6499999999996"/>
    <s v="939.64K"/>
    <n v="8.8999999999999999E-3"/>
    <x v="4"/>
    <n v="2"/>
    <n v="8"/>
  </r>
  <r>
    <d v="2024-08-30T00:00:00"/>
    <n v="4927.45"/>
    <n v="5020"/>
    <n v="5042"/>
    <n v="4900"/>
    <s v="564.04K"/>
    <n v="-1.6199999999999999E-2"/>
    <x v="4"/>
    <n v="2"/>
    <n v="8"/>
  </r>
  <r>
    <d v="2024-09-02T00:00:00"/>
    <n v="4999.8500000000004"/>
    <n v="4977"/>
    <n v="5023.95"/>
    <n v="4951"/>
    <s v="290.60K"/>
    <n v="1.47E-2"/>
    <x v="4"/>
    <n v="2"/>
    <n v="9"/>
  </r>
  <r>
    <d v="2024-09-03T00:00:00"/>
    <n v="4980.6000000000004"/>
    <n v="5029"/>
    <n v="5039.8"/>
    <n v="4965"/>
    <s v="222.03K"/>
    <n v="-3.8999999999999998E-3"/>
    <x v="4"/>
    <n v="2"/>
    <n v="9"/>
  </r>
  <r>
    <d v="2024-09-04T00:00:00"/>
    <n v="5100.8999999999996"/>
    <n v="4974"/>
    <n v="5109"/>
    <n v="4960.3500000000004"/>
    <s v="319.84K"/>
    <n v="2.4199999999999999E-2"/>
    <x v="4"/>
    <n v="2"/>
    <n v="9"/>
  </r>
  <r>
    <d v="2024-09-05T00:00:00"/>
    <n v="5308.15"/>
    <n v="5084.1000000000004"/>
    <n v="5361.15"/>
    <n v="5077.1000000000004"/>
    <s v="1.32M"/>
    <n v="4.0599999999999997E-2"/>
    <x v="4"/>
    <n v="2"/>
    <n v="9"/>
  </r>
  <r>
    <d v="2024-09-06T00:00:00"/>
    <n v="5303.45"/>
    <n v="5293"/>
    <n v="5354.55"/>
    <n v="5202"/>
    <s v="721.16K"/>
    <n v="-8.9999999999999998E-4"/>
    <x v="4"/>
    <n v="2"/>
    <n v="9"/>
  </r>
  <r>
    <d v="2024-09-09T00:00:00"/>
    <n v="5361.4"/>
    <n v="5303.45"/>
    <n v="5395"/>
    <n v="5216.05"/>
    <s v="594.88K"/>
    <n v="1.09E-2"/>
    <x v="4"/>
    <n v="2"/>
    <n v="9"/>
  </r>
  <r>
    <d v="2024-09-10T00:00:00"/>
    <n v="5344.4"/>
    <n v="5361.4"/>
    <n v="5422.45"/>
    <n v="5315"/>
    <s v="400.99K"/>
    <n v="-3.2000000000000002E-3"/>
    <x v="4"/>
    <n v="2"/>
    <n v="9"/>
  </r>
  <r>
    <d v="2024-09-11T00:00:00"/>
    <n v="5299.1"/>
    <n v="5357.9"/>
    <n v="5449"/>
    <n v="5279.1"/>
    <s v="461.78K"/>
    <n v="-8.5000000000000006E-3"/>
    <x v="4"/>
    <n v="2"/>
    <n v="9"/>
  </r>
  <r>
    <d v="2024-09-12T00:00:00"/>
    <n v="5238.55"/>
    <n v="5330"/>
    <n v="5376.05"/>
    <n v="5216.8999999999996"/>
    <s v="380.59K"/>
    <n v="-1.14E-2"/>
    <x v="4"/>
    <n v="2"/>
    <n v="9"/>
  </r>
  <r>
    <d v="2024-09-13T00:00:00"/>
    <n v="5187.05"/>
    <n v="5250.9"/>
    <n v="5255.85"/>
    <n v="5155"/>
    <s v="395.55K"/>
    <n v="-9.7999999999999997E-3"/>
    <x v="4"/>
    <n v="2"/>
    <n v="9"/>
  </r>
  <r>
    <d v="2024-09-16T00:00:00"/>
    <n v="5204.8"/>
    <n v="5188.05"/>
    <n v="5260"/>
    <n v="5176.1499999999996"/>
    <s v="198.48K"/>
    <n v="3.3999999999999998E-3"/>
    <x v="4"/>
    <n v="2"/>
    <n v="9"/>
  </r>
  <r>
    <d v="2024-09-17T00:00:00"/>
    <n v="5219.8500000000004"/>
    <n v="5227"/>
    <n v="5254"/>
    <n v="5200.1000000000004"/>
    <s v="155.98K"/>
    <n v="2.8999999999999998E-3"/>
    <x v="4"/>
    <n v="2"/>
    <n v="9"/>
  </r>
  <r>
    <d v="2024-09-18T00:00:00"/>
    <n v="5265.2"/>
    <n v="5225"/>
    <n v="5289"/>
    <n v="5219.8999999999996"/>
    <s v="201.98K"/>
    <n v="8.6999999999999994E-3"/>
    <x v="4"/>
    <n v="2"/>
    <n v="9"/>
  </r>
  <r>
    <d v="2024-09-19T00:00:00"/>
    <n v="5342.5"/>
    <n v="5295"/>
    <n v="5443.95"/>
    <n v="5180"/>
    <s v="392.20K"/>
    <n v="1.47E-2"/>
    <x v="4"/>
    <n v="2"/>
    <n v="9"/>
  </r>
  <r>
    <d v="2024-09-20T00:00:00"/>
    <n v="5320.55"/>
    <n v="5360"/>
    <n v="5417.95"/>
    <n v="5225.1000000000004"/>
    <s v="598.43K"/>
    <n v="-4.1000000000000003E-3"/>
    <x v="4"/>
    <n v="2"/>
    <n v="9"/>
  </r>
  <r>
    <d v="2024-09-23T00:00:00"/>
    <n v="5297.45"/>
    <n v="5355.15"/>
    <n v="5363"/>
    <n v="5260.25"/>
    <s v="179.53K"/>
    <n v="-4.3E-3"/>
    <x v="4"/>
    <n v="2"/>
    <n v="9"/>
  </r>
  <r>
    <d v="2024-09-24T00:00:00"/>
    <n v="5391.45"/>
    <n v="5304.95"/>
    <n v="5484.85"/>
    <n v="5231.1499999999996"/>
    <s v="672.94K"/>
    <n v="1.77E-2"/>
    <x v="4"/>
    <n v="2"/>
    <n v="9"/>
  </r>
  <r>
    <d v="2024-09-25T00:00:00"/>
    <n v="5265.5"/>
    <n v="5400"/>
    <n v="5417.5"/>
    <n v="5232"/>
    <s v="529.35K"/>
    <n v="-2.3400000000000001E-2"/>
    <x v="4"/>
    <n v="2"/>
    <n v="9"/>
  </r>
  <r>
    <d v="2024-09-26T00:00:00"/>
    <n v="5198.05"/>
    <n v="5313.45"/>
    <n v="5313.45"/>
    <n v="5164"/>
    <s v="372.44K"/>
    <n v="-1.2800000000000001E-2"/>
    <x v="4"/>
    <n v="2"/>
    <n v="9"/>
  </r>
  <r>
    <d v="2024-09-27T00:00:00"/>
    <n v="5102.3"/>
    <n v="5224.6000000000004"/>
    <n v="5226"/>
    <n v="5090"/>
    <s v="566.69K"/>
    <n v="-1.84E-2"/>
    <x v="4"/>
    <n v="2"/>
    <n v="9"/>
  </r>
  <r>
    <d v="2024-09-30T00:00:00"/>
    <n v="5096.3"/>
    <n v="5102.3"/>
    <n v="5215"/>
    <n v="5080"/>
    <s v="437.17K"/>
    <n v="-1.1999999999999999E-3"/>
    <x v="4"/>
    <n v="2"/>
    <n v="9"/>
  </r>
  <r>
    <d v="2024-10-01T00:00:00"/>
    <n v="4954.3500000000004"/>
    <n v="5095"/>
    <n v="5138"/>
    <n v="4936.1000000000004"/>
    <s v="562.72K"/>
    <n v="-2.7900000000000001E-2"/>
    <x v="4"/>
    <n v="3"/>
    <n v="10"/>
  </r>
  <r>
    <d v="2024-10-03T00:00:00"/>
    <n v="4942.6000000000004"/>
    <n v="4924.55"/>
    <n v="5015"/>
    <n v="4881"/>
    <s v="615.25K"/>
    <n v="-2.3999999999999998E-3"/>
    <x v="4"/>
    <n v="3"/>
    <n v="10"/>
  </r>
  <r>
    <d v="2024-10-04T00:00:00"/>
    <n v="4737.55"/>
    <n v="4875"/>
    <n v="4875"/>
    <n v="4696.1000000000004"/>
    <s v="2.98M"/>
    <n v="-4.1500000000000002E-2"/>
    <x v="4"/>
    <n v="3"/>
    <n v="10"/>
  </r>
  <r>
    <d v="2024-10-07T00:00:00"/>
    <n v="4544.1499999999996"/>
    <n v="4741"/>
    <n v="4752.8999999999996"/>
    <n v="4518"/>
    <s v="1.86M"/>
    <n v="-4.0800000000000003E-2"/>
    <x v="4"/>
    <n v="3"/>
    <n v="10"/>
  </r>
  <r>
    <d v="2024-10-08T00:00:00"/>
    <n v="4465.45"/>
    <n v="4544.1499999999996"/>
    <n v="4619.8999999999996"/>
    <n v="4435"/>
    <s v="1.01M"/>
    <n v="-1.7299999999999999E-2"/>
    <x v="4"/>
    <n v="3"/>
    <n v="10"/>
  </r>
  <r>
    <d v="2024-10-09T00:00:00"/>
    <n v="4645.3999999999996"/>
    <n v="4510"/>
    <n v="4688.75"/>
    <n v="4481.6499999999996"/>
    <s v="1.06M"/>
    <n v="4.0300000000000002E-2"/>
    <x v="4"/>
    <n v="3"/>
    <n v="10"/>
  </r>
  <r>
    <d v="2024-10-10T00:00:00"/>
    <n v="4607.5"/>
    <n v="4664.8"/>
    <n v="4698.8999999999996"/>
    <n v="4572"/>
    <s v="316.73K"/>
    <n v="-8.2000000000000007E-3"/>
    <x v="4"/>
    <n v="3"/>
    <n v="10"/>
  </r>
  <r>
    <d v="2024-10-11T00:00:00"/>
    <n v="4572.7"/>
    <n v="4643.1000000000004"/>
    <n v="4643.1000000000004"/>
    <n v="4529"/>
    <s v="410.58K"/>
    <n v="-7.6E-3"/>
    <x v="4"/>
    <n v="3"/>
    <n v="10"/>
  </r>
  <r>
    <d v="2024-10-14T00:00:00"/>
    <n v="4183.6000000000004"/>
    <n v="4204"/>
    <n v="4299"/>
    <n v="4139.95"/>
    <s v="4.88M"/>
    <n v="-8.5099999999999995E-2"/>
    <x v="4"/>
    <n v="3"/>
    <n v="10"/>
  </r>
  <r>
    <d v="2024-10-15T00:00:00"/>
    <n v="4193.55"/>
    <n v="4230"/>
    <n v="4238.95"/>
    <n v="4180.6000000000004"/>
    <s v="1.36M"/>
    <n v="2.3999999999999998E-3"/>
    <x v="4"/>
    <n v="3"/>
    <n v="10"/>
  </r>
  <r>
    <d v="2024-10-16T00:00:00"/>
    <n v="4173.8"/>
    <n v="4209"/>
    <n v="4215"/>
    <n v="4149"/>
    <s v="688.90K"/>
    <n v="-4.7000000000000002E-3"/>
    <x v="4"/>
    <n v="3"/>
    <n v="10"/>
  </r>
  <r>
    <d v="2024-10-17T00:00:00"/>
    <n v="4087.7"/>
    <n v="4175"/>
    <n v="4180"/>
    <n v="4044"/>
    <s v="731.37K"/>
    <n v="-2.06E-2"/>
    <x v="4"/>
    <n v="3"/>
    <n v="10"/>
  </r>
  <r>
    <d v="2024-10-18T00:00:00"/>
    <n v="3986.7"/>
    <n v="4100"/>
    <n v="4114"/>
    <n v="3975.1"/>
    <s v="1.09M"/>
    <n v="-2.47E-2"/>
    <x v="4"/>
    <n v="3"/>
    <n v="10"/>
  </r>
  <r>
    <d v="2024-10-21T00:00:00"/>
    <n v="3973.45"/>
    <n v="4000.05"/>
    <n v="4073"/>
    <n v="3961"/>
    <s v="494.82K"/>
    <n v="-3.3E-3"/>
    <x v="4"/>
    <n v="3"/>
    <n v="10"/>
  </r>
  <r>
    <d v="2024-10-22T00:00:00"/>
    <n v="4005.2"/>
    <n v="3999.9"/>
    <n v="4057"/>
    <n v="3965.9"/>
    <s v="698.10K"/>
    <n v="8.0000000000000002E-3"/>
    <x v="4"/>
    <n v="3"/>
    <n v="10"/>
  </r>
  <r>
    <d v="2024-10-23T00:00:00"/>
    <n v="4156.1000000000004"/>
    <n v="4009"/>
    <n v="4224.8"/>
    <n v="3978"/>
    <s v="686.72K"/>
    <n v="3.7699999999999997E-2"/>
    <x v="4"/>
    <n v="3"/>
    <n v="10"/>
  </r>
  <r>
    <d v="2024-10-24T00:00:00"/>
    <n v="4060.1"/>
    <n v="4155.75"/>
    <n v="4187.8999999999996"/>
    <n v="4044.65"/>
    <s v="435.99K"/>
    <n v="-2.3099999999999999E-2"/>
    <x v="4"/>
    <n v="3"/>
    <n v="10"/>
  </r>
  <r>
    <d v="2024-10-25T00:00:00"/>
    <n v="4052.2"/>
    <n v="4061.95"/>
    <n v="4125"/>
    <n v="3985.45"/>
    <s v="423.22K"/>
    <n v="-1.9E-3"/>
    <x v="4"/>
    <n v="3"/>
    <n v="10"/>
  </r>
  <r>
    <d v="2024-10-28T00:00:00"/>
    <n v="3987.5"/>
    <n v="4052.2"/>
    <n v="4094.3"/>
    <n v="3975"/>
    <s v="297.23K"/>
    <n v="-1.6E-2"/>
    <x v="4"/>
    <n v="3"/>
    <n v="10"/>
  </r>
  <r>
    <d v="2024-10-29T00:00:00"/>
    <n v="3965.15"/>
    <n v="4000"/>
    <n v="4010"/>
    <n v="3940.2"/>
    <s v="304.48K"/>
    <n v="-5.5999999999999999E-3"/>
    <x v="4"/>
    <n v="3"/>
    <n v="10"/>
  </r>
  <r>
    <d v="2024-10-30T00:00:00"/>
    <n v="3932.45"/>
    <n v="4000"/>
    <n v="4036.95"/>
    <n v="3920"/>
    <s v="651.05K"/>
    <n v="-8.2000000000000007E-3"/>
    <x v="4"/>
    <n v="3"/>
    <n v="10"/>
  </r>
  <r>
    <d v="2024-10-31T00:00:00"/>
    <n v="3930.7"/>
    <n v="3930"/>
    <n v="3939.35"/>
    <n v="3876"/>
    <s v="267.67K"/>
    <n v="-4.0000000000000002E-4"/>
    <x v="4"/>
    <n v="3"/>
    <n v="10"/>
  </r>
  <r>
    <d v="2024-11-01T00:00:00"/>
    <n v="4001.6"/>
    <n v="3949.95"/>
    <n v="4010"/>
    <n v="3939.95"/>
    <s v="67.51K"/>
    <n v="1.7999999999999999E-2"/>
    <x v="4"/>
    <n v="3"/>
    <n v="11"/>
  </r>
  <r>
    <d v="2024-11-04T00:00:00"/>
    <n v="3945.85"/>
    <n v="4000.75"/>
    <n v="4006.1"/>
    <n v="3899.65"/>
    <s v="391.41K"/>
    <n v="-1.3899999999999999E-2"/>
    <x v="4"/>
    <n v="3"/>
    <n v="11"/>
  </r>
  <r>
    <d v="2024-11-05T00:00:00"/>
    <n v="3926.55"/>
    <n v="3945.85"/>
    <n v="3958.85"/>
    <n v="3905.05"/>
    <s v="353.93K"/>
    <n v="-4.8999999999999998E-3"/>
    <x v="4"/>
    <n v="3"/>
    <n v="11"/>
  </r>
  <r>
    <d v="2024-11-06T00:00:00"/>
    <n v="3922.3"/>
    <n v="3925"/>
    <n v="3950"/>
    <n v="3915.65"/>
    <s v="357.73K"/>
    <n v="-1.1000000000000001E-3"/>
    <x v="4"/>
    <n v="3"/>
    <n v="11"/>
  </r>
  <r>
    <d v="2024-11-07T00:00:00"/>
    <n v="3889.1"/>
    <n v="3940"/>
    <n v="3943.2"/>
    <n v="3871"/>
    <s v="279.83K"/>
    <n v="-8.5000000000000006E-3"/>
    <x v="4"/>
    <n v="3"/>
    <n v="11"/>
  </r>
  <r>
    <d v="2024-11-08T00:00:00"/>
    <n v="3874.5"/>
    <n v="3873.05"/>
    <n v="3910.1"/>
    <n v="3860.15"/>
    <s v="428.07K"/>
    <n v="-3.8E-3"/>
    <x v="4"/>
    <n v="3"/>
    <n v="11"/>
  </r>
  <r>
    <d v="2024-11-11T00:00:00"/>
    <n v="3885.7"/>
    <n v="3899.65"/>
    <n v="3940"/>
    <n v="3814.3"/>
    <s v="417.67K"/>
    <n v="2.8999999999999998E-3"/>
    <x v="4"/>
    <n v="3"/>
    <n v="11"/>
  </r>
  <r>
    <d v="2024-11-12T00:00:00"/>
    <n v="3777"/>
    <n v="3910"/>
    <n v="3910"/>
    <n v="3762.55"/>
    <s v="683.99K"/>
    <n v="-2.8000000000000001E-2"/>
    <x v="4"/>
    <n v="3"/>
    <n v="11"/>
  </r>
  <r>
    <d v="2024-11-13T00:00:00"/>
    <n v="3759.55"/>
    <n v="3774"/>
    <n v="3874.95"/>
    <n v="3751"/>
    <s v="419.50K"/>
    <n v="-4.5999999999999999E-3"/>
    <x v="4"/>
    <n v="3"/>
    <n v="11"/>
  </r>
  <r>
    <d v="2024-11-14T00:00:00"/>
    <n v="3823.85"/>
    <n v="3785.2"/>
    <n v="3858.85"/>
    <n v="3769"/>
    <s v="305.99K"/>
    <n v="1.7100000000000001E-2"/>
    <x v="4"/>
    <n v="3"/>
    <n v="11"/>
  </r>
  <r>
    <d v="2024-11-18T00:00:00"/>
    <n v="3790.55"/>
    <n v="3948"/>
    <n v="3948"/>
    <n v="3757.6"/>
    <s v="656.07K"/>
    <n v="-8.6999999999999994E-3"/>
    <x v="4"/>
    <n v="3"/>
    <n v="11"/>
  </r>
  <r>
    <d v="2024-11-19T00:00:00"/>
    <n v="3752.45"/>
    <n v="3792.5"/>
    <n v="3794.55"/>
    <n v="3737.65"/>
    <s v="813.37K"/>
    <n v="-1.01E-2"/>
    <x v="4"/>
    <n v="3"/>
    <n v="11"/>
  </r>
  <r>
    <d v="2024-11-21T00:00:00"/>
    <n v="3622.9"/>
    <n v="3765.05"/>
    <n v="3774.55"/>
    <n v="3604.05"/>
    <s v="934.13K"/>
    <n v="-3.4500000000000003E-2"/>
    <x v="4"/>
    <n v="3"/>
    <n v="11"/>
  </r>
  <r>
    <d v="2024-11-22T00:00:00"/>
    <n v="3613.65"/>
    <n v="3615.85"/>
    <n v="3656.1"/>
    <n v="3564"/>
    <s v="940.87K"/>
    <n v="-2.5999999999999999E-3"/>
    <x v="4"/>
    <n v="3"/>
    <n v="11"/>
  </r>
  <r>
    <d v="2024-11-25T00:00:00"/>
    <n v="3621.05"/>
    <n v="3686"/>
    <n v="3738.6"/>
    <n v="3592.1"/>
    <s v="1.14M"/>
    <n v="2E-3"/>
    <x v="4"/>
    <n v="3"/>
    <n v="11"/>
  </r>
  <r>
    <d v="2024-11-26T00:00:00"/>
    <n v="3659.15"/>
    <n v="3635"/>
    <n v="3681"/>
    <n v="3622"/>
    <s v="444.83K"/>
    <n v="1.0500000000000001E-2"/>
    <x v="4"/>
    <n v="3"/>
    <n v="11"/>
  </r>
  <r>
    <d v="2024-11-27T00:00:00"/>
    <n v="3661.25"/>
    <n v="3674"/>
    <n v="3692.5"/>
    <n v="3610.05"/>
    <s v="361.53K"/>
    <n v="5.9999999999999995E-4"/>
    <x v="4"/>
    <n v="3"/>
    <n v="11"/>
  </r>
  <r>
    <d v="2024-11-28T00:00:00"/>
    <n v="3716.55"/>
    <n v="3696.65"/>
    <n v="3757.9"/>
    <n v="3651"/>
    <s v="658.00K"/>
    <n v="1.5100000000000001E-2"/>
    <x v="4"/>
    <n v="3"/>
    <n v="11"/>
  </r>
  <r>
    <d v="2024-11-29T00:00:00"/>
    <n v="3709.6"/>
    <n v="3714.7"/>
    <n v="3730.45"/>
    <n v="3661.55"/>
    <s v="913.18K"/>
    <n v="-1.9E-3"/>
    <x v="4"/>
    <n v="3"/>
    <n v="11"/>
  </r>
  <r>
    <d v="2024-12-02T00:00:00"/>
    <n v="3678.4"/>
    <n v="3715.45"/>
    <n v="3722.95"/>
    <n v="3622.7"/>
    <s v="975.52K"/>
    <n v="-8.3999999999999995E-3"/>
    <x v="4"/>
    <n v="3"/>
    <n v="12"/>
  </r>
  <r>
    <d v="2024-12-03T00:00:00"/>
    <n v="3829.85"/>
    <n v="3678.4"/>
    <n v="3853.1"/>
    <n v="3655.7"/>
    <s v="979.95K"/>
    <n v="4.1200000000000001E-2"/>
    <x v="4"/>
    <n v="3"/>
    <n v="12"/>
  </r>
  <r>
    <d v="2024-12-04T00:00:00"/>
    <n v="3850.1"/>
    <n v="3850"/>
    <n v="3889.25"/>
    <n v="3801.05"/>
    <s v="791.74K"/>
    <n v="5.3E-3"/>
    <x v="4"/>
    <n v="3"/>
    <n v="12"/>
  </r>
  <r>
    <d v="2024-12-05T00:00:00"/>
    <n v="3863.95"/>
    <n v="3865"/>
    <n v="3882"/>
    <n v="3822.7"/>
    <s v="467.72K"/>
    <n v="3.5999999999999999E-3"/>
    <x v="4"/>
    <n v="3"/>
    <n v="12"/>
  </r>
  <r>
    <d v="2024-12-06T00:00:00"/>
    <n v="3805.55"/>
    <n v="3889"/>
    <n v="3920.45"/>
    <n v="3784.05"/>
    <s v="1.14M"/>
    <n v="-1.5100000000000001E-2"/>
    <x v="4"/>
    <n v="3"/>
    <n v="12"/>
  </r>
  <r>
    <d v="2024-12-09T00:00:00"/>
    <n v="3829.05"/>
    <n v="3800"/>
    <n v="3844"/>
    <n v="3761"/>
    <s v="948.37K"/>
    <n v="6.1999999999999998E-3"/>
    <x v="4"/>
    <n v="3"/>
    <n v="12"/>
  </r>
  <r>
    <d v="2024-12-10T00:00:00"/>
    <n v="3816.9"/>
    <n v="3835"/>
    <n v="3853"/>
    <n v="3776.6"/>
    <s v="573.69K"/>
    <n v="-3.2000000000000002E-3"/>
    <x v="4"/>
    <n v="3"/>
    <n v="12"/>
  </r>
  <r>
    <d v="2024-12-11T00:00:00"/>
    <n v="3708.3"/>
    <n v="3700"/>
    <n v="3760"/>
    <n v="3671.35"/>
    <s v="1.84M"/>
    <n v="-2.8500000000000001E-2"/>
    <x v="4"/>
    <n v="3"/>
    <n v="12"/>
  </r>
  <r>
    <d v="2024-12-12T00:00:00"/>
    <n v="3688.45"/>
    <n v="3729.95"/>
    <n v="3736.8"/>
    <n v="3678.45"/>
    <s v="576.17K"/>
    <n v="-5.4000000000000003E-3"/>
    <x v="4"/>
    <n v="3"/>
    <n v="12"/>
  </r>
  <r>
    <d v="2024-12-13T00:00:00"/>
    <n v="3652.3"/>
    <n v="3688.45"/>
    <n v="3694.8"/>
    <n v="3612"/>
    <s v="806.51K"/>
    <n v="-9.7999999999999997E-3"/>
    <x v="4"/>
    <n v="3"/>
    <n v="12"/>
  </r>
  <r>
    <d v="2024-12-16T00:00:00"/>
    <n v="3623.8"/>
    <n v="3650"/>
    <n v="3672.5"/>
    <n v="3612.25"/>
    <s v="595.92K"/>
    <n v="-7.7999999999999996E-3"/>
    <x v="4"/>
    <n v="3"/>
    <n v="12"/>
  </r>
  <r>
    <d v="2024-12-17T00:00:00"/>
    <n v="3542.95"/>
    <n v="3627.05"/>
    <n v="3629.95"/>
    <n v="3519"/>
    <s v="988.42K"/>
    <n v="-2.23E-2"/>
    <x v="4"/>
    <n v="3"/>
    <n v="12"/>
  </r>
  <r>
    <d v="2024-12-18T00:00:00"/>
    <n v="3515.7"/>
    <n v="3542.95"/>
    <n v="3558"/>
    <n v="3492.7"/>
    <s v="748.69K"/>
    <n v="-7.7000000000000002E-3"/>
    <x v="4"/>
    <n v="3"/>
    <n v="12"/>
  </r>
  <r>
    <d v="2024-12-19T00:00:00"/>
    <n v="3498.15"/>
    <n v="3500"/>
    <n v="3522.7"/>
    <n v="3455.7"/>
    <s v="684.53K"/>
    <n v="-5.0000000000000001E-3"/>
    <x v="4"/>
    <n v="3"/>
    <n v="12"/>
  </r>
  <r>
    <d v="2024-12-20T00:00:00"/>
    <n v="3408.3"/>
    <n v="3519.95"/>
    <n v="3519.95"/>
    <n v="3399"/>
    <s v="914.45K"/>
    <n v="-2.5700000000000001E-2"/>
    <x v="4"/>
    <n v="3"/>
    <n v="12"/>
  </r>
  <r>
    <d v="2024-12-23T00:00:00"/>
    <n v="3460.55"/>
    <n v="3443.45"/>
    <n v="3475.9"/>
    <n v="3419.05"/>
    <s v="642.12K"/>
    <n v="1.5299999999999999E-2"/>
    <x v="4"/>
    <n v="3"/>
    <n v="12"/>
  </r>
  <r>
    <d v="2024-12-24T00:00:00"/>
    <n v="3459.65"/>
    <n v="3474"/>
    <n v="3524.9"/>
    <n v="3450.85"/>
    <s v="465.81K"/>
    <n v="-2.9999999999999997E-4"/>
    <x v="4"/>
    <n v="3"/>
    <n v="12"/>
  </r>
  <r>
    <d v="2024-12-26T00:00:00"/>
    <n v="3511.65"/>
    <n v="3462.7"/>
    <n v="3524"/>
    <n v="3446.2"/>
    <s v="611.65K"/>
    <n v="1.4999999999999999E-2"/>
    <x v="4"/>
    <n v="3"/>
    <n v="12"/>
  </r>
  <r>
    <d v="2024-12-27T00:00:00"/>
    <n v="3568.35"/>
    <n v="3481.05"/>
    <n v="3573.4"/>
    <n v="3481.05"/>
    <s v="451.01K"/>
    <n v="1.61E-2"/>
    <x v="4"/>
    <n v="3"/>
    <n v="12"/>
  </r>
  <r>
    <d v="2024-12-30T00:00:00"/>
    <n v="3588.55"/>
    <n v="3570"/>
    <n v="3669.9"/>
    <n v="3495.05"/>
    <s v="2.35M"/>
    <n v="5.7000000000000002E-3"/>
    <x v="4"/>
    <n v="3"/>
    <n v="12"/>
  </r>
  <r>
    <d v="2024-12-31T00:00:00"/>
    <n v="3561.85"/>
    <n v="3555"/>
    <n v="3577.95"/>
    <n v="3510.1"/>
    <s v="693.78K"/>
    <n v="-7.4000000000000003E-3"/>
    <x v="4"/>
    <n v="3"/>
    <n v="12"/>
  </r>
  <r>
    <d v="2025-01-01T00:00:00"/>
    <n v="3561"/>
    <n v="3560"/>
    <n v="3586.95"/>
    <n v="3536.55"/>
    <s v="241.12K"/>
    <n v="-2.0000000000000001E-4"/>
    <x v="5"/>
    <n v="4"/>
    <n v="1"/>
  </r>
  <r>
    <d v="2025-01-02T00:00:00"/>
    <n v="3611.1"/>
    <n v="3564.95"/>
    <n v="3635"/>
    <n v="3550.25"/>
    <s v="566.19K"/>
    <n v="1.41E-2"/>
    <x v="5"/>
    <n v="4"/>
    <n v="1"/>
  </r>
  <r>
    <d v="2025-01-03T00:00:00"/>
    <n v="4025.2"/>
    <n v="3840"/>
    <n v="4165.8999999999996"/>
    <n v="3820"/>
    <s v="9.28M"/>
    <n v="0.1147"/>
    <x v="5"/>
    <n v="4"/>
    <n v="1"/>
  </r>
  <r>
    <d v="2025-01-06T00:00:00"/>
    <n v="3934.75"/>
    <n v="4025.2"/>
    <n v="4061.75"/>
    <n v="3920.1"/>
    <s v="889.16K"/>
    <n v="-2.2499999999999999E-2"/>
    <x v="5"/>
    <n v="4"/>
    <n v="1"/>
  </r>
  <r>
    <d v="2025-01-07T00:00:00"/>
    <n v="3830.3"/>
    <n v="3934"/>
    <n v="3958.95"/>
    <n v="3820"/>
    <s v="672.09K"/>
    <n v="-2.6499999999999999E-2"/>
    <x v="5"/>
    <n v="4"/>
    <n v="1"/>
  </r>
  <r>
    <d v="2025-01-08T00:00:00"/>
    <n v="3843"/>
    <n v="3857"/>
    <n v="3873.95"/>
    <n v="3761.8"/>
    <s v="849.68K"/>
    <n v="3.3E-3"/>
    <x v="5"/>
    <n v="4"/>
    <n v="1"/>
  </r>
  <r>
    <d v="2025-01-09T00:00:00"/>
    <n v="3813.8"/>
    <n v="3853.5"/>
    <n v="3860"/>
    <n v="3790.1"/>
    <s v="727.97K"/>
    <n v="-7.6E-3"/>
    <x v="5"/>
    <n v="4"/>
    <n v="1"/>
  </r>
  <r>
    <d v="2025-01-10T00:00:00"/>
    <n v="3686.25"/>
    <n v="3837.8"/>
    <n v="3837.8"/>
    <n v="3666.65"/>
    <s v="902.00K"/>
    <n v="-3.3399999999999999E-2"/>
    <x v="5"/>
    <n v="4"/>
    <n v="1"/>
  </r>
  <r>
    <d v="2025-01-13T00:00:00"/>
    <n v="3507.45"/>
    <n v="3501"/>
    <n v="3643.95"/>
    <n v="3469.95"/>
    <s v="2.95M"/>
    <n v="-4.8500000000000001E-2"/>
    <x v="5"/>
    <n v="4"/>
    <n v="1"/>
  </r>
  <r>
    <d v="2025-01-14T00:00:00"/>
    <n v="3476.5"/>
    <n v="3529.95"/>
    <n v="3538.95"/>
    <n v="3443"/>
    <s v="746.22K"/>
    <n v="-8.8000000000000005E-3"/>
    <x v="5"/>
    <n v="4"/>
    <n v="1"/>
  </r>
  <r>
    <d v="2025-01-15T00:00:00"/>
    <n v="3568.45"/>
    <n v="3500.05"/>
    <n v="3578.95"/>
    <n v="3476.5"/>
    <s v="744.96K"/>
    <n v="2.64E-2"/>
    <x v="5"/>
    <n v="4"/>
    <n v="1"/>
  </r>
  <r>
    <d v="2025-01-16T00:00:00"/>
    <n v="3600.95"/>
    <n v="3570"/>
    <n v="3643.3"/>
    <n v="3570"/>
    <s v="395.26K"/>
    <n v="9.1000000000000004E-3"/>
    <x v="5"/>
    <n v="4"/>
    <n v="1"/>
  </r>
  <r>
    <d v="2025-01-17T00:00:00"/>
    <n v="3620.65"/>
    <n v="3610"/>
    <n v="3649.95"/>
    <n v="3580.95"/>
    <s v="244.75K"/>
    <n v="5.4999999999999997E-3"/>
    <x v="5"/>
    <n v="4"/>
    <n v="1"/>
  </r>
  <r>
    <d v="2025-01-20T00:00:00"/>
    <n v="3614.7"/>
    <n v="3624"/>
    <n v="3640"/>
    <n v="3598"/>
    <s v="195.57K"/>
    <n v="-1.6000000000000001E-3"/>
    <x v="5"/>
    <n v="4"/>
    <n v="1"/>
  </r>
  <r>
    <d v="2025-01-21T00:00:00"/>
    <n v="3587.8"/>
    <n v="3614.7"/>
    <n v="3630"/>
    <n v="3547.35"/>
    <s v="211.13K"/>
    <n v="-7.4000000000000003E-3"/>
    <x v="5"/>
    <n v="4"/>
    <n v="1"/>
  </r>
  <r>
    <d v="2025-01-22T00:00:00"/>
    <n v="3561.6"/>
    <n v="3604"/>
    <n v="3619"/>
    <n v="3524.5"/>
    <s v="320.92K"/>
    <n v="-7.3000000000000001E-3"/>
    <x v="5"/>
    <n v="4"/>
    <n v="1"/>
  </r>
  <r>
    <d v="2025-01-23T00:00:00"/>
    <n v="3598.35"/>
    <n v="3555"/>
    <n v="3609.8"/>
    <n v="3530"/>
    <s v="263.61K"/>
    <n v="1.03E-2"/>
    <x v="5"/>
    <n v="4"/>
    <n v="1"/>
  </r>
  <r>
    <d v="2025-01-24T00:00:00"/>
    <n v="3579.95"/>
    <n v="3598"/>
    <n v="3608.5"/>
    <n v="3535"/>
    <s v="288.98K"/>
    <n v="-5.1000000000000004E-3"/>
    <x v="5"/>
    <n v="4"/>
    <n v="1"/>
  </r>
  <r>
    <d v="2025-01-27T00:00:00"/>
    <n v="3532.95"/>
    <n v="3565"/>
    <n v="3565"/>
    <n v="3507"/>
    <s v="387.42K"/>
    <n v="-1.3100000000000001E-2"/>
    <x v="5"/>
    <n v="4"/>
    <n v="1"/>
  </r>
  <r>
    <d v="2025-01-28T00:00:00"/>
    <n v="3559.3"/>
    <n v="3540.2"/>
    <n v="3595"/>
    <n v="3495.3"/>
    <s v="490.41K"/>
    <n v="7.4999999999999997E-3"/>
    <x v="5"/>
    <n v="4"/>
    <n v="1"/>
  </r>
  <r>
    <d v="2025-01-29T00:00:00"/>
    <n v="3568.1"/>
    <n v="3555.8"/>
    <n v="3586.2"/>
    <n v="3540.95"/>
    <s v="387.66K"/>
    <n v="2.5000000000000001E-3"/>
    <x v="5"/>
    <n v="4"/>
    <n v="1"/>
  </r>
  <r>
    <d v="2025-01-30T00:00:00"/>
    <n v="3575.4"/>
    <n v="3572.05"/>
    <n v="3585"/>
    <n v="3553.6"/>
    <s v="325.45K"/>
    <n v="2E-3"/>
    <x v="5"/>
    <n v="4"/>
    <n v="1"/>
  </r>
  <r>
    <d v="2025-01-31T00:00:00"/>
    <n v="3664.65"/>
    <n v="3575"/>
    <n v="3703.7"/>
    <n v="3570"/>
    <s v="339.02K"/>
    <n v="2.5000000000000001E-2"/>
    <x v="5"/>
    <n v="4"/>
    <n v="1"/>
  </r>
  <r>
    <d v="2025-02-01T00:00:00"/>
    <n v="4023.75"/>
    <n v="3670"/>
    <n v="4084.7"/>
    <n v="3633"/>
    <s v="3.12M"/>
    <n v="9.8000000000000004E-2"/>
    <x v="5"/>
    <n v="4"/>
    <n v="2"/>
  </r>
  <r>
    <d v="2025-02-03T00:00:00"/>
    <n v="3947.85"/>
    <n v="3899.95"/>
    <n v="4090"/>
    <n v="3859.3"/>
    <s v="1.84M"/>
    <n v="-1.89E-2"/>
    <x v="5"/>
    <n v="4"/>
    <n v="2"/>
  </r>
  <r>
    <d v="2025-02-04T00:00:00"/>
    <n v="3919.85"/>
    <n v="3954.95"/>
    <n v="4017.65"/>
    <n v="3890"/>
    <s v="770.27K"/>
    <n v="-7.1000000000000004E-3"/>
    <x v="5"/>
    <n v="4"/>
    <n v="2"/>
  </r>
  <r>
    <d v="2025-02-05T00:00:00"/>
    <n v="3865.7"/>
    <n v="3910"/>
    <n v="4015"/>
    <n v="3841"/>
    <s v="693.77K"/>
    <n v="-1.38E-2"/>
    <x v="5"/>
    <n v="4"/>
    <n v="2"/>
  </r>
  <r>
    <d v="2025-02-06T00:00:00"/>
    <n v="3748.45"/>
    <n v="3905"/>
    <n v="3905"/>
    <n v="3724.05"/>
    <s v="400.41K"/>
    <n v="-3.0300000000000001E-2"/>
    <x v="5"/>
    <n v="4"/>
    <n v="2"/>
  </r>
  <r>
    <d v="2025-02-07T00:00:00"/>
    <n v="3743.5"/>
    <n v="3750"/>
    <n v="3764.1"/>
    <n v="3695.4"/>
    <s v="301.64K"/>
    <n v="-1.2999999999999999E-3"/>
    <x v="5"/>
    <n v="4"/>
    <n v="2"/>
  </r>
  <r>
    <d v="2025-02-10T00:00:00"/>
    <n v="3722.05"/>
    <n v="3756.6"/>
    <n v="3813"/>
    <n v="3693.05"/>
    <s v="428.01K"/>
    <n v="-5.7000000000000002E-3"/>
    <x v="5"/>
    <n v="4"/>
    <n v="2"/>
  </r>
  <r>
    <d v="2025-02-11T00:00:00"/>
    <n v="3682.7"/>
    <n v="3724.8"/>
    <n v="3749.6"/>
    <n v="3663"/>
    <s v="315.00K"/>
    <n v="-1.06E-2"/>
    <x v="5"/>
    <n v="4"/>
    <n v="2"/>
  </r>
  <r>
    <d v="2025-02-12T00:00:00"/>
    <n v="3689.9"/>
    <n v="3681.5"/>
    <n v="3699.9"/>
    <n v="3585"/>
    <s v="478.92K"/>
    <n v="2E-3"/>
    <x v="5"/>
    <n v="4"/>
    <n v="2"/>
  </r>
  <r>
    <d v="2025-02-13T00:00:00"/>
    <n v="3696.5"/>
    <n v="3698.9"/>
    <n v="3722.3"/>
    <n v="3659"/>
    <s v="243.49K"/>
    <n v="1.8E-3"/>
    <x v="5"/>
    <n v="4"/>
    <n v="2"/>
  </r>
  <r>
    <d v="2025-02-14T00:00:00"/>
    <n v="3682.65"/>
    <n v="3706"/>
    <n v="3755.1"/>
    <n v="3636.85"/>
    <s v="286.89K"/>
    <n v="-3.7000000000000002E-3"/>
    <x v="5"/>
    <n v="4"/>
    <n v="2"/>
  </r>
  <r>
    <d v="2025-02-17T00:00:00"/>
    <n v="3621.5"/>
    <n v="3645.05"/>
    <n v="3683"/>
    <n v="3596.6"/>
    <s v="571.64K"/>
    <n v="-1.66E-2"/>
    <x v="5"/>
    <n v="4"/>
    <n v="2"/>
  </r>
  <r>
    <d v="2025-02-18T00:00:00"/>
    <n v="3676.6"/>
    <n v="3630"/>
    <n v="3705.95"/>
    <n v="3606.25"/>
    <s v="372.64K"/>
    <n v="1.52E-2"/>
    <x v="5"/>
    <n v="4"/>
    <n v="2"/>
  </r>
  <r>
    <d v="2025-02-19T00:00:00"/>
    <n v="3685"/>
    <n v="3674.3"/>
    <n v="3713.95"/>
    <n v="3627.45"/>
    <s v="265.83K"/>
    <n v="2.3E-3"/>
    <x v="5"/>
    <n v="4"/>
    <n v="2"/>
  </r>
  <r>
    <d v="2025-02-20T00:00:00"/>
    <n v="3623.8"/>
    <n v="3687"/>
    <n v="3709"/>
    <n v="3615"/>
    <s v="552.76K"/>
    <n v="-1.66E-2"/>
    <x v="5"/>
    <n v="4"/>
    <n v="2"/>
  </r>
  <r>
    <d v="2025-02-21T00:00:00"/>
    <n v="3596.7"/>
    <n v="3630"/>
    <n v="3663"/>
    <n v="3569.5"/>
    <s v="532.24K"/>
    <n v="-7.4999999999999997E-3"/>
    <x v="5"/>
    <n v="4"/>
    <n v="2"/>
  </r>
  <r>
    <d v="2025-02-24T00:00:00"/>
    <n v="3570.9"/>
    <n v="3589.8"/>
    <n v="3611.4"/>
    <n v="3555.55"/>
    <s v="370.76K"/>
    <n v="-7.1999999999999998E-3"/>
    <x v="5"/>
    <n v="4"/>
    <n v="2"/>
  </r>
  <r>
    <d v="2025-02-25T00:00:00"/>
    <n v="3530.75"/>
    <n v="3557"/>
    <n v="3571"/>
    <n v="3516.65"/>
    <s v="375.51K"/>
    <n v="-1.12E-2"/>
    <x v="5"/>
    <n v="4"/>
    <n v="2"/>
  </r>
  <r>
    <d v="2025-02-27T00:00:00"/>
    <n v="3507.2"/>
    <n v="3556"/>
    <n v="3575"/>
    <n v="3492.05"/>
    <s v="469.28K"/>
    <n v="-6.7000000000000002E-3"/>
    <x v="5"/>
    <n v="4"/>
    <n v="2"/>
  </r>
  <r>
    <d v="2025-02-28T00:00:00"/>
    <n v="3403.95"/>
    <n v="3507"/>
    <n v="3532.55"/>
    <n v="3391"/>
    <s v="799.60K"/>
    <n v="-2.9399999999999999E-2"/>
    <x v="5"/>
    <n v="4"/>
    <n v="2"/>
  </r>
  <r>
    <d v="2025-03-03T00:00:00"/>
    <n v="3453.2"/>
    <n v="3425"/>
    <n v="3472"/>
    <n v="3340"/>
    <s v="807.30K"/>
    <n v="1.4500000000000001E-2"/>
    <x v="5"/>
    <n v="4"/>
    <n v="3"/>
  </r>
  <r>
    <d v="2025-03-04T00:00:00"/>
    <n v="3408.4"/>
    <n v="3429.7"/>
    <n v="3460"/>
    <n v="3400"/>
    <s v="637.41K"/>
    <n v="-1.2999999999999999E-2"/>
    <x v="5"/>
    <n v="4"/>
    <n v="3"/>
  </r>
  <r>
    <d v="2025-03-05T00:00:00"/>
    <n v="3474.5"/>
    <n v="3408.4"/>
    <n v="3505"/>
    <n v="3408.4"/>
    <s v="417.93K"/>
    <n v="1.9400000000000001E-2"/>
    <x v="5"/>
    <n v="4"/>
    <n v="3"/>
  </r>
  <r>
    <d v="2025-03-06T00:00:00"/>
    <n v="3540.5"/>
    <n v="3505"/>
    <n v="3552"/>
    <n v="3475"/>
    <s v="797.59K"/>
    <n v="1.9E-2"/>
    <x v="5"/>
    <n v="4"/>
    <n v="3"/>
  </r>
  <r>
    <d v="2025-03-07T00:00:00"/>
    <n v="3593.6"/>
    <n v="3568"/>
    <n v="3636.3"/>
    <n v="3549.95"/>
    <s v="681.83K"/>
    <n v="1.4999999999999999E-2"/>
    <x v="5"/>
    <n v="4"/>
    <n v="3"/>
  </r>
  <r>
    <d v="2025-03-10T00:00:00"/>
    <n v="3603.75"/>
    <n v="3600"/>
    <n v="3624.95"/>
    <n v="3548.2"/>
    <s v="327.83K"/>
    <n v="2.8E-3"/>
    <x v="5"/>
    <n v="4"/>
    <n v="3"/>
  </r>
  <r>
    <d v="2025-03-11T00:00:00"/>
    <n v="3631.65"/>
    <n v="3586.95"/>
    <n v="3639.9"/>
    <n v="3551.55"/>
    <s v="255.76K"/>
    <n v="7.7000000000000002E-3"/>
    <x v="5"/>
    <n v="4"/>
    <n v="3"/>
  </r>
  <r>
    <d v="2025-03-12T00:00:00"/>
    <n v="3674.2"/>
    <n v="3655.25"/>
    <n v="3685"/>
    <n v="3622.45"/>
    <s v="265.76K"/>
    <n v="1.17E-2"/>
    <x v="5"/>
    <n v="4"/>
    <n v="3"/>
  </r>
  <r>
    <d v="2025-03-13T00:00:00"/>
    <n v="3797.1"/>
    <n v="3681"/>
    <n v="3877.05"/>
    <n v="3670"/>
    <s v="2.33M"/>
    <n v="3.3399999999999999E-2"/>
    <x v="5"/>
    <n v="4"/>
    <n v="3"/>
  </r>
  <r>
    <d v="2025-03-17T00:00:00"/>
    <n v="3825.3"/>
    <n v="3797.1"/>
    <n v="3832.35"/>
    <n v="3788.1"/>
    <s v="425.09K"/>
    <n v="7.4000000000000003E-3"/>
    <x v="5"/>
    <n v="4"/>
    <n v="3"/>
  </r>
  <r>
    <d v="2025-03-18T00:00:00"/>
    <n v="3833.85"/>
    <n v="3843.75"/>
    <n v="3868.4"/>
    <n v="3783"/>
    <s v="296.52K"/>
    <n v="2.2000000000000001E-3"/>
    <x v="5"/>
    <n v="4"/>
    <n v="3"/>
  </r>
  <r>
    <d v="2025-03-19T00:00:00"/>
    <n v="3845.2"/>
    <n v="3850"/>
    <n v="3860"/>
    <n v="3795"/>
    <s v="285.71K"/>
    <n v="3.0000000000000001E-3"/>
    <x v="5"/>
    <n v="4"/>
    <n v="3"/>
  </r>
  <r>
    <d v="2025-03-20T00:00:00"/>
    <n v="3884.4"/>
    <n v="3864.4"/>
    <n v="3904.75"/>
    <n v="3831.15"/>
    <s v="267.76K"/>
    <n v="1.0200000000000001E-2"/>
    <x v="5"/>
    <n v="4"/>
    <n v="3"/>
  </r>
  <r>
    <d v="2025-03-21T00:00:00"/>
    <n v="3892.2"/>
    <n v="3890"/>
    <n v="3948.8"/>
    <n v="3871.85"/>
    <s v="431.56K"/>
    <n v="2E-3"/>
    <x v="5"/>
    <n v="4"/>
    <n v="3"/>
  </r>
  <r>
    <d v="2025-03-24T00:00:00"/>
    <n v="3905.1"/>
    <n v="3900"/>
    <n v="3948.95"/>
    <n v="3890"/>
    <s v="209.02K"/>
    <n v="3.3E-3"/>
    <x v="5"/>
    <n v="4"/>
    <n v="3"/>
  </r>
  <r>
    <d v="2025-03-25T00:00:00"/>
    <n v="3998.8"/>
    <n v="3935"/>
    <n v="4033.95"/>
    <n v="3883.95"/>
    <s v="704.46K"/>
    <n v="2.4E-2"/>
    <x v="5"/>
    <n v="4"/>
    <n v="3"/>
  </r>
  <r>
    <d v="2025-03-26T00:00:00"/>
    <n v="3945.7"/>
    <n v="4010"/>
    <n v="4018.1"/>
    <n v="3917.3"/>
    <s v="384.63K"/>
    <n v="-1.3299999999999999E-2"/>
    <x v="5"/>
    <n v="4"/>
    <n v="3"/>
  </r>
  <r>
    <d v="2025-03-27T00:00:00"/>
    <n v="4065"/>
    <n v="3940"/>
    <n v="4085"/>
    <n v="3932.45"/>
    <s v="735.79K"/>
    <n v="3.0200000000000001E-2"/>
    <x v="5"/>
    <n v="4"/>
    <n v="3"/>
  </r>
  <r>
    <d v="2025-03-28T00:00:00"/>
    <n v="4083.2"/>
    <n v="4065"/>
    <n v="4190"/>
    <n v="4055.05"/>
    <s v="886.80K"/>
    <n v="4.4999999999999997E-3"/>
    <x v="5"/>
    <n v="4"/>
    <n v="3"/>
  </r>
  <r>
    <d v="2025-04-01T00:00:00"/>
    <n v="4003.6"/>
    <n v="4109.75"/>
    <n v="4163.3999999999996"/>
    <n v="3994.6"/>
    <s v="401.32K"/>
    <n v="-1.95E-2"/>
    <x v="5"/>
    <n v="1"/>
    <n v="4"/>
  </r>
  <r>
    <d v="2025-04-02T00:00:00"/>
    <n v="4121.45"/>
    <n v="4045"/>
    <n v="4131.7"/>
    <n v="3996"/>
    <s v="390.71K"/>
    <n v="2.9399999999999999E-2"/>
    <x v="5"/>
    <n v="1"/>
    <n v="4"/>
  </r>
  <r>
    <d v="2025-04-03T00:00:00"/>
    <n v="4157.8"/>
    <n v="4121.45"/>
    <n v="4195.5"/>
    <n v="4077.05"/>
    <s v="426.31K"/>
    <n v="8.8000000000000005E-3"/>
    <x v="5"/>
    <n v="1"/>
    <n v="4"/>
  </r>
  <r>
    <d v="2025-04-04T00:00:00"/>
    <n v="4039.9"/>
    <n v="4155"/>
    <n v="4155"/>
    <n v="3943"/>
    <s v="818.95K"/>
    <n v="-2.8400000000000002E-2"/>
    <x v="5"/>
    <n v="1"/>
    <n v="4"/>
  </r>
  <r>
    <d v="2025-04-07T00:00:00"/>
    <n v="4023.15"/>
    <n v="3761.2"/>
    <n v="4037.1"/>
    <n v="3761.2"/>
    <s v="472.57K"/>
    <n v="-4.1000000000000003E-3"/>
    <x v="5"/>
    <n v="1"/>
    <n v="4"/>
  </r>
  <r>
    <d v="2025-04-08T00:00:00"/>
    <n v="4053.85"/>
    <n v="4079"/>
    <n v="4100"/>
    <n v="4020"/>
    <s v="552.58K"/>
    <n v="7.6E-3"/>
    <x v="5"/>
    <n v="1"/>
    <n v="4"/>
  </r>
  <r>
    <d v="2025-04-09T00:00:00"/>
    <n v="4139.3"/>
    <n v="4053.85"/>
    <n v="4151.8500000000004"/>
    <n v="4014"/>
    <s v="663.30K"/>
    <n v="2.1100000000000001E-2"/>
    <x v="5"/>
    <n v="1"/>
    <n v="4"/>
  </r>
  <r>
    <d v="2025-04-11T00:00:00"/>
    <n v="4131.5"/>
    <n v="4157"/>
    <n v="4192"/>
    <n v="4113.05"/>
    <s v="570.96K"/>
    <n v="-1.9E-3"/>
    <x v="5"/>
    <n v="1"/>
    <n v="4"/>
  </r>
  <r>
    <d v="2025-04-15T00:00:00"/>
    <n v="4212.7"/>
    <n v="4200"/>
    <n v="4227"/>
    <n v="4088"/>
    <s v="569.34K"/>
    <n v="1.9699999999999999E-2"/>
    <x v="5"/>
    <n v="1"/>
    <n v="4"/>
  </r>
  <r>
    <d v="2025-04-16T00:00:00"/>
    <n v="4221.5"/>
    <n v="4240"/>
    <n v="4265"/>
    <n v="4200.2"/>
    <s v="331.62K"/>
    <n v="2.0999999999999999E-3"/>
    <x v="5"/>
    <n v="1"/>
    <n v="4"/>
  </r>
  <r>
    <d v="2025-04-17T00:00:00"/>
    <n v="4357.1000000000004"/>
    <n v="4221"/>
    <n v="4397"/>
    <n v="4192.2"/>
    <s v="1.02M"/>
    <n v="3.2099999999999997E-2"/>
    <x v="5"/>
    <n v="1"/>
    <n v="4"/>
  </r>
  <r>
    <d v="2025-04-21T00:00:00"/>
    <n v="4342.3"/>
    <n v="4357"/>
    <n v="4429"/>
    <n v="4321.6000000000004"/>
    <s v="561.59K"/>
    <n v="-3.3999999999999998E-3"/>
    <x v="5"/>
    <n v="1"/>
    <n v="4"/>
  </r>
  <r>
    <d v="2025-04-22T00:00:00"/>
    <n v="4435.6000000000004"/>
    <n v="4363"/>
    <n v="4497"/>
    <n v="4315"/>
    <s v="998.02K"/>
    <n v="2.1499999999999998E-2"/>
    <x v="5"/>
    <n v="1"/>
    <n v="4"/>
  </r>
  <r>
    <d v="2025-04-23T00:00:00"/>
    <n v="4508.1000000000004"/>
    <n v="4455.5"/>
    <n v="4533.8"/>
    <n v="4434"/>
    <s v="1.22M"/>
    <n v="1.6299999999999999E-2"/>
    <x v="5"/>
    <n v="1"/>
    <n v="4"/>
  </r>
  <r>
    <d v="2025-04-24T00:00:00"/>
    <n v="4498.8"/>
    <n v="4509.8"/>
    <n v="4557.7"/>
    <n v="4452"/>
    <s v="1.70M"/>
    <n v="-2.0999999999999999E-3"/>
    <x v="5"/>
    <n v="1"/>
    <n v="4"/>
  </r>
  <r>
    <d v="2025-04-25T00:00:00"/>
    <n v="4375.2"/>
    <n v="4501.8999999999996"/>
    <n v="4520.7"/>
    <n v="4350"/>
    <s v="540.51K"/>
    <n v="-2.75E-2"/>
    <x v="5"/>
    <n v="1"/>
    <n v="4"/>
  </r>
  <r>
    <d v="2025-04-28T00:00:00"/>
    <n v="4366.8"/>
    <n v="4375.2"/>
    <n v="4462.3"/>
    <n v="4351.2"/>
    <s v="676.46K"/>
    <n v="-1.9E-3"/>
    <x v="5"/>
    <n v="1"/>
    <n v="4"/>
  </r>
  <r>
    <d v="2025-04-29T00:00:00"/>
    <n v="4310"/>
    <n v="4370"/>
    <n v="4414.7"/>
    <n v="4288.5"/>
    <s v="388.13K"/>
    <n v="-1.2999999999999999E-2"/>
    <x v="5"/>
    <n v="1"/>
    <n v="4"/>
  </r>
  <r>
    <d v="2025-04-30T00:00:00"/>
    <n v="4199.8999999999996"/>
    <n v="4352"/>
    <n v="4355"/>
    <n v="4147.5"/>
    <s v="814.01K"/>
    <n v="-2.5499999999999998E-2"/>
    <x v="5"/>
    <n v="1"/>
    <n v="4"/>
  </r>
  <r>
    <d v="2025-05-02T00:00:00"/>
    <n v="4059.2"/>
    <n v="4180"/>
    <n v="4225"/>
    <n v="4022"/>
    <s v="752.50K"/>
    <n v="-3.3500000000000002E-2"/>
    <x v="5"/>
    <n v="1"/>
    <n v="5"/>
  </r>
  <r>
    <d v="2025-05-05T00:00:00"/>
    <n v="4018.4"/>
    <n v="3956"/>
    <n v="4059.9"/>
    <n v="3915"/>
    <s v="1.41M"/>
    <n v="-1.01E-2"/>
    <x v="5"/>
    <n v="1"/>
    <n v="5"/>
  </r>
  <r>
    <d v="2025-05-06T00:00:00"/>
    <n v="4006.1"/>
    <n v="4018.5"/>
    <n v="4077"/>
    <n v="3993.7"/>
    <s v="399.03K"/>
    <n v="-3.0999999999999999E-3"/>
    <x v="5"/>
    <n v="1"/>
    <n v="5"/>
  </r>
  <r>
    <d v="2025-05-07T00:00:00"/>
    <n v="3999.8"/>
    <n v="3973"/>
    <n v="4032.5"/>
    <n v="3950.8"/>
    <s v="387.48K"/>
    <n v="-1.6000000000000001E-3"/>
    <x v="5"/>
    <n v="1"/>
    <n v="5"/>
  </r>
  <r>
    <d v="2025-05-08T00:00:00"/>
    <n v="3974.3"/>
    <n v="4037.7"/>
    <n v="4069.5"/>
    <n v="3958"/>
    <s v="473.68K"/>
    <n v="-6.4000000000000003E-3"/>
    <x v="5"/>
    <n v="1"/>
    <n v="5"/>
  </r>
  <r>
    <d v="2025-05-09T00:00:00"/>
    <n v="3972.4"/>
    <n v="3850"/>
    <n v="3994.6"/>
    <n v="3850"/>
    <s v="422.11K"/>
    <n v="-5.0000000000000001E-4"/>
    <x v="5"/>
    <n v="1"/>
    <n v="5"/>
  </r>
  <r>
    <d v="2025-05-12T00:00:00"/>
    <n v="4023.5"/>
    <n v="4050"/>
    <n v="4050"/>
    <n v="3995.9"/>
    <s v="330.75K"/>
    <n v="1.29E-2"/>
    <x v="5"/>
    <n v="1"/>
    <n v="5"/>
  </r>
  <r>
    <d v="2025-05-13T00:00:00"/>
    <n v="4064.1"/>
    <n v="4033"/>
    <n v="4107"/>
    <n v="4033"/>
    <s v="368.48K"/>
    <n v="1.01E-2"/>
    <x v="5"/>
    <n v="1"/>
    <n v="5"/>
  </r>
  <r>
    <d v="2025-05-14T00:00:00"/>
    <n v="4049.2"/>
    <n v="4090.1"/>
    <n v="4098.2"/>
    <n v="4010.1"/>
    <s v="393.29K"/>
    <n v="-3.7000000000000002E-3"/>
    <x v="5"/>
    <n v="1"/>
    <n v="5"/>
  </r>
  <r>
    <d v="2025-05-15T00:00:00"/>
    <n v="4073.5"/>
    <n v="4060"/>
    <n v="4120.8999999999996"/>
    <n v="4040"/>
    <s v="263.18K"/>
    <n v="6.0000000000000001E-3"/>
    <x v="5"/>
    <n v="1"/>
    <n v="5"/>
  </r>
  <r>
    <d v="2025-05-16T00:00:00"/>
    <n v="4189.7"/>
    <n v="4070"/>
    <n v="4196"/>
    <n v="4042.5"/>
    <s v="386.50K"/>
    <n v="2.8500000000000001E-2"/>
    <x v="5"/>
    <n v="1"/>
    <n v="5"/>
  </r>
  <r>
    <d v="2025-05-19T00:00:00"/>
    <n v="4206.8"/>
    <n v="4200"/>
    <n v="4247.7"/>
    <n v="4190"/>
    <s v="301.18K"/>
    <n v="4.1000000000000003E-3"/>
    <x v="5"/>
    <n v="1"/>
    <n v="5"/>
  </r>
  <r>
    <d v="2025-05-20T00:00:00"/>
    <n v="4071.5"/>
    <n v="4216"/>
    <n v="4233.7"/>
    <n v="4063.2"/>
    <s v="497.09K"/>
    <n v="-3.2199999999999999E-2"/>
    <x v="5"/>
    <n v="1"/>
    <n v="5"/>
  </r>
  <r>
    <d v="2025-05-21T00:00:00"/>
    <n v="4112.7"/>
    <n v="4090"/>
    <n v="4125.5"/>
    <n v="4070"/>
    <s v="194.86K"/>
    <n v="1.01E-2"/>
    <x v="5"/>
    <n v="1"/>
    <n v="5"/>
  </r>
  <r>
    <d v="2025-05-22T00:00:00"/>
    <n v="4082.7"/>
    <n v="4112.8"/>
    <n v="4128"/>
    <n v="4051"/>
    <s v="277.34K"/>
    <n v="-7.3000000000000001E-3"/>
    <x v="5"/>
    <n v="1"/>
    <n v="5"/>
  </r>
  <r>
    <d v="2025-05-23T00:00:00"/>
    <n v="4140.8"/>
    <n v="4083.9"/>
    <n v="4153.3"/>
    <n v="4065.2"/>
    <s v="269.46K"/>
    <n v="1.4200000000000001E-2"/>
    <x v="5"/>
    <n v="1"/>
    <n v="5"/>
  </r>
  <r>
    <d v="2025-05-26T00:00:00"/>
    <n v="4138.3999999999996"/>
    <n v="4145"/>
    <n v="4170"/>
    <n v="4120"/>
    <s v="139.85K"/>
    <n v="-5.9999999999999995E-4"/>
    <x v="5"/>
    <n v="1"/>
    <n v="5"/>
  </r>
  <r>
    <d v="2025-05-27T00:00:00"/>
    <n v="4094"/>
    <n v="4139.8"/>
    <n v="4149.5"/>
    <n v="4078"/>
    <s v="324.62K"/>
    <n v="-1.0699999999999999E-2"/>
    <x v="5"/>
    <n v="1"/>
    <n v="5"/>
  </r>
  <r>
    <d v="2025-05-28T00:00:00"/>
    <n v="4042.3"/>
    <n v="4094"/>
    <n v="4101.8999999999996"/>
    <n v="4040"/>
    <s v="254.92K"/>
    <n v="-1.26E-2"/>
    <x v="5"/>
    <n v="1"/>
    <n v="5"/>
  </r>
  <r>
    <d v="2025-05-29T00:00:00"/>
    <n v="4042.3"/>
    <n v="4050"/>
    <n v="4070"/>
    <n v="4015"/>
    <s v="252.34K"/>
    <n v="0"/>
    <x v="5"/>
    <n v="1"/>
    <n v="5"/>
  </r>
  <r>
    <d v="2025-05-30T00:00:00"/>
    <n v="4002.1"/>
    <n v="4042.3"/>
    <n v="4085.4"/>
    <n v="3991.8"/>
    <s v="448.05K"/>
    <n v="-9.9000000000000008E-3"/>
    <x v="5"/>
    <n v="1"/>
    <n v="5"/>
  </r>
  <r>
    <d v="2025-06-02T00:00:00"/>
    <n v="4025.5"/>
    <n v="3990"/>
    <n v="4044"/>
    <n v="3981.3"/>
    <s v="232.10K"/>
    <n v="5.7999999999999996E-3"/>
    <x v="5"/>
    <n v="1"/>
    <n v="6"/>
  </r>
  <r>
    <d v="2025-06-03T00:00:00"/>
    <n v="4055.2"/>
    <n v="4025.5"/>
    <n v="4058.5"/>
    <n v="4014.3"/>
    <s v="310.60K"/>
    <n v="7.4000000000000003E-3"/>
    <x v="5"/>
    <n v="1"/>
    <n v="6"/>
  </r>
  <r>
    <d v="2025-06-04T00:00:00"/>
    <n v="4074.5"/>
    <n v="4061.6"/>
    <n v="4085"/>
    <n v="4007.5"/>
    <s v="196.47K"/>
    <n v="4.7999999999999996E-3"/>
    <x v="5"/>
    <n v="1"/>
    <n v="6"/>
  </r>
  <r>
    <d v="2025-06-05T00:00:00"/>
    <n v="4153.5"/>
    <n v="4078"/>
    <n v="4244.8"/>
    <n v="4074.5"/>
    <s v="783.59K"/>
    <n v="1.9400000000000001E-2"/>
    <x v="5"/>
    <n v="1"/>
    <n v="6"/>
  </r>
  <r>
    <d v="2025-06-06T00:00:00"/>
    <n v="4201.6000000000004"/>
    <n v="4166"/>
    <n v="4240"/>
    <n v="4143.5"/>
    <s v="354.67K"/>
    <n v="1.1599999999999999E-2"/>
    <x v="5"/>
    <n v="1"/>
    <n v="6"/>
  </r>
  <r>
    <d v="2025-06-09T00:00:00"/>
    <n v="4179.1000000000004"/>
    <n v="4201.6000000000004"/>
    <n v="4227.1000000000004"/>
    <n v="4167"/>
    <s v="213.42K"/>
    <n v="-5.4000000000000003E-3"/>
    <x v="5"/>
    <n v="1"/>
    <n v="6"/>
  </r>
  <r>
    <d v="2025-06-10T00:00:00"/>
    <n v="4080"/>
    <n v="4179.1000000000004"/>
    <n v="4192.2"/>
    <n v="3928.9"/>
    <s v="3.59M"/>
    <n v="-2.3699999999999999E-2"/>
    <x v="5"/>
    <n v="1"/>
    <n v="6"/>
  </r>
  <r>
    <d v="2025-06-11T00:00:00"/>
    <n v="4078.2"/>
    <n v="4080"/>
    <n v="4134.3"/>
    <n v="4051"/>
    <s v="688.52K"/>
    <n v="-4.0000000000000002E-4"/>
    <x v="5"/>
    <n v="1"/>
    <n v="6"/>
  </r>
  <r>
    <d v="2025-06-12T00:00:00"/>
    <n v="4074"/>
    <n v="4100"/>
    <n v="4105"/>
    <n v="4032.3"/>
    <s v="769.96K"/>
    <n v="-1E-3"/>
    <x v="5"/>
    <n v="1"/>
    <n v="6"/>
  </r>
  <r>
    <d v="2025-06-13T00:00:00"/>
    <n v="4051.9"/>
    <n v="4034"/>
    <n v="4078.5"/>
    <n v="3983.6"/>
    <s v="303.82K"/>
    <n v="-5.4000000000000003E-3"/>
    <x v="5"/>
    <n v="1"/>
    <n v="6"/>
  </r>
  <r>
    <d v="2025-06-16T00:00:00"/>
    <n v="4087"/>
    <n v="4034.8"/>
    <n v="4096.8999999999996"/>
    <n v="3983.6"/>
    <s v="271.74K"/>
    <n v="8.6999999999999994E-3"/>
    <x v="5"/>
    <n v="1"/>
    <n v="6"/>
  </r>
  <r>
    <d v="2025-06-17T00:00:00"/>
    <n v="4059.1"/>
    <n v="4087"/>
    <n v="4109"/>
    <n v="4041"/>
    <s v="232.44K"/>
    <n v="-6.7999999999999996E-3"/>
    <x v="5"/>
    <n v="1"/>
    <n v="6"/>
  </r>
  <r>
    <d v="2025-06-18T00:00:00"/>
    <n v="4228.3999999999996"/>
    <n v="4102.2"/>
    <n v="4240"/>
    <n v="4081"/>
    <s v="1.81M"/>
    <n v="4.1700000000000001E-2"/>
    <x v="5"/>
    <n v="1"/>
    <n v="6"/>
  </r>
  <r>
    <d v="2025-06-19T00:00:00"/>
    <n v="4203.1000000000004"/>
    <n v="4229"/>
    <n v="4254"/>
    <n v="4160.3"/>
    <s v="741.83K"/>
    <n v="-6.0000000000000001E-3"/>
    <x v="5"/>
    <n v="1"/>
    <n v="6"/>
  </r>
  <r>
    <d v="2025-06-20T00:00:00"/>
    <n v="4300.3"/>
    <n v="4203.1000000000004"/>
    <n v="4324.5"/>
    <n v="4161.1000000000004"/>
    <s v="1.01M"/>
    <n v="2.3099999999999999E-2"/>
    <x v="5"/>
    <n v="1"/>
    <n v="6"/>
  </r>
  <r>
    <d v="2025-06-23T00:00:00"/>
    <n v="4335.8"/>
    <n v="4269.1000000000004"/>
    <n v="4358.6000000000004"/>
    <n v="4255.3999999999996"/>
    <s v="824.56K"/>
    <n v="8.3000000000000001E-3"/>
    <x v="5"/>
    <n v="1"/>
    <n v="6"/>
  </r>
  <r>
    <d v="2025-06-24T00:00:00"/>
    <n v="4250.6000000000004"/>
    <n v="4353"/>
    <n v="4356.7"/>
    <n v="4239.3999999999996"/>
    <s v="439.99K"/>
    <n v="-1.9699999999999999E-2"/>
    <x v="5"/>
    <n v="1"/>
    <n v="6"/>
  </r>
  <r>
    <d v="2025-06-25T00:00:00"/>
    <n v="4276.3999999999996"/>
    <n v="4251.3"/>
    <n v="4294"/>
    <n v="4236.7"/>
    <s v="533.87K"/>
    <n v="6.1000000000000004E-3"/>
    <x v="5"/>
    <n v="1"/>
    <n v="6"/>
  </r>
  <r>
    <d v="2025-06-26T00:00:00"/>
    <n v="4315.3999999999996"/>
    <n v="4295"/>
    <n v="4333.3999999999996"/>
    <n v="4268"/>
    <s v="326.68K"/>
    <n v="9.1000000000000004E-3"/>
    <x v="5"/>
    <n v="1"/>
    <n v="6"/>
  </r>
  <r>
    <d v="2025-06-27T00:00:00"/>
    <n v="4313.5"/>
    <n v="4322.8999999999996"/>
    <n v="4348.8999999999996"/>
    <n v="4290"/>
    <s v="251.77K"/>
    <n v="-4.0000000000000002E-4"/>
    <x v="5"/>
    <n v="1"/>
    <n v="6"/>
  </r>
  <r>
    <d v="2025-06-30T00:00:00"/>
    <n v="4372.3"/>
    <n v="4319.8"/>
    <n v="4395"/>
    <n v="4313.5"/>
    <s v="811.31K"/>
    <n v="1.3599999999999999E-2"/>
    <x v="5"/>
    <n v="1"/>
    <n v="6"/>
  </r>
  <r>
    <d v="2025-07-01T00:00:00"/>
    <n v="4452.3999999999996"/>
    <n v="4389"/>
    <n v="4483.6000000000004"/>
    <n v="4380.5"/>
    <s v="953.86K"/>
    <n v="1.83E-2"/>
    <x v="5"/>
    <n v="2"/>
    <n v="7"/>
  </r>
  <r>
    <d v="2025-07-02T00:00:00"/>
    <n v="4391.8999999999996"/>
    <n v="4495.5"/>
    <n v="4495.5"/>
    <n v="4340"/>
    <s v="772.65K"/>
    <n v="-1.3599999999999999E-2"/>
    <x v="5"/>
    <n v="2"/>
    <n v="7"/>
  </r>
  <r>
    <d v="2025-07-03T00:00:00"/>
    <n v="4348.7"/>
    <n v="4349.5"/>
    <n v="4374.8"/>
    <n v="4217.8999999999996"/>
    <s v="1.83M"/>
    <n v="-9.7999999999999997E-3"/>
    <x v="5"/>
    <n v="2"/>
    <n v="7"/>
  </r>
  <r>
    <d v="2025-07-04T00:00:00"/>
    <n v="4261.1000000000004"/>
    <n v="4364.8999999999996"/>
    <n v="4375.5"/>
    <n v="4251"/>
    <s v="488.81K"/>
    <n v="-2.01E-2"/>
    <x v="5"/>
    <n v="2"/>
    <n v="7"/>
  </r>
  <r>
    <d v="2025-07-07T00:00:00"/>
    <n v="4236.3"/>
    <n v="4279"/>
    <n v="4297"/>
    <n v="4230.1000000000004"/>
    <s v="247.67K"/>
    <n v="-5.7999999999999996E-3"/>
    <x v="5"/>
    <n v="2"/>
    <n v="7"/>
  </r>
  <r>
    <d v="2025-07-08T00:00:00"/>
    <n v="4213"/>
    <n v="4259.8999999999996"/>
    <n v="4267.7"/>
    <n v="4193"/>
    <s v="378.62K"/>
    <n v="-5.4999999999999997E-3"/>
    <x v="5"/>
    <n v="2"/>
    <n v="7"/>
  </r>
  <r>
    <d v="2025-07-09T00:00:00"/>
    <n v="4190.8999999999996"/>
    <n v="4213"/>
    <n v="4242.3999999999996"/>
    <n v="4171"/>
    <s v="234.78K"/>
    <n v="-5.1999999999999998E-3"/>
    <x v="5"/>
    <n v="2"/>
    <n v="7"/>
  </r>
  <r>
    <d v="2025-07-10T00:00:00"/>
    <n v="4169"/>
    <n v="4190.8999999999996"/>
    <n v="4212.1000000000004"/>
    <n v="4150.1000000000004"/>
    <s v="294.42K"/>
    <n v="-5.1999999999999998E-3"/>
    <x v="5"/>
    <n v="2"/>
    <n v="7"/>
  </r>
  <r>
    <d v="2025-07-11T00:00:00"/>
    <n v="4064.2"/>
    <n v="4169"/>
    <n v="4185"/>
    <n v="4041"/>
    <s v="802.56K"/>
    <n v="-2.5100000000000001E-2"/>
    <x v="5"/>
    <n v="2"/>
    <n v="7"/>
  </r>
  <r>
    <d v="2025-07-14T00:00:00"/>
    <n v="4011.3"/>
    <n v="4090"/>
    <n v="4115"/>
    <n v="3930"/>
    <s v="2.03M"/>
    <n v="-1.2999999999999999E-2"/>
    <x v="5"/>
    <n v="2"/>
    <n v="7"/>
  </r>
  <r>
    <d v="2025-07-15T00:00:00"/>
    <n v="4026.7"/>
    <n v="4020.1"/>
    <n v="4058"/>
    <n v="3991.7"/>
    <s v="1.54M"/>
    <n v="3.8E-3"/>
    <x v="5"/>
    <n v="2"/>
    <n v="7"/>
  </r>
  <r>
    <d v="2025-07-16T00:00:00"/>
    <n v="4086"/>
    <n v="4026.8"/>
    <n v="4127.8999999999996"/>
    <n v="4012.5"/>
    <s v="759.58K"/>
    <n v="1.47E-2"/>
    <x v="5"/>
    <n v="2"/>
    <n v="7"/>
  </r>
  <r>
    <d v="2025-07-17T00:00:00"/>
    <n v="4055.9"/>
    <n v="4095.9"/>
    <n v="4100"/>
    <n v="4049"/>
    <s v="168.28K"/>
    <n v="-7.4000000000000003E-3"/>
    <x v="5"/>
    <n v="2"/>
    <n v="7"/>
  </r>
  <r>
    <d v="2025-07-18T00:00:00"/>
    <n v="4048.6"/>
    <n v="4059.9"/>
    <n v="4073.7"/>
    <n v="4028.4"/>
    <s v="247.57K"/>
    <n v="-1.8E-3"/>
    <x v="5"/>
    <n v="2"/>
    <n v="7"/>
  </r>
  <r>
    <d v="2025-07-21T00:00:00"/>
    <n v="4023.7"/>
    <n v="4039.8"/>
    <n v="4049.8"/>
    <n v="4002.6"/>
    <s v="403.44K"/>
    <n v="-6.1999999999999998E-3"/>
    <x v="5"/>
    <n v="2"/>
    <n v="7"/>
  </r>
  <r>
    <d v="2025-07-22T00:00:00"/>
    <n v="4033.3"/>
    <n v="4042.7"/>
    <n v="4084"/>
    <n v="4009.5"/>
    <s v="960.66K"/>
    <n v="2.3999999999999998E-3"/>
    <x v="5"/>
    <n v="2"/>
    <n v="7"/>
  </r>
  <r>
    <d v="2025-07-23T00:00:00"/>
    <n v="4043.9"/>
    <n v="4039.9"/>
    <n v="4050.5"/>
    <n v="3995.1"/>
    <s v="709.29K"/>
    <n v="2.5999999999999999E-3"/>
    <x v="5"/>
    <n v="2"/>
    <n v="7"/>
  </r>
  <r>
    <d v="2025-07-24T00:00:00"/>
    <n v="4021"/>
    <n v="4045.5"/>
    <n v="4069.2"/>
    <n v="4012.9"/>
    <s v="402.67K"/>
    <n v="-5.7000000000000002E-3"/>
    <x v="5"/>
    <n v="2"/>
    <n v="7"/>
  </r>
  <r>
    <d v="2025-07-25T00:00:00"/>
    <n v="3997"/>
    <n v="4021.8"/>
    <n v="4027.1"/>
    <n v="3951.1"/>
    <s v="431.59K"/>
    <n v="-6.0000000000000001E-3"/>
    <x v="5"/>
    <n v="2"/>
    <n v="7"/>
  </r>
  <r>
    <d v="2025-07-28T00:00:00"/>
    <n v="3949.9"/>
    <n v="3991"/>
    <n v="4019.4"/>
    <n v="3941"/>
    <s v="325.33K"/>
    <n v="-1.18E-2"/>
    <x v="5"/>
    <n v="2"/>
    <n v="7"/>
  </r>
  <r>
    <d v="2025-07-29T00:00:00"/>
    <n v="3999"/>
    <n v="3976.3"/>
    <n v="4007.1"/>
    <n v="3931"/>
    <s v="277.43K"/>
    <n v="1.24E-2"/>
    <x v="5"/>
    <n v="2"/>
    <n v="7"/>
  </r>
  <r>
    <d v="2025-07-30T00:00:00"/>
    <n v="4281.3999999999996"/>
    <n v="3999"/>
    <n v="4324"/>
    <n v="3999"/>
    <s v="3.39M"/>
    <n v="7.0599999999999996E-2"/>
    <x v="5"/>
    <n v="2"/>
    <n v="7"/>
  </r>
  <r>
    <d v="2025-07-31T00:00:00"/>
    <n v="4267.3999999999996"/>
    <n v="4235"/>
    <n v="4346.8"/>
    <n v="4235"/>
    <s v="1.09M"/>
    <n v="-3.3E-3"/>
    <x v="5"/>
    <n v="2"/>
    <n v="7"/>
  </r>
  <r>
    <d v="2025-08-01T00:00:00"/>
    <n v="4196"/>
    <n v="4267.8999999999996"/>
    <n v="4310"/>
    <n v="4175"/>
    <s v="351.62K"/>
    <n v="-1.67E-2"/>
    <x v="5"/>
    <n v="2"/>
    <n v="8"/>
  </r>
  <r>
    <d v="2025-08-04T00:00:00"/>
    <n v="4197.2"/>
    <n v="4196"/>
    <n v="4225.2"/>
    <n v="4139.1000000000004"/>
    <s v="279.72K"/>
    <n v="2.9999999999999997E-4"/>
    <x v="5"/>
    <n v="2"/>
    <n v="8"/>
  </r>
  <r>
    <d v="2025-08-05T00:00:00"/>
    <n v="4257.8"/>
    <n v="4200"/>
    <n v="4267.3999999999996"/>
    <n v="4188.1000000000004"/>
    <s v="366.01K"/>
    <n v="1.44E-2"/>
    <x v="5"/>
    <n v="2"/>
    <n v="8"/>
  </r>
  <r>
    <d v="2025-08-06T00:00:00"/>
    <n v="4242"/>
    <n v="4284"/>
    <n v="4284"/>
    <n v="4222.5"/>
    <s v="256.14K"/>
    <n v="-3.7000000000000002E-3"/>
    <x v="5"/>
    <n v="2"/>
    <n v="8"/>
  </r>
  <r>
    <d v="2025-08-07T00:00:00"/>
    <n v="4263.5"/>
    <n v="4241.8999999999996"/>
    <n v="4290"/>
    <n v="4207.1000000000004"/>
    <s v="244.17K"/>
    <n v="5.1000000000000004E-3"/>
    <x v="5"/>
    <n v="2"/>
    <n v="8"/>
  </r>
  <r>
    <d v="2025-08-08T00:00:00"/>
    <n v="4170.1000000000004"/>
    <n v="4220"/>
    <n v="4280"/>
    <n v="4163"/>
    <s v="281.76K"/>
    <n v="-2.1899999999999999E-2"/>
    <x v="5"/>
    <n v="2"/>
    <n v="8"/>
  </r>
  <r>
    <d v="2025-08-11T00:00:00"/>
    <n v="4184.5"/>
    <n v="4150.1000000000004"/>
    <n v="4222.8"/>
    <n v="4150.1000000000004"/>
    <s v="244.81K"/>
    <n v="3.5000000000000001E-3"/>
    <x v="5"/>
    <n v="2"/>
    <n v="8"/>
  </r>
  <r>
    <d v="2025-08-12T00:00:00"/>
    <n v="4252.5"/>
    <n v="4184.5"/>
    <n v="4273.3999999999996"/>
    <n v="4184.5"/>
    <s v="278.16K"/>
    <n v="1.6299999999999999E-2"/>
    <x v="5"/>
    <n v="2"/>
    <n v="8"/>
  </r>
  <r>
    <d v="2025-08-13T00:00:00"/>
    <n v="4334.6000000000004"/>
    <n v="4255"/>
    <n v="4340"/>
    <n v="4247.3"/>
    <s v="470.23K"/>
    <n v="1.9300000000000001E-2"/>
    <x v="5"/>
    <n v="2"/>
    <n v="8"/>
  </r>
  <r>
    <d v="2025-08-14T00:00:00"/>
    <n v="4358.2"/>
    <n v="4334.6000000000004"/>
    <n v="4394.8999999999996"/>
    <n v="4327.1000000000004"/>
    <s v="646.06K"/>
    <n v="5.4000000000000003E-3"/>
    <x v="5"/>
    <n v="2"/>
    <n v="8"/>
  </r>
  <r>
    <d v="2025-08-18T00:00:00"/>
    <n v="4558"/>
    <n v="4446"/>
    <n v="4592.8999999999996"/>
    <n v="4401.5"/>
    <s v="1.59M"/>
    <n v="4.58E-2"/>
    <x v="5"/>
    <n v="2"/>
    <n v="8"/>
  </r>
  <r>
    <d v="2025-08-19T00:00:00"/>
    <n v="4653.2"/>
    <n v="4584.8999999999996"/>
    <n v="4661.6000000000004"/>
    <n v="4561.3"/>
    <s v="856.31K"/>
    <n v="2.0899999999999998E-2"/>
    <x v="5"/>
    <n v="2"/>
    <n v="8"/>
  </r>
  <r>
    <d v="2025-08-20T00:00:00"/>
    <n v="4737.8999999999996"/>
    <n v="4651.5"/>
    <n v="4759.8999999999996"/>
    <n v="4630.1000000000004"/>
    <s v="1.27M"/>
    <n v="1.8200000000000001E-2"/>
    <x v="5"/>
    <n v="2"/>
    <n v="8"/>
  </r>
  <r>
    <d v="2025-08-21T00:00:00"/>
    <n v="4691.8999999999996"/>
    <n v="4737.8999999999996"/>
    <n v="4749.6000000000004"/>
    <n v="4673"/>
    <s v="873.60K"/>
    <n v="-9.7000000000000003E-3"/>
    <x v="5"/>
    <n v="2"/>
    <n v="8"/>
  </r>
  <r>
    <d v="2025-08-22T00:00:00"/>
    <n v="4698.8"/>
    <n v="4708"/>
    <n v="4730"/>
    <n v="4636.8"/>
    <s v="449.65K"/>
    <n v="1.5E-3"/>
    <x v="5"/>
    <n v="2"/>
    <n v="8"/>
  </r>
  <r>
    <d v="2025-08-25T00:00:00"/>
    <n v="4725.3"/>
    <n v="4714.5"/>
    <n v="4750.5"/>
    <n v="4700.1000000000004"/>
    <s v="853.24K"/>
    <n v="5.5999999999999999E-3"/>
    <x v="5"/>
    <n v="2"/>
    <n v="8"/>
  </r>
  <r>
    <d v="2025-08-26T00:00:00"/>
    <n v="4716.3999999999996"/>
    <n v="4751.8"/>
    <n v="4799.1000000000004"/>
    <n v="4696.2"/>
    <s v="911.52K"/>
    <n v="-1.9E-3"/>
    <x v="5"/>
    <n v="2"/>
    <n v="8"/>
  </r>
  <r>
    <d v="2025-08-28T00:00:00"/>
    <n v="4699.8999999999996"/>
    <n v="4805"/>
    <n v="4805"/>
    <n v="4671.3999999999996"/>
    <s v="648.95K"/>
    <n v="-3.5000000000000001E-3"/>
    <x v="5"/>
    <n v="2"/>
    <n v="8"/>
  </r>
  <r>
    <d v="2025-08-29T00:00:00"/>
    <n v="4755.6000000000004"/>
    <n v="4720"/>
    <n v="4800.5"/>
    <n v="4680"/>
    <s v="591.57K"/>
    <n v="1.1900000000000001E-2"/>
    <x v="5"/>
    <n v="2"/>
    <n v="8"/>
  </r>
  <r>
    <d v="2025-09-01T00:00:00"/>
    <n v="4734.8999999999996"/>
    <n v="4753"/>
    <n v="4829"/>
    <n v="4720"/>
    <s v="564.62K"/>
    <n v="-4.4000000000000003E-3"/>
    <x v="5"/>
    <n v="2"/>
    <n v="9"/>
  </r>
  <r>
    <d v="2025-09-02T00:00:00"/>
    <n v="4680"/>
    <n v="4749.8999999999996"/>
    <n v="4772"/>
    <n v="4670"/>
    <s v="395.17K"/>
    <n v="-1.1599999999999999E-2"/>
    <x v="5"/>
    <n v="2"/>
    <n v="9"/>
  </r>
  <r>
    <d v="2025-09-03T00:00:00"/>
    <n v="4758.5"/>
    <n v="4680"/>
    <n v="4780"/>
    <n v="4675.5"/>
    <s v="406.02K"/>
    <n v="1.6799999999999999E-2"/>
    <x v="5"/>
    <n v="2"/>
    <n v="9"/>
  </r>
  <r>
    <d v="2025-09-04T00:00:00"/>
    <n v="4829.3"/>
    <n v="4949"/>
    <n v="4949.5"/>
    <n v="4781.5"/>
    <s v="999.71K"/>
    <n v="1.49E-2"/>
    <x v="5"/>
    <n v="2"/>
    <n v="9"/>
  </r>
  <r>
    <d v="2025-09-05T00:00:00"/>
    <n v="4793.3"/>
    <n v="4850"/>
    <n v="4898.5"/>
    <n v="4767.2"/>
    <s v="247.79K"/>
    <n v="-7.4999999999999997E-3"/>
    <x v="5"/>
    <n v="2"/>
    <n v="9"/>
  </r>
  <r>
    <d v="2025-09-08T00:00:00"/>
    <n v="4714.2"/>
    <n v="4810"/>
    <n v="4814.8999999999996"/>
    <n v="4690.6000000000004"/>
    <s v="214.16K"/>
    <n v="-1.6500000000000001E-2"/>
    <x v="5"/>
    <n v="2"/>
    <n v="9"/>
  </r>
  <r>
    <d v="2025-09-09T00:00:00"/>
    <n v="4759.8"/>
    <n v="4726.1000000000004"/>
    <n v="4778"/>
    <n v="4691.5"/>
    <s v="184.35K"/>
    <n v="9.7000000000000003E-3"/>
    <x v="5"/>
    <n v="2"/>
    <n v="9"/>
  </r>
  <r>
    <d v="2025-09-10T00:00:00"/>
    <n v="4631.3"/>
    <n v="4778"/>
    <n v="4789.8"/>
    <n v="4613"/>
    <s v="341.65K"/>
    <n v="-2.7E-2"/>
    <x v="5"/>
    <n v="2"/>
    <n v="9"/>
  </r>
  <r>
    <d v="2025-09-11T00:00:00"/>
    <n v="4589.7"/>
    <n v="4642.3"/>
    <n v="4646"/>
    <n v="4562.6000000000004"/>
    <s v="381.81K"/>
    <n v="-8.9999999999999993E-3"/>
    <x v="5"/>
    <n v="2"/>
    <n v="9"/>
  </r>
  <r>
    <d v="2025-09-12T00:00:00"/>
    <n v="4616.6000000000004"/>
    <n v="4632"/>
    <n v="4634"/>
    <n v="4587"/>
    <s v="384.35K"/>
    <n v="5.8999999999999999E-3"/>
    <x v="5"/>
    <n v="2"/>
    <n v="9"/>
  </r>
  <r>
    <d v="2025-09-15T00:00:00"/>
    <n v="4651"/>
    <n v="4616"/>
    <n v="4697.5"/>
    <n v="4575"/>
    <s v="384.08K"/>
    <n v="7.4999999999999997E-3"/>
    <x v="5"/>
    <n v="2"/>
    <n v="9"/>
  </r>
  <r>
    <d v="2025-09-16T00:00:00"/>
    <n v="4696.2"/>
    <n v="4667"/>
    <n v="4715"/>
    <n v="4655"/>
    <s v="239.71K"/>
    <n v="9.7000000000000003E-3"/>
    <x v="5"/>
    <n v="2"/>
    <n v="9"/>
  </r>
  <r>
    <d v="2025-09-17T00:00:00"/>
    <n v="4717.3"/>
    <n v="4712"/>
    <n v="4755.1000000000004"/>
    <n v="4693.3"/>
    <s v="299.31K"/>
    <n v="4.4999999999999997E-3"/>
    <x v="5"/>
    <n v="2"/>
    <n v="9"/>
  </r>
  <r>
    <d v="2025-09-18T00:00:00"/>
    <n v="4760.3"/>
    <n v="4768"/>
    <n v="4818"/>
    <n v="4745.8"/>
    <s v="420.16K"/>
    <n v="9.1000000000000004E-3"/>
    <x v="5"/>
    <n v="2"/>
    <n v="9"/>
  </r>
  <r>
    <d v="2025-09-19T00:00:00"/>
    <n v="4775.3"/>
    <n v="4773"/>
    <n v="4798"/>
    <n v="4728"/>
    <s v="456.61K"/>
    <n v="3.2000000000000002E-3"/>
    <x v="5"/>
    <n v="2"/>
    <n v="9"/>
  </r>
  <r>
    <d v="2025-09-22T00:00:00"/>
    <n v="4671.2"/>
    <n v="4785.3999999999996"/>
    <n v="4789.8"/>
    <n v="4655.3"/>
    <s v="253.71K"/>
    <n v="-2.18E-2"/>
    <x v="5"/>
    <n v="2"/>
    <n v="9"/>
  </r>
  <r>
    <d v="2025-09-23T00:00:00"/>
    <n v="4633.8999999999996"/>
    <n v="4695.8"/>
    <n v="4711.7"/>
    <n v="4572.5"/>
    <s v="398.68K"/>
    <n v="-8.0000000000000002E-3"/>
    <x v="5"/>
    <n v="2"/>
    <n v="9"/>
  </r>
  <r>
    <d v="2025-09-24T00:00:00"/>
    <n v="4645.8"/>
    <n v="4630"/>
    <n v="4754.6000000000004"/>
    <n v="4606.3999999999996"/>
    <s v="484.65K"/>
    <n v="2.5999999999999999E-3"/>
    <x v="5"/>
    <n v="2"/>
    <n v="9"/>
  </r>
  <r>
    <d v="2025-09-25T00:00:00"/>
    <n v="4576.2"/>
    <n v="4640"/>
    <n v="4651.7"/>
    <n v="4565.1000000000004"/>
    <s v="454.36K"/>
    <n v="-1.4999999999999999E-2"/>
    <x v="5"/>
    <n v="2"/>
    <n v="9"/>
  </r>
  <r>
    <d v="2025-09-26T00:00:00"/>
    <n v="4517.8"/>
    <n v="4589.8999999999996"/>
    <n v="4629.3"/>
    <n v="4510"/>
    <s v="504.87K"/>
    <n v="-1.2800000000000001E-2"/>
    <x v="5"/>
    <n v="2"/>
    <n v="9"/>
  </r>
  <r>
    <d v="2025-09-29T00:00:00"/>
    <n v="4529.8999999999996"/>
    <n v="4500"/>
    <n v="4571"/>
    <n v="4483.8"/>
    <s v="429.37K"/>
    <n v="2.7000000000000001E-3"/>
    <x v="5"/>
    <n v="2"/>
    <n v="9"/>
  </r>
  <r>
    <d v="2025-09-30T00:00:00"/>
    <n v="4475.3999999999996"/>
    <n v="4530"/>
    <n v="4566.8999999999996"/>
    <n v="4419.8999999999996"/>
    <s v="733.53K"/>
    <n v="-1.2E-2"/>
    <x v="5"/>
    <n v="2"/>
    <n v="9"/>
  </r>
  <r>
    <d v="2025-10-01T00:00:00"/>
    <n v="4449.8999999999996"/>
    <n v="4475.3999999999996"/>
    <n v="4529.7"/>
    <n v="4422"/>
    <s v="507.81K"/>
    <n v="-5.7000000000000002E-3"/>
    <x v="5"/>
    <n v="3"/>
    <n v="10"/>
  </r>
  <r>
    <d v="2025-10-03T00:00:00"/>
    <n v="4418.3999999999996"/>
    <n v="4445"/>
    <n v="4445"/>
    <n v="4387.1000000000004"/>
    <s v="477.67K"/>
    <n v="-7.1000000000000004E-3"/>
    <x v="5"/>
    <n v="3"/>
    <n v="10"/>
  </r>
  <r>
    <d v="2025-10-06T00:00:00"/>
    <n v="4301.6000000000004"/>
    <n v="4375"/>
    <n v="4388.1000000000004"/>
    <n v="4269"/>
    <s v="1.19M"/>
    <n v="-2.64E-2"/>
    <x v="5"/>
    <n v="3"/>
    <n v="10"/>
  </r>
  <r>
    <d v="2025-10-07T00:00:00"/>
    <n v="4303"/>
    <n v="4315"/>
    <n v="4345"/>
    <n v="4269"/>
    <s v="597.77K"/>
    <n v="2.9999999999999997E-4"/>
    <x v="5"/>
    <n v="3"/>
    <n v="10"/>
  </r>
  <r>
    <d v="2025-10-08T00:00:00"/>
    <n v="4294.3999999999996"/>
    <n v="4305"/>
    <n v="4323"/>
    <n v="4268"/>
    <s v="402.66K"/>
    <n v="-2E-3"/>
    <x v="5"/>
    <n v="3"/>
    <n v="10"/>
  </r>
  <r>
    <d v="2025-10-09T00:00:00"/>
    <n v="4305.1000000000004"/>
    <n v="4294.3999999999996"/>
    <n v="4320"/>
    <n v="4275"/>
    <s v="224.96K"/>
    <n v="2.5000000000000001E-3"/>
    <x v="5"/>
    <n v="3"/>
    <n v="10"/>
  </r>
  <r>
    <d v="2025-10-10T00:00:00"/>
    <n v="4320.3999999999996"/>
    <n v="4308.8999999999996"/>
    <n v="4365.8999999999996"/>
    <n v="4301.5"/>
    <s v="423.96K"/>
    <n v="3.5999999999999999E-3"/>
    <x v="5"/>
    <n v="3"/>
    <n v="10"/>
  </r>
  <r>
    <d v="2025-10-13T00:00:00"/>
    <n v="4202.6000000000004"/>
    <n v="4275"/>
    <n v="4349.8999999999996"/>
    <n v="4192.1000000000004"/>
    <s v="959.34K"/>
    <n v="-2.7300000000000001E-2"/>
    <x v="5"/>
    <n v="3"/>
    <n v="10"/>
  </r>
  <r>
    <d v="2025-10-14T00:00:00"/>
    <n v="4205.2"/>
    <n v="4235"/>
    <n v="4246"/>
    <n v="4196.7"/>
    <s v="276.49K"/>
    <n v="5.9999999999999995E-4"/>
    <x v="5"/>
    <n v="3"/>
    <n v="10"/>
  </r>
  <r>
    <d v="2025-10-15T00:00:00"/>
    <n v="4259.6000000000004"/>
    <n v="4230"/>
    <n v="4275"/>
    <n v="4215"/>
    <s v="415.83K"/>
    <n v="1.29E-2"/>
    <x v="5"/>
    <n v="3"/>
    <n v="10"/>
  </r>
  <r>
    <d v="2025-10-16T00:00:00"/>
    <n v="4316.1000000000004"/>
    <n v="4278"/>
    <n v="4334.8"/>
    <n v="4267.3999999999996"/>
    <s v="363.38K"/>
    <n v="1.3299999999999999E-2"/>
    <x v="5"/>
    <n v="3"/>
    <n v="10"/>
  </r>
  <r>
    <d v="2025-10-17T00:00:00"/>
    <n v="4302.5"/>
    <n v="4312"/>
    <n v="4316.1000000000004"/>
    <n v="4276.8999999999996"/>
    <s v="234.37K"/>
    <n v="-3.2000000000000002E-3"/>
    <x v="5"/>
    <n v="3"/>
    <n v="10"/>
  </r>
  <r>
    <d v="2025-10-20T00:00:00"/>
    <n v="4275.3"/>
    <n v="4310"/>
    <n v="4319.7"/>
    <n v="4260"/>
    <s v="228.48K"/>
    <n v="-6.3E-3"/>
    <x v="5"/>
    <n v="3"/>
    <n v="10"/>
  </r>
  <r>
    <d v="2025-10-21T00:00:00"/>
    <n v="4274.5"/>
    <n v="4308"/>
    <n v="4311"/>
    <n v="4260"/>
    <s v="36.98K"/>
    <n v="-2.0000000000000001E-4"/>
    <x v="5"/>
    <n v="3"/>
    <n v="10"/>
  </r>
  <r>
    <d v="2025-10-23T00:00:00"/>
    <n v="4268"/>
    <n v="4287"/>
    <n v="4334.5"/>
    <n v="4256.2"/>
    <s v="274.32K"/>
    <n v="-1.5E-3"/>
    <x v="5"/>
    <n v="3"/>
    <n v="10"/>
  </r>
  <r>
    <d v="2025-10-24T00:00:00"/>
    <n v="4213.8999999999996"/>
    <n v="4268"/>
    <n v="4271.7"/>
    <n v="4197"/>
    <s v="250.19K"/>
    <n v="-1.2699999999999999E-2"/>
    <x v="5"/>
    <n v="3"/>
    <n v="10"/>
  </r>
  <r>
    <d v="2025-10-27T00:00:00"/>
    <n v="4257.8999999999996"/>
    <n v="4214"/>
    <n v="4264.8999999999996"/>
    <n v="4214"/>
    <s v="281.64K"/>
    <n v="1.04E-2"/>
    <x v="5"/>
    <n v="3"/>
    <n v="10"/>
  </r>
  <r>
    <d v="2025-10-28T00:00:00"/>
    <n v="4220.8999999999996"/>
    <n v="4274.6000000000004"/>
    <n v="4292.8"/>
    <n v="4183.1000000000004"/>
    <s v="310.56K"/>
    <n v="-8.6999999999999994E-3"/>
    <x v="5"/>
    <n v="3"/>
    <n v="10"/>
  </r>
  <r>
    <d v="2025-10-29T00:00:00"/>
    <n v="4229.3999999999996"/>
    <n v="4225"/>
    <n v="4254"/>
    <n v="4213.2"/>
    <s v="148.52K"/>
    <n v="2E-3"/>
    <x v="5"/>
    <n v="3"/>
    <n v="10"/>
  </r>
  <r>
    <d v="2025-10-30T00:00:00"/>
    <n v="4161.1000000000004"/>
    <n v="4248"/>
    <n v="4248"/>
    <n v="4149.8999999999996"/>
    <s v="445.10K"/>
    <n v="-1.61E-2"/>
    <x v="5"/>
    <n v="3"/>
    <n v="10"/>
  </r>
  <r>
    <d v="2025-10-31T00:00:00"/>
    <n v="4153.5"/>
    <n v="4164.1000000000004"/>
    <n v="4204.8999999999996"/>
    <n v="4147"/>
    <s v="280.62K"/>
    <n v="-1.8E-3"/>
    <x v="5"/>
    <n v="3"/>
    <n v="10"/>
  </r>
  <r>
    <d v="2025-11-03T00:00:00"/>
    <n v="4156"/>
    <n v="4153.5"/>
    <n v="4173.5"/>
    <n v="4111"/>
    <s v="178.82K"/>
    <n v="5.9999999999999995E-4"/>
    <x v="5"/>
    <n v="3"/>
    <n v="11"/>
  </r>
  <r>
    <d v="2025-11-04T00:00:00"/>
    <n v="4182.3999999999996"/>
    <n v="4160"/>
    <n v="4222"/>
    <n v="4145"/>
    <s v="314.08K"/>
    <n v="6.4000000000000003E-3"/>
    <x v="5"/>
    <n v="3"/>
    <n v="11"/>
  </r>
  <r>
    <d v="2025-11-06T00:00:00"/>
    <n v="4082.2"/>
    <n v="4182.3999999999996"/>
    <n v="4191.3999999999996"/>
    <n v="4071.9"/>
    <s v="487.31K"/>
    <n v="-2.4E-2"/>
    <x v="5"/>
    <n v="3"/>
    <n v="11"/>
  </r>
  <r>
    <d v="2025-11-07T00:00:00"/>
    <n v="4011"/>
    <n v="4082.2"/>
    <n v="4082.2"/>
    <n v="3984.6"/>
    <s v="1.20M"/>
    <n v="-1.7399999999999999E-2"/>
    <x v="5"/>
    <n v="3"/>
    <n v="11"/>
  </r>
  <r>
    <d v="2025-11-10T00:00:00"/>
    <n v="4019"/>
    <n v="4011"/>
    <n v="4067"/>
    <n v="4011"/>
    <s v="290.45K"/>
    <n v="2E-3"/>
    <x v="5"/>
    <n v="3"/>
    <n v="11"/>
  </r>
  <r>
    <d v="2025-11-11T00:00:00"/>
    <n v="4072.2"/>
    <n v="4025"/>
    <n v="4077.4"/>
    <n v="4020"/>
    <s v="272.28K"/>
    <n v="1.32E-2"/>
    <x v="5"/>
    <n v="3"/>
    <n v="11"/>
  </r>
  <r>
    <d v="2025-11-12T00:00:00"/>
    <n v="4058"/>
    <n v="4112.6000000000004"/>
    <n v="4112.6000000000004"/>
    <n v="4047.3"/>
    <s v="381.77K"/>
    <n v="-3.5000000000000001E-3"/>
    <x v="5"/>
    <n v="3"/>
    <n v="11"/>
  </r>
  <r>
    <d v="2025-11-13T00:00:00"/>
    <n v="4062.5"/>
    <n v="4058"/>
    <n v="4090"/>
    <n v="4040.4"/>
    <s v="252.05K"/>
    <n v="1.1000000000000001E-3"/>
    <x v="5"/>
    <n v="3"/>
    <n v="11"/>
  </r>
  <r>
    <d v="2025-11-14T00:00:00"/>
    <n v="4053.7"/>
    <n v="4060"/>
    <n v="4069.2"/>
    <n v="4020"/>
    <s v="305.91K"/>
    <n v="-2.2000000000000001E-3"/>
    <x v="5"/>
    <n v="3"/>
    <n v="11"/>
  </r>
  <r>
    <d v="2025-11-17T00:00:00"/>
    <n v="4036.2"/>
    <n v="4059.9"/>
    <n v="4086"/>
    <n v="4032"/>
    <s v="186.27K"/>
    <n v="-4.3E-3"/>
    <x v="5"/>
    <n v="3"/>
    <n v="11"/>
  </r>
  <r>
    <d v="2025-11-18T00:00:00"/>
    <n v="3997.2"/>
    <n v="4036.2"/>
    <n v="4042.2"/>
    <n v="3991.6"/>
    <s v="311.41K"/>
    <n v="-9.7000000000000003E-3"/>
    <x v="5"/>
    <n v="3"/>
    <n v="11"/>
  </r>
  <r>
    <d v="2025-11-19T00:00:00"/>
    <n v="4026.5"/>
    <n v="4010"/>
    <n v="4039"/>
    <n v="3997.1"/>
    <s v="378.21K"/>
    <n v="7.3000000000000001E-3"/>
    <x v="5"/>
    <n v="3"/>
    <n v="11"/>
  </r>
  <r>
    <d v="2025-11-20T00:00:00"/>
    <n v="4085"/>
    <n v="4045"/>
    <n v="4099.7"/>
    <n v="4037.1"/>
    <s v="387.48K"/>
    <n v="1.4500000000000001E-2"/>
    <x v="5"/>
    <n v="3"/>
    <n v="11"/>
  </r>
  <r>
    <d v="2025-11-21T00:00:00"/>
    <n v="4038"/>
    <n v="4085"/>
    <n v="4098.8999999999996"/>
    <n v="4030.5"/>
    <s v="330.95K"/>
    <n v="-1.15E-2"/>
    <x v="5"/>
    <n v="3"/>
    <n v="11"/>
  </r>
  <r>
    <d v="2025-11-24T00:00:00"/>
    <n v="3987.5"/>
    <n v="4046.9"/>
    <n v="4048.5"/>
    <n v="3975.2"/>
    <s v="724.60K"/>
    <n v="-1.2500000000000001E-2"/>
    <x v="5"/>
    <n v="3"/>
    <n v="11"/>
  </r>
  <r>
    <d v="2025-11-25T00:00:00"/>
    <n v="3988.6"/>
    <n v="3997.9"/>
    <n v="4015.4"/>
    <n v="3960"/>
    <s v="446.86K"/>
    <n v="2.9999999999999997E-4"/>
    <x v="5"/>
    <n v="3"/>
    <n v="11"/>
  </r>
  <r>
    <d v="2025-11-26T00:00:00"/>
    <n v="4019.1"/>
    <n v="3999.9"/>
    <n v="4029.9"/>
    <n v="3980"/>
    <s v="360.54K"/>
    <n v="7.6E-3"/>
    <x v="5"/>
    <n v="3"/>
    <n v="11"/>
  </r>
  <r>
    <d v="2025-11-27T00:00:00"/>
    <n v="4007.1"/>
    <n v="4029"/>
    <n v="4038"/>
    <n v="3986"/>
    <s v="237.04K"/>
    <n v="-3.0000000000000001E-3"/>
    <x v="5"/>
    <n v="3"/>
    <n v="11"/>
  </r>
  <r>
    <d v="2025-11-28T00:00:00"/>
    <n v="3996.5"/>
    <n v="4005"/>
    <n v="4044.8"/>
    <n v="3992.2"/>
    <s v="211.07K"/>
    <n v="-2.5999999999999999E-3"/>
    <x v="5"/>
    <n v="3"/>
    <n v="11"/>
  </r>
  <r>
    <d v="2025-12-01T00:00:00"/>
    <n v="3963.3"/>
    <n v="3997"/>
    <n v="4009.5"/>
    <n v="3946"/>
    <s v="256.60K"/>
    <n v="-8.3000000000000001E-3"/>
    <x v="5"/>
    <n v="3"/>
    <n v="12"/>
  </r>
  <r>
    <d v="2025-12-02T00:00:00"/>
    <n v="3961.8"/>
    <n v="3968"/>
    <n v="3975.2"/>
    <n v="3935"/>
    <s v="292.97K"/>
    <n v="-4.0000000000000002E-4"/>
    <x v="5"/>
    <n v="3"/>
    <n v="12"/>
  </r>
  <r>
    <d v="2025-12-03T00:00:00"/>
    <n v="3909.7"/>
    <n v="3961.8"/>
    <n v="3969.2"/>
    <n v="3883"/>
    <s v="359.51K"/>
    <n v="-1.32E-2"/>
    <x v="5"/>
    <n v="3"/>
    <n v="12"/>
  </r>
  <r>
    <d v="2025-12-04T00:00:00"/>
    <n v="3913.3"/>
    <n v="3910.3"/>
    <n v="3935"/>
    <n v="3897.3"/>
    <s v="200.12K"/>
    <n v="8.9999999999999998E-4"/>
    <x v="5"/>
    <n v="3"/>
    <n v="12"/>
  </r>
  <r>
    <d v="2025-12-05T00:00:00"/>
    <n v="3952.1"/>
    <n v="3913.3"/>
    <n v="3956.4"/>
    <n v="3904.3"/>
    <s v="184.26K"/>
    <n v="9.9000000000000008E-3"/>
    <x v="5"/>
    <n v="3"/>
    <n v="12"/>
  </r>
  <r>
    <d v="2025-12-08T00:00:00"/>
    <n v="3867.6"/>
    <n v="3950"/>
    <n v="3955.2"/>
    <n v="3826.6"/>
    <s v="268.21K"/>
    <n v="-2.1399999999999999E-2"/>
    <x v="5"/>
    <n v="3"/>
    <n v="12"/>
  </r>
  <r>
    <d v="2025-12-09T00:00:00"/>
    <n v="3910"/>
    <n v="3867.6"/>
    <n v="3920"/>
    <n v="3841.7"/>
    <s v="255.69K"/>
    <n v="1.0999999999999999E-2"/>
    <x v="5"/>
    <n v="3"/>
    <n v="12"/>
  </r>
  <r>
    <d v="2025-12-10T00:00:00"/>
    <n v="3816.3"/>
    <n v="3891"/>
    <n v="3923.7"/>
    <n v="3805"/>
    <s v="576.34K"/>
    <n v="-2.4E-2"/>
    <x v="5"/>
    <n v="3"/>
    <n v="12"/>
  </r>
  <r>
    <d v="2025-12-11T00:00:00"/>
    <n v="3830.8"/>
    <n v="3820"/>
    <n v="3848.8"/>
    <n v="3770"/>
    <s v="396.89K"/>
    <n v="3.8E-3"/>
    <x v="5"/>
    <n v="3"/>
    <n v="12"/>
  </r>
  <r>
    <d v="2025-12-12T00:00:00"/>
    <n v="3843"/>
    <n v="3830.8"/>
    <n v="3868.6"/>
    <n v="3810"/>
    <s v="248.19K"/>
    <n v="3.2000000000000002E-3"/>
    <x v="5"/>
    <n v="3"/>
    <n v="12"/>
  </r>
  <r>
    <d v="2025-12-15T00:00:00"/>
    <n v="3825.6"/>
    <n v="3859.9"/>
    <n v="3859.9"/>
    <n v="3812"/>
    <s v="241.97K"/>
    <n v="-4.4999999999999997E-3"/>
    <x v="5"/>
    <n v="3"/>
    <n v="12"/>
  </r>
  <r>
    <d v="2025-12-16T00:00:00"/>
    <n v="3856.8"/>
    <n v="3878.9"/>
    <n v="3914.8"/>
    <n v="3825.9"/>
    <s v="667.84K"/>
    <n v="8.2000000000000007E-3"/>
    <x v="5"/>
    <n v="3"/>
    <n v="12"/>
  </r>
  <r>
    <d v="2025-12-17T00:00:00"/>
    <n v="3826.2"/>
    <n v="3857.5"/>
    <n v="3869.8"/>
    <n v="3808.7"/>
    <s v="401.22K"/>
    <n v="-7.9000000000000008E-3"/>
    <x v="5"/>
    <n v="3"/>
    <n v="12"/>
  </r>
  <r>
    <d v="2025-12-18T00:00:00"/>
    <n v="3757.2"/>
    <n v="3814.8"/>
    <n v="3822.3"/>
    <n v="3742.4"/>
    <s v="327.08K"/>
    <n v="-1.7999999999999999E-2"/>
    <x v="5"/>
    <n v="3"/>
    <n v="12"/>
  </r>
  <r>
    <d v="2025-12-19T00:00:00"/>
    <n v="3819.5"/>
    <n v="3796.1"/>
    <n v="3830"/>
    <n v="3756.4"/>
    <s v="265.09K"/>
    <n v="1.66E-2"/>
    <x v="5"/>
    <n v="3"/>
    <n v="12"/>
  </r>
  <r>
    <d v="2025-12-22T00:00:00"/>
    <n v="3818.6"/>
    <n v="3826.9"/>
    <n v="3868"/>
    <n v="3815.7"/>
    <s v="207.96K"/>
    <n v="-2.0000000000000001E-4"/>
    <x v="5"/>
    <n v="3"/>
    <n v="12"/>
  </r>
  <r>
    <d v="2025-12-23T00:00:00"/>
    <n v="3828.2"/>
    <n v="3835"/>
    <n v="3844.4"/>
    <n v="3802.5"/>
    <s v="240.67K"/>
    <n v="2.5000000000000001E-3"/>
    <x v="5"/>
    <n v="3"/>
    <n v="12"/>
  </r>
  <r>
    <d v="2025-12-24T00:00:00"/>
    <n v="3800.2"/>
    <n v="3843"/>
    <n v="3843"/>
    <n v="3771.3"/>
    <s v="363.70K"/>
    <n v="-7.3000000000000001E-3"/>
    <x v="5"/>
    <n v="3"/>
    <n v="12"/>
  </r>
  <r>
    <d v="2025-12-26T00:00:00"/>
    <n v="3787.4"/>
    <n v="3805"/>
    <n v="3824"/>
    <n v="3781.2"/>
    <s v="245.54K"/>
    <n v="-3.3999999999999998E-3"/>
    <x v="5"/>
    <n v="3"/>
    <n v="12"/>
  </r>
  <r>
    <d v="2025-12-29T00:00:00"/>
    <n v="3788"/>
    <n v="3778"/>
    <n v="3828"/>
    <n v="3768.4"/>
    <s v="239.54K"/>
    <n v="2.0000000000000001E-4"/>
    <x v="5"/>
    <n v="3"/>
    <n v="12"/>
  </r>
  <r>
    <d v="2025-12-30T00:00:00"/>
    <n v="3753.5"/>
    <n v="3792"/>
    <n v="3805.3"/>
    <n v="3748.2"/>
    <s v="489.29K"/>
    <n v="-9.1000000000000004E-3"/>
    <x v="5"/>
    <n v="3"/>
    <n v="12"/>
  </r>
  <r>
    <d v="2025-12-31T00:00:00"/>
    <n v="3782.2"/>
    <n v="3753.5"/>
    <n v="3800"/>
    <n v="3742.2"/>
    <s v="638.02K"/>
    <n v="7.6E-3"/>
    <x v="5"/>
    <n v="3"/>
    <n v="12"/>
  </r>
  <r>
    <d v="2026-01-01T00:00:00"/>
    <n v="3716.1"/>
    <n v="3794.8"/>
    <n v="3808"/>
    <n v="3703"/>
    <s v="517.01K"/>
    <n v="-1.7500000000000002E-2"/>
    <x v="6"/>
    <n v="4"/>
    <n v="1"/>
  </r>
  <r>
    <d v="2026-01-02T00:00:00"/>
    <n v="3719.8"/>
    <n v="3735"/>
    <n v="3753.5"/>
    <n v="3700"/>
    <s v="295.50K"/>
    <n v="1E-3"/>
    <x v="6"/>
    <n v="4"/>
    <n v="1"/>
  </r>
  <r>
    <d v="2026-01-05T00:00:00"/>
    <n v="3646.3"/>
    <n v="3719.1"/>
    <n v="3719.1"/>
    <n v="3635.3"/>
    <s v="567.37K"/>
    <n v="-1.9800000000000002E-2"/>
    <x v="6"/>
    <n v="4"/>
    <n v="1"/>
  </r>
  <r>
    <d v="2026-01-06T00:00:00"/>
    <n v="3663.7"/>
    <n v="3641"/>
    <n v="3680"/>
    <n v="3605.1"/>
    <s v="585.62K"/>
    <n v="4.7999999999999996E-3"/>
    <x v="6"/>
    <n v="4"/>
    <n v="1"/>
  </r>
  <r>
    <d v="2026-01-07T00:00:00"/>
    <n v="3841.6"/>
    <n v="3665"/>
    <n v="3849.9"/>
    <n v="3662"/>
    <s v="1.32M"/>
    <n v="4.8599999999999997E-2"/>
    <x v="6"/>
    <n v="4"/>
    <n v="1"/>
  </r>
  <r>
    <d v="2026-01-08T00:00:00"/>
    <n v="3789.8"/>
    <n v="3843"/>
    <n v="3872.4"/>
    <n v="3781"/>
    <s v="400.23K"/>
    <n v="-1.35E-2"/>
    <x v="6"/>
    <n v="4"/>
    <n v="1"/>
  </r>
  <r>
    <d v="2026-01-09T00:00:00"/>
    <n v="3801.3"/>
    <n v="3794"/>
    <n v="3833.2"/>
    <n v="3745.1"/>
    <s v="600.89K"/>
    <n v="3.0000000000000001E-3"/>
    <x v="6"/>
    <n v="4"/>
    <n v="1"/>
  </r>
  <r>
    <d v="2026-01-12T00:00:00"/>
    <n v="3832.5"/>
    <n v="3852"/>
    <n v="3918.6"/>
    <n v="3760.5"/>
    <s v="2.05M"/>
    <n v="8.2000000000000007E-3"/>
    <x v="6"/>
    <n v="4"/>
    <n v="1"/>
  </r>
  <r>
    <d v="2026-01-13T00:00:00"/>
    <n v="3826.9"/>
    <n v="3851.5"/>
    <n v="3889"/>
    <n v="3782.7"/>
    <s v="693.95K"/>
    <n v="-1.5E-3"/>
    <x v="6"/>
    <n v="4"/>
    <n v="1"/>
  </r>
  <r>
    <d v="2026-01-14T00:00:00"/>
    <n v="3830.3"/>
    <n v="3822"/>
    <n v="3889.8"/>
    <n v="3811.8"/>
    <s v="495.10K"/>
    <n v="8.9999999999999998E-4"/>
    <x v="6"/>
    <n v="4"/>
    <n v="1"/>
  </r>
  <r>
    <d v="2026-01-16T00:00:00"/>
    <n v="3775.7"/>
    <n v="3820"/>
    <n v="3832"/>
    <n v="3741"/>
    <s v="817.04K"/>
    <n v="-1.43E-2"/>
    <x v="6"/>
    <n v="4"/>
    <n v="1"/>
  </r>
  <r>
    <d v="2026-01-19T00:00:00"/>
    <n v="3766.7"/>
    <n v="3775.7"/>
    <n v="3846"/>
    <n v="3733.3"/>
    <s v="404.69K"/>
    <n v="-2.3999999999999998E-3"/>
    <x v="6"/>
    <n v="4"/>
    <n v="1"/>
  </r>
  <r>
    <d v="2026-01-20T00:00:00"/>
    <n v="3661.6"/>
    <n v="3768"/>
    <n v="3786.5"/>
    <n v="3645.5"/>
    <s v="521.41K"/>
    <n v="-2.7900000000000001E-2"/>
    <x v="6"/>
    <n v="4"/>
    <n v="1"/>
  </r>
  <r>
    <d v="2026-01-21T00:00:00"/>
    <n v="3656.7"/>
    <n v="3661.6"/>
    <n v="3694.6"/>
    <n v="3617.6"/>
    <s v="473.54K"/>
    <n v="-1.2999999999999999E-3"/>
    <x v="6"/>
    <n v="4"/>
    <n v="1"/>
  </r>
  <r>
    <d v="2026-01-22T00:00:00"/>
    <n v="3724.1"/>
    <n v="3690"/>
    <n v="3735"/>
    <n v="3658"/>
    <s v="409.47K"/>
    <n v="1.84E-2"/>
    <x v="6"/>
    <n v="4"/>
    <n v="1"/>
  </r>
  <r>
    <d v="2026-01-23T00:00:00"/>
    <n v="3665.6"/>
    <n v="3724.1"/>
    <n v="3738.9"/>
    <n v="3646.8"/>
    <s v="185.67K"/>
    <n v="-1.5699999999999999E-2"/>
    <x v="6"/>
    <n v="4"/>
    <n v="1"/>
  </r>
  <r>
    <d v="2026-01-27T00:00:00"/>
    <n v="3670.6"/>
    <n v="3651"/>
    <n v="3686.1"/>
    <n v="3633.8"/>
    <s v="374.82K"/>
    <n v="1.4E-3"/>
    <x v="6"/>
    <n v="4"/>
    <n v="1"/>
  </r>
  <r>
    <d v="2026-01-28T00:00:00"/>
    <n v="3735.7"/>
    <n v="3663"/>
    <n v="3744.3"/>
    <n v="3663"/>
    <s v="242.64K"/>
    <n v="1.77E-2"/>
    <x v="6"/>
    <n v="4"/>
    <n v="1"/>
  </r>
  <r>
    <d v="2026-01-29T00:00:00"/>
    <n v="3667.2"/>
    <n v="3710.4"/>
    <n v="3727.2"/>
    <n v="3641"/>
    <s v="448.58K"/>
    <n v="-1.83E-2"/>
    <x v="6"/>
    <n v="4"/>
    <n v="1"/>
  </r>
  <r>
    <d v="2026-01-30T00:00:00"/>
    <n v="3689.5"/>
    <n v="3645"/>
    <n v="3740"/>
    <n v="3638"/>
    <s v="619.21K"/>
    <n v="6.1000000000000004E-3"/>
    <x v="6"/>
    <n v="4"/>
    <n v="1"/>
  </r>
  <r>
    <d v="2026-02-01T00:00:00"/>
    <n v="3613.7"/>
    <n v="3690"/>
    <n v="3710"/>
    <n v="3529"/>
    <s v="289.10K"/>
    <n v="-2.0500000000000001E-2"/>
    <x v="6"/>
    <n v="4"/>
    <n v="2"/>
  </r>
  <r>
    <d v="2026-02-02T00:00:00"/>
    <n v="3674.2"/>
    <n v="3639"/>
    <n v="3683.3"/>
    <n v="3600"/>
    <s v="212.42K"/>
    <n v="1.67E-2"/>
    <x v="6"/>
    <n v="4"/>
    <n v="2"/>
  </r>
  <r>
    <d v="2026-02-03T00:00:00"/>
    <n v="3776.6"/>
    <n v="3750"/>
    <n v="3802.4"/>
    <n v="3709"/>
    <s v="412.50K"/>
    <n v="2.7900000000000001E-2"/>
    <x v="6"/>
    <n v="4"/>
    <n v="2"/>
  </r>
  <r>
    <d v="2026-02-04T00:00:00"/>
    <n v="3824.3"/>
    <n v="3794"/>
    <n v="3849"/>
    <n v="3749"/>
    <s v="269.85K"/>
    <n v="1.26E-2"/>
    <x v="6"/>
    <n v="4"/>
    <n v="2"/>
  </r>
  <r>
    <d v="2026-02-05T00:00:00"/>
    <n v="3934.9"/>
    <n v="3849"/>
    <n v="3949.5"/>
    <n v="3825.1"/>
    <s v="867.14K"/>
    <n v="2.8899999999999999E-2"/>
    <x v="6"/>
    <n v="4"/>
    <n v="2"/>
  </r>
  <r>
    <d v="2026-02-06T00:00:00"/>
    <n v="3889.9"/>
    <n v="3934.8"/>
    <n v="3949"/>
    <n v="3850"/>
    <s v="276.17K"/>
    <n v="-1.14E-2"/>
    <x v="6"/>
    <n v="4"/>
    <n v="2"/>
  </r>
  <r>
    <d v="2026-02-09T00:00:00"/>
    <n v="3922.4"/>
    <n v="3893.1"/>
    <n v="3939.6"/>
    <n v="3890.2"/>
    <s v="224.95K"/>
    <n v="8.3999999999999995E-3"/>
    <x v="6"/>
    <n v="4"/>
    <n v="2"/>
  </r>
  <r>
    <d v="2026-02-10T00:00:00"/>
    <n v="4002.2"/>
    <n v="3940"/>
    <n v="4019"/>
    <n v="3920"/>
    <s v="388.86K"/>
    <n v="2.0299999999999999E-2"/>
    <x v="6"/>
    <n v="4"/>
    <n v="2"/>
  </r>
  <r>
    <d v="2026-02-11T00:00:00"/>
    <n v="4003.7"/>
    <n v="4014"/>
    <n v="4032.2"/>
    <n v="3970.1"/>
    <s v="324.86K"/>
    <n v="4.0000000000000002E-4"/>
    <x v="6"/>
    <n v="4"/>
    <n v="2"/>
  </r>
  <r>
    <d v="2026-02-12T00:00:00"/>
    <n v="3963"/>
    <n v="4000"/>
    <n v="4000"/>
    <n v="3947.6"/>
    <s v="197.21K"/>
    <n v="-1.0200000000000001E-2"/>
    <x v="6"/>
    <n v="4"/>
    <n v="2"/>
  </r>
  <r>
    <d v="2026-02-13T00:00:00"/>
    <n v="3909.2"/>
    <n v="3944.3"/>
    <n v="3949.5"/>
    <n v="3887"/>
    <s v="219.06K"/>
    <n v="-1.3599999999999999E-2"/>
    <x v="6"/>
    <n v="4"/>
    <n v="2"/>
  </r>
  <r>
    <d v="2026-02-16T00:00:00"/>
    <n v="3880.7"/>
    <n v="3850"/>
    <n v="3900.8"/>
    <n v="3842.3"/>
    <s v="239.72K"/>
    <n v="-7.3000000000000001E-3"/>
    <x v="6"/>
    <n v="4"/>
    <n v="2"/>
  </r>
  <r>
    <d v="2026-02-17T00:00:00"/>
    <n v="3902.9"/>
    <n v="3869.9"/>
    <n v="3940"/>
    <n v="3869.9"/>
    <s v="176.71K"/>
    <n v="5.7000000000000002E-3"/>
    <x v="6"/>
    <n v="4"/>
    <n v="2"/>
  </r>
  <r>
    <d v="2026-02-18T00:00:00"/>
    <n v="3915.2"/>
    <n v="3903"/>
    <n v="3924.7"/>
    <n v="3883.5"/>
    <s v="170.55K"/>
    <n v="3.2000000000000002E-3"/>
    <x v="6"/>
    <n v="4"/>
    <n v="2"/>
  </r>
  <r>
    <d v="2026-02-19T00:00:00"/>
    <n v="3834.1"/>
    <n v="3915"/>
    <n v="3944"/>
    <n v="3821.2"/>
    <s v="286.76K"/>
    <n v="-2.07E-2"/>
    <x v="6"/>
    <n v="4"/>
    <n v="2"/>
  </r>
  <r>
    <d v="2026-02-20T00:00:00"/>
    <n v="3866.4"/>
    <n v="3848.4"/>
    <n v="3889.3"/>
    <n v="3825"/>
    <s v="194.56K"/>
    <n v="8.3999999999999995E-3"/>
    <x v="6"/>
    <n v="4"/>
    <n v="2"/>
  </r>
  <r>
    <d v="2026-02-23T00:00:00"/>
    <n v="3845.3"/>
    <n v="3889"/>
    <n v="3900"/>
    <n v="3810.3"/>
    <s v="438.70K"/>
    <n v="-5.4999999999999997E-3"/>
    <x v="6"/>
    <n v="4"/>
    <n v="2"/>
  </r>
  <r>
    <d v="2026-02-24T00:00:00"/>
    <n v="3849.3"/>
    <n v="3840"/>
    <n v="3862.3"/>
    <n v="3798.6"/>
    <s v="395.32K"/>
    <n v="1E-3"/>
    <x v="6"/>
    <n v="4"/>
    <n v="2"/>
  </r>
  <r>
    <d v="2026-02-25T00:00:00"/>
    <n v="3888.2"/>
    <n v="3880"/>
    <n v="3945.8"/>
    <n v="3857.8"/>
    <s v="325.10K"/>
    <n v="1.01E-2"/>
    <x v="6"/>
    <n v="4"/>
    <n v="2"/>
  </r>
  <r>
    <d v="2026-02-26T00:00:00"/>
    <n v="3865.6"/>
    <n v="3900"/>
    <n v="3900.6"/>
    <n v="3820"/>
    <s v="415.20K"/>
    <n v="-5.7999999999999996E-3"/>
    <x v="6"/>
    <n v="4"/>
    <n v="2"/>
  </r>
  <r>
    <d v="2026-02-27T00:00:00"/>
    <n v="3847.6"/>
    <n v="3880.2"/>
    <n v="3883"/>
    <n v="3804"/>
    <s v="478.98K"/>
    <n v="-4.7000000000000002E-3"/>
    <x v="6"/>
    <n v="4"/>
    <n v="2"/>
  </r>
  <r>
    <d v="2026-03-02T00:00:00"/>
    <n v="3802.5"/>
    <n v="3700"/>
    <n v="3833.1"/>
    <n v="3700"/>
    <s v="378.34K"/>
    <n v="-1.17E-2"/>
    <x v="6"/>
    <n v="4"/>
    <n v="3"/>
  </r>
  <r>
    <d v="2026-03-04T00:00:00"/>
    <n v="3760.9"/>
    <n v="3772.2"/>
    <n v="3795"/>
    <n v="3736"/>
    <s v="603.97K"/>
    <n v="-1.09E-2"/>
    <x v="6"/>
    <n v="4"/>
    <n v="3"/>
  </r>
  <r>
    <d v="2026-03-05T00:00:00"/>
    <n v="3835.4"/>
    <n v="3763"/>
    <n v="3853"/>
    <n v="3726.6"/>
    <s v="516.20K"/>
    <n v="1.9800000000000002E-2"/>
    <x v="6"/>
    <n v="4"/>
    <n v="3"/>
  </r>
  <r>
    <d v="2026-03-06T00:00:00"/>
    <n v="3875.8"/>
    <n v="3825"/>
    <n v="3903.9"/>
    <n v="3825"/>
    <s v="224.91K"/>
    <n v="1.0500000000000001E-2"/>
    <x v="6"/>
    <n v="4"/>
    <n v="3"/>
  </r>
  <r>
    <d v="2026-03-09T00:00:00"/>
    <n v="3966.2"/>
    <n v="3866.9"/>
    <n v="3982"/>
    <n v="3814.5"/>
    <s v="933.62K"/>
    <n v="2.3300000000000001E-2"/>
    <x v="6"/>
    <n v="4"/>
    <n v="3"/>
  </r>
  <r>
    <d v="2026-03-10T00:00:00"/>
    <n v="3946.8"/>
    <n v="3993"/>
    <n v="4000"/>
    <n v="3916.9"/>
    <s v="320.41K"/>
    <n v="-4.8999999999999998E-3"/>
    <x v="6"/>
    <n v="4"/>
    <n v="3"/>
  </r>
  <r>
    <d v="2026-03-11T00:00:00"/>
    <n v="3944.8"/>
    <n v="3946.8"/>
    <n v="3992"/>
    <n v="3908.1"/>
    <s v="380.92K"/>
    <n v="-5.0000000000000001E-4"/>
    <x v="6"/>
    <n v="4"/>
    <n v="3"/>
  </r>
  <r>
    <d v="2026-03-12T00:00:00"/>
    <n v="3953.6"/>
    <n v="3928.2"/>
    <n v="3975"/>
    <n v="3856.2"/>
    <s v="352.80K"/>
    <n v="2.2000000000000001E-3"/>
    <x v="6"/>
    <n v="4"/>
    <n v="3"/>
  </r>
  <r>
    <d v="2026-03-13T00:00:00"/>
    <n v="3834.3"/>
    <n v="3945"/>
    <n v="4056"/>
    <n v="3825"/>
    <s v="913.59K"/>
    <n v="-3.0200000000000001E-2"/>
    <x v="6"/>
    <n v="4"/>
    <n v="3"/>
  </r>
  <r>
    <d v="2026-03-16T00:00:00"/>
    <n v="3817.9"/>
    <n v="3824.3"/>
    <n v="3834.8"/>
    <n v="3736.1"/>
    <s v="401.35K"/>
    <n v="-4.3E-3"/>
    <x v="6"/>
    <n v="4"/>
    <n v="3"/>
  </r>
  <r>
    <d v="2026-03-17T00:00:00"/>
    <n v="3781.4"/>
    <n v="3827.8"/>
    <n v="3853"/>
    <n v="3775"/>
    <s v="229.56K"/>
    <n v="-9.5999999999999992E-3"/>
    <x v="6"/>
    <n v="4"/>
    <n v="3"/>
  </r>
  <r>
    <d v="2026-03-18T00:00:00"/>
    <n v="3844"/>
    <n v="3800"/>
    <n v="3905.3"/>
    <n v="3790.3"/>
    <s v="340.77K"/>
    <n v="1.66E-2"/>
    <x v="6"/>
    <n v="4"/>
    <n v="3"/>
  </r>
  <r>
    <d v="2026-03-19T00:00:00"/>
    <n v="3808.2"/>
    <n v="3801"/>
    <n v="3872.6"/>
    <n v="3771"/>
    <s v="426.31K"/>
    <n v="-9.2999999999999992E-3"/>
    <x v="6"/>
    <n v="4"/>
    <n v="3"/>
  </r>
  <r>
    <d v="2026-03-20T00:00:00"/>
    <n v="3770.8"/>
    <n v="3822.1"/>
    <n v="3848"/>
    <n v="3748.7"/>
    <s v="386.08K"/>
    <n v="-9.7999999999999997E-3"/>
    <x v="6"/>
    <n v="4"/>
    <n v="3"/>
  </r>
  <r>
    <d v="2026-03-23T00:00:00"/>
    <n v="3655.6"/>
    <n v="3750"/>
    <n v="3752"/>
    <n v="3630"/>
    <s v="296.38K"/>
    <n v="-3.0599999999999999E-2"/>
    <x v="6"/>
    <n v="4"/>
    <n v="3"/>
  </r>
  <r>
    <d v="2026-03-24T00:00:00"/>
    <n v="3756.5"/>
    <n v="3730"/>
    <n v="3820.5"/>
    <n v="3685.1"/>
    <s v="416.89K"/>
    <n v="2.76E-2"/>
    <x v="6"/>
    <n v="4"/>
    <n v="3"/>
  </r>
  <r>
    <d v="2026-03-25T00:00:00"/>
    <n v="3910.8"/>
    <n v="3780"/>
    <n v="3939"/>
    <n v="3761"/>
    <s v="1.34M"/>
    <n v="4.1099999999999998E-2"/>
    <x v="6"/>
    <n v="4"/>
    <n v="3"/>
  </r>
  <r>
    <d v="2026-03-27T00:00:00"/>
    <n v="3903.2"/>
    <n v="3900"/>
    <n v="3940"/>
    <n v="3865.5"/>
    <s v="1.55M"/>
    <n v="-1.9E-3"/>
    <x v="6"/>
    <n v="4"/>
    <n v="3"/>
  </r>
  <r>
    <d v="2026-03-30T00:00:00"/>
    <n v="3956.8"/>
    <n v="3897.6"/>
    <n v="4015"/>
    <n v="3877"/>
    <s v="1.74M"/>
    <n v="1.37E-2"/>
    <x v="6"/>
    <n v="4"/>
    <n v="3"/>
  </r>
  <r>
    <d v="2026-04-01T00:00:00"/>
    <n v="4271.1000000000004"/>
    <n v="4075"/>
    <n v="4294.8"/>
    <n v="4066.1"/>
    <s v="2.71M"/>
    <n v="7.9399999999999998E-2"/>
    <x v="6"/>
    <n v="1"/>
    <n v="4"/>
  </r>
  <r>
    <d v="2026-04-02T00:00:00"/>
    <n v="4362.3999999999996"/>
    <n v="4228.3999999999996"/>
    <n v="4393.7"/>
    <n v="4190.3"/>
    <s v="1.58M"/>
    <n v="2.1399999999999999E-2"/>
    <x v="6"/>
    <n v="1"/>
    <n v="4"/>
  </r>
  <r>
    <d v="2026-04-06T00:00:00"/>
    <n v="4551.3"/>
    <n v="4450"/>
    <n v="4562.6000000000004"/>
    <n v="4353.1000000000004"/>
    <s v="1.92M"/>
    <n v="4.3299999999999998E-2"/>
    <x v="6"/>
    <n v="1"/>
    <n v="4"/>
  </r>
  <r>
    <d v="2026-04-07T00:00:00"/>
    <n v="4466"/>
    <n v="4485.7"/>
    <n v="4558.8"/>
    <n v="4453.1000000000004"/>
    <s v="601.59K"/>
    <n v="-1.8700000000000001E-2"/>
    <x v="6"/>
    <n v="1"/>
    <n v="4"/>
  </r>
  <r>
    <d v="2026-04-08T00:00:00"/>
    <n v="4368.8"/>
    <n v="4521.3"/>
    <n v="4538.5"/>
    <n v="4355"/>
    <s v="1.09M"/>
    <n v="-2.18E-2"/>
    <x v="6"/>
    <n v="1"/>
    <n v="4"/>
  </r>
  <r>
    <d v="2026-04-09T00:00:00"/>
    <n v="4415.6000000000004"/>
    <n v="4351"/>
    <n v="4430"/>
    <n v="4322.3"/>
    <s v="549.71K"/>
    <n v="1.0699999999999999E-2"/>
    <x v="6"/>
    <n v="1"/>
    <n v="4"/>
  </r>
  <r>
    <d v="2026-04-10T00:00:00"/>
    <n v="4400.6000000000004"/>
    <n v="4415.6000000000004"/>
    <n v="4437.1000000000004"/>
    <n v="4348.3"/>
    <s v="441.93K"/>
    <n v="-3.3999999999999998E-3"/>
    <x v="6"/>
    <n v="1"/>
    <n v="4"/>
  </r>
  <r>
    <d v="2026-04-13T00:00:00"/>
    <n v="4448"/>
    <n v="4300"/>
    <n v="4477.2"/>
    <n v="4284.2"/>
    <s v="874.89K"/>
    <n v="1.0800000000000001E-2"/>
    <x v="6"/>
    <n v="1"/>
    <n v="4"/>
  </r>
  <r>
    <d v="2026-04-15T00:00:00"/>
    <n v="4473.3"/>
    <n v="4500"/>
    <n v="4509.6000000000004"/>
    <n v="4368"/>
    <s v="846.59K"/>
    <n v="5.7000000000000002E-3"/>
    <x v="6"/>
    <n v="1"/>
    <n v="4"/>
  </r>
  <r>
    <d v="2026-04-16T00:00:00"/>
    <n v="4428.3"/>
    <n v="4496.1000000000004"/>
    <n v="4506.8999999999996"/>
    <n v="4386"/>
    <s v="342.14K"/>
    <n v="-1.01E-2"/>
    <x v="6"/>
    <n v="1"/>
    <n v="4"/>
  </r>
  <r>
    <d v="2026-04-17T00:00:00"/>
    <n v="4628.5"/>
    <n v="4446"/>
    <n v="4644"/>
    <n v="4435.1000000000004"/>
    <s v="1.37M"/>
    <n v="4.5199999999999997E-2"/>
    <x v="6"/>
    <n v="1"/>
    <n v="4"/>
  </r>
  <r>
    <d v="2026-04-20T00:00:00"/>
    <n v="4605.2"/>
    <n v="4629.8999999999996"/>
    <n v="4634.3"/>
    <n v="4550.6000000000004"/>
    <s v="521.89K"/>
    <n v="-5.0000000000000001E-3"/>
    <x v="6"/>
    <n v="1"/>
    <n v="4"/>
  </r>
  <r>
    <d v="2026-04-21T00:00:00"/>
    <n v="4589.3999999999996"/>
    <n v="4605.2"/>
    <n v="4627.3"/>
    <n v="4550"/>
    <s v="411.47K"/>
    <n v="-3.3999999999999998E-3"/>
    <x v="6"/>
    <n v="1"/>
    <n v="4"/>
  </r>
  <r>
    <d v="2026-04-22T00:00:00"/>
    <n v="4594.8"/>
    <n v="4589.2"/>
    <n v="4628.8999999999996"/>
    <n v="4532.1000000000004"/>
    <s v="325.45K"/>
    <n v="1.1999999999999999E-3"/>
    <x v="6"/>
    <n v="1"/>
    <n v="4"/>
  </r>
  <r>
    <d v="2026-04-23T00:00:00"/>
    <n v="4521.2"/>
    <n v="4590"/>
    <n v="4595"/>
    <n v="4512.2"/>
    <s v="256.27K"/>
    <n v="-1.6E-2"/>
    <x v="6"/>
    <n v="1"/>
    <n v="4"/>
  </r>
  <r>
    <d v="2026-04-24T00:00:00"/>
    <n v="4443.5"/>
    <n v="4559.5"/>
    <n v="4559.5"/>
    <n v="4416"/>
    <s v="214.78K"/>
    <n v="-1.72E-2"/>
    <x v="6"/>
    <n v="1"/>
    <n v="4"/>
  </r>
  <r>
    <d v="2026-04-27T00:00:00"/>
    <n v="4507.1000000000004"/>
    <n v="4489.8"/>
    <n v="4529"/>
    <n v="4460.3"/>
    <s v="478.31K"/>
    <n v="1.43E-2"/>
    <x v="6"/>
    <n v="1"/>
    <n v="4"/>
  </r>
  <r>
    <d v="2026-04-28T00:00:00"/>
    <n v="4544.3999999999996"/>
    <n v="4506.3999999999996"/>
    <n v="4600.5"/>
    <n v="4480"/>
    <s v="447.10K"/>
    <n v="8.3000000000000001E-3"/>
    <x v="6"/>
    <n v="1"/>
    <n v="4"/>
  </r>
  <r>
    <d v="2026-04-29T00:00:00"/>
    <n v="4593.3999999999996"/>
    <n v="4558"/>
    <n v="4639.8999999999996"/>
    <n v="4558"/>
    <s v="299.31K"/>
    <n v="1.0800000000000001E-2"/>
    <x v="6"/>
    <n v="1"/>
    <n v="4"/>
  </r>
  <r>
    <d v="2026-04-30T00:00:00"/>
    <n v="4585.8999999999996"/>
    <n v="4584"/>
    <n v="4615"/>
    <n v="4511"/>
    <s v="528.86K"/>
    <n v="-1.6000000000000001E-3"/>
    <x v="6"/>
    <n v="1"/>
    <n v="4"/>
  </r>
  <r>
    <d v="2026-05-04T00:00:00"/>
    <n v="4376.5"/>
    <n v="4585"/>
    <n v="4585"/>
    <n v="4351"/>
    <s v="1.36M"/>
    <n v="-4.5699999999999998E-2"/>
    <x v="6"/>
    <n v="1"/>
    <n v="5"/>
  </r>
  <r>
    <d v="2026-05-05T00:00:00"/>
    <n v="4358.7"/>
    <n v="4380"/>
    <n v="4385.8999999999996"/>
    <n v="4303"/>
    <s v="318.09K"/>
    <n v="-4.1000000000000003E-3"/>
    <x v="6"/>
    <n v="1"/>
    <n v="5"/>
  </r>
  <r>
    <d v="2026-05-06T00:00:00"/>
    <n v="4432.2"/>
    <n v="4363.3999999999996"/>
    <n v="4444.5"/>
    <n v="4342.1000000000004"/>
    <s v="396.40K"/>
    <n v="1.6899999999999998E-2"/>
    <x v="6"/>
    <n v="1"/>
    <n v="5"/>
  </r>
  <r>
    <d v="2026-05-07T00:00:00"/>
    <n v="4386.5"/>
    <n v="4430"/>
    <n v="4437.2"/>
    <n v="4371"/>
    <s v="320.80K"/>
    <n v="-1.03E-2"/>
    <x v="6"/>
    <n v="1"/>
    <n v="5"/>
  </r>
  <r>
    <d v="2026-05-08T00:00:00"/>
    <n v="4402.1000000000004"/>
    <n v="4410.2"/>
    <n v="4448"/>
    <n v="4382.3999999999996"/>
    <s v="266.66K"/>
    <n v="3.5999999999999999E-3"/>
    <x v="6"/>
    <n v="1"/>
    <n v="5"/>
  </r>
  <r>
    <d v="2026-05-11T00:00:00"/>
    <n v="4389.3999999999996"/>
    <n v="4401.3999999999996"/>
    <n v="4431.8"/>
    <n v="4368.6000000000004"/>
    <s v="165.02K"/>
    <n v="-2.8999999999999998E-3"/>
    <x v="6"/>
    <n v="1"/>
    <n v="5"/>
  </r>
  <r>
    <d v="2026-05-12T00:00:00"/>
    <n v="4331.7"/>
    <n v="4389"/>
    <n v="4419.2"/>
    <n v="4325"/>
    <s v="245.22K"/>
    <n v="-1.3100000000000001E-2"/>
    <x v="6"/>
    <n v="1"/>
    <n v="5"/>
  </r>
  <r>
    <d v="2026-05-13T00:00:00"/>
    <n v="4334.7"/>
    <n v="4331.7"/>
    <n v="4388.8999999999996"/>
    <n v="4325"/>
    <s v="225.24K"/>
    <n v="6.9999999999999999E-4"/>
    <x v="6"/>
    <n v="1"/>
    <n v="5"/>
  </r>
  <r>
    <d v="2026-05-14T00:00:00"/>
    <n v="4341.3999999999996"/>
    <n v="4370"/>
    <n v="4388"/>
    <n v="4281.2"/>
    <s v="309.43K"/>
    <n v="1.5E-3"/>
    <x v="6"/>
    <n v="1"/>
    <n v="5"/>
  </r>
  <r>
    <d v="2026-05-15T00:00:00"/>
    <n v="4358.7"/>
    <n v="4341.3999999999996"/>
    <n v="4387"/>
    <n v="4330.3"/>
    <s v="145.95K"/>
    <n v="4.0000000000000001E-3"/>
    <x v="6"/>
    <n v="1"/>
    <n v="5"/>
  </r>
  <r>
    <d v="2026-05-18T00:00:00"/>
    <n v="4304.7"/>
    <n v="4335.3"/>
    <n v="4345.6000000000004"/>
    <n v="4268"/>
    <s v="168.64K"/>
    <n v="-1.24E-2"/>
    <x v="6"/>
    <n v="1"/>
    <n v="5"/>
  </r>
  <r>
    <d v="2026-05-19T00:00:00"/>
    <n v="4236"/>
    <n v="4304"/>
    <n v="4315.5"/>
    <n v="4211"/>
    <s v="367.52K"/>
    <n v="-1.6E-2"/>
    <x v="6"/>
    <n v="1"/>
    <n v="5"/>
  </r>
  <r>
    <d v="2026-05-20T00:00:00"/>
    <n v="4144.2"/>
    <n v="4235"/>
    <n v="4240.2"/>
    <n v="4111"/>
    <s v="346.22K"/>
    <n v="-2.1700000000000001E-2"/>
    <x v="6"/>
    <n v="1"/>
    <n v="5"/>
  </r>
  <r>
    <d v="2026-05-21T00:00:00"/>
    <n v="4137.2"/>
    <n v="4167.3999999999996"/>
    <n v="4253"/>
    <n v="4122.3"/>
    <s v="498.13K"/>
    <n v="-1.6999999999999999E-3"/>
    <x v="6"/>
    <n v="1"/>
    <n v="5"/>
  </r>
  <r>
    <d v="2026-05-22T00:00:00"/>
    <n v="4117"/>
    <n v="4145"/>
    <n v="4159"/>
    <n v="4103.6000000000004"/>
    <s v="207.04K"/>
    <n v="-4.8999999999999998E-3"/>
    <x v="6"/>
    <n v="1"/>
    <n v="5"/>
  </r>
  <r>
    <d v="2026-05-25T00:00:00"/>
    <n v="4097.2"/>
    <n v="4150"/>
    <n v="4154.8999999999996"/>
    <n v="4077.6"/>
    <s v="284.29K"/>
    <n v="-4.7999999999999996E-3"/>
    <x v="6"/>
    <n v="1"/>
    <n v="5"/>
  </r>
  <r>
    <d v="2026-05-26T00:00:00"/>
    <n v="4103.6000000000004"/>
    <n v="4099.8999999999996"/>
    <n v="4119.8"/>
    <n v="4059.9"/>
    <s v="479.39K"/>
    <n v="1.6000000000000001E-3"/>
    <x v="6"/>
    <n v="1"/>
    <n v="5"/>
  </r>
  <r>
    <d v="2026-05-27T00:00:00"/>
    <n v="4124.3999999999996"/>
    <n v="4103"/>
    <n v="4144.2"/>
    <n v="4068.7"/>
    <s v="229.90K"/>
    <n v="5.1000000000000004E-3"/>
    <x v="6"/>
    <n v="1"/>
    <n v="5"/>
  </r>
  <r>
    <d v="2026-05-29T00:00:00"/>
    <n v="4054.5"/>
    <n v="4149.8999999999996"/>
    <n v="4149.8999999999996"/>
    <n v="4000.1"/>
    <s v="2.18M"/>
    <n v="-1.6899999999999998E-2"/>
    <x v="6"/>
    <n v="1"/>
    <n v="5"/>
  </r>
  <r>
    <d v="2026-06-01T00:00:00"/>
    <n v="4071.8"/>
    <n v="4074.9"/>
    <n v="4106"/>
    <n v="4041"/>
    <s v="307.60K"/>
    <n v="4.3E-3"/>
    <x v="6"/>
    <n v="1"/>
    <n v="6"/>
  </r>
  <r>
    <d v="2026-06-02T00:00:00"/>
    <n v="4057"/>
    <n v="4025"/>
    <n v="4068.9"/>
    <n v="3988.8"/>
    <s v="467.98K"/>
    <n v="-3.5999999999999999E-3"/>
    <x v="6"/>
    <n v="1"/>
    <n v="6"/>
  </r>
  <r>
    <d v="2026-06-03T00:00:00"/>
    <n v="4168.3999999999996"/>
    <n v="4064.9"/>
    <n v="4193.8999999999996"/>
    <n v="4017.1"/>
    <s v="857.62K"/>
    <n v="2.75E-2"/>
    <x v="6"/>
    <n v="1"/>
    <n v="6"/>
  </r>
  <r>
    <d v="2026-06-04T00:00:00"/>
    <n v="4139.3"/>
    <n v="4160"/>
    <n v="4225"/>
    <n v="4128"/>
    <s v="487.77K"/>
    <n v="-7.0000000000000001E-3"/>
    <x v="6"/>
    <n v="1"/>
    <n v="6"/>
  </r>
  <r>
    <d v="2026-06-05T00:00:00"/>
    <n v="4144.2"/>
    <n v="4139.3"/>
    <n v="4235.2"/>
    <n v="4112"/>
    <s v="366.23K"/>
    <n v="1.1999999999999999E-3"/>
    <x v="6"/>
    <n v="1"/>
    <n v="6"/>
  </r>
  <r>
    <d v="2026-06-08T00:00:00"/>
    <n v="4063.3"/>
    <n v="4100"/>
    <n v="4147.6000000000004"/>
    <n v="4035.2"/>
    <s v="265.67K"/>
    <n v="-1.95E-2"/>
    <x v="6"/>
    <n v="1"/>
    <n v="6"/>
  </r>
  <r>
    <d v="2026-06-09T00:00:00"/>
    <n v="4092"/>
    <n v="4092"/>
    <n v="4150"/>
    <n v="4070"/>
    <s v="336.81K"/>
    <n v="7.1000000000000004E-3"/>
    <x v="6"/>
    <n v="1"/>
    <n v="6"/>
  </r>
  <r>
    <d v="2026-06-10T00:00:00"/>
    <n v="4043.4"/>
    <n v="4078.4"/>
    <n v="4208.8"/>
    <n v="4031"/>
    <s v="604.57K"/>
    <n v="-1.1900000000000001E-2"/>
    <x v="6"/>
    <n v="1"/>
    <n v="6"/>
  </r>
  <r>
    <d v="2026-06-11T00:00:00"/>
    <n v="3987"/>
    <n v="4043.4"/>
    <n v="4089"/>
    <n v="3975"/>
    <s v="279.38K"/>
    <n v="-1.3899999999999999E-2"/>
    <x v="6"/>
    <n v="1"/>
    <n v="6"/>
  </r>
  <r>
    <d v="2026-06-12T00:00:00"/>
    <n v="3993.6"/>
    <n v="4045"/>
    <n v="4045.7"/>
    <n v="3955"/>
    <s v="363.31K"/>
    <n v="1.6999999999999999E-3"/>
    <x v="6"/>
    <n v="1"/>
    <n v="6"/>
  </r>
  <r>
    <d v="2026-06-15T00:00:00"/>
    <n v="4099"/>
    <n v="4040"/>
    <n v="4143.6000000000004"/>
    <n v="4013.5"/>
    <s v="452.05K"/>
    <n v="2.64E-2"/>
    <x v="6"/>
    <n v="1"/>
    <n v="6"/>
  </r>
  <r>
    <d v="2026-06-16T00:00:00"/>
    <n v="4201.3"/>
    <n v="4109"/>
    <n v="4209"/>
    <n v="4109"/>
    <s v="483.67K"/>
    <n v="2.5000000000000001E-2"/>
    <x v="6"/>
    <n v="1"/>
    <n v="6"/>
  </r>
  <r>
    <d v="2026-06-17T00:00:00"/>
    <n v="4287.5"/>
    <n v="4215.1000000000004"/>
    <n v="4307"/>
    <n v="4202.3"/>
    <s v="1.18M"/>
    <n v="2.0500000000000001E-2"/>
    <x v="6"/>
    <n v="1"/>
    <n v="6"/>
  </r>
  <r>
    <d v="2026-06-18T00:00:00"/>
    <n v="4306.7"/>
    <n v="4300"/>
    <n v="4349.6000000000004"/>
    <n v="4287.1000000000004"/>
    <s v="433.14K"/>
    <n v="4.4999999999999997E-3"/>
    <x v="6"/>
    <n v="1"/>
    <n v="6"/>
  </r>
  <r>
    <d v="2026-06-19T00:00:00"/>
    <n v="4286.8999999999996"/>
    <n v="4294.8999999999996"/>
    <n v="4331.3"/>
    <n v="4260"/>
    <s v="1.41M"/>
    <n v="-4.5999999999999999E-3"/>
    <x v="6"/>
    <n v="1"/>
    <n v="6"/>
  </r>
  <r>
    <d v="2026-06-22T00:00:00"/>
    <n v="4330.6000000000004"/>
    <n v="4305.7"/>
    <n v="4352.3"/>
    <n v="4305.7"/>
    <s v="299.79K"/>
    <n v="1.0200000000000001E-2"/>
    <x v="6"/>
    <n v="1"/>
    <n v="6"/>
  </r>
  <r>
    <d v="2026-06-23T00:00:00"/>
    <n v="4392.8999999999996"/>
    <n v="4311"/>
    <n v="4425"/>
    <n v="4306"/>
    <s v="556.33K"/>
    <n v="1.44E-2"/>
    <x v="6"/>
    <n v="1"/>
    <n v="6"/>
  </r>
  <r>
    <d v="2026-06-24T00:00:00"/>
    <n v="4336"/>
    <n v="4395.1000000000004"/>
    <n v="4429.3999999999996"/>
    <n v="4304"/>
    <s v="307.33K"/>
    <n v="-1.2999999999999999E-2"/>
    <x v="6"/>
    <n v="1"/>
    <n v="6"/>
  </r>
  <r>
    <d v="2026-06-25T00:00:00"/>
    <n v="4294.6000000000004"/>
    <n v="4350"/>
    <n v="4364.3999999999996"/>
    <n v="4285"/>
    <s v="372.53K"/>
    <n v="-9.4999999999999998E-3"/>
    <x v="6"/>
    <n v="1"/>
    <n v="6"/>
  </r>
  <r>
    <d v="2026-06-29T00:00:00"/>
    <n v="4357"/>
    <n v="4290.1000000000004"/>
    <n v="4385"/>
    <n v="4277.7"/>
    <s v="722.21K"/>
    <n v="1.4500000000000001E-2"/>
    <x v="6"/>
    <n v="1"/>
    <n v="6"/>
  </r>
  <r>
    <d v="2026-06-30T00:00:00"/>
    <n v="4380.7"/>
    <n v="4357.8999999999996"/>
    <n v="4402"/>
    <n v="4312.5"/>
    <s v="379.46K"/>
    <n v="5.4000000000000003E-3"/>
    <x v="6"/>
    <n v="1"/>
    <n v="6"/>
  </r>
  <r>
    <d v="2026-07-01T00:00:00"/>
    <n v="4328.6000000000004"/>
    <n v="4368.8"/>
    <n v="4374.7"/>
    <n v="4220.5"/>
    <s v="930.65K"/>
    <n v="-1.1900000000000001E-2"/>
    <x v="6"/>
    <n v="2"/>
    <n v="7"/>
  </r>
  <r>
    <d v="2026-07-02T00:00:00"/>
    <n v="4187"/>
    <n v="4328.6000000000004"/>
    <n v="4334.6000000000004"/>
    <n v="4176"/>
    <s v="1.25M"/>
    <n v="-3.27E-2"/>
    <x v="6"/>
    <n v="2"/>
    <n v="7"/>
  </r>
  <r>
    <d v="2026-07-03T00:00:00"/>
    <n v="3994.4"/>
    <n v="4090"/>
    <n v="4090"/>
    <n v="3982.7"/>
    <s v="1.90M"/>
    <n v="-4.5999999999999999E-2"/>
    <x v="6"/>
    <n v="2"/>
    <n v="7"/>
  </r>
  <r>
    <d v="2026-07-06T00:00:00"/>
    <n v="4064.7"/>
    <n v="4024.2"/>
    <n v="4076"/>
    <n v="3996.7"/>
    <s v="610.59K"/>
    <n v="1.7600000000000001E-2"/>
    <x v="6"/>
    <n v="2"/>
    <n v="7"/>
  </r>
  <r>
    <d v="2026-07-07T00:00:00"/>
    <n v="4070.9"/>
    <n v="4076.1"/>
    <n v="4094.6"/>
    <n v="4042.4"/>
    <s v="550.08K"/>
    <n v="1.5E-3"/>
    <x v="6"/>
    <n v="2"/>
    <n v="7"/>
  </r>
  <r>
    <d v="2026-07-08T00:00:00"/>
    <n v="4038.6"/>
    <n v="4050"/>
    <n v="4071.2"/>
    <n v="4009.9"/>
    <s v="236.68K"/>
    <n v="-7.9000000000000008E-3"/>
    <x v="6"/>
    <n v="2"/>
    <n v="7"/>
  </r>
  <r>
    <d v="2026-07-09T00:00:00"/>
    <n v="4079.4"/>
    <n v="4034"/>
    <n v="4086.2"/>
    <n v="3980"/>
    <s v="533.04K"/>
    <n v="1.01E-2"/>
    <x v="6"/>
    <n v="2"/>
    <n v="7"/>
  </r>
  <r>
    <d v="2026-07-10T00:00:00"/>
    <n v="4081.1"/>
    <n v="4089"/>
    <n v="4108"/>
    <n v="4025.7"/>
    <s v="752.66K"/>
    <n v="4.0000000000000002E-4"/>
    <x v="6"/>
    <n v="2"/>
    <n v="7"/>
  </r>
  <r>
    <d v="2026-07-13T00:00:00"/>
    <n v="3994.1"/>
    <n v="3950"/>
    <n v="4012.8"/>
    <n v="3908"/>
    <s v="2.29M"/>
    <n v="-2.1299999999999999E-2"/>
    <x v="6"/>
    <n v="2"/>
    <n v="7"/>
  </r>
  <r>
    <d v="2026-07-14T00:00:00"/>
    <n v="3915.9"/>
    <n v="3988.9"/>
    <n v="3994.4"/>
    <n v="3895.1"/>
    <s v="678.16K"/>
    <n v="-1.9599999999999999E-2"/>
    <x v="6"/>
    <n v="2"/>
    <n v="7"/>
  </r>
  <r>
    <d v="2026-07-15T00:00:00"/>
    <n v="3929.3"/>
    <n v="3919.6"/>
    <n v="3941.8"/>
    <n v="3886.7"/>
    <s v="346.73K"/>
    <n v="3.3999999999999998E-3"/>
    <x v="6"/>
    <n v="2"/>
    <n v="7"/>
  </r>
  <r>
    <d v="2026-07-16T00:00:00"/>
    <n v="3950.9"/>
    <n v="3930"/>
    <n v="3987"/>
    <n v="3930"/>
    <s v="356.59K"/>
    <n v="5.4999999999999997E-3"/>
    <x v="6"/>
    <n v="2"/>
    <n v="7"/>
  </r>
  <r>
    <d v="2026-07-17T00:00:00"/>
    <n v="3951.9"/>
    <n v="3955"/>
    <n v="3989"/>
    <n v="3927.5"/>
    <s v="356.57K"/>
    <n v="2.9999999999999997E-4"/>
    <x v="6"/>
    <n v="2"/>
    <n v="7"/>
  </r>
  <r>
    <d v="2026-07-20T00:00:00"/>
    <n v="3975.5"/>
    <n v="3950"/>
    <n v="3997.8"/>
    <n v="3930.4"/>
    <s v="273.45K"/>
    <n v="6.0000000000000001E-3"/>
    <x v="6"/>
    <n v="2"/>
    <n v="7"/>
  </r>
  <r>
    <d v="2026-07-21T00:00:00"/>
    <n v="3975.6"/>
    <n v="3974.8"/>
    <n v="4009"/>
    <n v="3955.2"/>
    <s v="314.70K"/>
    <n v="0"/>
    <x v="6"/>
    <n v="2"/>
    <n v="7"/>
  </r>
  <r>
    <d v="2026-07-22T00:00:00"/>
    <n v="4000.5"/>
    <n v="3970"/>
    <n v="4012.3"/>
    <n v="3957.3"/>
    <s v="324.61K"/>
    <n v="6.3E-3"/>
    <x v="6"/>
    <n v="2"/>
    <n v="7"/>
  </r>
  <r>
    <d v="2026-07-23T00:00:00"/>
    <n v="4035"/>
    <n v="3984"/>
    <n v="4124.8999999999996"/>
    <n v="3981.9"/>
    <s v="740.77K"/>
    <n v="8.6E-3"/>
    <x v="6"/>
    <n v="2"/>
    <n v="7"/>
  </r>
  <r>
    <d v="2026-07-24T00:00:00"/>
    <n v="4018.8"/>
    <n v="4010"/>
    <n v="4074.8"/>
    <n v="3990"/>
    <s v="332.48K"/>
    <n v="-4.0000000000000001E-3"/>
    <x v="6"/>
    <n v="2"/>
    <n v="7"/>
  </r>
  <r>
    <d v="2026-07-27T00:00:00"/>
    <n v="4027.7"/>
    <n v="4030"/>
    <n v="4074.1"/>
    <n v="4013"/>
    <s v="384.73K"/>
    <n v="2.2000000000000001E-3"/>
    <x v="6"/>
    <n v="2"/>
    <n v="7"/>
  </r>
  <r>
    <d v="2026-07-28T00:00:00"/>
    <n v="3846.6"/>
    <n v="4027.7"/>
    <n v="4094.2"/>
    <n v="3755.1"/>
    <s v="2.41M"/>
    <n v="-4.4999999999999998E-2"/>
    <x v="6"/>
    <n v="2"/>
    <n v="7"/>
  </r>
  <r>
    <d v="2026-07-29T00:00:00"/>
    <n v="3848.1"/>
    <n v="3859.3"/>
    <n v="3879.8"/>
    <n v="3826"/>
    <s v="629.78K"/>
    <n v="4.0000000000000002E-4"/>
    <x v="6"/>
    <n v="2"/>
    <n v="7"/>
  </r>
  <r>
    <d v="2026-07-30T00:00:00"/>
    <n v="3874"/>
    <n v="3849"/>
    <n v="3967.2"/>
    <n v="3837.1"/>
    <s v="1.04M"/>
    <n v="6.7000000000000002E-3"/>
    <x v="6"/>
    <n v="2"/>
    <n v="7"/>
  </r>
  <r>
    <d v="2026-07-31T00:00:00"/>
    <n v="3921"/>
    <n v="3900.1"/>
    <n v="3946.5"/>
    <n v="3889.7"/>
    <s v="551.95K"/>
    <n v="1.21E-2"/>
    <x v="6"/>
    <n v="2"/>
    <n v="7"/>
  </r>
  <r>
    <d v="2026-08-03T00:00:00"/>
    <n v="4015"/>
    <n v="3945.1"/>
    <n v="4017"/>
    <n v="3912.1"/>
    <s v="497.30K"/>
    <n v="2.4E-2"/>
    <x v="6"/>
    <n v="2"/>
    <n v="8"/>
  </r>
  <r>
    <d v="2026-08-04T00:00:00"/>
    <n v="4023"/>
    <n v="4023"/>
    <n v="4023"/>
    <n v="3969.7"/>
    <s v="448.87K"/>
    <n v="2E-3"/>
    <x v="6"/>
    <n v="2"/>
    <n v="8"/>
  </r>
  <r>
    <d v="2026-08-05T00:00:00"/>
    <n v="3946"/>
    <n v="4018"/>
    <n v="4018.5"/>
    <n v="3946"/>
    <s v="347.77K"/>
    <n v="-1.9099999999999999E-2"/>
    <x v="6"/>
    <n v="2"/>
    <n v="8"/>
  </r>
  <r>
    <d v="2026-08-06T00:00:00"/>
    <n v="3931.2"/>
    <n v="3988.9"/>
    <n v="3988.9"/>
    <n v="3927.6"/>
    <s v="250.19K"/>
    <n v="-3.8E-3"/>
    <x v="6"/>
    <n v="2"/>
    <n v="8"/>
  </r>
  <r>
    <d v="2026-08-07T00:00:00"/>
    <n v="3900"/>
    <n v="3945"/>
    <n v="3948.4"/>
    <n v="3885.5"/>
    <s v="374.24K"/>
    <n v="-7.9000000000000008E-3"/>
    <x v="6"/>
    <n v="2"/>
    <n v="8"/>
  </r>
  <r>
    <d v="2026-08-10T00:00:00"/>
    <n v="4054"/>
    <n v="3910"/>
    <n v="4059.8"/>
    <n v="3897"/>
    <s v="552.73K"/>
    <n v="3.95E-2"/>
    <x v="6"/>
    <n v="2"/>
    <n v="8"/>
  </r>
  <r>
    <d v="2026-08-11T00:00:00"/>
    <n v="4054.9"/>
    <n v="4054"/>
    <n v="4085"/>
    <n v="4003.2"/>
    <s v="413.76K"/>
    <n v="2.0000000000000001E-4"/>
    <x v="6"/>
    <n v="2"/>
    <n v="8"/>
  </r>
  <r>
    <d v="2026-08-12T00:00:00"/>
    <n v="4040"/>
    <n v="4035"/>
    <n v="4068.9"/>
    <n v="4020"/>
    <s v="336.89K"/>
    <n v="-3.7000000000000002E-3"/>
    <x v="6"/>
    <n v="2"/>
    <n v="8"/>
  </r>
  <r>
    <d v="2026-08-13T00:00:00"/>
    <n v="4070"/>
    <n v="4060"/>
    <n v="4075"/>
    <n v="4010"/>
    <s v="397.09K"/>
    <n v="7.4000000000000003E-3"/>
    <x v="6"/>
    <n v="2"/>
    <n v="8"/>
  </r>
  <r>
    <d v="2026-08-14T00:00:00"/>
    <n v="4060"/>
    <n v="4074.8"/>
    <n v="4098.8999999999996"/>
    <n v="4038"/>
    <s v="357.87K"/>
    <n v="-2.5000000000000001E-3"/>
    <x v="6"/>
    <n v="2"/>
    <n v="8"/>
  </r>
  <r>
    <d v="2026-08-17T00:00:00"/>
    <n v="3995"/>
    <n v="4050"/>
    <n v="4050"/>
    <n v="3995"/>
    <s v="263.00K"/>
    <n v="-1.6E-2"/>
    <x v="6"/>
    <n v="2"/>
    <n v="8"/>
  </r>
  <r>
    <d v="2026-08-18T00:00:00"/>
    <n v="3981"/>
    <n v="3989.6"/>
    <n v="4019.1"/>
    <n v="3946.7"/>
    <s v="339.33K"/>
    <n v="-3.5000000000000001E-3"/>
    <x v="6"/>
    <n v="2"/>
    <n v="8"/>
  </r>
  <r>
    <d v="2026-08-19T00:00:00"/>
    <n v="3965"/>
    <n v="3988.8"/>
    <n v="4024.7"/>
    <n v="3965"/>
    <s v="214.61K"/>
    <n v="-4.0000000000000001E-3"/>
    <x v="6"/>
    <n v="2"/>
    <n v="8"/>
  </r>
  <r>
    <d v="2026-08-20T00:00:00"/>
    <n v="3960"/>
    <n v="3973.1"/>
    <n v="4070"/>
    <n v="3955.1"/>
    <s v="399.62K"/>
    <n v="-1.2999999999999999E-3"/>
    <x v="6"/>
    <n v="2"/>
    <n v="8"/>
  </r>
  <r>
    <d v="2026-08-21T00:00:00"/>
    <n v="3906"/>
    <n v="3979.8"/>
    <n v="3990"/>
    <n v="3866.4"/>
    <s v="417.78K"/>
    <n v="-1.3599999999999999E-2"/>
    <x v="6"/>
    <n v="2"/>
    <n v="8"/>
  </r>
  <r>
    <d v="2026-08-24T00:00:00"/>
    <n v="3940"/>
    <n v="3919.9"/>
    <n v="3940"/>
    <n v="3876.2"/>
    <s v="214.12K"/>
    <n v="8.6999999999999994E-3"/>
    <x v="6"/>
    <n v="2"/>
    <n v="8"/>
  </r>
  <r>
    <d v="2026-08-25T00:00:00"/>
    <n v="3909.6"/>
    <n v="3940"/>
    <n v="3960"/>
    <n v="3897.4"/>
    <s v="215.83K"/>
    <n v="-7.7000000000000002E-3"/>
    <x v="6"/>
    <n v="2"/>
    <n v="8"/>
  </r>
  <r>
    <d v="2026-08-26T00:00:00"/>
    <n v="3826.9"/>
    <n v="3922.9"/>
    <n v="3935.5"/>
    <n v="3737.2"/>
    <s v="2.37M"/>
    <n v="-2.12E-2"/>
    <x v="6"/>
    <n v="2"/>
    <n v="8"/>
  </r>
  <r>
    <d v="2026-08-27T00:00:00"/>
    <n v="3847.4"/>
    <n v="3820"/>
    <n v="3874.4"/>
    <n v="3818"/>
    <s v="416.84K"/>
    <n v="5.4000000000000003E-3"/>
    <x v="6"/>
    <n v="2"/>
    <n v="8"/>
  </r>
  <r>
    <d v="2026-08-28T00:00:00"/>
    <n v="3830.6"/>
    <n v="3850"/>
    <n v="3853.9"/>
    <n v="3822"/>
    <s v="276.88K"/>
    <n v="-4.4000000000000003E-3"/>
    <x v="6"/>
    <n v="2"/>
    <n v="8"/>
  </r>
  <r>
    <d v="2026-08-31T00:00:00"/>
    <n v="3900"/>
    <n v="3819.1"/>
    <n v="3900"/>
    <n v="3755"/>
    <s v="546.67K"/>
    <n v="1.8100000000000002E-2"/>
    <x v="6"/>
    <n v="2"/>
    <n v="8"/>
  </r>
  <r>
    <d v="2026-09-01T00:00:00"/>
    <n v="3784.4"/>
    <n v="3850"/>
    <n v="3850"/>
    <n v="3766.2"/>
    <s v="209.19K"/>
    <n v="-2.9600000000000001E-2"/>
    <x v="6"/>
    <n v="2"/>
    <n v="9"/>
  </r>
</pivotCacheRecords>
</file>

<file path=xl/pivotCache/pivotCacheRecords2.xml><?xml version="1.0" encoding="utf-8"?>
<pivotCacheRecords xmlns="http://schemas.openxmlformats.org/spreadsheetml/2006/main" xmlns:r="http://schemas.openxmlformats.org/officeDocument/2006/relationships" count="7">
  <r>
    <x v="0"/>
    <n v="119713620"/>
  </r>
  <r>
    <x v="1"/>
    <n v="116165280"/>
  </r>
  <r>
    <x v="2"/>
    <n v="102609300"/>
  </r>
  <r>
    <x v="3"/>
    <n v="85452980"/>
  </r>
  <r>
    <x v="4"/>
    <n v="138939140"/>
  </r>
  <r>
    <x v="5"/>
    <n v="145453260"/>
  </r>
  <r>
    <x v="6"/>
    <n v="934910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14:M22" firstHeaderRow="1" firstDataRow="1" firstDataCol="1"/>
  <pivotFields count="2">
    <pivotField axis="axisRow" showAll="0">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Volume"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L3:M11" firstHeaderRow="1" firstDataRow="1" firstDataCol="1"/>
  <pivotFields count="10">
    <pivotField numFmtId="14" showAll="0"/>
    <pivotField dataField="1"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s>
  <rowFields count="1">
    <field x="7"/>
  </rowFields>
  <rowItems count="8">
    <i>
      <x/>
    </i>
    <i>
      <x v="1"/>
    </i>
    <i>
      <x v="2"/>
    </i>
    <i>
      <x v="3"/>
    </i>
    <i>
      <x v="4"/>
    </i>
    <i>
      <x v="5"/>
    </i>
    <i>
      <x v="6"/>
    </i>
    <i t="grand">
      <x/>
    </i>
  </rowItems>
  <colItems count="1">
    <i/>
  </colItems>
  <dataFields count="1">
    <dataField name="Average of Price" fld="1" subtotal="average" baseField="7" baseItem="0"/>
  </dataFields>
  <chartFormats count="4">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7" count="1" selected="0">
            <x v="0"/>
          </reference>
        </references>
      </pivotArea>
    </chartFormat>
    <chartFormat chart="28" format="9">
      <pivotArea type="data" outline="0" fieldPosition="0">
        <references count="2">
          <reference field="4294967294" count="1" selected="0">
            <x v="0"/>
          </reference>
          <reference field="7" count="1" selected="0">
            <x v="3"/>
          </reference>
        </references>
      </pivotArea>
    </chartFormat>
    <chartFormat chart="28" format="10">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3" unboundColumnsRight="3">
    <queryTableFields count="10">
      <queryTableField id="1" name="Date" tableColumnId="20"/>
      <queryTableField id="2" name="Price" tableColumnId="21"/>
      <queryTableField id="3" name="Open" tableColumnId="22"/>
      <queryTableField id="4" name="High" tableColumnId="23"/>
      <queryTableField id="5" name="Low" tableColumnId="24"/>
      <queryTableField id="6" name="Vol." tableColumnId="25"/>
      <queryTableField id="7" name="Change %" tableColumnId="26"/>
      <queryTableField id="12" dataBound="0" tableColumnId="27"/>
      <queryTableField id="11" dataBound="0" tableColumnId="28"/>
      <queryTableField id="10" dataBound="0"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AVEU_Historical_Data__2" displayName="AVEU_Historical_Data__2" ref="A1:J1593" tableType="queryTable" totalsRowShown="0">
  <autoFilter ref="A1:J1593"/>
  <sortState ref="A2:J1593">
    <sortCondition ref="A1:A1593"/>
  </sortState>
  <tableColumns count="10">
    <tableColumn id="20" uniqueName="20" name="Date" queryTableFieldId="1" dataDxfId="8"/>
    <tableColumn id="21" uniqueName="21" name="Price" queryTableFieldId="2"/>
    <tableColumn id="22" uniqueName="22" name="Open" queryTableFieldId="3"/>
    <tableColumn id="23" uniqueName="23" name="High" queryTableFieldId="4"/>
    <tableColumn id="24" uniqueName="24" name="Low" queryTableFieldId="5"/>
    <tableColumn id="25" uniqueName="25" name="Vol." queryTableFieldId="6"/>
    <tableColumn id="26" uniqueName="26" name="Change %" queryTableFieldId="7"/>
    <tableColumn id="27" uniqueName="27" name="Year" queryTableFieldId="12" dataDxfId="7">
      <calculatedColumnFormula>YEAR(AVEU_Historical_Data__2[[#This Row],[Date]])</calculatedColumnFormula>
    </tableColumn>
    <tableColumn id="28" uniqueName="28" name="Quarter" queryTableFieldId="11" dataDxfId="6">
      <calculatedColumnFormula>ROUNDUP((MOD(MONTH(AVEU_Historical_Data__2[[#This Row],[Date]])+8,12)+1)/3,0)</calculatedColumnFormula>
    </tableColumn>
    <tableColumn id="29" uniqueName="29" name="Month" queryTableFieldId="10" dataDxfId="5">
      <calculatedColumnFormula>MONTH(AVEU_Historical_Data__2[[#This Row],[Date]])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1" name="Table1" displayName="Table1" ref="L25:M32" totalsRowShown="0" headerRowDxfId="4" headerRowBorderDxfId="3" tableBorderDxfId="2">
  <autoFilter ref="L25:M32"/>
  <tableColumns count="2">
    <tableColumn id="1" name="Top shareholders" dataDxfId="1"/>
    <tableColumn id="2" name="Shareholding %" dataDxfId="0"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https://finance.yahoo.com/quote/DMART.NS/history/?period1=1775001600&amp;period2=1777507200" TargetMode="External"/><Relationship Id="rId2" Type="http://schemas.openxmlformats.org/officeDocument/2006/relationships/hyperlink" Target="https://www.screener.in/company/DMART/consolidated/" TargetMode="External"/><Relationship Id="rId1" Type="http://schemas.openxmlformats.org/officeDocument/2006/relationships/hyperlink" Target="https://www.dmartindia.com/investor-relations/investor-updates/2026-2027" TargetMode="External"/><Relationship Id="rId6" Type="http://schemas.openxmlformats.org/officeDocument/2006/relationships/drawing" Target="../drawings/drawing4.xml"/><Relationship Id="rId5" Type="http://schemas.openxmlformats.org/officeDocument/2006/relationships/printerSettings" Target="../printerSettings/printerSettings7.bin"/><Relationship Id="rId4" Type="http://schemas.openxmlformats.org/officeDocument/2006/relationships/hyperlink" Target="https://in.investing.com/equities/avenue-supermarts-ltd-historical-data"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28"/>
  <sheetViews>
    <sheetView showGridLines="0" zoomScale="115" zoomScaleNormal="115" zoomScalePageLayoutView="55" workbookViewId="0">
      <pane xSplit="2" ySplit="4" topLeftCell="C5" activePane="bottomRight" state="frozen"/>
      <selection activeCell="G27" sqref="G27"/>
      <selection pane="topRight" activeCell="G27" sqref="G27"/>
      <selection pane="bottomLeft" activeCell="G27" sqref="G27"/>
      <selection pane="bottomRight" activeCell="G27" sqref="G27"/>
    </sheetView>
  </sheetViews>
  <sheetFormatPr defaultRowHeight="15.75" x14ac:dyDescent="0.25"/>
  <cols>
    <col min="1" max="1" width="2.7109375" style="136" customWidth="1"/>
    <col min="2" max="2" width="42.140625" style="136" customWidth="1"/>
    <col min="3" max="9" width="14.85546875" style="140" customWidth="1"/>
    <col min="10" max="10" width="0.85546875" style="136" customWidth="1"/>
    <col min="11" max="36" width="14.85546875" style="140" customWidth="1"/>
    <col min="37" max="16384" width="9.140625" style="140"/>
  </cols>
  <sheetData>
    <row r="3" spans="2:20" s="136" customFormat="1" ht="5.0999999999999996" customHeight="1" x14ac:dyDescent="0.25"/>
    <row r="4" spans="2:20" s="136" customFormat="1" ht="16.5" thickBot="1" x14ac:dyDescent="0.3">
      <c r="B4" s="340" t="s">
        <v>32</v>
      </c>
      <c r="C4" s="341">
        <v>43921</v>
      </c>
      <c r="D4" s="341">
        <f t="shared" ref="D4:I4" si="0">EOMONTH(C4,12)</f>
        <v>44286</v>
      </c>
      <c r="E4" s="341">
        <f t="shared" si="0"/>
        <v>44651</v>
      </c>
      <c r="F4" s="341">
        <f t="shared" si="0"/>
        <v>45016</v>
      </c>
      <c r="G4" s="341">
        <f t="shared" si="0"/>
        <v>45382</v>
      </c>
      <c r="H4" s="341">
        <f t="shared" si="0"/>
        <v>45747</v>
      </c>
      <c r="I4" s="342">
        <f t="shared" si="0"/>
        <v>46112</v>
      </c>
      <c r="J4" s="344"/>
      <c r="K4" s="343">
        <f>EOMONTH(I4,12)</f>
        <v>46477</v>
      </c>
      <c r="L4" s="343">
        <f t="shared" ref="L4:T4" si="1">EOMONTH(K4,12)</f>
        <v>46843</v>
      </c>
      <c r="M4" s="343">
        <f t="shared" si="1"/>
        <v>47208</v>
      </c>
      <c r="N4" s="343">
        <f t="shared" si="1"/>
        <v>47573</v>
      </c>
      <c r="O4" s="343">
        <f t="shared" si="1"/>
        <v>47938</v>
      </c>
      <c r="P4" s="343">
        <f t="shared" si="1"/>
        <v>48304</v>
      </c>
      <c r="Q4" s="343">
        <f t="shared" si="1"/>
        <v>48669</v>
      </c>
      <c r="R4" s="343">
        <f t="shared" si="1"/>
        <v>49034</v>
      </c>
      <c r="S4" s="343">
        <f t="shared" si="1"/>
        <v>49399</v>
      </c>
      <c r="T4" s="343">
        <f t="shared" si="1"/>
        <v>49765</v>
      </c>
    </row>
    <row r="5" spans="2:20" s="136" customFormat="1" ht="16.5" thickTop="1" x14ac:dyDescent="0.25">
      <c r="B5" s="138" t="s">
        <v>235</v>
      </c>
      <c r="C5" s="139"/>
      <c r="D5" s="139"/>
      <c r="E5" s="139"/>
      <c r="F5" s="139"/>
      <c r="G5" s="139"/>
      <c r="H5" s="139"/>
      <c r="I5" s="139"/>
      <c r="J5" s="217"/>
      <c r="K5" s="140"/>
      <c r="L5" s="140"/>
      <c r="M5" s="140"/>
      <c r="N5" s="140"/>
      <c r="O5" s="140"/>
      <c r="P5" s="140"/>
      <c r="Q5" s="140"/>
      <c r="R5" s="140"/>
      <c r="S5" s="140"/>
      <c r="T5" s="140"/>
    </row>
    <row r="6" spans="2:20" x14ac:dyDescent="0.25">
      <c r="B6" s="141" t="s">
        <v>0</v>
      </c>
      <c r="C6" s="139">
        <v>248702</v>
      </c>
      <c r="D6" s="139">
        <v>241430.6</v>
      </c>
      <c r="E6" s="139">
        <v>309762.7</v>
      </c>
      <c r="F6" s="139">
        <v>428395.6</v>
      </c>
      <c r="G6" s="139">
        <v>507888.3</v>
      </c>
      <c r="H6" s="139">
        <v>593580.5</v>
      </c>
      <c r="I6" s="139">
        <v>688207.4</v>
      </c>
      <c r="J6" s="217"/>
      <c r="K6" s="140">
        <f>AVERAGE(I9:K9)*K13</f>
        <v>914969.91764550284</v>
      </c>
      <c r="L6" s="140">
        <f t="shared" ref="L6:T6" si="2">AVERAGE(K9:L9)*L13</f>
        <v>1167507.8961736774</v>
      </c>
      <c r="M6" s="140">
        <f t="shared" si="2"/>
        <v>1467607.7697733101</v>
      </c>
      <c r="N6" s="140">
        <f t="shared" si="2"/>
        <v>1812809.887836749</v>
      </c>
      <c r="O6" s="140">
        <f t="shared" si="2"/>
        <v>2203289.7553292168</v>
      </c>
      <c r="P6" s="140">
        <f t="shared" si="2"/>
        <v>2637618.0042722146</v>
      </c>
      <c r="Q6" s="140">
        <f t="shared" si="2"/>
        <v>3112542.8181418991</v>
      </c>
      <c r="R6" s="140">
        <f t="shared" si="2"/>
        <v>3639457.8855848764</v>
      </c>
      <c r="S6" s="140">
        <f t="shared" si="2"/>
        <v>4219042.7099817665</v>
      </c>
      <c r="T6" s="140">
        <f t="shared" si="2"/>
        <v>4851117.81227348</v>
      </c>
    </row>
    <row r="7" spans="2:20" x14ac:dyDescent="0.25">
      <c r="B7" s="142" t="s">
        <v>1</v>
      </c>
      <c r="C7" s="139">
        <v>214</v>
      </c>
      <c r="D7" s="139">
        <v>234</v>
      </c>
      <c r="E7" s="139">
        <v>284</v>
      </c>
      <c r="F7" s="139">
        <v>324</v>
      </c>
      <c r="G7" s="139">
        <v>365</v>
      </c>
      <c r="H7" s="139">
        <v>415</v>
      </c>
      <c r="I7" s="143">
        <v>500</v>
      </c>
      <c r="J7" s="217"/>
      <c r="K7" s="140">
        <f>I7+K8</f>
        <v>550</v>
      </c>
      <c r="L7" s="140">
        <f t="shared" ref="L7:T7" si="3">K7+L8</f>
        <v>600</v>
      </c>
      <c r="M7" s="140">
        <f t="shared" si="3"/>
        <v>650</v>
      </c>
      <c r="N7" s="140">
        <f t="shared" si="3"/>
        <v>700</v>
      </c>
      <c r="O7" s="140">
        <f t="shared" si="3"/>
        <v>750</v>
      </c>
      <c r="P7" s="140">
        <f t="shared" si="3"/>
        <v>800</v>
      </c>
      <c r="Q7" s="140">
        <f t="shared" si="3"/>
        <v>850</v>
      </c>
      <c r="R7" s="140">
        <f t="shared" si="3"/>
        <v>900</v>
      </c>
      <c r="S7" s="140">
        <f t="shared" si="3"/>
        <v>950</v>
      </c>
      <c r="T7" s="140">
        <f t="shared" si="3"/>
        <v>1000</v>
      </c>
    </row>
    <row r="8" spans="2:20" x14ac:dyDescent="0.25">
      <c r="B8" s="141" t="s">
        <v>2</v>
      </c>
      <c r="C8" s="139">
        <v>0</v>
      </c>
      <c r="D8" s="139">
        <f>D7-C7</f>
        <v>20</v>
      </c>
      <c r="E8" s="139">
        <f>E7-D7</f>
        <v>50</v>
      </c>
      <c r="F8" s="139">
        <f>F7-E7</f>
        <v>40</v>
      </c>
      <c r="G8" s="139">
        <f>G7-F7</f>
        <v>41</v>
      </c>
      <c r="H8" s="139">
        <f>H7-G7</f>
        <v>50</v>
      </c>
      <c r="I8" s="139">
        <v>85</v>
      </c>
      <c r="J8" s="217"/>
      <c r="K8" s="140">
        <v>50</v>
      </c>
      <c r="L8" s="140">
        <v>50</v>
      </c>
      <c r="M8" s="140">
        <v>50</v>
      </c>
      <c r="N8" s="140">
        <v>50</v>
      </c>
      <c r="O8" s="140">
        <v>50</v>
      </c>
      <c r="P8" s="140">
        <v>50</v>
      </c>
      <c r="Q8" s="140">
        <v>50</v>
      </c>
      <c r="R8" s="140">
        <v>50</v>
      </c>
      <c r="S8" s="140">
        <v>50</v>
      </c>
      <c r="T8" s="140">
        <v>50</v>
      </c>
    </row>
    <row r="9" spans="2:20" x14ac:dyDescent="0.25">
      <c r="B9" s="142" t="s">
        <v>3</v>
      </c>
      <c r="C9" s="139">
        <v>7.8</v>
      </c>
      <c r="D9" s="139">
        <v>8.8000000000000007</v>
      </c>
      <c r="E9" s="139">
        <v>11.5</v>
      </c>
      <c r="F9" s="139">
        <v>13.4</v>
      </c>
      <c r="G9" s="139">
        <v>15.1</v>
      </c>
      <c r="H9" s="139">
        <v>17.2</v>
      </c>
      <c r="I9" s="143">
        <v>20.6</v>
      </c>
      <c r="J9" s="217"/>
      <c r="K9" s="140">
        <f>I9+K10</f>
        <v>23.1</v>
      </c>
      <c r="L9" s="140">
        <f t="shared" ref="L9:T9" si="4">K9+L10</f>
        <v>25.6</v>
      </c>
      <c r="M9" s="140">
        <f t="shared" si="4"/>
        <v>28.1</v>
      </c>
      <c r="N9" s="140">
        <f t="shared" si="4"/>
        <v>30.6</v>
      </c>
      <c r="O9" s="140">
        <f t="shared" si="4"/>
        <v>33.1</v>
      </c>
      <c r="P9" s="140">
        <f t="shared" si="4"/>
        <v>35.6</v>
      </c>
      <c r="Q9" s="140">
        <f t="shared" si="4"/>
        <v>38.1</v>
      </c>
      <c r="R9" s="140">
        <f t="shared" si="4"/>
        <v>40.6</v>
      </c>
      <c r="S9" s="140">
        <f t="shared" si="4"/>
        <v>43.1</v>
      </c>
      <c r="T9" s="140">
        <f t="shared" si="4"/>
        <v>45.6</v>
      </c>
    </row>
    <row r="10" spans="2:20" x14ac:dyDescent="0.25">
      <c r="B10" s="142" t="s">
        <v>175</v>
      </c>
      <c r="C10" s="139">
        <v>0</v>
      </c>
      <c r="D10" s="139">
        <f t="shared" ref="D10:I10" si="5">D9-C9</f>
        <v>1.0000000000000009</v>
      </c>
      <c r="E10" s="139">
        <f t="shared" si="5"/>
        <v>2.6999999999999993</v>
      </c>
      <c r="F10" s="139">
        <f t="shared" si="5"/>
        <v>1.9000000000000004</v>
      </c>
      <c r="G10" s="139">
        <f t="shared" si="5"/>
        <v>1.6999999999999993</v>
      </c>
      <c r="H10" s="139">
        <f t="shared" si="5"/>
        <v>2.0999999999999996</v>
      </c>
      <c r="I10" s="139">
        <f t="shared" si="5"/>
        <v>3.4000000000000021</v>
      </c>
      <c r="J10" s="217"/>
      <c r="K10" s="140">
        <v>2.5</v>
      </c>
      <c r="L10" s="140">
        <v>2.5</v>
      </c>
      <c r="M10" s="140">
        <v>2.5</v>
      </c>
      <c r="N10" s="140">
        <v>2.5</v>
      </c>
      <c r="O10" s="140">
        <v>2.5</v>
      </c>
      <c r="P10" s="140">
        <v>2.5</v>
      </c>
      <c r="Q10" s="140">
        <v>2.5</v>
      </c>
      <c r="R10" s="140">
        <v>2.5</v>
      </c>
      <c r="S10" s="140">
        <v>2.5</v>
      </c>
      <c r="T10" s="140">
        <v>2.5</v>
      </c>
    </row>
    <row r="11" spans="2:20" x14ac:dyDescent="0.25">
      <c r="B11" s="142" t="s">
        <v>7</v>
      </c>
      <c r="C11" s="139">
        <v>0</v>
      </c>
      <c r="D11" s="139">
        <f t="shared" ref="D11:I11" si="6">D10*10^6/D8</f>
        <v>50000.000000000044</v>
      </c>
      <c r="E11" s="139">
        <f t="shared" si="6"/>
        <v>53999.999999999978</v>
      </c>
      <c r="F11" s="139">
        <f t="shared" si="6"/>
        <v>47500.000000000015</v>
      </c>
      <c r="G11" s="139">
        <f t="shared" si="6"/>
        <v>41463.414634146327</v>
      </c>
      <c r="H11" s="139">
        <f t="shared" si="6"/>
        <v>41999.999999999993</v>
      </c>
      <c r="I11" s="139">
        <f t="shared" si="6"/>
        <v>40000.000000000029</v>
      </c>
      <c r="J11" s="217"/>
      <c r="K11" s="140">
        <v>44000</v>
      </c>
      <c r="L11" s="140">
        <v>44000</v>
      </c>
      <c r="M11" s="140">
        <v>44000</v>
      </c>
      <c r="N11" s="140">
        <v>44000</v>
      </c>
      <c r="O11" s="140">
        <v>44000</v>
      </c>
      <c r="P11" s="140">
        <v>44000</v>
      </c>
      <c r="Q11" s="140">
        <v>44000</v>
      </c>
      <c r="R11" s="140">
        <v>44000</v>
      </c>
      <c r="S11" s="140">
        <v>44000</v>
      </c>
      <c r="T11" s="140">
        <v>44000</v>
      </c>
    </row>
    <row r="12" spans="2:20" ht="15" customHeight="1" x14ac:dyDescent="0.25">
      <c r="B12" s="142" t="s">
        <v>4</v>
      </c>
      <c r="C12" s="139">
        <v>32879</v>
      </c>
      <c r="D12" s="139">
        <v>27306</v>
      </c>
      <c r="E12" s="139">
        <v>27454</v>
      </c>
      <c r="F12" s="139">
        <v>31096</v>
      </c>
      <c r="G12" s="139">
        <v>32941</v>
      </c>
      <c r="H12" s="139">
        <v>33869</v>
      </c>
      <c r="I12" s="143">
        <v>33422</v>
      </c>
      <c r="J12" s="217"/>
      <c r="K12" s="140">
        <v>0</v>
      </c>
      <c r="L12" s="140">
        <v>0</v>
      </c>
      <c r="M12" s="140">
        <v>0</v>
      </c>
      <c r="N12" s="140">
        <v>0</v>
      </c>
      <c r="O12" s="140">
        <v>0</v>
      </c>
      <c r="P12" s="140">
        <v>0</v>
      </c>
      <c r="Q12" s="140">
        <v>0</v>
      </c>
      <c r="R12" s="140">
        <v>0</v>
      </c>
      <c r="S12" s="140">
        <v>0</v>
      </c>
      <c r="T12" s="140">
        <v>0</v>
      </c>
    </row>
    <row r="13" spans="2:20" x14ac:dyDescent="0.25">
      <c r="B13" s="142" t="s">
        <v>5</v>
      </c>
      <c r="C13" s="139">
        <v>0</v>
      </c>
      <c r="D13" s="139">
        <f t="shared" ref="D13:I13" si="7">D6/AVERAGE(C9:D9)</f>
        <v>29088.024096385539</v>
      </c>
      <c r="E13" s="139">
        <f t="shared" si="7"/>
        <v>30518.492610837438</v>
      </c>
      <c r="F13" s="139">
        <f t="shared" si="7"/>
        <v>34409.28514056225</v>
      </c>
      <c r="G13" s="139">
        <f t="shared" si="7"/>
        <v>35641.284210526312</v>
      </c>
      <c r="H13" s="139">
        <f t="shared" si="7"/>
        <v>36754.210526315794</v>
      </c>
      <c r="I13" s="139">
        <f t="shared" si="7"/>
        <v>36413.089947089953</v>
      </c>
      <c r="J13" s="217"/>
      <c r="K13" s="140">
        <f>I13*(1+K14)</f>
        <v>41875.053439153446</v>
      </c>
      <c r="L13" s="140">
        <f t="shared" ref="L13:T13" si="8">K13*(1+L14)</f>
        <v>47946.936187830695</v>
      </c>
      <c r="M13" s="140">
        <f t="shared" si="8"/>
        <v>54659.507254126998</v>
      </c>
      <c r="N13" s="140">
        <f t="shared" si="8"/>
        <v>61765.243197163501</v>
      </c>
      <c r="O13" s="140">
        <f t="shared" si="8"/>
        <v>69177.072380823127</v>
      </c>
      <c r="P13" s="140">
        <f t="shared" si="8"/>
        <v>76786.550342713672</v>
      </c>
      <c r="Q13" s="140">
        <f t="shared" si="8"/>
        <v>84465.205376985046</v>
      </c>
      <c r="R13" s="140">
        <f t="shared" si="8"/>
        <v>92489.399887798631</v>
      </c>
      <c r="S13" s="140">
        <f t="shared" si="8"/>
        <v>100813.44587770052</v>
      </c>
      <c r="T13" s="140">
        <f t="shared" si="8"/>
        <v>109382.58877730506</v>
      </c>
    </row>
    <row r="14" spans="2:20" x14ac:dyDescent="0.25">
      <c r="B14" s="144" t="s">
        <v>8</v>
      </c>
      <c r="C14" s="145">
        <v>0</v>
      </c>
      <c r="D14" s="145">
        <v>0</v>
      </c>
      <c r="E14" s="146">
        <f>E13/D13-1</f>
        <v>4.9177232173348129E-2</v>
      </c>
      <c r="F14" s="146">
        <f>F13/E13-1</f>
        <v>0.12748966927492189</v>
      </c>
      <c r="G14" s="146">
        <f>G13/F13-1</f>
        <v>3.5804262277793208E-2</v>
      </c>
      <c r="H14" s="146">
        <f>H13/G13-1</f>
        <v>3.1225763617709124E-2</v>
      </c>
      <c r="I14" s="146">
        <f>I13/H13-1</f>
        <v>-9.2811292731100892E-3</v>
      </c>
      <c r="J14" s="147"/>
      <c r="K14" s="220">
        <f>INDEX($K$18:$T$20,MATCH('P &amp; L'!$D$5,$B$18:$B$20,0), MATCH(K$4,$K$4:$T$4,0))</f>
        <v>0.15</v>
      </c>
      <c r="L14" s="220">
        <f>INDEX($K$18:$T$20,MATCH('P &amp; L'!$D$5,$B$18:$B$20,0), MATCH(L$4,$K$4:$T$4,0))</f>
        <v>0.14499999999999999</v>
      </c>
      <c r="M14" s="220">
        <f>INDEX($K$18:$T$20,MATCH('P &amp; L'!$D$5,$B$18:$B$20,0), MATCH(M$4,$K$4:$T$4,0))</f>
        <v>0.14000000000000001</v>
      </c>
      <c r="N14" s="220">
        <f>INDEX($K$18:$T$20,MATCH('P &amp; L'!$D$5,$B$18:$B$20,0), MATCH(N$4,$K$4:$T$4,0))</f>
        <v>0.13</v>
      </c>
      <c r="O14" s="220">
        <f>INDEX($K$18:$T$20,MATCH('P &amp; L'!$D$5,$B$18:$B$20,0), MATCH(O$4,$K$4:$T$4,0))</f>
        <v>0.12</v>
      </c>
      <c r="P14" s="220">
        <f>INDEX($K$18:$T$20,MATCH('P &amp; L'!$D$5,$B$18:$B$20,0), MATCH(P$4,$K$4:$T$4,0))</f>
        <v>0.11</v>
      </c>
      <c r="Q14" s="220">
        <f>INDEX($K$18:$T$20,MATCH('P &amp; L'!$D$5,$B$18:$B$20,0), MATCH(Q$4,$K$4:$T$4,0))</f>
        <v>0.1</v>
      </c>
      <c r="R14" s="220">
        <f>INDEX($K$18:$T$20,MATCH('P &amp; L'!$D$5,$B$18:$B$20,0), MATCH(R$4,$K$4:$T$4,0))</f>
        <v>9.5000000000000001E-2</v>
      </c>
      <c r="S14" s="220">
        <f>INDEX($K$18:$T$20,MATCH('P &amp; L'!$D$5,$B$18:$B$20,0), MATCH(S$4,$K$4:$T$4,0))</f>
        <v>0.09</v>
      </c>
      <c r="T14" s="220">
        <f>INDEX($K$18:$T$20,MATCH('P &amp; L'!$D$5,$B$18:$B$20,0), MATCH(T$4,$K$4:$T$4,0))</f>
        <v>8.5000000000000006E-2</v>
      </c>
    </row>
    <row r="15" spans="2:20" x14ac:dyDescent="0.25">
      <c r="B15" s="144" t="s">
        <v>6</v>
      </c>
      <c r="C15" s="148">
        <v>0.109</v>
      </c>
      <c r="D15" s="148">
        <v>-0.13100000000000001</v>
      </c>
      <c r="E15" s="148">
        <v>0.16700000000000001</v>
      </c>
      <c r="F15" s="148">
        <v>0.24199999999999999</v>
      </c>
      <c r="G15" s="148">
        <v>9.9000000000000005E-2</v>
      </c>
      <c r="H15" s="146">
        <v>8.4000000000000005E-2</v>
      </c>
      <c r="I15" s="148">
        <v>8.1000000000000003E-2</v>
      </c>
      <c r="J15" s="147"/>
      <c r="K15" s="149">
        <v>0</v>
      </c>
      <c r="L15" s="149">
        <v>0</v>
      </c>
      <c r="M15" s="149">
        <v>0</v>
      </c>
      <c r="N15" s="149">
        <v>0</v>
      </c>
      <c r="O15" s="149">
        <v>0</v>
      </c>
      <c r="P15" s="149">
        <v>0</v>
      </c>
      <c r="Q15" s="149">
        <v>0</v>
      </c>
      <c r="R15" s="149">
        <v>0</v>
      </c>
      <c r="S15" s="149">
        <v>0</v>
      </c>
      <c r="T15" s="149">
        <v>0</v>
      </c>
    </row>
    <row r="16" spans="2:20" x14ac:dyDescent="0.25">
      <c r="K16" s="150"/>
    </row>
    <row r="17" spans="2:20" x14ac:dyDescent="0.25">
      <c r="B17" s="151" t="s">
        <v>179</v>
      </c>
      <c r="C17" s="152"/>
      <c r="D17" s="152"/>
      <c r="E17" s="152"/>
      <c r="F17" s="152"/>
      <c r="G17" s="152"/>
      <c r="H17" s="152"/>
      <c r="I17" s="152"/>
      <c r="K17" s="148"/>
      <c r="L17" s="148"/>
      <c r="M17" s="148"/>
      <c r="N17" s="148"/>
      <c r="O17" s="148"/>
      <c r="P17" s="148"/>
      <c r="Q17" s="148"/>
      <c r="R17" s="148"/>
      <c r="S17" s="148"/>
      <c r="T17" s="148"/>
    </row>
    <row r="18" spans="2:20" x14ac:dyDescent="0.25">
      <c r="B18" s="153" t="s">
        <v>177</v>
      </c>
      <c r="C18" s="152"/>
      <c r="D18" s="152"/>
      <c r="E18" s="152"/>
      <c r="F18" s="152"/>
      <c r="G18" s="152"/>
      <c r="H18" s="152"/>
      <c r="I18" s="152"/>
      <c r="J18" s="154"/>
      <c r="K18" s="219">
        <v>0.18</v>
      </c>
      <c r="L18" s="219">
        <v>0.17499999999999999</v>
      </c>
      <c r="M18" s="219">
        <v>0.17</v>
      </c>
      <c r="N18" s="219">
        <v>0.16</v>
      </c>
      <c r="O18" s="219">
        <v>0.15</v>
      </c>
      <c r="P18" s="219">
        <v>0.14000000000000001</v>
      </c>
      <c r="Q18" s="219">
        <v>0.13</v>
      </c>
      <c r="R18" s="219">
        <v>0.12</v>
      </c>
      <c r="S18" s="219">
        <v>0.11</v>
      </c>
      <c r="T18" s="219">
        <v>0.1</v>
      </c>
    </row>
    <row r="19" spans="2:20" x14ac:dyDescent="0.25">
      <c r="B19" s="153" t="s">
        <v>162</v>
      </c>
      <c r="C19" s="152"/>
      <c r="D19" s="152"/>
      <c r="E19" s="152"/>
      <c r="F19" s="152"/>
      <c r="G19" s="152"/>
      <c r="H19" s="152"/>
      <c r="I19" s="152"/>
      <c r="J19" s="154"/>
      <c r="K19" s="219">
        <v>0.15</v>
      </c>
      <c r="L19" s="219">
        <v>0.14499999999999999</v>
      </c>
      <c r="M19" s="219">
        <v>0.14000000000000001</v>
      </c>
      <c r="N19" s="219">
        <v>0.13</v>
      </c>
      <c r="O19" s="219">
        <v>0.12</v>
      </c>
      <c r="P19" s="219">
        <v>0.11</v>
      </c>
      <c r="Q19" s="219">
        <v>0.1</v>
      </c>
      <c r="R19" s="219">
        <v>9.5000000000000001E-2</v>
      </c>
      <c r="S19" s="219">
        <v>0.09</v>
      </c>
      <c r="T19" s="219">
        <v>8.5000000000000006E-2</v>
      </c>
    </row>
    <row r="20" spans="2:20" x14ac:dyDescent="0.25">
      <c r="B20" s="153" t="s">
        <v>176</v>
      </c>
      <c r="C20" s="152"/>
      <c r="D20" s="152"/>
      <c r="E20" s="152"/>
      <c r="F20" s="152"/>
      <c r="G20" s="152"/>
      <c r="H20" s="152"/>
      <c r="I20" s="152"/>
      <c r="J20" s="154"/>
      <c r="K20" s="219">
        <v>0.12</v>
      </c>
      <c r="L20" s="219">
        <v>0.11</v>
      </c>
      <c r="M20" s="219">
        <v>0.105</v>
      </c>
      <c r="N20" s="219">
        <v>0.1</v>
      </c>
      <c r="O20" s="219">
        <v>9.5000000000000001E-2</v>
      </c>
      <c r="P20" s="219">
        <v>0.09</v>
      </c>
      <c r="Q20" s="219">
        <v>8.5000000000000006E-2</v>
      </c>
      <c r="R20" s="219">
        <v>0.08</v>
      </c>
      <c r="S20" s="219">
        <v>7.4999999999999997E-2</v>
      </c>
      <c r="T20" s="219">
        <v>7.0000000000000007E-2</v>
      </c>
    </row>
    <row r="22" spans="2:20" x14ac:dyDescent="0.25">
      <c r="K22" s="150"/>
      <c r="L22" s="150"/>
    </row>
    <row r="23" spans="2:20" x14ac:dyDescent="0.25">
      <c r="L23" s="216"/>
    </row>
    <row r="28" spans="2:20" x14ac:dyDescent="0.25">
      <c r="K28" s="136"/>
    </row>
  </sheetData>
  <pageMargins left="0.7" right="0.7" top="0.75" bottom="0.75" header="0.3" footer="0.3"/>
  <pageSetup paperSize="9" scale="3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58"/>
  <sheetViews>
    <sheetView showGridLines="0" zoomScale="115" zoomScaleNormal="115" workbookViewId="0">
      <pane xSplit="2" ySplit="4" topLeftCell="C20" activePane="bottomRight" state="frozen"/>
      <selection activeCell="G27" sqref="G27"/>
      <selection pane="topRight" activeCell="G27" sqref="G27"/>
      <selection pane="bottomLeft" activeCell="G27" sqref="G27"/>
      <selection pane="bottomRight" activeCell="G27" sqref="G27"/>
    </sheetView>
  </sheetViews>
  <sheetFormatPr defaultRowHeight="15" x14ac:dyDescent="0.25"/>
  <cols>
    <col min="1" max="1" width="2.7109375" customWidth="1"/>
    <col min="2" max="2" width="42.140625" customWidth="1"/>
    <col min="3" max="3" width="14.85546875" style="1" customWidth="1"/>
    <col min="4" max="9" width="14.85546875" style="3" customWidth="1"/>
    <col min="10" max="10" width="0.85546875" customWidth="1"/>
    <col min="11" max="20" width="14.85546875" style="1" customWidth="1"/>
    <col min="21" max="16384" width="9.140625" style="1"/>
  </cols>
  <sheetData>
    <row r="3" spans="2:20" customFormat="1" ht="5.0999999999999996" customHeight="1" x14ac:dyDescent="0.25">
      <c r="B3" s="7"/>
      <c r="C3" s="15">
        <f t="shared" ref="C3:H3" si="0">D4-C4</f>
        <v>365</v>
      </c>
      <c r="D3" s="16">
        <f t="shared" si="0"/>
        <v>365</v>
      </c>
      <c r="E3" s="16">
        <f t="shared" si="0"/>
        <v>365</v>
      </c>
      <c r="F3" s="16">
        <f t="shared" si="0"/>
        <v>366</v>
      </c>
      <c r="G3" s="16">
        <f t="shared" si="0"/>
        <v>365</v>
      </c>
      <c r="H3" s="16">
        <f t="shared" si="0"/>
        <v>365</v>
      </c>
      <c r="I3" s="16">
        <f>K4-I4</f>
        <v>365</v>
      </c>
      <c r="J3" s="15"/>
      <c r="K3" s="15">
        <f>L4-K4</f>
        <v>366</v>
      </c>
      <c r="L3" s="15">
        <f>M4-L4</f>
        <v>365</v>
      </c>
      <c r="M3" s="15">
        <f>N4-M4</f>
        <v>365</v>
      </c>
      <c r="N3" s="15">
        <f>O4-N4</f>
        <v>365</v>
      </c>
      <c r="O3" s="15">
        <f>P4-O4</f>
        <v>366</v>
      </c>
      <c r="P3" s="15">
        <v>366</v>
      </c>
      <c r="Q3" s="15">
        <v>366</v>
      </c>
      <c r="R3" s="15">
        <v>366</v>
      </c>
      <c r="S3" s="15">
        <v>366</v>
      </c>
      <c r="T3" s="15">
        <v>366</v>
      </c>
    </row>
    <row r="4" spans="2:20" customFormat="1" ht="16.5" thickBot="1" x14ac:dyDescent="0.3">
      <c r="B4" s="240" t="s">
        <v>32</v>
      </c>
      <c r="C4" s="345">
        <v>43921</v>
      </c>
      <c r="D4" s="345">
        <f t="shared" ref="D4:I4" si="1">EOMONTH(C4,12)</f>
        <v>44286</v>
      </c>
      <c r="E4" s="345">
        <f t="shared" si="1"/>
        <v>44651</v>
      </c>
      <c r="F4" s="345">
        <f t="shared" si="1"/>
        <v>45016</v>
      </c>
      <c r="G4" s="345">
        <f t="shared" si="1"/>
        <v>45382</v>
      </c>
      <c r="H4" s="345">
        <f t="shared" si="1"/>
        <v>45747</v>
      </c>
      <c r="I4" s="345">
        <f t="shared" si="1"/>
        <v>46112</v>
      </c>
      <c r="J4" s="317"/>
      <c r="K4" s="316">
        <f>EOMONTH(I4,12)</f>
        <v>46477</v>
      </c>
      <c r="L4" s="316">
        <f t="shared" ref="L4:T4" si="2">EOMONTH(K4,12)</f>
        <v>46843</v>
      </c>
      <c r="M4" s="316">
        <f t="shared" si="2"/>
        <v>47208</v>
      </c>
      <c r="N4" s="316">
        <f t="shared" si="2"/>
        <v>47573</v>
      </c>
      <c r="O4" s="316">
        <f t="shared" si="2"/>
        <v>47938</v>
      </c>
      <c r="P4" s="316">
        <f t="shared" si="2"/>
        <v>48304</v>
      </c>
      <c r="Q4" s="316">
        <f t="shared" si="2"/>
        <v>48669</v>
      </c>
      <c r="R4" s="316">
        <f t="shared" si="2"/>
        <v>49034</v>
      </c>
      <c r="S4" s="316">
        <f t="shared" si="2"/>
        <v>49399</v>
      </c>
      <c r="T4" s="316">
        <f t="shared" si="2"/>
        <v>49765</v>
      </c>
    </row>
    <row r="5" spans="2:20" customFormat="1" ht="19.5" thickTop="1" x14ac:dyDescent="0.3">
      <c r="B5" s="68" t="s">
        <v>194</v>
      </c>
      <c r="C5" s="20"/>
      <c r="D5" s="56"/>
      <c r="E5" s="56"/>
      <c r="F5" s="56"/>
      <c r="G5" s="56"/>
      <c r="H5" s="56"/>
      <c r="I5" s="56"/>
      <c r="J5" s="7"/>
      <c r="K5" s="8"/>
      <c r="L5" s="8"/>
      <c r="M5" s="8"/>
      <c r="N5" s="8"/>
      <c r="O5" s="8"/>
      <c r="P5" s="8"/>
    </row>
    <row r="6" spans="2:20" ht="15.75" x14ac:dyDescent="0.25">
      <c r="B6" s="17" t="s">
        <v>92</v>
      </c>
      <c r="C6" s="5"/>
      <c r="D6" s="6"/>
      <c r="E6" s="6"/>
      <c r="F6" s="6"/>
      <c r="G6" s="6"/>
      <c r="H6" s="18"/>
      <c r="I6" s="18"/>
      <c r="J6" s="7"/>
      <c r="K6" s="8"/>
      <c r="L6" s="8"/>
      <c r="M6" s="8"/>
      <c r="N6" s="8"/>
      <c r="O6" s="8"/>
      <c r="P6" s="8"/>
    </row>
    <row r="7" spans="2:20" ht="15.75" x14ac:dyDescent="0.25">
      <c r="B7" s="19" t="s">
        <v>87</v>
      </c>
      <c r="C7" s="20">
        <v>0</v>
      </c>
      <c r="D7" s="56">
        <f>AVERAGE(BS!C24:D24)</f>
        <v>20978.400000000001</v>
      </c>
      <c r="E7" s="56">
        <f>AVERAGE(BS!D24:E24)</f>
        <v>24954.7</v>
      </c>
      <c r="F7" s="56">
        <f>AVERAGE(BS!E24:F24)</f>
        <v>29930.699999999997</v>
      </c>
      <c r="G7" s="56">
        <f>AVERAGE(BS!F24:G24)</f>
        <v>35853.949999999997</v>
      </c>
      <c r="H7" s="56">
        <f>AVERAGE(BS!G24:H24)</f>
        <v>44858.399999999994</v>
      </c>
      <c r="I7" s="56">
        <f>AVERAGE(BS!H24:I24)</f>
        <v>54725.05</v>
      </c>
      <c r="J7" s="7"/>
      <c r="K7" s="8">
        <f t="shared" ref="K7:T7" si="3">K10/K3*K8</f>
        <v>70358.056417240165</v>
      </c>
      <c r="L7" s="8">
        <f t="shared" si="3"/>
        <v>90023.328373721015</v>
      </c>
      <c r="M7" s="8">
        <f t="shared" si="3"/>
        <v>113163.20567520439</v>
      </c>
      <c r="N7" s="8">
        <f t="shared" si="3"/>
        <v>139780.79321493447</v>
      </c>
      <c r="O7" s="8">
        <f t="shared" si="3"/>
        <v>169425.4443991908</v>
      </c>
      <c r="P7" s="8">
        <f t="shared" si="3"/>
        <v>202823.80084064507</v>
      </c>
      <c r="Q7" s="8">
        <f t="shared" si="3"/>
        <v>239343.89423800725</v>
      </c>
      <c r="R7" s="8">
        <f t="shared" si="3"/>
        <v>279861.86026867887</v>
      </c>
      <c r="S7" s="8">
        <f t="shared" si="3"/>
        <v>324429.95041794638</v>
      </c>
      <c r="T7" s="8">
        <f t="shared" si="3"/>
        <v>373034.36336019059</v>
      </c>
    </row>
    <row r="8" spans="2:20" ht="15.75" x14ac:dyDescent="0.25">
      <c r="B8" s="21" t="s">
        <v>12</v>
      </c>
      <c r="C8" s="5">
        <v>0</v>
      </c>
      <c r="D8" s="56">
        <f>-'P &amp; L'!D11</f>
        <v>205546.80000000002</v>
      </c>
      <c r="E8" s="56">
        <f>-'P &amp; L'!E11</f>
        <v>263973.90000000002</v>
      </c>
      <c r="F8" s="56">
        <f>-'P &amp; L'!F11</f>
        <v>363839.49999999994</v>
      </c>
      <c r="G8" s="56">
        <f>-'P &amp; L'!G11</f>
        <v>432745.39999999997</v>
      </c>
      <c r="H8" s="56">
        <f>-'P &amp; L'!H11</f>
        <v>505517.00000000006</v>
      </c>
      <c r="I8" s="56">
        <f>-'P &amp; L'!I11</f>
        <v>584597.30000000005</v>
      </c>
      <c r="J8" s="7"/>
      <c r="K8" s="8">
        <f>-'P &amp; L'!K11</f>
        <v>777724.42999867746</v>
      </c>
      <c r="L8" s="8">
        <f>-'P &amp; L'!L11</f>
        <v>992381.71174762584</v>
      </c>
      <c r="M8" s="8">
        <f>-'P &amp; L'!M11</f>
        <v>1247466.6043073134</v>
      </c>
      <c r="N8" s="8">
        <f>-'P &amp; L'!N11</f>
        <v>1540888.4046612366</v>
      </c>
      <c r="O8" s="8">
        <f>-'P &amp; L'!O11</f>
        <v>1872796.2920298344</v>
      </c>
      <c r="P8" s="8">
        <f>-'P &amp; L'!P11</f>
        <v>2241975.3036313825</v>
      </c>
      <c r="Q8" s="8">
        <f>-'P &amp; L'!Q11</f>
        <v>2645661.3954206142</v>
      </c>
      <c r="R8" s="8">
        <f>-'P &amp; L'!R11</f>
        <v>3093539.2027471447</v>
      </c>
      <c r="S8" s="8">
        <f>-'P &amp; L'!S11</f>
        <v>3586186.3034845013</v>
      </c>
      <c r="T8" s="8">
        <f>-'P &amp; L'!T11</f>
        <v>4123450.1404324579</v>
      </c>
    </row>
    <row r="9" spans="2:20" ht="16.5" thickBot="1" x14ac:dyDescent="0.3">
      <c r="B9" s="40" t="s">
        <v>86</v>
      </c>
      <c r="C9" s="48">
        <v>0</v>
      </c>
      <c r="D9" s="69">
        <f t="shared" ref="D9:I9" si="4">D8/D7</f>
        <v>9.7980208214163138</v>
      </c>
      <c r="E9" s="69">
        <f t="shared" si="4"/>
        <v>10.578123559890523</v>
      </c>
      <c r="F9" s="69">
        <f t="shared" si="4"/>
        <v>12.156063840805594</v>
      </c>
      <c r="G9" s="69">
        <f t="shared" si="4"/>
        <v>12.069671542466033</v>
      </c>
      <c r="H9" s="69">
        <f t="shared" si="4"/>
        <v>11.269171437233609</v>
      </c>
      <c r="I9" s="69">
        <f t="shared" si="4"/>
        <v>10.68244432851135</v>
      </c>
      <c r="J9" s="49"/>
      <c r="K9" s="50">
        <f>AVERAGE($D$9:$I$9)</f>
        <v>11.092249255053902</v>
      </c>
      <c r="L9" s="50">
        <f t="shared" ref="L9:T9" si="5">AVERAGE($D$9:$I$9)</f>
        <v>11.092249255053902</v>
      </c>
      <c r="M9" s="50">
        <f t="shared" si="5"/>
        <v>11.092249255053902</v>
      </c>
      <c r="N9" s="50">
        <f t="shared" si="5"/>
        <v>11.092249255053902</v>
      </c>
      <c r="O9" s="50">
        <f t="shared" si="5"/>
        <v>11.092249255053902</v>
      </c>
      <c r="P9" s="50">
        <f t="shared" si="5"/>
        <v>11.092249255053902</v>
      </c>
      <c r="Q9" s="50">
        <f t="shared" si="5"/>
        <v>11.092249255053902</v>
      </c>
      <c r="R9" s="50">
        <f t="shared" si="5"/>
        <v>11.092249255053902</v>
      </c>
      <c r="S9" s="50">
        <f t="shared" si="5"/>
        <v>11.092249255053902</v>
      </c>
      <c r="T9" s="50">
        <f t="shared" si="5"/>
        <v>11.092249255053902</v>
      </c>
    </row>
    <row r="10" spans="2:20" ht="17.25" thickTop="1" thickBot="1" x14ac:dyDescent="0.3">
      <c r="B10" s="23" t="s">
        <v>85</v>
      </c>
      <c r="C10" s="24">
        <v>0</v>
      </c>
      <c r="D10" s="25">
        <f t="shared" ref="D10:I10" si="6">D3/D9</f>
        <v>37.252421346379514</v>
      </c>
      <c r="E10" s="25">
        <f t="shared" si="6"/>
        <v>34.50517456460657</v>
      </c>
      <c r="F10" s="25">
        <f t="shared" si="6"/>
        <v>30.108430228163794</v>
      </c>
      <c r="G10" s="25">
        <f t="shared" si="6"/>
        <v>30.241088062403435</v>
      </c>
      <c r="H10" s="25">
        <f t="shared" si="6"/>
        <v>32.389249026244407</v>
      </c>
      <c r="I10" s="25">
        <f t="shared" si="6"/>
        <v>34.168209894229754</v>
      </c>
      <c r="J10" s="7"/>
      <c r="K10" s="26">
        <f>AVERAGE($D$10:$I$10)</f>
        <v>33.110762187004582</v>
      </c>
      <c r="L10" s="26">
        <f t="shared" ref="L10:T10" si="7">AVERAGE($D$10:$I$10)</f>
        <v>33.110762187004582</v>
      </c>
      <c r="M10" s="26">
        <f t="shared" si="7"/>
        <v>33.110762187004582</v>
      </c>
      <c r="N10" s="26">
        <f t="shared" si="7"/>
        <v>33.110762187004582</v>
      </c>
      <c r="O10" s="26">
        <f t="shared" si="7"/>
        <v>33.110762187004582</v>
      </c>
      <c r="P10" s="26">
        <f t="shared" si="7"/>
        <v>33.110762187004582</v>
      </c>
      <c r="Q10" s="26">
        <f t="shared" si="7"/>
        <v>33.110762187004582</v>
      </c>
      <c r="R10" s="26">
        <f t="shared" si="7"/>
        <v>33.110762187004582</v>
      </c>
      <c r="S10" s="26">
        <f t="shared" si="7"/>
        <v>33.110762187004582</v>
      </c>
      <c r="T10" s="26">
        <f t="shared" si="7"/>
        <v>33.110762187004582</v>
      </c>
    </row>
    <row r="11" spans="2:20" ht="5.0999999999999996" customHeight="1" thickTop="1" x14ac:dyDescent="0.25">
      <c r="B11" s="9"/>
      <c r="C11" s="5"/>
      <c r="D11" s="6"/>
      <c r="E11" s="6"/>
      <c r="F11" s="6"/>
      <c r="G11" s="6"/>
      <c r="H11" s="6"/>
      <c r="I11" s="6"/>
      <c r="J11" s="7"/>
      <c r="K11" s="8"/>
      <c r="L11" s="8"/>
      <c r="M11" s="8"/>
      <c r="N11" s="8"/>
      <c r="O11" s="8"/>
      <c r="P11" s="8"/>
    </row>
    <row r="12" spans="2:20" ht="15" customHeight="1" x14ac:dyDescent="0.25">
      <c r="B12" s="17" t="s">
        <v>93</v>
      </c>
      <c r="C12" s="5"/>
      <c r="D12" s="6"/>
      <c r="E12" s="6"/>
      <c r="F12" s="6"/>
      <c r="G12" s="6"/>
      <c r="H12" s="6"/>
      <c r="I12" s="27"/>
      <c r="J12" s="7"/>
      <c r="K12" s="8"/>
      <c r="L12" s="8"/>
      <c r="M12" s="8"/>
      <c r="N12" s="8"/>
      <c r="O12" s="8"/>
      <c r="P12" s="8"/>
    </row>
    <row r="13" spans="2:20" ht="15.75" x14ac:dyDescent="0.25">
      <c r="B13" s="19" t="s">
        <v>88</v>
      </c>
      <c r="C13" s="5">
        <v>0</v>
      </c>
      <c r="D13" s="56">
        <f>AVERAGE(BS!C27:D27)</f>
        <v>315.64999999999998</v>
      </c>
      <c r="E13" s="56">
        <f>AVERAGE(BS!D27:E27)</f>
        <v>552.34999999999991</v>
      </c>
      <c r="F13" s="56">
        <f>AVERAGE(BS!E27:F27)</f>
        <v>645.25</v>
      </c>
      <c r="G13" s="56">
        <f>AVERAGE(BS!F27:G27)</f>
        <v>1142.6500000000001</v>
      </c>
      <c r="H13" s="56">
        <f>AVERAGE(BS!G27:H27)</f>
        <v>1600.8000000000002</v>
      </c>
      <c r="I13" s="56">
        <f>AVERAGE(BS!H27:I27)</f>
        <v>1515.65</v>
      </c>
      <c r="J13" s="7"/>
      <c r="K13" s="8">
        <f t="shared" ref="K13:T13" si="8">K16*K14/K3</f>
        <v>1786.8987643845173</v>
      </c>
      <c r="L13" s="8">
        <f t="shared" si="8"/>
        <v>2286.3419262583097</v>
      </c>
      <c r="M13" s="8">
        <f t="shared" si="8"/>
        <v>2874.0303909996146</v>
      </c>
      <c r="N13" s="8">
        <f t="shared" si="8"/>
        <v>3550.0430142531741</v>
      </c>
      <c r="O13" s="8">
        <f t="shared" si="8"/>
        <v>4302.9346270859814</v>
      </c>
      <c r="P13" s="8">
        <f t="shared" si="8"/>
        <v>5151.1599035744994</v>
      </c>
      <c r="Q13" s="8">
        <f t="shared" si="8"/>
        <v>6078.6686081919179</v>
      </c>
      <c r="R13" s="8">
        <f t="shared" si="8"/>
        <v>7107.7121480848155</v>
      </c>
      <c r="S13" s="8">
        <f t="shared" si="8"/>
        <v>8239.617565517432</v>
      </c>
      <c r="T13" s="8">
        <f t="shared" si="8"/>
        <v>9474.0343452403231</v>
      </c>
    </row>
    <row r="14" spans="2:20" ht="15.75" x14ac:dyDescent="0.25">
      <c r="B14" s="28" t="s">
        <v>9</v>
      </c>
      <c r="C14" s="5">
        <v>0</v>
      </c>
      <c r="D14" s="56">
        <f>'P &amp; L'!D8</f>
        <v>241430.6</v>
      </c>
      <c r="E14" s="56">
        <f>'P &amp; L'!E8</f>
        <v>309762.7</v>
      </c>
      <c r="F14" s="56">
        <f>'P &amp; L'!F8</f>
        <v>428395.6</v>
      </c>
      <c r="G14" s="56">
        <f>'P &amp; L'!G8</f>
        <v>507888.3</v>
      </c>
      <c r="H14" s="56">
        <f>'P &amp; L'!H8</f>
        <v>593580.5</v>
      </c>
      <c r="I14" s="56">
        <f>'P &amp; L'!I8</f>
        <v>688207.4</v>
      </c>
      <c r="J14" s="7"/>
      <c r="K14" s="8">
        <f>'P &amp; L'!K8</f>
        <v>914969.91764550284</v>
      </c>
      <c r="L14" s="8">
        <f>'P &amp; L'!L8</f>
        <v>1167507.8961736774</v>
      </c>
      <c r="M14" s="8">
        <f>'P &amp; L'!M8</f>
        <v>1467607.7697733101</v>
      </c>
      <c r="N14" s="8">
        <f>'P &amp; L'!N8</f>
        <v>1812809.887836749</v>
      </c>
      <c r="O14" s="8">
        <f>'P &amp; L'!O8</f>
        <v>2203289.7553292168</v>
      </c>
      <c r="P14" s="8">
        <f>'P &amp; L'!P8</f>
        <v>2637618.0042722146</v>
      </c>
      <c r="Q14" s="8">
        <f>'P &amp; L'!Q8</f>
        <v>3112542.8181418991</v>
      </c>
      <c r="R14" s="8">
        <f>'P &amp; L'!R8</f>
        <v>3639457.8855848764</v>
      </c>
      <c r="S14" s="8">
        <f>'P &amp; L'!S8</f>
        <v>4219042.7099817665</v>
      </c>
      <c r="T14" s="8">
        <f>'P &amp; L'!T8</f>
        <v>4851117.81227348</v>
      </c>
    </row>
    <row r="15" spans="2:20" ht="16.5" thickBot="1" x14ac:dyDescent="0.3">
      <c r="B15" s="40" t="s">
        <v>390</v>
      </c>
      <c r="C15" s="48">
        <v>0</v>
      </c>
      <c r="D15" s="70">
        <f t="shared" ref="D15:I15" si="9">D14/D13</f>
        <v>764.86805005544124</v>
      </c>
      <c r="E15" s="70">
        <f t="shared" si="9"/>
        <v>560.80872635104561</v>
      </c>
      <c r="F15" s="70">
        <f t="shared" si="9"/>
        <v>663.92189074002317</v>
      </c>
      <c r="G15" s="70">
        <f t="shared" si="9"/>
        <v>444.4828250120334</v>
      </c>
      <c r="H15" s="70">
        <f t="shared" si="9"/>
        <v>370.80241129435279</v>
      </c>
      <c r="I15" s="70">
        <f t="shared" si="9"/>
        <v>454.06749579388378</v>
      </c>
      <c r="J15" s="49"/>
      <c r="K15" s="50">
        <f>AVERAGE($D$15:$I$15)</f>
        <v>543.15856654112997</v>
      </c>
      <c r="L15" s="50">
        <f t="shared" ref="L15:T15" si="10">AVERAGE($D$15:$I$15)</f>
        <v>543.15856654112997</v>
      </c>
      <c r="M15" s="50">
        <f t="shared" si="10"/>
        <v>543.15856654112997</v>
      </c>
      <c r="N15" s="50">
        <f t="shared" si="10"/>
        <v>543.15856654112997</v>
      </c>
      <c r="O15" s="50">
        <f t="shared" si="10"/>
        <v>543.15856654112997</v>
      </c>
      <c r="P15" s="50">
        <f t="shared" si="10"/>
        <v>543.15856654112997</v>
      </c>
      <c r="Q15" s="50">
        <f t="shared" si="10"/>
        <v>543.15856654112997</v>
      </c>
      <c r="R15" s="50">
        <f t="shared" si="10"/>
        <v>543.15856654112997</v>
      </c>
      <c r="S15" s="50">
        <f t="shared" si="10"/>
        <v>543.15856654112997</v>
      </c>
      <c r="T15" s="50">
        <f t="shared" si="10"/>
        <v>543.15856654112997</v>
      </c>
    </row>
    <row r="16" spans="2:20" ht="17.25" thickTop="1" thickBot="1" x14ac:dyDescent="0.3">
      <c r="B16" s="23" t="s">
        <v>344</v>
      </c>
      <c r="C16" s="24">
        <v>0</v>
      </c>
      <c r="D16" s="25">
        <f t="shared" ref="D16:I16" si="11">D3/D15</f>
        <v>0.47720649329455334</v>
      </c>
      <c r="E16" s="25">
        <f t="shared" si="11"/>
        <v>0.65084579260188513</v>
      </c>
      <c r="F16" s="25">
        <f t="shared" si="11"/>
        <v>0.55126966756894802</v>
      </c>
      <c r="G16" s="25">
        <f t="shared" si="11"/>
        <v>0.82117908603131839</v>
      </c>
      <c r="H16" s="25">
        <f t="shared" si="11"/>
        <v>0.98435174336084164</v>
      </c>
      <c r="I16" s="25">
        <f t="shared" si="11"/>
        <v>0.80384525071947799</v>
      </c>
      <c r="J16" s="7"/>
      <c r="K16" s="26">
        <f>AVERAGE($D$16:$I$16)</f>
        <v>0.7147830055961707</v>
      </c>
      <c r="L16" s="26">
        <f t="shared" ref="L16:T16" si="12">AVERAGE($D$16:$I$16)</f>
        <v>0.7147830055961707</v>
      </c>
      <c r="M16" s="26">
        <f t="shared" si="12"/>
        <v>0.7147830055961707</v>
      </c>
      <c r="N16" s="26">
        <f t="shared" si="12"/>
        <v>0.7147830055961707</v>
      </c>
      <c r="O16" s="26">
        <f t="shared" si="12"/>
        <v>0.7147830055961707</v>
      </c>
      <c r="P16" s="26">
        <f t="shared" si="12"/>
        <v>0.7147830055961707</v>
      </c>
      <c r="Q16" s="26">
        <f t="shared" si="12"/>
        <v>0.7147830055961707</v>
      </c>
      <c r="R16" s="26">
        <f t="shared" si="12"/>
        <v>0.7147830055961707</v>
      </c>
      <c r="S16" s="26">
        <f t="shared" si="12"/>
        <v>0.7147830055961707</v>
      </c>
      <c r="T16" s="26">
        <f t="shared" si="12"/>
        <v>0.7147830055961707</v>
      </c>
    </row>
    <row r="17" spans="2:20" ht="5.0999999999999996" customHeight="1" thickTop="1" x14ac:dyDescent="0.25">
      <c r="B17" s="9"/>
      <c r="C17" s="5"/>
      <c r="D17" s="6"/>
      <c r="E17" s="6"/>
      <c r="F17" s="6"/>
      <c r="G17" s="6"/>
      <c r="H17" s="6"/>
      <c r="I17" s="6"/>
      <c r="J17" s="7"/>
      <c r="K17" s="8"/>
      <c r="L17" s="8"/>
      <c r="M17" s="8"/>
      <c r="N17" s="8"/>
      <c r="O17" s="8"/>
      <c r="P17" s="8"/>
    </row>
    <row r="18" spans="2:20" ht="15.75" x14ac:dyDescent="0.25">
      <c r="B18" s="17" t="s">
        <v>94</v>
      </c>
      <c r="C18" s="5"/>
      <c r="D18" s="6"/>
      <c r="E18" s="6"/>
      <c r="F18" s="6"/>
      <c r="G18" s="6"/>
      <c r="H18" s="6"/>
      <c r="I18" s="27"/>
      <c r="J18" s="7"/>
      <c r="K18" s="8"/>
      <c r="L18" s="8"/>
      <c r="M18" s="8"/>
      <c r="N18" s="8"/>
      <c r="O18" s="8"/>
      <c r="P18" s="8"/>
    </row>
    <row r="19" spans="2:20" ht="15.75" x14ac:dyDescent="0.25">
      <c r="B19" s="19" t="s">
        <v>48</v>
      </c>
      <c r="C19" s="56">
        <f>BS!C56</f>
        <v>174.7</v>
      </c>
      <c r="D19" s="56">
        <f>BS!D56</f>
        <v>219.5</v>
      </c>
      <c r="E19" s="56">
        <f>BS!E56</f>
        <v>323.89999999999998</v>
      </c>
      <c r="F19" s="56">
        <f>BS!F56</f>
        <v>762.90000000000009</v>
      </c>
      <c r="G19" s="56">
        <f>BS!G56</f>
        <v>2306</v>
      </c>
      <c r="H19" s="56">
        <f>BS!H56</f>
        <v>2895.2999999999997</v>
      </c>
      <c r="I19" s="56">
        <f>BS!I56</f>
        <v>3934.7000000000003</v>
      </c>
      <c r="J19" s="7"/>
      <c r="K19" s="8">
        <f t="shared" ref="K19:T19" si="13">K21*K22</f>
        <v>4344.101878117157</v>
      </c>
      <c r="L19" s="8">
        <f t="shared" si="13"/>
        <v>5558.2904044918041</v>
      </c>
      <c r="M19" s="8">
        <f t="shared" si="13"/>
        <v>6987.0107183199025</v>
      </c>
      <c r="N19" s="8">
        <f t="shared" si="13"/>
        <v>8630.4545243366374</v>
      </c>
      <c r="O19" s="8">
        <f t="shared" si="13"/>
        <v>10460.797649819853</v>
      </c>
      <c r="P19" s="8">
        <f t="shared" si="13"/>
        <v>12522.904966755299</v>
      </c>
      <c r="Q19" s="8">
        <f t="shared" si="13"/>
        <v>14777.756996431619</v>
      </c>
      <c r="R19" s="8">
        <f t="shared" si="13"/>
        <v>17279.448789728485</v>
      </c>
      <c r="S19" s="8">
        <f t="shared" si="13"/>
        <v>20031.206498517138</v>
      </c>
      <c r="T19" s="8">
        <f t="shared" si="13"/>
        <v>23032.177990609805</v>
      </c>
    </row>
    <row r="20" spans="2:20" ht="16.5" thickBot="1" x14ac:dyDescent="0.3">
      <c r="B20" s="19" t="s">
        <v>49</v>
      </c>
      <c r="C20" s="56">
        <f>BS!C57</f>
        <v>4159.8</v>
      </c>
      <c r="D20" s="56">
        <f>BS!D57</f>
        <v>5561.7999999999993</v>
      </c>
      <c r="E20" s="56">
        <f>BS!E57</f>
        <v>5568.0999999999995</v>
      </c>
      <c r="F20" s="56">
        <f>BS!F57</f>
        <v>6775</v>
      </c>
      <c r="G20" s="56">
        <f>BS!G57</f>
        <v>7542.1</v>
      </c>
      <c r="H20" s="56">
        <f>BS!H57</f>
        <v>7812.7999999999993</v>
      </c>
      <c r="I20" s="56">
        <f>BS!I57</f>
        <v>9447.6</v>
      </c>
      <c r="J20" s="7"/>
      <c r="K20" s="8">
        <f t="shared" ref="K20:T20" si="14">K21-K19</f>
        <v>11975.581221124594</v>
      </c>
      <c r="L20" s="8">
        <f t="shared" si="14"/>
        <v>15322.789395178614</v>
      </c>
      <c r="M20" s="8">
        <f t="shared" si="14"/>
        <v>19261.407006037873</v>
      </c>
      <c r="N20" s="8">
        <f t="shared" si="14"/>
        <v>23791.9625347765</v>
      </c>
      <c r="O20" s="8">
        <f t="shared" si="14"/>
        <v>28837.751831792644</v>
      </c>
      <c r="P20" s="8">
        <f t="shared" si="14"/>
        <v>34522.455909529228</v>
      </c>
      <c r="Q20" s="8">
        <f t="shared" si="14"/>
        <v>40738.508014345483</v>
      </c>
      <c r="R20" s="8">
        <f t="shared" si="14"/>
        <v>47635.034408388652</v>
      </c>
      <c r="S20" s="8">
        <f t="shared" si="14"/>
        <v>55220.928769765211</v>
      </c>
      <c r="T20" s="8">
        <f t="shared" si="14"/>
        <v>63493.841987309672</v>
      </c>
    </row>
    <row r="21" spans="2:20" ht="17.25" thickTop="1" thickBot="1" x14ac:dyDescent="0.3">
      <c r="B21" s="23" t="s">
        <v>104</v>
      </c>
      <c r="C21" s="24">
        <f>SUM(C19:C20)</f>
        <v>4334.5</v>
      </c>
      <c r="D21" s="24">
        <f t="shared" ref="D21:I21" si="15">SUM(D19:D20)</f>
        <v>5781.2999999999993</v>
      </c>
      <c r="E21" s="24">
        <f t="shared" si="15"/>
        <v>5891.9999999999991</v>
      </c>
      <c r="F21" s="24">
        <f t="shared" si="15"/>
        <v>7537.9</v>
      </c>
      <c r="G21" s="24">
        <f t="shared" si="15"/>
        <v>9848.1</v>
      </c>
      <c r="H21" s="24">
        <f t="shared" si="15"/>
        <v>10708.099999999999</v>
      </c>
      <c r="I21" s="24">
        <f t="shared" si="15"/>
        <v>13382.300000000001</v>
      </c>
      <c r="J21" s="7"/>
      <c r="K21" s="26">
        <f t="shared" ref="K21:T21" si="16">K24</f>
        <v>16319.683099241751</v>
      </c>
      <c r="L21" s="26">
        <f t="shared" si="16"/>
        <v>20881.079799670417</v>
      </c>
      <c r="M21" s="26">
        <f t="shared" si="16"/>
        <v>26248.417724357776</v>
      </c>
      <c r="N21" s="26">
        <f t="shared" si="16"/>
        <v>32422.417059113137</v>
      </c>
      <c r="O21" s="26">
        <f t="shared" si="16"/>
        <v>39298.549481612499</v>
      </c>
      <c r="P21" s="26">
        <f t="shared" si="16"/>
        <v>47045.360876284525</v>
      </c>
      <c r="Q21" s="26">
        <f t="shared" si="16"/>
        <v>55516.265010777104</v>
      </c>
      <c r="R21" s="26">
        <f t="shared" si="16"/>
        <v>64914.483198117137</v>
      </c>
      <c r="S21" s="26">
        <f t="shared" si="16"/>
        <v>75252.135268282349</v>
      </c>
      <c r="T21" s="26">
        <f t="shared" si="16"/>
        <v>86526.019977919481</v>
      </c>
    </row>
    <row r="22" spans="2:20" ht="16.5" thickTop="1" x14ac:dyDescent="0.25">
      <c r="B22" s="71" t="s">
        <v>107</v>
      </c>
      <c r="C22" s="59">
        <f>C19/C21</f>
        <v>4.0304533394855228E-2</v>
      </c>
      <c r="D22" s="59">
        <f t="shared" ref="D22:I22" si="17">D19/D21</f>
        <v>3.7967239202255552E-2</v>
      </c>
      <c r="E22" s="59">
        <f t="shared" si="17"/>
        <v>5.4972844534962664E-2</v>
      </c>
      <c r="F22" s="59">
        <f t="shared" si="17"/>
        <v>0.10120855941309916</v>
      </c>
      <c r="G22" s="59">
        <f t="shared" si="17"/>
        <v>0.23415684243661214</v>
      </c>
      <c r="H22" s="59">
        <f t="shared" si="17"/>
        <v>0.27038410175474642</v>
      </c>
      <c r="I22" s="59">
        <f t="shared" si="17"/>
        <v>0.29402270162827016</v>
      </c>
      <c r="J22" s="49"/>
      <c r="K22" s="60">
        <f>AVERAGE($G$22:$I$22)</f>
        <v>0.26618788193987625</v>
      </c>
      <c r="L22" s="60">
        <f t="shared" ref="L22:T22" si="18">AVERAGE($G$22:$I$22)</f>
        <v>0.26618788193987625</v>
      </c>
      <c r="M22" s="60">
        <f t="shared" si="18"/>
        <v>0.26618788193987625</v>
      </c>
      <c r="N22" s="60">
        <f t="shared" si="18"/>
        <v>0.26618788193987625</v>
      </c>
      <c r="O22" s="60">
        <f t="shared" si="18"/>
        <v>0.26618788193987625</v>
      </c>
      <c r="P22" s="60">
        <f t="shared" si="18"/>
        <v>0.26618788193987625</v>
      </c>
      <c r="Q22" s="60">
        <f t="shared" si="18"/>
        <v>0.26618788193987625</v>
      </c>
      <c r="R22" s="60">
        <f t="shared" si="18"/>
        <v>0.26618788193987625</v>
      </c>
      <c r="S22" s="60">
        <f t="shared" si="18"/>
        <v>0.26618788193987625</v>
      </c>
      <c r="T22" s="60">
        <f t="shared" si="18"/>
        <v>0.26618788193987625</v>
      </c>
    </row>
    <row r="23" spans="2:20" ht="5.0999999999999996" customHeight="1" x14ac:dyDescent="0.25">
      <c r="B23" s="31"/>
      <c r="C23" s="32"/>
      <c r="D23" s="32"/>
      <c r="E23" s="32"/>
      <c r="F23" s="32"/>
      <c r="G23" s="32"/>
      <c r="H23" s="32"/>
      <c r="I23" s="32"/>
      <c r="J23" s="7"/>
      <c r="K23" s="33"/>
      <c r="L23" s="33"/>
      <c r="M23" s="33"/>
      <c r="N23" s="33"/>
      <c r="O23" s="33"/>
      <c r="P23" s="33"/>
      <c r="Q23" s="33"/>
      <c r="R23" s="33"/>
      <c r="S23" s="33"/>
      <c r="T23" s="33"/>
    </row>
    <row r="24" spans="2:20" ht="15.75" x14ac:dyDescent="0.25">
      <c r="B24" s="19" t="s">
        <v>89</v>
      </c>
      <c r="C24" s="41">
        <v>0</v>
      </c>
      <c r="D24" s="56">
        <f t="shared" ref="D24:I24" si="19">AVERAGE(C21:D21)</f>
        <v>5057.8999999999996</v>
      </c>
      <c r="E24" s="56">
        <f t="shared" si="19"/>
        <v>5836.65</v>
      </c>
      <c r="F24" s="56">
        <f t="shared" si="19"/>
        <v>6714.9499999999989</v>
      </c>
      <c r="G24" s="56">
        <f t="shared" si="19"/>
        <v>8693</v>
      </c>
      <c r="H24" s="56">
        <f t="shared" si="19"/>
        <v>10278.099999999999</v>
      </c>
      <c r="I24" s="56">
        <f t="shared" si="19"/>
        <v>12045.2</v>
      </c>
      <c r="J24" s="7"/>
      <c r="K24" s="8">
        <f t="shared" ref="K24:T24" si="20">K25/K26</f>
        <v>16319.683099241751</v>
      </c>
      <c r="L24" s="8">
        <f t="shared" si="20"/>
        <v>20881.079799670417</v>
      </c>
      <c r="M24" s="8">
        <f t="shared" si="20"/>
        <v>26248.417724357776</v>
      </c>
      <c r="N24" s="8">
        <f t="shared" si="20"/>
        <v>32422.417059113137</v>
      </c>
      <c r="O24" s="8">
        <f t="shared" si="20"/>
        <v>39298.549481612499</v>
      </c>
      <c r="P24" s="8">
        <f t="shared" si="20"/>
        <v>47045.360876284525</v>
      </c>
      <c r="Q24" s="8">
        <f t="shared" si="20"/>
        <v>55516.265010777104</v>
      </c>
      <c r="R24" s="8">
        <f t="shared" si="20"/>
        <v>64914.483198117137</v>
      </c>
      <c r="S24" s="8">
        <f t="shared" si="20"/>
        <v>75252.135268282349</v>
      </c>
      <c r="T24" s="8">
        <f t="shared" si="20"/>
        <v>86526.019977919481</v>
      </c>
    </row>
    <row r="25" spans="2:20" ht="15.75" x14ac:dyDescent="0.25">
      <c r="B25" s="28" t="s">
        <v>105</v>
      </c>
      <c r="C25" s="41">
        <v>0</v>
      </c>
      <c r="D25" s="56">
        <f>-'P &amp; L'!D11</f>
        <v>205546.80000000002</v>
      </c>
      <c r="E25" s="56">
        <f>-'P &amp; L'!E11</f>
        <v>263973.90000000002</v>
      </c>
      <c r="F25" s="56">
        <f>-'P &amp; L'!F11</f>
        <v>363839.49999999994</v>
      </c>
      <c r="G25" s="56">
        <f>-'P &amp; L'!G11</f>
        <v>432745.39999999997</v>
      </c>
      <c r="H25" s="56">
        <f>-'P &amp; L'!H11</f>
        <v>505517.00000000006</v>
      </c>
      <c r="I25" s="56">
        <f>-'P &amp; L'!I11</f>
        <v>584597.30000000005</v>
      </c>
      <c r="J25" s="34">
        <f>-'P &amp; L'!J11</f>
        <v>0</v>
      </c>
      <c r="K25" s="35">
        <f>-'P &amp; L'!K11</f>
        <v>777724.42999867746</v>
      </c>
      <c r="L25" s="35">
        <f>-'P &amp; L'!L11</f>
        <v>992381.71174762584</v>
      </c>
      <c r="M25" s="35">
        <f>-'P &amp; L'!M11</f>
        <v>1247466.6043073134</v>
      </c>
      <c r="N25" s="35">
        <f>-'P &amp; L'!N11</f>
        <v>1540888.4046612366</v>
      </c>
      <c r="O25" s="35">
        <f>-'P &amp; L'!O11</f>
        <v>1872796.2920298344</v>
      </c>
      <c r="P25" s="35">
        <f>-'P &amp; L'!P11</f>
        <v>2241975.3036313825</v>
      </c>
      <c r="Q25" s="35">
        <f>-'P &amp; L'!Q11</f>
        <v>2645661.3954206142</v>
      </c>
      <c r="R25" s="35">
        <f>-'P &amp; L'!R11</f>
        <v>3093539.2027471447</v>
      </c>
      <c r="S25" s="35">
        <f>-'P &amp; L'!S11</f>
        <v>3586186.3034845013</v>
      </c>
      <c r="T25" s="35">
        <f>-'P &amp; L'!T11</f>
        <v>4123450.1404324579</v>
      </c>
    </row>
    <row r="26" spans="2:20" ht="16.5" thickBot="1" x14ac:dyDescent="0.3">
      <c r="B26" s="353" t="s">
        <v>106</v>
      </c>
      <c r="C26" s="354">
        <v>0</v>
      </c>
      <c r="D26" s="355">
        <f t="shared" ref="D26:I26" si="21">D25/D24</f>
        <v>40.638763123035261</v>
      </c>
      <c r="E26" s="355">
        <f t="shared" si="21"/>
        <v>45.226953817686521</v>
      </c>
      <c r="F26" s="355">
        <f t="shared" si="21"/>
        <v>54.18350099405059</v>
      </c>
      <c r="G26" s="355">
        <f t="shared" si="21"/>
        <v>49.780904175773607</v>
      </c>
      <c r="H26" s="355">
        <f t="shared" si="21"/>
        <v>49.183895856238031</v>
      </c>
      <c r="I26" s="355">
        <f t="shared" si="21"/>
        <v>48.533631654102884</v>
      </c>
      <c r="J26" s="97"/>
      <c r="K26" s="356">
        <f t="shared" ref="K26:T26" si="22">K3/K27</f>
        <v>47.655608584385583</v>
      </c>
      <c r="L26" s="356">
        <f t="shared" si="22"/>
        <v>47.525402003553928</v>
      </c>
      <c r="M26" s="356">
        <f t="shared" si="22"/>
        <v>47.525402003553928</v>
      </c>
      <c r="N26" s="356">
        <f t="shared" si="22"/>
        <v>47.525402003553928</v>
      </c>
      <c r="O26" s="356">
        <f t="shared" si="22"/>
        <v>47.655608584385583</v>
      </c>
      <c r="P26" s="356">
        <f t="shared" si="22"/>
        <v>47.655608584385583</v>
      </c>
      <c r="Q26" s="356">
        <f t="shared" si="22"/>
        <v>47.655608584385583</v>
      </c>
      <c r="R26" s="356">
        <f t="shared" si="22"/>
        <v>47.655608584385583</v>
      </c>
      <c r="S26" s="356">
        <f t="shared" si="22"/>
        <v>47.655608584385583</v>
      </c>
      <c r="T26" s="356">
        <f t="shared" si="22"/>
        <v>47.655608584385583</v>
      </c>
    </row>
    <row r="27" spans="2:20" ht="17.25" thickTop="1" thickBot="1" x14ac:dyDescent="0.3">
      <c r="B27" s="23" t="s">
        <v>343</v>
      </c>
      <c r="C27" s="24">
        <v>0</v>
      </c>
      <c r="D27" s="25">
        <f t="shared" ref="D27:I27" si="23">D3/D26</f>
        <v>8.9815725664422867</v>
      </c>
      <c r="E27" s="25">
        <f t="shared" si="23"/>
        <v>8.0704086654021463</v>
      </c>
      <c r="F27" s="25">
        <f t="shared" si="23"/>
        <v>6.7548237615761897</v>
      </c>
      <c r="G27" s="25">
        <f t="shared" si="23"/>
        <v>7.3321287759500162</v>
      </c>
      <c r="H27" s="25">
        <f t="shared" si="23"/>
        <v>7.4211282706615194</v>
      </c>
      <c r="I27" s="25">
        <f t="shared" si="23"/>
        <v>7.5205581688454597</v>
      </c>
      <c r="J27" s="7"/>
      <c r="K27" s="26">
        <f>AVERAGE($D$27:$I$27)</f>
        <v>7.6801033681462698</v>
      </c>
      <c r="L27" s="26">
        <f t="shared" ref="L27:T27" si="24">AVERAGE($D$27:$I$27)</f>
        <v>7.6801033681462698</v>
      </c>
      <c r="M27" s="26">
        <f t="shared" si="24"/>
        <v>7.6801033681462698</v>
      </c>
      <c r="N27" s="26">
        <f t="shared" si="24"/>
        <v>7.6801033681462698</v>
      </c>
      <c r="O27" s="26">
        <f t="shared" si="24"/>
        <v>7.6801033681462698</v>
      </c>
      <c r="P27" s="26">
        <f t="shared" si="24"/>
        <v>7.6801033681462698</v>
      </c>
      <c r="Q27" s="26">
        <f t="shared" si="24"/>
        <v>7.6801033681462698</v>
      </c>
      <c r="R27" s="26">
        <f t="shared" si="24"/>
        <v>7.6801033681462698</v>
      </c>
      <c r="S27" s="26">
        <f t="shared" si="24"/>
        <v>7.6801033681462698</v>
      </c>
      <c r="T27" s="26">
        <f t="shared" si="24"/>
        <v>7.6801033681462698</v>
      </c>
    </row>
    <row r="28" spans="2:20" ht="5.0999999999999996" customHeight="1" thickTop="1" x14ac:dyDescent="0.25">
      <c r="B28" s="9"/>
      <c r="C28" s="5"/>
      <c r="D28" s="6"/>
      <c r="E28" s="6"/>
      <c r="F28" s="6"/>
      <c r="G28" s="6"/>
      <c r="H28" s="6"/>
      <c r="I28" s="6"/>
      <c r="J28" s="7"/>
      <c r="K28" s="8"/>
      <c r="L28" s="8"/>
      <c r="M28" s="8"/>
      <c r="N28" s="8"/>
      <c r="O28" s="8"/>
      <c r="P28" s="8"/>
    </row>
    <row r="29" spans="2:20" ht="15" customHeight="1" x14ac:dyDescent="0.3">
      <c r="B29" s="68" t="s">
        <v>192</v>
      </c>
      <c r="C29" s="5"/>
      <c r="D29" s="6"/>
      <c r="E29" s="6"/>
      <c r="F29" s="6"/>
      <c r="G29" s="6"/>
      <c r="H29" s="6"/>
      <c r="I29" s="6"/>
      <c r="J29" s="7"/>
      <c r="K29" s="8"/>
      <c r="L29" s="8"/>
      <c r="M29" s="8"/>
      <c r="N29" s="8"/>
      <c r="O29" s="8"/>
      <c r="P29" s="8"/>
    </row>
    <row r="30" spans="2:20" ht="15" customHeight="1" x14ac:dyDescent="0.25">
      <c r="B30" s="36" t="s">
        <v>155</v>
      </c>
      <c r="C30" s="5"/>
      <c r="D30" s="6"/>
      <c r="E30" s="6"/>
      <c r="F30" s="6"/>
      <c r="G30" s="6"/>
      <c r="H30" s="6"/>
      <c r="I30" s="6"/>
      <c r="J30" s="7"/>
      <c r="K30" s="8"/>
      <c r="L30" s="8"/>
      <c r="M30" s="8"/>
      <c r="N30" s="8"/>
      <c r="O30" s="8"/>
      <c r="P30" s="8"/>
    </row>
    <row r="31" spans="2:20" ht="15" customHeight="1" x14ac:dyDescent="0.25">
      <c r="B31" s="19" t="s">
        <v>84</v>
      </c>
      <c r="C31" s="56">
        <f>BS!C61</f>
        <v>151.80000000000001</v>
      </c>
      <c r="D31" s="56">
        <f>BS!D61</f>
        <v>237.7</v>
      </c>
      <c r="E31" s="56">
        <f>BS!E61</f>
        <v>364.4</v>
      </c>
      <c r="F31" s="56">
        <f>BS!F61</f>
        <v>853.9</v>
      </c>
      <c r="G31" s="56">
        <f>BS!G61</f>
        <v>2547.8000000000002</v>
      </c>
      <c r="H31" s="56">
        <f>BS!H61</f>
        <v>2411.1999999999998</v>
      </c>
      <c r="I31" s="56">
        <f>BS!I61</f>
        <v>2715.2999999999997</v>
      </c>
      <c r="J31" s="7"/>
      <c r="K31" s="8">
        <f t="shared" ref="K31:T31" si="25">K32*K33</f>
        <v>4037.1597749763441</v>
      </c>
      <c r="L31" s="8">
        <f t="shared" si="25"/>
        <v>5324.4068575269721</v>
      </c>
      <c r="M31" s="8">
        <f t="shared" si="25"/>
        <v>6837.5953525323966</v>
      </c>
      <c r="N31" s="8">
        <f t="shared" si="25"/>
        <v>8585.5568557655406</v>
      </c>
      <c r="O31" s="8">
        <f t="shared" si="25"/>
        <v>10571.168486530703</v>
      </c>
      <c r="P31" s="8">
        <f t="shared" si="25"/>
        <v>12786.69018240448</v>
      </c>
      <c r="Q31" s="8">
        <f t="shared" si="25"/>
        <v>15214.678083017749</v>
      </c>
      <c r="R31" s="8">
        <f t="shared" si="25"/>
        <v>17915.85394131775</v>
      </c>
      <c r="S31" s="8">
        <f t="shared" si="25"/>
        <v>20893.797399867475</v>
      </c>
      <c r="T31" s="8">
        <f t="shared" si="25"/>
        <v>24147.517092983951</v>
      </c>
    </row>
    <row r="32" spans="2:20" ht="15" customHeight="1" thickBot="1" x14ac:dyDescent="0.3">
      <c r="B32" s="21" t="s">
        <v>25</v>
      </c>
      <c r="C32" s="56">
        <f>-'P &amp; L'!C30</f>
        <v>4437.8999999999996</v>
      </c>
      <c r="D32" s="56">
        <f>-'P &amp; L'!D30</f>
        <v>3840.2</v>
      </c>
      <c r="E32" s="56">
        <f>-'P &amp; L'!E30</f>
        <v>5717.2</v>
      </c>
      <c r="F32" s="56">
        <f>-'P &amp; L'!F30</f>
        <v>6817.5000000000009</v>
      </c>
      <c r="G32" s="56">
        <f>-'P &amp; L'!G30</f>
        <v>9257.2000000000007</v>
      </c>
      <c r="H32" s="56">
        <f>-'P &amp; L'!H30</f>
        <v>9652.2000000000007</v>
      </c>
      <c r="I32" s="56">
        <f>-'P &amp; L'!I30</f>
        <v>11110.199999999999</v>
      </c>
      <c r="J32" s="37">
        <f>-'P &amp; L'!J30</f>
        <v>0</v>
      </c>
      <c r="K32" s="37">
        <f>-'P &amp; L'!K30</f>
        <v>18049.62212692777</v>
      </c>
      <c r="L32" s="37">
        <f>-'P &amp; L'!L30</f>
        <v>23804.738277654102</v>
      </c>
      <c r="M32" s="37">
        <f>-'P &amp; L'!M30</f>
        <v>30570.009424700165</v>
      </c>
      <c r="N32" s="37">
        <f>-'P &amp; L'!N30</f>
        <v>38384.920496917948</v>
      </c>
      <c r="O32" s="37">
        <f>-'P &amp; L'!O30</f>
        <v>47262.334724685046</v>
      </c>
      <c r="P32" s="37">
        <f>-'P &amp; L'!P30</f>
        <v>57167.647284370942</v>
      </c>
      <c r="Q32" s="37">
        <f>-'P &amp; L'!Q30</f>
        <v>68022.868919754183</v>
      </c>
      <c r="R32" s="37">
        <f>-'P &amp; L'!R30</f>
        <v>80099.478778718825</v>
      </c>
      <c r="S32" s="37">
        <f>-'P &amp; L'!S30</f>
        <v>93413.480982779205</v>
      </c>
      <c r="T32" s="37">
        <f>-'P &amp; L'!T30</f>
        <v>107960.4432634682</v>
      </c>
    </row>
    <row r="33" spans="2:20" ht="15" customHeight="1" thickTop="1" thickBot="1" x14ac:dyDescent="0.3">
      <c r="B33" s="95" t="s">
        <v>108</v>
      </c>
      <c r="C33" s="96">
        <f>C31/C32</f>
        <v>3.4205367403501663E-2</v>
      </c>
      <c r="D33" s="96">
        <f t="shared" ref="D33:I33" si="26">D31/D32</f>
        <v>6.1897817821988436E-2</v>
      </c>
      <c r="E33" s="96">
        <f t="shared" si="26"/>
        <v>6.3737493878122151E-2</v>
      </c>
      <c r="F33" s="96">
        <f t="shared" si="26"/>
        <v>0.12525119178584523</v>
      </c>
      <c r="G33" s="96">
        <f t="shared" si="26"/>
        <v>0.27522360973080412</v>
      </c>
      <c r="H33" s="96">
        <f t="shared" si="26"/>
        <v>0.2498083338513499</v>
      </c>
      <c r="I33" s="96">
        <f t="shared" si="26"/>
        <v>0.2443970405573257</v>
      </c>
      <c r="J33" s="97"/>
      <c r="K33" s="98">
        <f>AVERAGE($F$33:$I$33)</f>
        <v>0.22367004398133125</v>
      </c>
      <c r="L33" s="98">
        <f t="shared" ref="L33:T33" si="27">AVERAGE($F$33:$I$33)</f>
        <v>0.22367004398133125</v>
      </c>
      <c r="M33" s="98">
        <f t="shared" si="27"/>
        <v>0.22367004398133125</v>
      </c>
      <c r="N33" s="98">
        <f t="shared" si="27"/>
        <v>0.22367004398133125</v>
      </c>
      <c r="O33" s="98">
        <f t="shared" si="27"/>
        <v>0.22367004398133125</v>
      </c>
      <c r="P33" s="98">
        <f t="shared" si="27"/>
        <v>0.22367004398133125</v>
      </c>
      <c r="Q33" s="98">
        <f t="shared" si="27"/>
        <v>0.22367004398133125</v>
      </c>
      <c r="R33" s="98">
        <f t="shared" si="27"/>
        <v>0.22367004398133125</v>
      </c>
      <c r="S33" s="98">
        <f t="shared" si="27"/>
        <v>0.22367004398133125</v>
      </c>
      <c r="T33" s="98">
        <f t="shared" si="27"/>
        <v>0.22367004398133125</v>
      </c>
    </row>
    <row r="34" spans="2:20" ht="5.0999999999999996" customHeight="1" thickTop="1" x14ac:dyDescent="0.25">
      <c r="B34" s="21"/>
      <c r="C34" s="5"/>
      <c r="D34" s="6"/>
      <c r="E34" s="6"/>
      <c r="F34" s="6"/>
      <c r="G34" s="6"/>
      <c r="H34" s="6"/>
      <c r="I34" s="6"/>
      <c r="J34" s="7"/>
      <c r="K34" s="8"/>
      <c r="L34" s="8"/>
      <c r="M34" s="8"/>
      <c r="N34" s="8"/>
      <c r="O34" s="8"/>
      <c r="P34" s="8"/>
    </row>
    <row r="35" spans="2:20" ht="15" customHeight="1" x14ac:dyDescent="0.25">
      <c r="B35" s="38" t="s">
        <v>101</v>
      </c>
      <c r="C35" s="5"/>
      <c r="D35" s="6"/>
      <c r="E35" s="6"/>
      <c r="F35" s="6"/>
      <c r="G35" s="6"/>
      <c r="H35" s="6"/>
      <c r="I35" s="6"/>
      <c r="J35" s="7"/>
      <c r="K35" s="8"/>
      <c r="L35" s="8"/>
      <c r="M35" s="8"/>
      <c r="N35" s="8"/>
      <c r="O35" s="8"/>
      <c r="P35" s="8"/>
      <c r="Q35" s="8"/>
      <c r="R35" s="8"/>
      <c r="S35" s="8"/>
      <c r="T35" s="8"/>
    </row>
    <row r="36" spans="2:20" ht="15" customHeight="1" thickBot="1" x14ac:dyDescent="0.3">
      <c r="B36" s="9" t="s">
        <v>103</v>
      </c>
      <c r="C36" s="56">
        <f>BS!C58</f>
        <v>1779.4</v>
      </c>
      <c r="D36" s="56">
        <f>BS!D58</f>
        <v>2697.7999999999997</v>
      </c>
      <c r="E36" s="56">
        <f>BS!E58</f>
        <v>2829.2000000000003</v>
      </c>
      <c r="F36" s="56">
        <f>BS!F58</f>
        <v>2894.6</v>
      </c>
      <c r="G36" s="56">
        <f>BS!G58</f>
        <v>3898.5</v>
      </c>
      <c r="H36" s="56">
        <f>BS!H58</f>
        <v>4486.3999999999996</v>
      </c>
      <c r="I36" s="56">
        <f>BS!I58</f>
        <v>6371.9000000000005</v>
      </c>
      <c r="J36" s="7"/>
      <c r="K36" s="8">
        <f>K37*Schedules!K8</f>
        <v>2475.1086788295647</v>
      </c>
      <c r="L36" s="8">
        <f>L37*Schedules!L8</f>
        <v>5016.9929829442071</v>
      </c>
      <c r="M36" s="8">
        <f>M37*Schedules!M8</f>
        <v>5673.061296098449</v>
      </c>
      <c r="N36" s="8">
        <f>N37*Schedules!N8</f>
        <v>6139.0627597065359</v>
      </c>
      <c r="O36" s="8">
        <f>O37*Schedules!O8</f>
        <v>6613.8169464571747</v>
      </c>
      <c r="P36" s="8">
        <f>P37*Schedules!P8</f>
        <v>7097.4523106668557</v>
      </c>
      <c r="Q36" s="8">
        <f>Q37*Schedules!Q8</f>
        <v>7590.0990004660853</v>
      </c>
      <c r="R36" s="8">
        <f>R37*Schedules!R8</f>
        <v>8091.888878830232</v>
      </c>
      <c r="S36" s="8">
        <f>S37*Schedules!S8</f>
        <v>8602.9555448616156</v>
      </c>
      <c r="T36" s="8">
        <f>T37*Schedules!T8</f>
        <v>9123.434355325744</v>
      </c>
    </row>
    <row r="37" spans="2:20" ht="15" customHeight="1" thickTop="1" thickBot="1" x14ac:dyDescent="0.3">
      <c r="B37" s="72" t="s">
        <v>102</v>
      </c>
      <c r="C37" s="73">
        <f>C36/Schedules!C8</f>
        <v>0.11955360562225792</v>
      </c>
      <c r="D37" s="73">
        <f>D36/Schedules!D8</f>
        <v>0.23687976889778639</v>
      </c>
      <c r="E37" s="73">
        <f>E36/Schedules!E8</f>
        <v>0.13152585237045925</v>
      </c>
      <c r="F37" s="73">
        <f>F36/Schedules!F8</f>
        <v>0.11949405130491499</v>
      </c>
      <c r="G37" s="73">
        <f>G36/Schedules!G8</f>
        <v>0.15117965502264691</v>
      </c>
      <c r="H37" s="73">
        <f>H36/Schedules!H8</f>
        <v>0.13867715152976379</v>
      </c>
      <c r="I37" s="73">
        <f>I36/Schedules!I8</f>
        <v>0.15882855868049586</v>
      </c>
      <c r="J37" s="74"/>
      <c r="K37" s="75">
        <f>AVERAGE($C$37:$I$37)</f>
        <v>0.15087694906118929</v>
      </c>
      <c r="L37" s="75">
        <f t="shared" ref="L37:T37" si="28">AVERAGE($C$37:$I$37)</f>
        <v>0.15087694906118929</v>
      </c>
      <c r="M37" s="75">
        <f t="shared" si="28"/>
        <v>0.15087694906118929</v>
      </c>
      <c r="N37" s="75">
        <f t="shared" si="28"/>
        <v>0.15087694906118929</v>
      </c>
      <c r="O37" s="75">
        <f t="shared" si="28"/>
        <v>0.15087694906118929</v>
      </c>
      <c r="P37" s="75">
        <f t="shared" si="28"/>
        <v>0.15087694906118929</v>
      </c>
      <c r="Q37" s="75">
        <f t="shared" si="28"/>
        <v>0.15087694906118929</v>
      </c>
      <c r="R37" s="75">
        <f t="shared" si="28"/>
        <v>0.15087694906118929</v>
      </c>
      <c r="S37" s="75">
        <f t="shared" si="28"/>
        <v>0.15087694906118929</v>
      </c>
      <c r="T37" s="75">
        <f t="shared" si="28"/>
        <v>0.15087694906118929</v>
      </c>
    </row>
    <row r="38" spans="2:20" ht="5.0999999999999996" customHeight="1" thickTop="1" x14ac:dyDescent="0.25">
      <c r="B38" s="9"/>
      <c r="C38" s="5"/>
      <c r="D38" s="6"/>
      <c r="E38" s="6"/>
      <c r="F38" s="6"/>
      <c r="G38" s="6"/>
      <c r="H38" s="6"/>
      <c r="I38" s="6"/>
      <c r="J38" s="7"/>
      <c r="K38" s="8"/>
      <c r="L38" s="8"/>
      <c r="M38" s="8"/>
      <c r="N38" s="8"/>
      <c r="O38" s="8"/>
      <c r="P38" s="8"/>
    </row>
    <row r="39" spans="2:20" ht="15.75" x14ac:dyDescent="0.25">
      <c r="B39" s="36" t="s">
        <v>180</v>
      </c>
      <c r="C39" s="29"/>
      <c r="D39" s="29"/>
      <c r="E39" s="29"/>
      <c r="F39" s="29"/>
      <c r="G39" s="29"/>
      <c r="H39" s="29"/>
      <c r="I39" s="29"/>
      <c r="J39" s="22"/>
      <c r="K39" s="30"/>
      <c r="L39" s="30"/>
      <c r="M39" s="30"/>
      <c r="N39" s="30"/>
      <c r="O39" s="30"/>
      <c r="P39" s="30"/>
    </row>
    <row r="40" spans="2:20" ht="15.75" x14ac:dyDescent="0.25">
      <c r="B40" s="19" t="s">
        <v>182</v>
      </c>
      <c r="C40" s="53">
        <f>BS!C60</f>
        <v>207</v>
      </c>
      <c r="D40" s="53">
        <f>BS!D60</f>
        <v>407.29999999999995</v>
      </c>
      <c r="E40" s="53">
        <f>BS!E60</f>
        <v>583.69999999999993</v>
      </c>
      <c r="F40" s="53">
        <f>BS!F60</f>
        <v>508.7</v>
      </c>
      <c r="G40" s="53">
        <f>BS!G60</f>
        <v>610.4</v>
      </c>
      <c r="H40" s="53">
        <f>BS!H60</f>
        <v>491.4</v>
      </c>
      <c r="I40" s="53">
        <f>BS!I60</f>
        <v>1114.2</v>
      </c>
      <c r="J40" s="22"/>
      <c r="K40" s="57">
        <f t="shared" ref="K40:T40" si="29">K41*K42</f>
        <v>1198.6249104362823</v>
      </c>
      <c r="L40" s="57">
        <f t="shared" si="29"/>
        <v>1529.4536142629925</v>
      </c>
      <c r="M40" s="57">
        <f t="shared" si="29"/>
        <v>1922.5891449271435</v>
      </c>
      <c r="N40" s="57">
        <f t="shared" si="29"/>
        <v>2374.8093216417569</v>
      </c>
      <c r="O40" s="57">
        <f t="shared" si="29"/>
        <v>2886.3440586577431</v>
      </c>
      <c r="P40" s="57">
        <f t="shared" si="29"/>
        <v>3455.3208615551566</v>
      </c>
      <c r="Q40" s="57">
        <f t="shared" si="29"/>
        <v>4077.4797998002414</v>
      </c>
      <c r="R40" s="57">
        <f t="shared" si="29"/>
        <v>4767.7467838193425</v>
      </c>
      <c r="S40" s="57">
        <f t="shared" si="29"/>
        <v>5527.0119736745883</v>
      </c>
      <c r="T40" s="57">
        <f t="shared" si="29"/>
        <v>6355.0402489899116</v>
      </c>
    </row>
    <row r="41" spans="2:20" ht="16.5" thickBot="1" x14ac:dyDescent="0.3">
      <c r="B41" s="19" t="s">
        <v>181</v>
      </c>
      <c r="C41" s="54">
        <f>-'P &amp; L'!C14</f>
        <v>4561</v>
      </c>
      <c r="D41" s="54">
        <f>-'P &amp; L'!D14</f>
        <v>5365.7000000000007</v>
      </c>
      <c r="E41" s="54">
        <f>-'P &amp; L'!E14</f>
        <v>6162.1</v>
      </c>
      <c r="F41" s="54">
        <f>-'P &amp; L'!F14</f>
        <v>7469.7000000000007</v>
      </c>
      <c r="G41" s="54">
        <f>-'P &amp; L'!G14</f>
        <v>9061.2000000000007</v>
      </c>
      <c r="H41" s="54">
        <f>-'P &amp; L'!H14</f>
        <v>11659</v>
      </c>
      <c r="I41" s="54">
        <f>-'P &amp; L'!I14</f>
        <v>15414.8</v>
      </c>
      <c r="J41" s="22"/>
      <c r="K41" s="55">
        <f>-'P &amp; L'!K14</f>
        <v>18008.500089026213</v>
      </c>
      <c r="L41" s="55">
        <f>-'P &amp; L'!L14</f>
        <v>22978.969741744513</v>
      </c>
      <c r="M41" s="55">
        <f>-'P &amp; L'!M14</f>
        <v>28885.555844971579</v>
      </c>
      <c r="N41" s="55">
        <f>-'P &amp; L'!N14</f>
        <v>35679.847388320479</v>
      </c>
      <c r="O41" s="55">
        <f>-'P &amp; L'!O14</f>
        <v>43365.298672441844</v>
      </c>
      <c r="P41" s="55">
        <f>-'P &amp; L'!P14</f>
        <v>51913.776779660868</v>
      </c>
      <c r="Q41" s="55">
        <f>-'P &amp; L'!Q14</f>
        <v>61261.279236202434</v>
      </c>
      <c r="R41" s="55">
        <f>-'P &amp; L'!R14</f>
        <v>71632.057396181815</v>
      </c>
      <c r="S41" s="55">
        <f>-'P &amp; L'!S14</f>
        <v>83039.485291306934</v>
      </c>
      <c r="T41" s="55">
        <f>-'P &amp; L'!T14</f>
        <v>95480.030402541626</v>
      </c>
    </row>
    <row r="42" spans="2:20" ht="17.25" thickTop="1" thickBot="1" x14ac:dyDescent="0.3">
      <c r="B42" s="76" t="s">
        <v>183</v>
      </c>
      <c r="C42" s="73">
        <f>C40/C41</f>
        <v>4.5384784038588026E-2</v>
      </c>
      <c r="D42" s="73">
        <f t="shared" ref="D42:I42" si="30">D40/D41</f>
        <v>7.5908082822371714E-2</v>
      </c>
      <c r="E42" s="73">
        <f t="shared" si="30"/>
        <v>9.4724201165187177E-2</v>
      </c>
      <c r="F42" s="73">
        <f t="shared" si="30"/>
        <v>6.8101797930305089E-2</v>
      </c>
      <c r="G42" s="73">
        <f t="shared" si="30"/>
        <v>6.7364146029223498E-2</v>
      </c>
      <c r="H42" s="73">
        <f t="shared" si="30"/>
        <v>4.214769705806673E-2</v>
      </c>
      <c r="I42" s="73">
        <f t="shared" si="30"/>
        <v>7.2281184316371289E-2</v>
      </c>
      <c r="J42" s="49"/>
      <c r="K42" s="75">
        <f t="shared" ref="K42:T42" si="31">AVERAGE($C$42:$I$42)</f>
        <v>6.6558841908587657E-2</v>
      </c>
      <c r="L42" s="75">
        <f t="shared" si="31"/>
        <v>6.6558841908587657E-2</v>
      </c>
      <c r="M42" s="75">
        <f t="shared" si="31"/>
        <v>6.6558841908587657E-2</v>
      </c>
      <c r="N42" s="75">
        <f t="shared" si="31"/>
        <v>6.6558841908587657E-2</v>
      </c>
      <c r="O42" s="75">
        <f t="shared" si="31"/>
        <v>6.6558841908587657E-2</v>
      </c>
      <c r="P42" s="75">
        <f t="shared" si="31"/>
        <v>6.6558841908587657E-2</v>
      </c>
      <c r="Q42" s="75">
        <f t="shared" si="31"/>
        <v>6.6558841908587657E-2</v>
      </c>
      <c r="R42" s="75">
        <f t="shared" si="31"/>
        <v>6.6558841908587657E-2</v>
      </c>
      <c r="S42" s="75">
        <f t="shared" si="31"/>
        <v>6.6558841908587657E-2</v>
      </c>
      <c r="T42" s="75">
        <f t="shared" si="31"/>
        <v>6.6558841908587657E-2</v>
      </c>
    </row>
    <row r="43" spans="2:20" ht="5.0999999999999996" customHeight="1" thickTop="1" x14ac:dyDescent="0.25">
      <c r="B43" s="19"/>
      <c r="C43" s="29"/>
      <c r="D43" s="29"/>
      <c r="E43" s="29"/>
      <c r="F43" s="29"/>
      <c r="G43" s="29"/>
      <c r="H43" s="29"/>
      <c r="I43" s="29"/>
      <c r="J43" s="22"/>
      <c r="K43" s="30"/>
      <c r="L43" s="30"/>
      <c r="M43" s="30"/>
      <c r="N43" s="30"/>
      <c r="O43" s="30"/>
      <c r="P43" s="30"/>
    </row>
    <row r="44" spans="2:20" ht="15.75" x14ac:dyDescent="0.25">
      <c r="B44" s="36" t="s">
        <v>184</v>
      </c>
      <c r="C44" s="29"/>
      <c r="D44" s="29"/>
      <c r="E44" s="29"/>
      <c r="F44" s="29"/>
      <c r="G44" s="29"/>
      <c r="H44" s="29"/>
      <c r="I44" s="29"/>
      <c r="J44" s="22"/>
      <c r="K44" s="30"/>
      <c r="L44" s="30"/>
      <c r="M44" s="30"/>
      <c r="N44" s="30"/>
      <c r="O44" s="30"/>
      <c r="P44" s="30"/>
    </row>
    <row r="45" spans="2:20" ht="15.75" x14ac:dyDescent="0.25">
      <c r="B45" s="19" t="s">
        <v>185</v>
      </c>
      <c r="C45" s="53">
        <v>181.6</v>
      </c>
      <c r="D45" s="53">
        <v>371.2</v>
      </c>
      <c r="E45" s="53">
        <v>469.79999999999995</v>
      </c>
      <c r="F45" s="53">
        <v>954.6</v>
      </c>
      <c r="G45" s="53">
        <v>679</v>
      </c>
      <c r="H45" s="53">
        <v>959.6</v>
      </c>
      <c r="I45" s="53">
        <v>786.2</v>
      </c>
      <c r="J45" s="22"/>
      <c r="K45" s="55">
        <f>K50*'P &amp; L'!K8</f>
        <v>1321.2921520497832</v>
      </c>
      <c r="L45" s="55">
        <f>L50*'P &amp; L'!L8</f>
        <v>1685.9778566710295</v>
      </c>
      <c r="M45" s="55">
        <f>M50*'P &amp; L'!M8</f>
        <v>2119.3468671393657</v>
      </c>
      <c r="N45" s="55">
        <f>N50*'P &amp; L'!N8</f>
        <v>2617.8472447713452</v>
      </c>
      <c r="O45" s="55">
        <f>O50*'P &amp; L'!O8</f>
        <v>3181.7324332362332</v>
      </c>
      <c r="P45" s="55">
        <f>P50*'P &amp; L'!P8</f>
        <v>3808.9383070847002</v>
      </c>
      <c r="Q45" s="55">
        <f>Q50*'P &amp; L'!Q8</f>
        <v>4494.7689746049009</v>
      </c>
      <c r="R45" s="55">
        <f>R50*'P &amp; L'!R8</f>
        <v>5255.6778635012115</v>
      </c>
      <c r="S45" s="55">
        <f>S50*'P &amp; L'!S8</f>
        <v>6092.6462327929603</v>
      </c>
      <c r="T45" s="55">
        <f>T50*'P &amp; L'!T8</f>
        <v>7005.4148998910177</v>
      </c>
    </row>
    <row r="46" spans="2:20" ht="15.75" x14ac:dyDescent="0.25">
      <c r="B46" s="19" t="s">
        <v>186</v>
      </c>
      <c r="C46" s="53">
        <v>25.4</v>
      </c>
      <c r="D46" s="53">
        <v>36.1</v>
      </c>
      <c r="E46" s="53">
        <v>92.300000000000011</v>
      </c>
      <c r="F46" s="53">
        <v>183.4</v>
      </c>
      <c r="G46" s="53">
        <v>205.9</v>
      </c>
      <c r="H46" s="53">
        <v>233.2</v>
      </c>
      <c r="I46" s="53">
        <v>280</v>
      </c>
      <c r="J46" s="22"/>
      <c r="K46" s="55">
        <f>K51*'P &amp; L'!K8</f>
        <v>285.32198098680379</v>
      </c>
      <c r="L46" s="55">
        <f>L51*'P &amp; L'!L8</f>
        <v>364.07280647129653</v>
      </c>
      <c r="M46" s="55">
        <f>M51*'P &amp; L'!M8</f>
        <v>457.65521697248124</v>
      </c>
      <c r="N46" s="55">
        <f>N51*'P &amp; L'!N8</f>
        <v>565.30220106148317</v>
      </c>
      <c r="O46" s="55">
        <f>O51*'P &amp; L'!O8</f>
        <v>687.06848777735024</v>
      </c>
      <c r="P46" s="55">
        <f>P51*'P &amp; L'!P8</f>
        <v>822.50834650608158</v>
      </c>
      <c r="Q46" s="55">
        <f>Q51*'P &amp; L'!Q8</f>
        <v>970.60773873723497</v>
      </c>
      <c r="R46" s="55">
        <f>R51*'P &amp; L'!R8</f>
        <v>1134.9196444679692</v>
      </c>
      <c r="S46" s="55">
        <f>S51*'P &amp; L'!S8</f>
        <v>1315.6559583703461</v>
      </c>
      <c r="T46" s="55">
        <f>T51*'P &amp; L'!T8</f>
        <v>1512.7607121336075</v>
      </c>
    </row>
    <row r="47" spans="2:20" ht="16.5" thickBot="1" x14ac:dyDescent="0.3">
      <c r="B47" s="61" t="s">
        <v>187</v>
      </c>
      <c r="C47" s="62">
        <v>0</v>
      </c>
      <c r="D47" s="62">
        <v>0</v>
      </c>
      <c r="E47" s="62">
        <v>21.6</v>
      </c>
      <c r="F47" s="62">
        <v>73.8</v>
      </c>
      <c r="G47" s="62">
        <v>72.5</v>
      </c>
      <c r="H47" s="62">
        <v>193.4</v>
      </c>
      <c r="I47" s="62">
        <v>348.2</v>
      </c>
      <c r="J47" s="63"/>
      <c r="K47" s="64">
        <f>K52*'P &amp; L'!K32</f>
        <v>572.02077270276686</v>
      </c>
      <c r="L47" s="64">
        <f>L52*'P &amp; L'!L32</f>
        <v>754.40941022561731</v>
      </c>
      <c r="M47" s="64">
        <f>M52*'P &amp; L'!M32</f>
        <v>968.81144046555539</v>
      </c>
      <c r="N47" s="64">
        <f>N52*'P &amp; L'!N32</f>
        <v>1216.4782026114681</v>
      </c>
      <c r="O47" s="64">
        <f>O52*'P &amp; L'!O32</f>
        <v>1497.8173525648644</v>
      </c>
      <c r="P47" s="64">
        <f>P52*'P &amp; L'!P32</f>
        <v>1811.7322093086475</v>
      </c>
      <c r="Q47" s="64">
        <f>Q52*'P &amp; L'!Q32</f>
        <v>2155.751171260657</v>
      </c>
      <c r="R47" s="64">
        <f>R52*'P &amp; L'!R32</f>
        <v>2538.4778374798261</v>
      </c>
      <c r="S47" s="64">
        <f>S52*'P &amp; L'!S32</f>
        <v>2960.4194036232529</v>
      </c>
      <c r="T47" s="64">
        <f>T52*'P &amp; L'!T32</f>
        <v>3421.4354041667543</v>
      </c>
    </row>
    <row r="48" spans="2:20" ht="17.25" thickTop="1" thickBot="1" x14ac:dyDescent="0.3">
      <c r="B48" s="58" t="s">
        <v>191</v>
      </c>
      <c r="C48" s="65">
        <f>SUM(C45:C47)</f>
        <v>207</v>
      </c>
      <c r="D48" s="65">
        <f t="shared" ref="D48:I48" si="32">SUM(D45:D47)</f>
        <v>407.3</v>
      </c>
      <c r="E48" s="65">
        <f t="shared" si="32"/>
        <v>583.69999999999993</v>
      </c>
      <c r="F48" s="65">
        <f t="shared" si="32"/>
        <v>1211.8</v>
      </c>
      <c r="G48" s="65">
        <f t="shared" si="32"/>
        <v>957.4</v>
      </c>
      <c r="H48" s="65">
        <f t="shared" si="32"/>
        <v>1386.2</v>
      </c>
      <c r="I48" s="65">
        <f t="shared" si="32"/>
        <v>1414.4</v>
      </c>
      <c r="J48" s="66"/>
      <c r="K48" s="67">
        <f t="shared" ref="K48:T48" si="33">SUM(K45:K47)</f>
        <v>2178.6349057393536</v>
      </c>
      <c r="L48" s="67">
        <f t="shared" si="33"/>
        <v>2804.4600733679431</v>
      </c>
      <c r="M48" s="67">
        <f t="shared" si="33"/>
        <v>3545.8135245774024</v>
      </c>
      <c r="N48" s="67">
        <f t="shared" si="33"/>
        <v>4399.6276484442969</v>
      </c>
      <c r="O48" s="67">
        <f t="shared" si="33"/>
        <v>5366.6182735784478</v>
      </c>
      <c r="P48" s="67">
        <f t="shared" si="33"/>
        <v>6443.1788628994291</v>
      </c>
      <c r="Q48" s="67">
        <f t="shared" si="33"/>
        <v>7621.1278846027926</v>
      </c>
      <c r="R48" s="67">
        <f t="shared" si="33"/>
        <v>8929.0753454490077</v>
      </c>
      <c r="S48" s="67">
        <f t="shared" si="33"/>
        <v>10368.721594786559</v>
      </c>
      <c r="T48" s="67">
        <f t="shared" si="33"/>
        <v>11939.611016191378</v>
      </c>
    </row>
    <row r="49" spans="2:20" ht="5.0999999999999996" customHeight="1" thickTop="1" x14ac:dyDescent="0.25">
      <c r="B49" s="19"/>
      <c r="C49" s="52"/>
      <c r="D49" s="53"/>
      <c r="E49" s="53"/>
      <c r="F49" s="53"/>
      <c r="G49" s="53"/>
      <c r="H49" s="53"/>
      <c r="I49" s="53"/>
      <c r="J49" s="22"/>
      <c r="K49" s="55"/>
      <c r="L49" s="55"/>
      <c r="M49" s="55"/>
      <c r="N49" s="55"/>
      <c r="O49" s="55"/>
      <c r="P49" s="55"/>
      <c r="Q49" s="55"/>
      <c r="R49" s="55"/>
      <c r="S49" s="55"/>
      <c r="T49" s="55"/>
    </row>
    <row r="50" spans="2:20" ht="15.75" x14ac:dyDescent="0.25">
      <c r="B50" s="51" t="s">
        <v>188</v>
      </c>
      <c r="C50" s="59">
        <f>C45/'P &amp; L'!C8</f>
        <v>7.3019115246359095E-4</v>
      </c>
      <c r="D50" s="59">
        <f>D45/'P &amp; L'!D8</f>
        <v>1.5375018742446068E-3</v>
      </c>
      <c r="E50" s="59">
        <f>E45/'P &amp; L'!E8</f>
        <v>1.5166448381293161E-3</v>
      </c>
      <c r="F50" s="59">
        <f>F45/'P &amp; L'!F8</f>
        <v>2.2283142030403674E-3</v>
      </c>
      <c r="G50" s="59">
        <f>G45/'P &amp; L'!G8</f>
        <v>1.3369081351155363E-3</v>
      </c>
      <c r="H50" s="59">
        <f>H45/'P &amp; L'!H8</f>
        <v>1.6166299263537128E-3</v>
      </c>
      <c r="I50" s="59">
        <f>I45/'P &amp; L'!I8</f>
        <v>1.142388181237226E-3</v>
      </c>
      <c r="J50" s="49"/>
      <c r="K50" s="60">
        <f t="shared" ref="K50:T50" si="34">AVERAGE($C$50:$I$50)</f>
        <v>1.444082615797765E-3</v>
      </c>
      <c r="L50" s="60">
        <f t="shared" si="34"/>
        <v>1.444082615797765E-3</v>
      </c>
      <c r="M50" s="60">
        <f t="shared" si="34"/>
        <v>1.444082615797765E-3</v>
      </c>
      <c r="N50" s="60">
        <f t="shared" si="34"/>
        <v>1.444082615797765E-3</v>
      </c>
      <c r="O50" s="60">
        <f t="shared" si="34"/>
        <v>1.444082615797765E-3</v>
      </c>
      <c r="P50" s="60">
        <f t="shared" si="34"/>
        <v>1.444082615797765E-3</v>
      </c>
      <c r="Q50" s="60">
        <f t="shared" si="34"/>
        <v>1.444082615797765E-3</v>
      </c>
      <c r="R50" s="60">
        <f t="shared" si="34"/>
        <v>1.444082615797765E-3</v>
      </c>
      <c r="S50" s="60">
        <f t="shared" si="34"/>
        <v>1.444082615797765E-3</v>
      </c>
      <c r="T50" s="60">
        <f t="shared" si="34"/>
        <v>1.444082615797765E-3</v>
      </c>
    </row>
    <row r="51" spans="2:20" ht="15.75" x14ac:dyDescent="0.25">
      <c r="B51" s="51" t="s">
        <v>189</v>
      </c>
      <c r="C51" s="59">
        <f>C46/'P &amp; L'!C8</f>
        <v>1.021302603115375E-4</v>
      </c>
      <c r="D51" s="59">
        <f>D46/'P &amp; L'!D8</f>
        <v>1.4952537085191357E-4</v>
      </c>
      <c r="E51" s="59">
        <f>E46/'P &amp; L'!E8</f>
        <v>2.979700267333672E-4</v>
      </c>
      <c r="F51" s="59">
        <f>F46/'P &amp; L'!F8</f>
        <v>4.2810897217431741E-4</v>
      </c>
      <c r="G51" s="59">
        <f>G46/'P &amp; L'!G8</f>
        <v>4.0540410164991006E-4</v>
      </c>
      <c r="H51" s="59">
        <f>H46/'P &amp; L'!H8</f>
        <v>3.9287004879708814E-4</v>
      </c>
      <c r="I51" s="59">
        <f>I46/'P &amp; L'!I8</f>
        <v>4.0685409659936816E-4</v>
      </c>
      <c r="J51" s="49"/>
      <c r="K51" s="60">
        <f t="shared" ref="K51:T51" si="35">AVERAGE($C$51:$I$51)</f>
        <v>3.118375538739289E-4</v>
      </c>
      <c r="L51" s="60">
        <f t="shared" si="35"/>
        <v>3.118375538739289E-4</v>
      </c>
      <c r="M51" s="60">
        <f t="shared" si="35"/>
        <v>3.118375538739289E-4</v>
      </c>
      <c r="N51" s="60">
        <f t="shared" si="35"/>
        <v>3.118375538739289E-4</v>
      </c>
      <c r="O51" s="60">
        <f t="shared" si="35"/>
        <v>3.118375538739289E-4</v>
      </c>
      <c r="P51" s="60">
        <f t="shared" si="35"/>
        <v>3.118375538739289E-4</v>
      </c>
      <c r="Q51" s="60">
        <f t="shared" si="35"/>
        <v>3.118375538739289E-4</v>
      </c>
      <c r="R51" s="60">
        <f t="shared" si="35"/>
        <v>3.118375538739289E-4</v>
      </c>
      <c r="S51" s="60">
        <f t="shared" si="35"/>
        <v>3.118375538739289E-4</v>
      </c>
      <c r="T51" s="60">
        <f t="shared" si="35"/>
        <v>3.118375538739289E-4</v>
      </c>
    </row>
    <row r="52" spans="2:20" ht="15.75" x14ac:dyDescent="0.25">
      <c r="B52" s="51" t="s">
        <v>190</v>
      </c>
      <c r="C52" s="59">
        <f>C47/'P &amp; L'!C32</f>
        <v>0</v>
      </c>
      <c r="D52" s="59">
        <f>D47/'P &amp; L'!D32</f>
        <v>0</v>
      </c>
      <c r="E52" s="59">
        <f>E47/'P &amp; L'!E32</f>
        <v>1.4473331546502289E-3</v>
      </c>
      <c r="F52" s="59">
        <f>F47/'P &amp; L'!F32</f>
        <v>3.1030046166654005E-3</v>
      </c>
      <c r="G52" s="59">
        <f>G47/'P &amp; L'!G32</f>
        <v>2.8592725221938679E-3</v>
      </c>
      <c r="H52" s="59">
        <f>H47/'P &amp; L'!H32</f>
        <v>7.1432528763227541E-3</v>
      </c>
      <c r="I52" s="59">
        <f>I47/'P &amp; L'!I32</f>
        <v>1.1721537736484223E-2</v>
      </c>
      <c r="J52" s="49"/>
      <c r="K52" s="60">
        <f>I52</f>
        <v>1.1721537736484223E-2</v>
      </c>
      <c r="L52" s="60">
        <f t="shared" ref="L52:T52" si="36">K52</f>
        <v>1.1721537736484223E-2</v>
      </c>
      <c r="M52" s="60">
        <f t="shared" si="36"/>
        <v>1.1721537736484223E-2</v>
      </c>
      <c r="N52" s="60">
        <f t="shared" si="36"/>
        <v>1.1721537736484223E-2</v>
      </c>
      <c r="O52" s="60">
        <f t="shared" si="36"/>
        <v>1.1721537736484223E-2</v>
      </c>
      <c r="P52" s="60">
        <f t="shared" si="36"/>
        <v>1.1721537736484223E-2</v>
      </c>
      <c r="Q52" s="60">
        <f t="shared" si="36"/>
        <v>1.1721537736484223E-2</v>
      </c>
      <c r="R52" s="60">
        <f t="shared" si="36"/>
        <v>1.1721537736484223E-2</v>
      </c>
      <c r="S52" s="60">
        <f t="shared" si="36"/>
        <v>1.1721537736484223E-2</v>
      </c>
      <c r="T52" s="60">
        <f t="shared" si="36"/>
        <v>1.1721537736484223E-2</v>
      </c>
    </row>
    <row r="53" spans="2:20" ht="5.0999999999999996" customHeight="1" x14ac:dyDescent="0.25">
      <c r="B53" s="9"/>
      <c r="C53" s="5"/>
      <c r="D53" s="6"/>
      <c r="E53" s="6"/>
      <c r="F53" s="6"/>
      <c r="G53" s="6"/>
      <c r="H53" s="6"/>
      <c r="I53" s="6"/>
      <c r="J53" s="7"/>
      <c r="K53" s="8"/>
      <c r="L53" s="8"/>
      <c r="M53" s="8"/>
      <c r="N53" s="8"/>
      <c r="O53" s="8"/>
      <c r="P53" s="8"/>
    </row>
    <row r="54" spans="2:20" ht="15" customHeight="1" x14ac:dyDescent="0.3">
      <c r="B54" s="68" t="s">
        <v>193</v>
      </c>
      <c r="C54" s="5"/>
      <c r="D54" s="6"/>
      <c r="E54" s="6"/>
      <c r="F54" s="6"/>
      <c r="G54" s="6"/>
      <c r="H54" s="6"/>
      <c r="I54" s="6"/>
      <c r="J54" s="7"/>
      <c r="K54" s="8"/>
      <c r="L54" s="8"/>
      <c r="M54" s="8"/>
      <c r="N54" s="8"/>
      <c r="O54" s="8"/>
      <c r="P54" s="8"/>
    </row>
    <row r="55" spans="2:20" ht="15.75" x14ac:dyDescent="0.25">
      <c r="B55" s="17" t="s">
        <v>95</v>
      </c>
      <c r="C55" s="5"/>
      <c r="D55" s="6"/>
      <c r="E55" s="6"/>
      <c r="F55" s="6"/>
      <c r="G55" s="6"/>
      <c r="H55" s="6"/>
      <c r="I55" s="27"/>
      <c r="J55" s="7"/>
      <c r="K55" s="8"/>
      <c r="L55" s="8"/>
      <c r="M55" s="8"/>
      <c r="N55" s="8"/>
      <c r="O55" s="8"/>
      <c r="P55" s="8"/>
    </row>
    <row r="56" spans="2:20" ht="16.5" thickBot="1" x14ac:dyDescent="0.3">
      <c r="B56" s="19" t="s">
        <v>75</v>
      </c>
      <c r="C56" s="56">
        <f>BS!C31</f>
        <v>1491</v>
      </c>
      <c r="D56" s="56">
        <f>BS!D31</f>
        <v>1528.3000000000002</v>
      </c>
      <c r="E56" s="56">
        <f>BS!E31</f>
        <v>2013.3000000000002</v>
      </c>
      <c r="F56" s="56">
        <f>BS!F31</f>
        <v>2154.6</v>
      </c>
      <c r="G56" s="56">
        <f>BS!G31</f>
        <v>2350.2000000000003</v>
      </c>
      <c r="H56" s="56">
        <f>BS!H31</f>
        <v>3062.3</v>
      </c>
      <c r="I56" s="56">
        <f>BS!I31</f>
        <v>3954.2</v>
      </c>
      <c r="J56" s="7"/>
      <c r="K56" s="8">
        <f>K57*'P &amp; L'!K8</f>
        <v>5148.1884002665511</v>
      </c>
      <c r="L56" s="8">
        <f>L57*'P &amp; L'!L8</f>
        <v>6569.1237409945834</v>
      </c>
      <c r="M56" s="8">
        <f>M57*'P &amp; L'!M8</f>
        <v>8257.6718105997224</v>
      </c>
      <c r="N56" s="8">
        <f>N57*'P &amp; L'!N8</f>
        <v>10199.993088806148</v>
      </c>
      <c r="O56" s="8">
        <f>O57*'P &amp; L'!O8</f>
        <v>12397.075075430765</v>
      </c>
      <c r="P56" s="8">
        <f>P57*'P &amp; L'!P8</f>
        <v>14840.87525945249</v>
      </c>
      <c r="Q56" s="8">
        <f>Q57*'P &amp; L'!Q8</f>
        <v>17513.096903694521</v>
      </c>
      <c r="R56" s="8">
        <f>R57*'P &amp; L'!R8</f>
        <v>20477.847969080474</v>
      </c>
      <c r="S56" s="8">
        <f>S57*'P &amp; L'!S8</f>
        <v>23738.951763190838</v>
      </c>
      <c r="T56" s="8">
        <f>T57*'P &amp; L'!T8</f>
        <v>27295.398425491101</v>
      </c>
    </row>
    <row r="57" spans="2:20" ht="17.25" thickTop="1" thickBot="1" x14ac:dyDescent="0.3">
      <c r="B57" s="76" t="s">
        <v>90</v>
      </c>
      <c r="C57" s="73">
        <f>C56/'P &amp; L'!C8</f>
        <v>5.9951266978150557E-3</v>
      </c>
      <c r="D57" s="73">
        <f>D56/'P &amp; L'!D8</f>
        <v>6.3301834978664682E-3</v>
      </c>
      <c r="E57" s="73">
        <f>E56/'P &amp; L'!E8</f>
        <v>6.4994913848568604E-3</v>
      </c>
      <c r="F57" s="73">
        <f>F56/'P &amp; L'!F8</f>
        <v>5.0294634211929352E-3</v>
      </c>
      <c r="G57" s="73">
        <f>G56/'P &amp; L'!G8</f>
        <v>4.6273954332084442E-3</v>
      </c>
      <c r="H57" s="73">
        <f>H56/'P &amp; L'!H8</f>
        <v>5.1590306622269436E-3</v>
      </c>
      <c r="I57" s="73">
        <f>I56/'P &amp; L'!I8</f>
        <v>5.7456516741900762E-3</v>
      </c>
      <c r="J57" s="49"/>
      <c r="K57" s="75">
        <f>AVERAGE($C$57:$I$57)</f>
        <v>5.6266203959081116E-3</v>
      </c>
      <c r="L57" s="75">
        <f t="shared" ref="L57:T57" si="37">AVERAGE($C$57:$I$57)</f>
        <v>5.6266203959081116E-3</v>
      </c>
      <c r="M57" s="75">
        <f t="shared" si="37"/>
        <v>5.6266203959081116E-3</v>
      </c>
      <c r="N57" s="75">
        <f t="shared" si="37"/>
        <v>5.6266203959081116E-3</v>
      </c>
      <c r="O57" s="75">
        <f t="shared" si="37"/>
        <v>5.6266203959081116E-3</v>
      </c>
      <c r="P57" s="75">
        <f t="shared" si="37"/>
        <v>5.6266203959081116E-3</v>
      </c>
      <c r="Q57" s="75">
        <f t="shared" si="37"/>
        <v>5.6266203959081116E-3</v>
      </c>
      <c r="R57" s="75">
        <f t="shared" si="37"/>
        <v>5.6266203959081116E-3</v>
      </c>
      <c r="S57" s="75">
        <f t="shared" si="37"/>
        <v>5.6266203959081116E-3</v>
      </c>
      <c r="T57" s="75">
        <f t="shared" si="37"/>
        <v>5.6266203959081116E-3</v>
      </c>
    </row>
    <row r="58" spans="2:20" ht="15.75" thickTop="1" x14ac:dyDescent="0.25"/>
  </sheetData>
  <pageMargins left="0.7" right="0.7" top="0.75" bottom="0.75" header="0.3" footer="0.3"/>
  <pageSetup paperSize="9" scale="3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86"/>
  <sheetViews>
    <sheetView showGridLines="0" zoomScale="85" zoomScaleNormal="85" workbookViewId="0">
      <pane xSplit="2" ySplit="4" topLeftCell="F5" activePane="bottomRight" state="frozen"/>
      <selection activeCell="G27" sqref="G27"/>
      <selection pane="topRight" activeCell="G27" sqref="G27"/>
      <selection pane="bottomLeft" activeCell="G27" sqref="G27"/>
      <selection pane="bottomRight" activeCell="G27" sqref="G27"/>
    </sheetView>
  </sheetViews>
  <sheetFormatPr defaultColWidth="13.7109375" defaultRowHeight="15.75" x14ac:dyDescent="0.25"/>
  <cols>
    <col min="1" max="1" width="2.7109375" style="155" customWidth="1"/>
    <col min="2" max="2" width="61.28515625" style="155" customWidth="1"/>
    <col min="3" max="9" width="14.85546875" style="156" customWidth="1"/>
    <col min="10" max="10" width="0.85546875" style="155" customWidth="1"/>
    <col min="11" max="22" width="14.85546875" style="156" customWidth="1"/>
    <col min="23" max="16384" width="13.7109375" style="156"/>
  </cols>
  <sheetData>
    <row r="3" spans="2:20" s="155" customFormat="1" ht="5.0999999999999996" customHeight="1" x14ac:dyDescent="0.25">
      <c r="S3" s="156"/>
    </row>
    <row r="4" spans="2:20" s="155" customFormat="1" ht="16.5" thickBot="1" x14ac:dyDescent="0.3">
      <c r="B4" s="346" t="s">
        <v>32</v>
      </c>
      <c r="C4" s="347">
        <v>43921</v>
      </c>
      <c r="D4" s="347">
        <f t="shared" ref="D4:I4" si="0">EOMONTH(C4,12)</f>
        <v>44286</v>
      </c>
      <c r="E4" s="347">
        <f t="shared" si="0"/>
        <v>44651</v>
      </c>
      <c r="F4" s="347">
        <f t="shared" si="0"/>
        <v>45016</v>
      </c>
      <c r="G4" s="347">
        <f t="shared" si="0"/>
        <v>45382</v>
      </c>
      <c r="H4" s="347">
        <f t="shared" si="0"/>
        <v>45747</v>
      </c>
      <c r="I4" s="348">
        <f t="shared" si="0"/>
        <v>46112</v>
      </c>
      <c r="J4" s="350"/>
      <c r="K4" s="349">
        <f>EOMONTH(I4,12)</f>
        <v>46477</v>
      </c>
      <c r="L4" s="349">
        <f t="shared" ref="L4:T4" si="1">EOMONTH(K4,12)</f>
        <v>46843</v>
      </c>
      <c r="M4" s="349">
        <f t="shared" si="1"/>
        <v>47208</v>
      </c>
      <c r="N4" s="349">
        <f t="shared" si="1"/>
        <v>47573</v>
      </c>
      <c r="O4" s="349">
        <f t="shared" si="1"/>
        <v>47938</v>
      </c>
      <c r="P4" s="349">
        <f t="shared" si="1"/>
        <v>48304</v>
      </c>
      <c r="Q4" s="349">
        <f t="shared" si="1"/>
        <v>48669</v>
      </c>
      <c r="R4" s="349">
        <f t="shared" si="1"/>
        <v>49034</v>
      </c>
      <c r="S4" s="349">
        <f t="shared" si="1"/>
        <v>49399</v>
      </c>
      <c r="T4" s="349">
        <f t="shared" si="1"/>
        <v>49765</v>
      </c>
    </row>
    <row r="5" spans="2:20" s="155" customFormat="1" ht="16.5" thickTop="1" x14ac:dyDescent="0.25">
      <c r="B5" s="157" t="s">
        <v>156</v>
      </c>
      <c r="C5" s="158"/>
      <c r="D5" s="158"/>
      <c r="E5" s="158"/>
      <c r="F5" s="158"/>
      <c r="G5" s="158"/>
      <c r="H5" s="158"/>
      <c r="I5" s="158"/>
      <c r="J5" s="159"/>
      <c r="K5" s="160"/>
      <c r="L5" s="160"/>
      <c r="M5" s="160"/>
      <c r="N5" s="160"/>
      <c r="O5" s="160"/>
      <c r="P5" s="160"/>
      <c r="Q5" s="160"/>
      <c r="R5" s="156"/>
      <c r="S5" s="156"/>
    </row>
    <row r="6" spans="2:20" x14ac:dyDescent="0.25">
      <c r="B6" s="161" t="s">
        <v>57</v>
      </c>
      <c r="C6" s="162"/>
      <c r="D6" s="162"/>
      <c r="E6" s="162"/>
      <c r="F6" s="162"/>
      <c r="G6" s="162"/>
      <c r="H6" s="158"/>
      <c r="I6" s="158"/>
      <c r="K6" s="163"/>
      <c r="L6" s="163"/>
      <c r="M6" s="163"/>
    </row>
    <row r="7" spans="2:20" x14ac:dyDescent="0.25">
      <c r="B7" s="132" t="s">
        <v>52</v>
      </c>
      <c r="C7" s="162">
        <f>48575.5-5835.2</f>
        <v>42740.3</v>
      </c>
      <c r="D7" s="162">
        <f t="shared" ref="D7:I7" si="2">C11</f>
        <v>51073.599999999999</v>
      </c>
      <c r="E7" s="162">
        <f t="shared" si="2"/>
        <v>59385</v>
      </c>
      <c r="F7" s="162">
        <f t="shared" si="2"/>
        <v>77704.600000000006</v>
      </c>
      <c r="G7" s="162">
        <f t="shared" si="2"/>
        <v>97256.1</v>
      </c>
      <c r="H7" s="162">
        <f t="shared" si="2"/>
        <v>117591.90000000001</v>
      </c>
      <c r="I7" s="162">
        <f t="shared" si="2"/>
        <v>143498.29999999999</v>
      </c>
      <c r="K7" s="163">
        <f>I11</f>
        <v>175869.5</v>
      </c>
      <c r="L7" s="163">
        <f t="shared" ref="L7:T7" si="3">K11</f>
        <v>183070.72118702403</v>
      </c>
      <c r="M7" s="163">
        <f t="shared" si="3"/>
        <v>206338.09626623773</v>
      </c>
      <c r="N7" s="163">
        <f t="shared" si="3"/>
        <v>232681.76020191846</v>
      </c>
      <c r="O7" s="163">
        <f t="shared" si="3"/>
        <v>260719.64480233958</v>
      </c>
      <c r="P7" s="163">
        <f t="shared" si="3"/>
        <v>290423.60105461959</v>
      </c>
      <c r="Q7" s="163">
        <f t="shared" si="3"/>
        <v>321767.71749654214</v>
      </c>
      <c r="R7" s="163">
        <f t="shared" si="3"/>
        <v>354728.21928482095</v>
      </c>
      <c r="S7" s="163">
        <f t="shared" si="3"/>
        <v>389283.37244585785</v>
      </c>
      <c r="T7" s="163">
        <f t="shared" si="3"/>
        <v>425413.39305149205</v>
      </c>
    </row>
    <row r="8" spans="2:20" x14ac:dyDescent="0.25">
      <c r="B8" s="131" t="s">
        <v>53</v>
      </c>
      <c r="C8" s="162">
        <v>14883.699999999999</v>
      </c>
      <c r="D8" s="162">
        <v>11388.900000000001</v>
      </c>
      <c r="E8" s="162">
        <v>21510.6</v>
      </c>
      <c r="F8" s="162">
        <v>24223.800000000003</v>
      </c>
      <c r="G8" s="162">
        <v>25787.199999999997</v>
      </c>
      <c r="H8" s="162">
        <v>32351.399999999998</v>
      </c>
      <c r="I8" s="162">
        <v>40118.1</v>
      </c>
      <c r="K8" s="163">
        <f t="shared" ref="K8:T8" si="4">-K28</f>
        <v>16404.816602075945</v>
      </c>
      <c r="L8" s="163">
        <f t="shared" si="4"/>
        <v>33252.216552374266</v>
      </c>
      <c r="M8" s="163">
        <f t="shared" si="4"/>
        <v>37600.583332300128</v>
      </c>
      <c r="N8" s="163">
        <f t="shared" si="4"/>
        <v>40689.202677453351</v>
      </c>
      <c r="O8" s="163">
        <f t="shared" si="4"/>
        <v>43835.834351176411</v>
      </c>
      <c r="P8" s="163">
        <f t="shared" si="4"/>
        <v>47041.329738106186</v>
      </c>
      <c r="Q8" s="163">
        <f t="shared" si="4"/>
        <v>50306.551449339444</v>
      </c>
      <c r="R8" s="163">
        <f t="shared" si="4"/>
        <v>53632.373461823554</v>
      </c>
      <c r="S8" s="163">
        <f t="shared" si="4"/>
        <v>57019.681259412413</v>
      </c>
      <c r="T8" s="163">
        <f t="shared" si="4"/>
        <v>60469.371975606868</v>
      </c>
    </row>
    <row r="9" spans="2:20" x14ac:dyDescent="0.25">
      <c r="B9" s="132" t="s">
        <v>54</v>
      </c>
      <c r="C9" s="162">
        <v>-2618.6999999999998</v>
      </c>
      <c r="D9" s="162">
        <v>-2892.3</v>
      </c>
      <c r="E9" s="162">
        <v>-3399.8</v>
      </c>
      <c r="F9" s="162">
        <v>-4595.8999999999996</v>
      </c>
      <c r="G9" s="162">
        <v>-5336.5</v>
      </c>
      <c r="H9" s="162">
        <v>-6327.3</v>
      </c>
      <c r="I9" s="162">
        <v>-7659.7000000000007</v>
      </c>
      <c r="K9" s="163">
        <f t="shared" ref="K9:P9" si="5">K15*(K7+K8/2)</f>
        <v>-9203.5954150518992</v>
      </c>
      <c r="L9" s="163">
        <f t="shared" si="5"/>
        <v>-9984.841473160559</v>
      </c>
      <c r="M9" s="163">
        <f t="shared" si="5"/>
        <v>-11256.919396619391</v>
      </c>
      <c r="N9" s="163">
        <f t="shared" si="5"/>
        <v>-12651.318077032258</v>
      </c>
      <c r="O9" s="163">
        <f t="shared" si="5"/>
        <v>-14131.878098896392</v>
      </c>
      <c r="P9" s="163">
        <f t="shared" si="5"/>
        <v>-15697.213296183636</v>
      </c>
      <c r="Q9" s="163">
        <f>Q15*(Q7+Q8/2)</f>
        <v>-17346.049661060595</v>
      </c>
      <c r="R9" s="163">
        <f>R15*(R7+R8/2)</f>
        <v>-19077.220300786637</v>
      </c>
      <c r="S9" s="163">
        <f>S15*(S7+S8/2)</f>
        <v>-20889.660653778206</v>
      </c>
      <c r="T9" s="163">
        <f>T15*(T7+T8/2)</f>
        <v>-22782.403951964778</v>
      </c>
    </row>
    <row r="10" spans="2:20" ht="16.5" thickBot="1" x14ac:dyDescent="0.3">
      <c r="B10" s="132" t="s">
        <v>55</v>
      </c>
      <c r="C10" s="162">
        <f t="shared" ref="C10:I10" si="6">C11-SUM(C7:C9)</f>
        <v>-3931.7000000000044</v>
      </c>
      <c r="D10" s="162">
        <f t="shared" si="6"/>
        <v>-185.19999999999709</v>
      </c>
      <c r="E10" s="162">
        <f t="shared" si="6"/>
        <v>208.80000000000291</v>
      </c>
      <c r="F10" s="162">
        <f t="shared" si="6"/>
        <v>-76.400000000008731</v>
      </c>
      <c r="G10" s="162">
        <f t="shared" si="6"/>
        <v>-114.89999999999418</v>
      </c>
      <c r="H10" s="162">
        <f t="shared" si="6"/>
        <v>-117.70000000004075</v>
      </c>
      <c r="I10" s="162">
        <f t="shared" si="6"/>
        <v>-87.199999999982538</v>
      </c>
      <c r="K10" s="163">
        <v>0</v>
      </c>
      <c r="L10" s="163">
        <v>0</v>
      </c>
      <c r="M10" s="163">
        <v>0</v>
      </c>
      <c r="N10" s="163">
        <v>0</v>
      </c>
      <c r="O10" s="163">
        <v>0</v>
      </c>
      <c r="P10" s="163">
        <v>0</v>
      </c>
      <c r="Q10" s="163">
        <v>0</v>
      </c>
      <c r="R10" s="163">
        <v>0</v>
      </c>
      <c r="S10" s="163">
        <v>0</v>
      </c>
      <c r="T10" s="163">
        <v>0</v>
      </c>
    </row>
    <row r="11" spans="2:20" ht="17.25" thickTop="1" thickBot="1" x14ac:dyDescent="0.3">
      <c r="B11" s="164" t="s">
        <v>56</v>
      </c>
      <c r="C11" s="165">
        <v>51073.599999999999</v>
      </c>
      <c r="D11" s="165">
        <v>59385</v>
      </c>
      <c r="E11" s="165">
        <v>77704.600000000006</v>
      </c>
      <c r="F11" s="165">
        <v>97256.1</v>
      </c>
      <c r="G11" s="165">
        <v>117591.90000000001</v>
      </c>
      <c r="H11" s="165">
        <v>143498.29999999999</v>
      </c>
      <c r="I11" s="165">
        <v>175869.5</v>
      </c>
      <c r="K11" s="166">
        <f t="shared" ref="K11:P11" si="7">SUM(K7:K10)</f>
        <v>183070.72118702403</v>
      </c>
      <c r="L11" s="166">
        <f t="shared" si="7"/>
        <v>206338.09626623773</v>
      </c>
      <c r="M11" s="166">
        <f t="shared" si="7"/>
        <v>232681.76020191846</v>
      </c>
      <c r="N11" s="166">
        <f t="shared" si="7"/>
        <v>260719.64480233958</v>
      </c>
      <c r="O11" s="166">
        <f t="shared" si="7"/>
        <v>290423.60105461959</v>
      </c>
      <c r="P11" s="166">
        <f t="shared" si="7"/>
        <v>321767.71749654214</v>
      </c>
      <c r="Q11" s="166">
        <f>SUM(Q7:Q10)</f>
        <v>354728.21928482095</v>
      </c>
      <c r="R11" s="166">
        <f>SUM(R7:R10)</f>
        <v>389283.37244585785</v>
      </c>
      <c r="S11" s="166">
        <f>SUM(S7:S10)</f>
        <v>425413.39305149205</v>
      </c>
      <c r="T11" s="166">
        <f>SUM(T7:T10)</f>
        <v>463100.36107513413</v>
      </c>
    </row>
    <row r="12" spans="2:20" ht="5.0999999999999996" customHeight="1" thickTop="1" x14ac:dyDescent="0.25">
      <c r="B12" s="132"/>
      <c r="C12" s="162"/>
      <c r="D12" s="162"/>
      <c r="E12" s="162"/>
      <c r="F12" s="162"/>
      <c r="G12" s="162"/>
      <c r="H12" s="133"/>
      <c r="I12" s="133"/>
      <c r="K12" s="130"/>
      <c r="L12" s="130"/>
      <c r="M12" s="130"/>
      <c r="N12" s="130"/>
      <c r="O12" s="130"/>
      <c r="P12" s="130"/>
      <c r="Q12" s="130"/>
      <c r="R12" s="130"/>
      <c r="S12" s="130"/>
      <c r="T12" s="130"/>
    </row>
    <row r="13" spans="2:20" x14ac:dyDescent="0.25">
      <c r="B13" s="132" t="s">
        <v>58</v>
      </c>
      <c r="C13" s="162">
        <f>'Revenue driver'!C8</f>
        <v>0</v>
      </c>
      <c r="D13" s="162">
        <f>'Revenue driver'!D8</f>
        <v>20</v>
      </c>
      <c r="E13" s="162">
        <f>'Revenue driver'!E8</f>
        <v>50</v>
      </c>
      <c r="F13" s="162">
        <f>'Revenue driver'!F8</f>
        <v>40</v>
      </c>
      <c r="G13" s="162">
        <f>'Revenue driver'!G8</f>
        <v>41</v>
      </c>
      <c r="H13" s="162">
        <f>'Revenue driver'!H8</f>
        <v>50</v>
      </c>
      <c r="I13" s="162">
        <f>'Revenue driver'!I8</f>
        <v>85</v>
      </c>
      <c r="K13" s="167">
        <f>'Revenue driver'!K8</f>
        <v>50</v>
      </c>
      <c r="L13" s="167">
        <f>'Revenue driver'!L8</f>
        <v>50</v>
      </c>
      <c r="M13" s="167">
        <f>'Revenue driver'!M8</f>
        <v>50</v>
      </c>
      <c r="N13" s="167">
        <f>'Revenue driver'!N8</f>
        <v>50</v>
      </c>
      <c r="O13" s="167">
        <f>'Revenue driver'!O8</f>
        <v>50</v>
      </c>
      <c r="P13" s="167">
        <f>'Revenue driver'!P8</f>
        <v>50</v>
      </c>
      <c r="Q13" s="167">
        <f>'Revenue driver'!Q8</f>
        <v>50</v>
      </c>
      <c r="R13" s="167">
        <f>'Revenue driver'!R8</f>
        <v>50</v>
      </c>
      <c r="S13" s="167">
        <f>'Revenue driver'!S8</f>
        <v>50</v>
      </c>
      <c r="T13" s="167">
        <f>'Revenue driver'!T8</f>
        <v>50</v>
      </c>
    </row>
    <row r="14" spans="2:20" x14ac:dyDescent="0.25">
      <c r="B14" s="132" t="s">
        <v>59</v>
      </c>
      <c r="C14" s="162">
        <v>0</v>
      </c>
      <c r="D14" s="162">
        <f t="shared" ref="D14:I14" si="8">D8/D13</f>
        <v>569.44500000000005</v>
      </c>
      <c r="E14" s="162">
        <f t="shared" si="8"/>
        <v>430.21199999999999</v>
      </c>
      <c r="F14" s="162">
        <f t="shared" si="8"/>
        <v>605.59500000000003</v>
      </c>
      <c r="G14" s="162">
        <f t="shared" si="8"/>
        <v>628.95609756097554</v>
      </c>
      <c r="H14" s="162">
        <f t="shared" si="8"/>
        <v>647.02799999999991</v>
      </c>
      <c r="I14" s="162">
        <f t="shared" si="8"/>
        <v>471.97764705882349</v>
      </c>
      <c r="K14" s="130">
        <v>650</v>
      </c>
      <c r="L14" s="130">
        <f t="shared" ref="L14:T14" si="9">K14+L13</f>
        <v>700</v>
      </c>
      <c r="M14" s="130">
        <f t="shared" si="9"/>
        <v>750</v>
      </c>
      <c r="N14" s="130">
        <f t="shared" si="9"/>
        <v>800</v>
      </c>
      <c r="O14" s="130">
        <f t="shared" si="9"/>
        <v>850</v>
      </c>
      <c r="P14" s="130">
        <f t="shared" si="9"/>
        <v>900</v>
      </c>
      <c r="Q14" s="130">
        <f t="shared" si="9"/>
        <v>950</v>
      </c>
      <c r="R14" s="130">
        <f t="shared" si="9"/>
        <v>1000</v>
      </c>
      <c r="S14" s="130">
        <f t="shared" si="9"/>
        <v>1050</v>
      </c>
      <c r="T14" s="130">
        <f t="shared" si="9"/>
        <v>1100</v>
      </c>
    </row>
    <row r="15" spans="2:20" x14ac:dyDescent="0.25">
      <c r="B15" s="134" t="s">
        <v>60</v>
      </c>
      <c r="C15" s="168">
        <f t="shared" ref="C15:I15" si="10">C9/(C8/2+C7)</f>
        <v>-5.218389407388882E-2</v>
      </c>
      <c r="D15" s="168">
        <f t="shared" si="10"/>
        <v>-5.0949433704346021E-2</v>
      </c>
      <c r="E15" s="168">
        <f t="shared" si="10"/>
        <v>-4.8471420852206223E-2</v>
      </c>
      <c r="F15" s="168">
        <f t="shared" si="10"/>
        <v>-5.1169885266070261E-2</v>
      </c>
      <c r="G15" s="168">
        <f t="shared" si="10"/>
        <v>-4.8447703443586315E-2</v>
      </c>
      <c r="H15" s="168">
        <f t="shared" si="10"/>
        <v>-4.730069164730473E-2</v>
      </c>
      <c r="I15" s="168">
        <f t="shared" si="10"/>
        <v>-4.683189107673854E-2</v>
      </c>
      <c r="J15" s="169"/>
      <c r="K15" s="170">
        <v>-0.05</v>
      </c>
      <c r="L15" s="170">
        <v>-0.05</v>
      </c>
      <c r="M15" s="170">
        <v>-0.05</v>
      </c>
      <c r="N15" s="170">
        <v>-0.05</v>
      </c>
      <c r="O15" s="170">
        <v>-0.05</v>
      </c>
      <c r="P15" s="170">
        <v>-0.05</v>
      </c>
      <c r="Q15" s="170">
        <v>-0.05</v>
      </c>
      <c r="R15" s="170">
        <v>-0.05</v>
      </c>
      <c r="S15" s="170">
        <v>-0.05</v>
      </c>
      <c r="T15" s="170">
        <v>-0.05</v>
      </c>
    </row>
    <row r="16" spans="2:20" ht="5.0999999999999996" customHeight="1" x14ac:dyDescent="0.25">
      <c r="B16" s="171"/>
      <c r="C16" s="162"/>
      <c r="D16" s="162"/>
      <c r="E16" s="162"/>
      <c r="F16" s="162"/>
      <c r="G16" s="162"/>
      <c r="H16" s="172"/>
      <c r="I16" s="172"/>
    </row>
    <row r="17" spans="2:20" x14ac:dyDescent="0.25">
      <c r="B17" s="173" t="s">
        <v>61</v>
      </c>
      <c r="C17" s="162"/>
      <c r="D17" s="172"/>
      <c r="E17" s="172"/>
      <c r="F17" s="172"/>
      <c r="G17" s="172"/>
      <c r="H17" s="172"/>
      <c r="I17" s="172"/>
    </row>
    <row r="18" spans="2:20" x14ac:dyDescent="0.25">
      <c r="B18" s="131" t="s">
        <v>52</v>
      </c>
      <c r="C18" s="162"/>
      <c r="D18" s="174">
        <v>7173.3</v>
      </c>
      <c r="E18" s="174">
        <v>9602.4</v>
      </c>
      <c r="F18" s="174">
        <v>13886.5</v>
      </c>
      <c r="G18" s="174">
        <v>15048.800000000001</v>
      </c>
      <c r="H18" s="174">
        <v>15391</v>
      </c>
      <c r="I18" s="174">
        <v>17417.3</v>
      </c>
      <c r="K18" s="156">
        <f>I22</f>
        <v>23814.1</v>
      </c>
      <c r="L18" s="156">
        <f t="shared" ref="L18:T18" si="11">K22</f>
        <v>25316.728499999997</v>
      </c>
      <c r="M18" s="156">
        <f t="shared" si="11"/>
        <v>26646.554722499997</v>
      </c>
      <c r="N18" s="156">
        <f t="shared" si="11"/>
        <v>27823.450929412498</v>
      </c>
      <c r="O18" s="156">
        <f t="shared" si="11"/>
        <v>28865.004072530061</v>
      </c>
      <c r="P18" s="156">
        <f t="shared" si="11"/>
        <v>29786.778604189109</v>
      </c>
      <c r="Q18" s="156">
        <f t="shared" si="11"/>
        <v>30602.54906470736</v>
      </c>
      <c r="R18" s="156">
        <f t="shared" si="11"/>
        <v>31325.448422266014</v>
      </c>
      <c r="S18" s="156">
        <f t="shared" si="11"/>
        <v>31966.156853705419</v>
      </c>
      <c r="T18" s="156">
        <f t="shared" si="11"/>
        <v>32534.126315529295</v>
      </c>
    </row>
    <row r="19" spans="2:20" x14ac:dyDescent="0.25">
      <c r="B19" s="132" t="s">
        <v>53</v>
      </c>
      <c r="C19" s="162"/>
      <c r="D19" s="175">
        <v>3313.7</v>
      </c>
      <c r="E19" s="175">
        <v>6185.4</v>
      </c>
      <c r="F19" s="175">
        <v>3262.7</v>
      </c>
      <c r="G19" s="175">
        <v>2945.8999999999996</v>
      </c>
      <c r="H19" s="176">
        <v>4663.5</v>
      </c>
      <c r="I19" s="176">
        <v>9151.4</v>
      </c>
      <c r="K19" s="156">
        <v>4500</v>
      </c>
      <c r="L19" s="156">
        <v>4500</v>
      </c>
      <c r="M19" s="156">
        <v>4500</v>
      </c>
      <c r="N19" s="156">
        <v>4500</v>
      </c>
      <c r="O19" s="156">
        <v>4500</v>
      </c>
      <c r="P19" s="156">
        <v>4500</v>
      </c>
      <c r="Q19" s="156">
        <v>4501</v>
      </c>
      <c r="R19" s="156">
        <v>4502</v>
      </c>
      <c r="S19" s="156">
        <v>4503</v>
      </c>
      <c r="T19" s="156">
        <v>4504</v>
      </c>
    </row>
    <row r="20" spans="2:20" x14ac:dyDescent="0.25">
      <c r="B20" s="132" t="s">
        <v>62</v>
      </c>
      <c r="C20" s="162"/>
      <c r="D20" s="175">
        <v>-1097</v>
      </c>
      <c r="E20" s="175">
        <v>-1427</v>
      </c>
      <c r="F20" s="175">
        <v>-1777.9</v>
      </c>
      <c r="G20" s="175">
        <v>-1954.1</v>
      </c>
      <c r="H20" s="176">
        <v>2352</v>
      </c>
      <c r="I20" s="176">
        <v>2663</v>
      </c>
      <c r="K20" s="163">
        <f t="shared" ref="K20:P20" si="12">(K18+(K19/2))*K23</f>
        <v>-2997.3714999999997</v>
      </c>
      <c r="L20" s="163">
        <f t="shared" si="12"/>
        <v>-3170.1737774999997</v>
      </c>
      <c r="M20" s="163">
        <f t="shared" si="12"/>
        <v>-3323.1037930875</v>
      </c>
      <c r="N20" s="163">
        <f t="shared" si="12"/>
        <v>-3458.4468568824373</v>
      </c>
      <c r="O20" s="163">
        <f t="shared" si="12"/>
        <v>-3578.2254683409569</v>
      </c>
      <c r="P20" s="163">
        <f t="shared" si="12"/>
        <v>-3684.2295394817475</v>
      </c>
      <c r="Q20" s="163">
        <f>(Q18+(Q19/2))*Q23</f>
        <v>-3778.1006424413467</v>
      </c>
      <c r="R20" s="163">
        <f>(R18+(R19/2))*R23</f>
        <v>-3861.2915685605913</v>
      </c>
      <c r="S20" s="163">
        <f>(S18+(S19/2))*S23</f>
        <v>-3935.0305381761232</v>
      </c>
      <c r="T20" s="163">
        <f>(T18+(T19/2))*T23</f>
        <v>-4000.4045262858695</v>
      </c>
    </row>
    <row r="21" spans="2:20" ht="16.5" thickBot="1" x14ac:dyDescent="0.3">
      <c r="B21" s="177" t="s">
        <v>55</v>
      </c>
      <c r="C21" s="162"/>
      <c r="D21" s="174">
        <v>212.39999999999964</v>
      </c>
      <c r="E21" s="174">
        <v>-474.29</v>
      </c>
      <c r="F21" s="174">
        <v>-322.5</v>
      </c>
      <c r="G21" s="174">
        <v>-649.6</v>
      </c>
      <c r="H21" s="174">
        <v>-4989.2000000000007</v>
      </c>
      <c r="I21" s="174">
        <v>-5417.6</v>
      </c>
      <c r="K21" s="156">
        <v>0</v>
      </c>
      <c r="L21" s="156">
        <v>0</v>
      </c>
      <c r="M21" s="156">
        <v>0</v>
      </c>
    </row>
    <row r="22" spans="2:20" ht="17.25" thickTop="1" thickBot="1" x14ac:dyDescent="0.3">
      <c r="B22" s="164" t="s">
        <v>56</v>
      </c>
      <c r="C22" s="178">
        <f>BS!C12</f>
        <v>7173.3</v>
      </c>
      <c r="D22" s="178">
        <f>BS!D12</f>
        <v>9602.4</v>
      </c>
      <c r="E22" s="178">
        <f>BS!E12</f>
        <v>13886.5</v>
      </c>
      <c r="F22" s="178">
        <f>BS!F12</f>
        <v>15048.800000000001</v>
      </c>
      <c r="G22" s="178">
        <f>BS!G12</f>
        <v>15391</v>
      </c>
      <c r="H22" s="178">
        <f>BS!H12</f>
        <v>17417.3</v>
      </c>
      <c r="I22" s="178">
        <f>BS!I12</f>
        <v>23814.1</v>
      </c>
      <c r="K22" s="179">
        <f t="shared" ref="K22:P22" si="13">SUM(K18:K21)</f>
        <v>25316.728499999997</v>
      </c>
      <c r="L22" s="179">
        <f t="shared" si="13"/>
        <v>26646.554722499997</v>
      </c>
      <c r="M22" s="179">
        <f t="shared" si="13"/>
        <v>27823.450929412498</v>
      </c>
      <c r="N22" s="179">
        <f t="shared" si="13"/>
        <v>28865.004072530061</v>
      </c>
      <c r="O22" s="179">
        <f t="shared" si="13"/>
        <v>29786.778604189109</v>
      </c>
      <c r="P22" s="179">
        <f t="shared" si="13"/>
        <v>30602.54906470736</v>
      </c>
      <c r="Q22" s="179">
        <f>SUM(Q18:Q21)</f>
        <v>31325.448422266014</v>
      </c>
      <c r="R22" s="179">
        <f>SUM(R18:R21)</f>
        <v>31966.156853705419</v>
      </c>
      <c r="S22" s="179">
        <f>SUM(S18:S21)</f>
        <v>32534.126315529295</v>
      </c>
      <c r="T22" s="179">
        <f>SUM(T18:T21)</f>
        <v>33037.721789243427</v>
      </c>
    </row>
    <row r="23" spans="2:20" ht="16.5" thickTop="1" x14ac:dyDescent="0.25">
      <c r="B23" s="180" t="s">
        <v>63</v>
      </c>
      <c r="C23" s="181"/>
      <c r="D23" s="182">
        <f t="shared" ref="D23:I23" si="14">D20/((D19/2)+D18)</f>
        <v>-0.1242334501678907</v>
      </c>
      <c r="E23" s="182">
        <f t="shared" si="14"/>
        <v>-0.11240557380406614</v>
      </c>
      <c r="F23" s="182">
        <f t="shared" si="14"/>
        <v>-0.11457128403741498</v>
      </c>
      <c r="G23" s="182">
        <f t="shared" si="14"/>
        <v>-0.11827439587210797</v>
      </c>
      <c r="H23" s="182">
        <f t="shared" si="14"/>
        <v>0.1327107813403676</v>
      </c>
      <c r="I23" s="182">
        <f t="shared" si="14"/>
        <v>0.1210839812667667</v>
      </c>
      <c r="J23" s="169"/>
      <c r="K23" s="170">
        <v>-0.115</v>
      </c>
      <c r="L23" s="170">
        <v>-0.115</v>
      </c>
      <c r="M23" s="170">
        <v>-0.115</v>
      </c>
      <c r="N23" s="170">
        <v>-0.115</v>
      </c>
      <c r="O23" s="170">
        <v>-0.115</v>
      </c>
      <c r="P23" s="170">
        <v>-0.115</v>
      </c>
      <c r="Q23" s="170">
        <v>-0.115</v>
      </c>
      <c r="R23" s="170">
        <v>-0.115</v>
      </c>
      <c r="S23" s="170">
        <v>-0.115</v>
      </c>
      <c r="T23" s="170">
        <v>-0.115</v>
      </c>
    </row>
    <row r="24" spans="2:20" ht="5.0999999999999996" customHeight="1" x14ac:dyDescent="0.25">
      <c r="B24" s="171"/>
      <c r="C24" s="162"/>
      <c r="D24" s="162"/>
      <c r="E24" s="162"/>
      <c r="F24" s="162"/>
      <c r="G24" s="162"/>
      <c r="H24" s="162"/>
      <c r="I24" s="162"/>
      <c r="K24" s="183"/>
      <c r="L24" s="183"/>
      <c r="M24" s="183"/>
      <c r="N24" s="183"/>
      <c r="O24" s="183"/>
      <c r="P24" s="183"/>
      <c r="Q24" s="183"/>
    </row>
    <row r="25" spans="2:20" ht="15" customHeight="1" x14ac:dyDescent="0.25">
      <c r="B25" s="161" t="s">
        <v>161</v>
      </c>
      <c r="C25" s="162"/>
      <c r="D25" s="162"/>
      <c r="E25" s="162"/>
      <c r="F25" s="162"/>
      <c r="G25" s="162"/>
      <c r="H25" s="162"/>
      <c r="I25" s="162"/>
      <c r="K25" s="183"/>
      <c r="L25" s="183"/>
      <c r="M25" s="183"/>
      <c r="N25" s="183"/>
      <c r="O25" s="183"/>
      <c r="P25" s="183"/>
      <c r="Q25" s="183"/>
    </row>
    <row r="26" spans="2:20" ht="15" customHeight="1" x14ac:dyDescent="0.25">
      <c r="B26" s="132" t="s">
        <v>157</v>
      </c>
      <c r="C26" s="174">
        <v>3768.3999999999996</v>
      </c>
      <c r="D26" s="174">
        <v>3644</v>
      </c>
      <c r="E26" s="174">
        <v>10195.9</v>
      </c>
      <c r="F26" s="174">
        <v>11293.4</v>
      </c>
      <c r="G26" s="174">
        <v>8291.6</v>
      </c>
      <c r="H26" s="174">
        <v>9352.2000000000007</v>
      </c>
      <c r="I26" s="174">
        <v>10995.5</v>
      </c>
      <c r="K26" s="184">
        <f>I29</f>
        <v>12999.6</v>
      </c>
      <c r="L26" s="184">
        <f t="shared" ref="L26:T26" si="15">K29</f>
        <v>29094.783397924053</v>
      </c>
      <c r="M26" s="184">
        <f t="shared" si="15"/>
        <v>30842.566845549787</v>
      </c>
      <c r="N26" s="184">
        <f t="shared" si="15"/>
        <v>30741.983513249666</v>
      </c>
      <c r="O26" s="184">
        <f t="shared" si="15"/>
        <v>30052.780835796315</v>
      </c>
      <c r="P26" s="184">
        <f t="shared" si="15"/>
        <v>28716.946484619912</v>
      </c>
      <c r="Q26" s="184">
        <f t="shared" si="15"/>
        <v>26675.616746513726</v>
      </c>
      <c r="R26" s="184">
        <f t="shared" si="15"/>
        <v>23869.065297174282</v>
      </c>
      <c r="S26" s="184">
        <f t="shared" si="15"/>
        <v>20236.691835350728</v>
      </c>
      <c r="T26" s="184">
        <f t="shared" si="15"/>
        <v>15717.010575938322</v>
      </c>
    </row>
    <row r="27" spans="2:20" ht="15" customHeight="1" x14ac:dyDescent="0.25">
      <c r="B27" s="132" t="s">
        <v>158</v>
      </c>
      <c r="C27" s="174">
        <v>7291.2</v>
      </c>
      <c r="D27" s="174">
        <v>11006.7</v>
      </c>
      <c r="E27" s="174">
        <v>12853.800000000001</v>
      </c>
      <c r="F27" s="174">
        <v>10890.599999999999</v>
      </c>
      <c r="G27" s="174">
        <v>11434.6</v>
      </c>
      <c r="H27" s="174">
        <v>12972.4</v>
      </c>
      <c r="I27" s="174">
        <v>16835.400000000001</v>
      </c>
      <c r="K27" s="184">
        <f t="shared" ref="K27:T27" si="16">K13*K14</f>
        <v>32500</v>
      </c>
      <c r="L27" s="184">
        <f t="shared" si="16"/>
        <v>35000</v>
      </c>
      <c r="M27" s="184">
        <f t="shared" si="16"/>
        <v>37500</v>
      </c>
      <c r="N27" s="184">
        <f t="shared" si="16"/>
        <v>40000</v>
      </c>
      <c r="O27" s="184">
        <f t="shared" si="16"/>
        <v>42500</v>
      </c>
      <c r="P27" s="184">
        <f t="shared" si="16"/>
        <v>45000</v>
      </c>
      <c r="Q27" s="184">
        <f t="shared" si="16"/>
        <v>47500</v>
      </c>
      <c r="R27" s="184">
        <f t="shared" si="16"/>
        <v>50000</v>
      </c>
      <c r="S27" s="184">
        <f t="shared" si="16"/>
        <v>52500</v>
      </c>
      <c r="T27" s="184">
        <f t="shared" si="16"/>
        <v>55000</v>
      </c>
    </row>
    <row r="28" spans="2:20" ht="15" customHeight="1" thickBot="1" x14ac:dyDescent="0.3">
      <c r="B28" s="132" t="s">
        <v>159</v>
      </c>
      <c r="C28" s="174">
        <v>-7415.5999999999995</v>
      </c>
      <c r="D28" s="174">
        <v>-4454.8</v>
      </c>
      <c r="E28" s="174">
        <v>-11756.300000000001</v>
      </c>
      <c r="F28" s="174">
        <v>-13892.4</v>
      </c>
      <c r="G28" s="174">
        <v>-10374</v>
      </c>
      <c r="H28" s="174">
        <v>-11331.099999999999</v>
      </c>
      <c r="I28" s="174">
        <v>-14829.300000000001</v>
      </c>
      <c r="K28" s="163">
        <f>-I27*K30</f>
        <v>-16404.816602075945</v>
      </c>
      <c r="L28" s="163">
        <f t="shared" ref="L28:T28" si="17">-K27*L30</f>
        <v>-33252.216552374266</v>
      </c>
      <c r="M28" s="163">
        <f t="shared" si="17"/>
        <v>-37600.583332300128</v>
      </c>
      <c r="N28" s="163">
        <f t="shared" si="17"/>
        <v>-40689.202677453351</v>
      </c>
      <c r="O28" s="163">
        <f t="shared" si="17"/>
        <v>-43835.834351176411</v>
      </c>
      <c r="P28" s="163">
        <f t="shared" si="17"/>
        <v>-47041.329738106186</v>
      </c>
      <c r="Q28" s="163">
        <f t="shared" si="17"/>
        <v>-50306.551449339444</v>
      </c>
      <c r="R28" s="163">
        <f t="shared" si="17"/>
        <v>-53632.373461823554</v>
      </c>
      <c r="S28" s="163">
        <f t="shared" si="17"/>
        <v>-57019.681259412413</v>
      </c>
      <c r="T28" s="163">
        <f t="shared" si="17"/>
        <v>-60469.371975606868</v>
      </c>
    </row>
    <row r="29" spans="2:20" ht="15" customHeight="1" thickTop="1" thickBot="1" x14ac:dyDescent="0.3">
      <c r="B29" s="185" t="s">
        <v>160</v>
      </c>
      <c r="C29" s="165">
        <v>3644</v>
      </c>
      <c r="D29" s="165">
        <v>10195.9</v>
      </c>
      <c r="E29" s="165">
        <v>11293.4</v>
      </c>
      <c r="F29" s="165">
        <v>8291.6</v>
      </c>
      <c r="G29" s="165">
        <v>9352.2000000000007</v>
      </c>
      <c r="H29" s="165">
        <v>10993.5</v>
      </c>
      <c r="I29" s="165">
        <v>12999.6</v>
      </c>
      <c r="K29" s="186">
        <f t="shared" ref="K29:T29" si="18">SUM(K26:K28)</f>
        <v>29094.783397924053</v>
      </c>
      <c r="L29" s="186">
        <f t="shared" si="18"/>
        <v>30842.566845549787</v>
      </c>
      <c r="M29" s="186">
        <f t="shared" si="18"/>
        <v>30741.983513249666</v>
      </c>
      <c r="N29" s="186">
        <f t="shared" si="18"/>
        <v>30052.780835796315</v>
      </c>
      <c r="O29" s="186">
        <f t="shared" si="18"/>
        <v>28716.946484619912</v>
      </c>
      <c r="P29" s="186">
        <f t="shared" si="18"/>
        <v>26675.616746513726</v>
      </c>
      <c r="Q29" s="186">
        <f t="shared" si="18"/>
        <v>23869.065297174282</v>
      </c>
      <c r="R29" s="186">
        <f t="shared" si="18"/>
        <v>20236.691835350728</v>
      </c>
      <c r="S29" s="186">
        <f t="shared" si="18"/>
        <v>15717.010575938322</v>
      </c>
      <c r="T29" s="186">
        <f t="shared" si="18"/>
        <v>10247.638600331462</v>
      </c>
    </row>
    <row r="30" spans="2:20" ht="15" customHeight="1" thickTop="1" x14ac:dyDescent="0.25">
      <c r="B30" s="180" t="s">
        <v>163</v>
      </c>
      <c r="C30" s="187">
        <v>0</v>
      </c>
      <c r="D30" s="182">
        <f t="shared" ref="D30:I30" si="19">-D28/C27</f>
        <v>0.61098310291858682</v>
      </c>
      <c r="E30" s="182">
        <f t="shared" si="19"/>
        <v>1.0681039730346062</v>
      </c>
      <c r="F30" s="182">
        <f t="shared" si="19"/>
        <v>1.080801008262148</v>
      </c>
      <c r="G30" s="182">
        <f t="shared" si="19"/>
        <v>0.95256459699190144</v>
      </c>
      <c r="H30" s="182">
        <f t="shared" si="19"/>
        <v>0.99094852465324523</v>
      </c>
      <c r="I30" s="182">
        <f t="shared" si="19"/>
        <v>1.143142363787734</v>
      </c>
      <c r="J30" s="169"/>
      <c r="K30" s="170">
        <f>INDEX($K$73:$P$75,MATCH(BS!$D$5,$B$73:$B$75,0),MATCH(K$4,$K$4:$P$4,0))</f>
        <v>0.97442392827470359</v>
      </c>
      <c r="L30" s="170">
        <f>INDEX($K$73:$P$75,MATCH(BS!$D$5,$B$73:$B$75,0),MATCH(L$4,$K$4:$P$4,0))</f>
        <v>1.0231451246884389</v>
      </c>
      <c r="M30" s="170">
        <f>INDEX($K$73:$P$75,MATCH(BS!$D$5,$B$73:$B$75,0),MATCH(M$4,$K$4:$P$4,0))</f>
        <v>1.0743023809228609</v>
      </c>
      <c r="N30" s="170">
        <f>INDEX($K$73:$P$75,MATCH(BS!$D$5,$B$73:$B$75,0),MATCH(N$4,$K$4:$P$4,0))</f>
        <v>1.0850454047320894</v>
      </c>
      <c r="O30" s="170">
        <f>INDEX($K$73:$P$75,MATCH(BS!$D$5,$B$73:$B$75,0),MATCH(O$4,$K$4:$P$4,0))</f>
        <v>1.0958958587794103</v>
      </c>
      <c r="P30" s="170">
        <f>INDEX($K$73:$P$75,MATCH(BS!$D$5,$B$73:$B$75,0),MATCH(P$4,$K$4:$P$4,0))</f>
        <v>1.1068548173672044</v>
      </c>
      <c r="Q30" s="170">
        <f>INDEX($K$73:$T$75,MATCH(BS!$D$5,$B$73:$B$75,0),MATCH(Q$4,$K$4:$T$4,0))</f>
        <v>1.1179233655408765</v>
      </c>
      <c r="R30" s="170">
        <f>INDEX($K$73:$T$75,MATCH(BS!$D$5,$B$73:$B$75,0),MATCH(R$4,$K$4:$T$4,0))</f>
        <v>1.1291025991962853</v>
      </c>
      <c r="S30" s="170">
        <f>INDEX($K$73:$T$75,MATCH(BS!$D$5,$B$73:$B$75,0),MATCH(S$4,$K$4:$T$4,0))</f>
        <v>1.1403936251882483</v>
      </c>
      <c r="T30" s="170">
        <f>INDEX($K$73:$T$75,MATCH(BS!$D$5,$B$73:$B$75,0),MATCH(T$4,$K$4:$T$4,0))</f>
        <v>1.1517975614401308</v>
      </c>
    </row>
    <row r="31" spans="2:20" ht="5.0999999999999996" customHeight="1" x14ac:dyDescent="0.25">
      <c r="B31" s="171"/>
      <c r="C31" s="162"/>
      <c r="D31" s="188"/>
      <c r="E31" s="188"/>
      <c r="F31" s="188"/>
      <c r="G31" s="188"/>
      <c r="H31" s="188"/>
      <c r="I31" s="188"/>
      <c r="K31" s="183"/>
      <c r="L31" s="183"/>
      <c r="M31" s="183"/>
      <c r="N31" s="183"/>
      <c r="O31" s="183"/>
      <c r="P31" s="183"/>
      <c r="Q31" s="183"/>
      <c r="R31" s="183"/>
      <c r="S31" s="183"/>
      <c r="T31" s="183"/>
    </row>
    <row r="32" spans="2:20" x14ac:dyDescent="0.25">
      <c r="B32" s="161" t="s">
        <v>91</v>
      </c>
      <c r="C32" s="162"/>
      <c r="D32" s="188"/>
      <c r="E32" s="188"/>
      <c r="F32" s="188"/>
      <c r="G32" s="188"/>
      <c r="H32" s="188"/>
      <c r="I32" s="188"/>
      <c r="K32" s="183"/>
      <c r="L32" s="183"/>
      <c r="M32" s="183"/>
      <c r="N32" s="183"/>
      <c r="O32" s="183"/>
      <c r="P32" s="183"/>
      <c r="Q32" s="183"/>
      <c r="R32" s="183"/>
      <c r="S32" s="183"/>
      <c r="T32" s="183"/>
    </row>
    <row r="33" spans="2:20" x14ac:dyDescent="0.25">
      <c r="B33" s="131" t="s">
        <v>96</v>
      </c>
      <c r="C33" s="162">
        <f>BS!C54</f>
        <v>743.5</v>
      </c>
      <c r="D33" s="162">
        <f>BS!D54</f>
        <v>807</v>
      </c>
      <c r="E33" s="162">
        <f>BS!E54</f>
        <v>1397.8999999999999</v>
      </c>
      <c r="F33" s="162">
        <f>BS!F54</f>
        <v>1663.1999999999998</v>
      </c>
      <c r="G33" s="162">
        <f>BS!G54</f>
        <v>1929.1999999999998</v>
      </c>
      <c r="H33" s="162">
        <f>BS!H54</f>
        <v>2638.2999999999997</v>
      </c>
      <c r="I33" s="162">
        <f>BS!I54</f>
        <v>3171.8</v>
      </c>
      <c r="K33" s="163">
        <f t="shared" ref="K33:O33" si="20">K36*K35</f>
        <v>4087.9538078009714</v>
      </c>
      <c r="L33" s="163">
        <f t="shared" si="20"/>
        <v>4193.7235718502207</v>
      </c>
      <c r="M33" s="163">
        <f t="shared" si="20"/>
        <v>4272.3428775313696</v>
      </c>
      <c r="N33" s="163">
        <f t="shared" si="20"/>
        <v>4330.7810832071236</v>
      </c>
      <c r="O33" s="163">
        <f t="shared" si="20"/>
        <v>4374.2185551233952</v>
      </c>
      <c r="P33" s="163">
        <f>P36*P35</f>
        <v>4406.505890859642</v>
      </c>
      <c r="Q33" s="163">
        <f>Q36*Q35</f>
        <v>4430.7619568470009</v>
      </c>
      <c r="R33" s="163">
        <f>R36*R35</f>
        <v>4449.048331428964</v>
      </c>
      <c r="S33" s="163">
        <f>S36*S35</f>
        <v>4462.8973982638427</v>
      </c>
      <c r="T33" s="163">
        <f>T36*T35</f>
        <v>4473.4481873980467</v>
      </c>
    </row>
    <row r="34" spans="2:20" ht="16.5" thickBot="1" x14ac:dyDescent="0.3">
      <c r="B34" s="131" t="s">
        <v>97</v>
      </c>
      <c r="C34" s="162">
        <f>BS!C46</f>
        <v>2211.1000000000004</v>
      </c>
      <c r="D34" s="162">
        <f>BS!D46</f>
        <v>3120.1</v>
      </c>
      <c r="E34" s="162">
        <f>BS!E46</f>
        <v>5071.5</v>
      </c>
      <c r="F34" s="162">
        <f>BS!F46</f>
        <v>4766.6000000000004</v>
      </c>
      <c r="G34" s="162">
        <f>BS!G46</f>
        <v>3992.4</v>
      </c>
      <c r="H34" s="162">
        <f>BS!H46</f>
        <v>5557.9</v>
      </c>
      <c r="I34" s="162">
        <f>BS!I46</f>
        <v>11425.4</v>
      </c>
      <c r="K34" s="163">
        <f t="shared" ref="K34:P34" si="21">K35-K33</f>
        <v>11837.44619219903</v>
      </c>
      <c r="L34" s="163">
        <f t="shared" si="21"/>
        <v>12143.72262034881</v>
      </c>
      <c r="M34" s="163">
        <f t="shared" si="21"/>
        <v>12371.37974281744</v>
      </c>
      <c r="N34" s="163">
        <f t="shared" si="21"/>
        <v>12540.598659610318</v>
      </c>
      <c r="O34" s="163">
        <f t="shared" si="21"/>
        <v>12666.380104486921</v>
      </c>
      <c r="P34" s="163">
        <f t="shared" si="21"/>
        <v>12759.874213627279</v>
      </c>
      <c r="Q34" s="163">
        <f>Q35-Q33</f>
        <v>12830.112256780278</v>
      </c>
      <c r="R34" s="163">
        <f>R35-R33</f>
        <v>12883.063925351315</v>
      </c>
      <c r="S34" s="163">
        <f>S35-S33</f>
        <v>12923.166527087473</v>
      </c>
      <c r="T34" s="163">
        <f>T35-T33</f>
        <v>12953.718339689425</v>
      </c>
    </row>
    <row r="35" spans="2:20" ht="16.5" thickTop="1" x14ac:dyDescent="0.25">
      <c r="B35" s="189" t="s">
        <v>98</v>
      </c>
      <c r="C35" s="190">
        <f t="shared" ref="C35:I35" si="22">SUM(C33:C34)</f>
        <v>2954.6000000000004</v>
      </c>
      <c r="D35" s="190">
        <f t="shared" si="22"/>
        <v>3927.1</v>
      </c>
      <c r="E35" s="190">
        <f t="shared" si="22"/>
        <v>6469.4</v>
      </c>
      <c r="F35" s="190">
        <f t="shared" si="22"/>
        <v>6429.8</v>
      </c>
      <c r="G35" s="190">
        <f t="shared" si="22"/>
        <v>5921.6</v>
      </c>
      <c r="H35" s="190">
        <f t="shared" si="22"/>
        <v>8196.1999999999989</v>
      </c>
      <c r="I35" s="190">
        <f t="shared" si="22"/>
        <v>14597.2</v>
      </c>
      <c r="J35" s="159"/>
      <c r="K35" s="191">
        <f t="shared" ref="K35:P35" si="23">K41</f>
        <v>15925.400000000001</v>
      </c>
      <c r="L35" s="191">
        <f t="shared" si="23"/>
        <v>16337.44619219903</v>
      </c>
      <c r="M35" s="191">
        <f t="shared" si="23"/>
        <v>16643.72262034881</v>
      </c>
      <c r="N35" s="191">
        <f t="shared" si="23"/>
        <v>16871.37974281744</v>
      </c>
      <c r="O35" s="191">
        <f t="shared" si="23"/>
        <v>17040.598659610318</v>
      </c>
      <c r="P35" s="191">
        <f t="shared" si="23"/>
        <v>17166.380104486921</v>
      </c>
      <c r="Q35" s="191">
        <f>Q41</f>
        <v>17260.874213627278</v>
      </c>
      <c r="R35" s="191">
        <f>R41</f>
        <v>17332.112256780278</v>
      </c>
      <c r="S35" s="191">
        <f>S41</f>
        <v>17386.063925351315</v>
      </c>
      <c r="T35" s="191">
        <f>T41</f>
        <v>17427.166527087473</v>
      </c>
    </row>
    <row r="36" spans="2:20" x14ac:dyDescent="0.25">
      <c r="B36" s="180" t="s">
        <v>100</v>
      </c>
      <c r="C36" s="182">
        <f t="shared" ref="C36:I36" si="24">C33/C35</f>
        <v>0.25164150815677244</v>
      </c>
      <c r="D36" s="182">
        <f t="shared" si="24"/>
        <v>0.20549514909220545</v>
      </c>
      <c r="E36" s="182">
        <f t="shared" si="24"/>
        <v>0.21607877082882493</v>
      </c>
      <c r="F36" s="182">
        <f t="shared" si="24"/>
        <v>0.2586705651808765</v>
      </c>
      <c r="G36" s="182">
        <f t="shared" si="24"/>
        <v>0.32579032693866516</v>
      </c>
      <c r="H36" s="182">
        <f t="shared" si="24"/>
        <v>0.32189307239940462</v>
      </c>
      <c r="I36" s="182">
        <f t="shared" si="24"/>
        <v>0.21728824706108021</v>
      </c>
      <c r="J36" s="169"/>
      <c r="K36" s="170">
        <f t="shared" ref="K36:T36" si="25">AVERAGE($C$36:$I$36)</f>
        <v>0.25669394852254707</v>
      </c>
      <c r="L36" s="170">
        <f t="shared" si="25"/>
        <v>0.25669394852254707</v>
      </c>
      <c r="M36" s="170">
        <f t="shared" si="25"/>
        <v>0.25669394852254707</v>
      </c>
      <c r="N36" s="170">
        <f t="shared" si="25"/>
        <v>0.25669394852254707</v>
      </c>
      <c r="O36" s="170">
        <f t="shared" si="25"/>
        <v>0.25669394852254707</v>
      </c>
      <c r="P36" s="170">
        <f t="shared" si="25"/>
        <v>0.25669394852254707</v>
      </c>
      <c r="Q36" s="170">
        <f t="shared" si="25"/>
        <v>0.25669394852254707</v>
      </c>
      <c r="R36" s="170">
        <f t="shared" si="25"/>
        <v>0.25669394852254707</v>
      </c>
      <c r="S36" s="170">
        <f t="shared" si="25"/>
        <v>0.25669394852254707</v>
      </c>
      <c r="T36" s="170">
        <f t="shared" si="25"/>
        <v>0.25669394852254707</v>
      </c>
    </row>
    <row r="37" spans="2:20" ht="5.0999999999999996" customHeight="1" x14ac:dyDescent="0.25">
      <c r="B37" s="171"/>
      <c r="C37" s="162"/>
      <c r="D37" s="188"/>
      <c r="E37" s="188"/>
      <c r="F37" s="188"/>
      <c r="G37" s="188"/>
      <c r="H37" s="188"/>
      <c r="I37" s="188"/>
      <c r="K37" s="183"/>
      <c r="L37" s="183"/>
      <c r="M37" s="183"/>
      <c r="N37" s="183"/>
      <c r="O37" s="183"/>
      <c r="P37" s="183"/>
      <c r="Q37" s="183"/>
    </row>
    <row r="38" spans="2:20" x14ac:dyDescent="0.25">
      <c r="B38" s="171" t="s">
        <v>52</v>
      </c>
      <c r="C38" s="135"/>
      <c r="D38" s="135"/>
      <c r="E38" s="135"/>
      <c r="F38" s="135"/>
      <c r="G38" s="135"/>
      <c r="H38" s="135"/>
      <c r="I38" s="135"/>
      <c r="K38" s="163">
        <f>I41</f>
        <v>14597.2</v>
      </c>
      <c r="L38" s="163">
        <f t="shared" ref="L38:T38" si="26">K41</f>
        <v>15925.400000000001</v>
      </c>
      <c r="M38" s="163">
        <f t="shared" si="26"/>
        <v>16337.44619219903</v>
      </c>
      <c r="N38" s="163">
        <f t="shared" si="26"/>
        <v>16643.72262034881</v>
      </c>
      <c r="O38" s="163">
        <f t="shared" si="26"/>
        <v>16871.37974281744</v>
      </c>
      <c r="P38" s="163">
        <f t="shared" si="26"/>
        <v>17040.598659610318</v>
      </c>
      <c r="Q38" s="163">
        <f t="shared" si="26"/>
        <v>17166.380104486921</v>
      </c>
      <c r="R38" s="163">
        <f t="shared" si="26"/>
        <v>17260.874213627278</v>
      </c>
      <c r="S38" s="163">
        <f t="shared" si="26"/>
        <v>17332.112256780278</v>
      </c>
      <c r="T38" s="163">
        <f t="shared" si="26"/>
        <v>17386.063925351315</v>
      </c>
    </row>
    <row r="39" spans="2:20" x14ac:dyDescent="0.25">
      <c r="B39" s="171" t="s">
        <v>53</v>
      </c>
      <c r="C39" s="135"/>
      <c r="D39" s="135"/>
      <c r="E39" s="135"/>
      <c r="F39" s="135"/>
      <c r="G39" s="135"/>
      <c r="H39" s="135"/>
      <c r="I39" s="135"/>
      <c r="K39" s="163">
        <f t="shared" ref="K39:T39" si="27">K19</f>
        <v>4500</v>
      </c>
      <c r="L39" s="163">
        <f t="shared" si="27"/>
        <v>4500</v>
      </c>
      <c r="M39" s="163">
        <f t="shared" si="27"/>
        <v>4500</v>
      </c>
      <c r="N39" s="163">
        <f t="shared" si="27"/>
        <v>4500</v>
      </c>
      <c r="O39" s="163">
        <f t="shared" si="27"/>
        <v>4500</v>
      </c>
      <c r="P39" s="163">
        <f t="shared" si="27"/>
        <v>4500</v>
      </c>
      <c r="Q39" s="163">
        <f>Q19</f>
        <v>4501</v>
      </c>
      <c r="R39" s="163">
        <f t="shared" si="27"/>
        <v>4502</v>
      </c>
      <c r="S39" s="163">
        <f t="shared" si="27"/>
        <v>4503</v>
      </c>
      <c r="T39" s="163">
        <f t="shared" si="27"/>
        <v>4504</v>
      </c>
    </row>
    <row r="40" spans="2:20" ht="16.5" thickBot="1" x14ac:dyDescent="0.3">
      <c r="B40" s="171" t="s">
        <v>99</v>
      </c>
      <c r="C40" s="135"/>
      <c r="D40" s="135"/>
      <c r="E40" s="135"/>
      <c r="F40" s="135"/>
      <c r="G40" s="135"/>
      <c r="H40" s="135"/>
      <c r="I40" s="135"/>
      <c r="K40" s="163">
        <f>-I33</f>
        <v>-3171.8</v>
      </c>
      <c r="L40" s="163">
        <f t="shared" ref="L40:T40" si="28">-K33</f>
        <v>-4087.9538078009714</v>
      </c>
      <c r="M40" s="163">
        <f t="shared" si="28"/>
        <v>-4193.7235718502207</v>
      </c>
      <c r="N40" s="163">
        <f t="shared" si="28"/>
        <v>-4272.3428775313696</v>
      </c>
      <c r="O40" s="163">
        <f t="shared" si="28"/>
        <v>-4330.7810832071236</v>
      </c>
      <c r="P40" s="163">
        <f t="shared" si="28"/>
        <v>-4374.2185551233952</v>
      </c>
      <c r="Q40" s="163">
        <f t="shared" si="28"/>
        <v>-4406.505890859642</v>
      </c>
      <c r="R40" s="163">
        <f t="shared" si="28"/>
        <v>-4430.7619568470009</v>
      </c>
      <c r="S40" s="163">
        <f t="shared" si="28"/>
        <v>-4449.048331428964</v>
      </c>
      <c r="T40" s="163">
        <f t="shared" si="28"/>
        <v>-4462.8973982638427</v>
      </c>
    </row>
    <row r="41" spans="2:20" ht="17.25" thickTop="1" thickBot="1" x14ac:dyDescent="0.3">
      <c r="B41" s="192" t="s">
        <v>56</v>
      </c>
      <c r="C41" s="193"/>
      <c r="D41" s="194"/>
      <c r="E41" s="194"/>
      <c r="F41" s="194"/>
      <c r="G41" s="194"/>
      <c r="H41" s="194"/>
      <c r="I41" s="194">
        <f>I35</f>
        <v>14597.2</v>
      </c>
      <c r="J41" s="159"/>
      <c r="K41" s="166">
        <f t="shared" ref="K41:T41" si="29">SUM(K38:K40)</f>
        <v>15925.400000000001</v>
      </c>
      <c r="L41" s="166">
        <f t="shared" si="29"/>
        <v>16337.44619219903</v>
      </c>
      <c r="M41" s="166">
        <f t="shared" si="29"/>
        <v>16643.72262034881</v>
      </c>
      <c r="N41" s="166">
        <f t="shared" si="29"/>
        <v>16871.37974281744</v>
      </c>
      <c r="O41" s="166">
        <f t="shared" si="29"/>
        <v>17040.598659610318</v>
      </c>
      <c r="P41" s="166">
        <f t="shared" si="29"/>
        <v>17166.380104486921</v>
      </c>
      <c r="Q41" s="166">
        <f t="shared" si="29"/>
        <v>17260.874213627278</v>
      </c>
      <c r="R41" s="166">
        <f t="shared" si="29"/>
        <v>17332.112256780278</v>
      </c>
      <c r="S41" s="166">
        <f t="shared" si="29"/>
        <v>17386.063925351315</v>
      </c>
      <c r="T41" s="166">
        <f t="shared" si="29"/>
        <v>17427.166527087473</v>
      </c>
    </row>
    <row r="42" spans="2:20" ht="5.0999999999999996" customHeight="1" thickTop="1" x14ac:dyDescent="0.25">
      <c r="B42" s="131"/>
      <c r="C42" s="162"/>
      <c r="D42" s="162"/>
      <c r="E42" s="162"/>
      <c r="F42" s="162"/>
      <c r="G42" s="162"/>
      <c r="H42" s="162"/>
      <c r="I42" s="162"/>
      <c r="K42" s="163"/>
      <c r="L42" s="163"/>
      <c r="M42" s="163"/>
      <c r="N42" s="163"/>
      <c r="O42" s="163"/>
      <c r="P42" s="163"/>
      <c r="Q42" s="163"/>
    </row>
    <row r="43" spans="2:20" x14ac:dyDescent="0.25">
      <c r="B43" s="161" t="s">
        <v>165</v>
      </c>
      <c r="C43" s="162"/>
      <c r="D43" s="162"/>
      <c r="E43" s="162"/>
      <c r="F43" s="162"/>
      <c r="G43" s="162"/>
      <c r="H43" s="162"/>
      <c r="I43" s="162"/>
      <c r="K43" s="163"/>
      <c r="L43" s="163"/>
      <c r="M43" s="163"/>
      <c r="N43" s="163"/>
      <c r="O43" s="163"/>
      <c r="P43" s="163"/>
      <c r="Q43" s="163"/>
    </row>
    <row r="44" spans="2:20" x14ac:dyDescent="0.25">
      <c r="B44" s="131" t="s">
        <v>54</v>
      </c>
      <c r="C44" s="162">
        <v>555</v>
      </c>
      <c r="D44" s="162">
        <v>656.5</v>
      </c>
      <c r="E44" s="162">
        <v>826.7</v>
      </c>
      <c r="F44" s="162">
        <v>1036.9000000000001</v>
      </c>
      <c r="G44" s="162">
        <v>1297.8999999999999</v>
      </c>
      <c r="H44" s="162">
        <v>1537.4</v>
      </c>
      <c r="I44" s="162">
        <v>1871.8000000000002</v>
      </c>
      <c r="K44" s="163">
        <f>K58*BS!K10</f>
        <v>1977.5917146360771</v>
      </c>
      <c r="L44" s="163">
        <f>L58*BS!L10</f>
        <v>2228.9337527273346</v>
      </c>
      <c r="M44" s="163">
        <f>M58*BS!M10</f>
        <v>2513.5069012601216</v>
      </c>
      <c r="N44" s="163">
        <f>N58*BS!N10</f>
        <v>2816.38159319445</v>
      </c>
      <c r="O44" s="163">
        <f>O58*BS!O10</f>
        <v>3137.2537533931891</v>
      </c>
      <c r="P44" s="163">
        <f>P58*BS!P10</f>
        <v>3475.8434774966413</v>
      </c>
      <c r="Q44" s="163">
        <f>Q58*BS!Q10</f>
        <v>3831.8939416238777</v>
      </c>
      <c r="R44" s="163">
        <f>R58*BS!R10</f>
        <v>4205.1703680571109</v>
      </c>
      <c r="S44" s="163">
        <f>S58*BS!S10</f>
        <v>4595.4590441274895</v>
      </c>
      <c r="T44" s="163">
        <f>T58*BS!T10</f>
        <v>5002.5663916599797</v>
      </c>
    </row>
    <row r="45" spans="2:20" x14ac:dyDescent="0.25">
      <c r="B45" s="131" t="s">
        <v>168</v>
      </c>
      <c r="C45" s="162">
        <v>0</v>
      </c>
      <c r="D45" s="162">
        <v>0</v>
      </c>
      <c r="E45" s="162">
        <v>0</v>
      </c>
      <c r="F45" s="162">
        <v>0</v>
      </c>
      <c r="G45" s="162">
        <v>0</v>
      </c>
      <c r="H45" s="162">
        <v>0</v>
      </c>
      <c r="I45" s="162">
        <v>0</v>
      </c>
      <c r="K45" s="163">
        <v>0</v>
      </c>
      <c r="L45" s="163">
        <v>0</v>
      </c>
      <c r="M45" s="163">
        <v>0</v>
      </c>
      <c r="N45" s="163">
        <v>0</v>
      </c>
      <c r="O45" s="163">
        <v>0</v>
      </c>
      <c r="P45" s="163">
        <v>0</v>
      </c>
      <c r="Q45" s="163">
        <v>0</v>
      </c>
      <c r="R45" s="163">
        <v>0</v>
      </c>
      <c r="S45" s="163">
        <v>0</v>
      </c>
      <c r="T45" s="163">
        <v>0</v>
      </c>
    </row>
    <row r="46" spans="2:20" x14ac:dyDescent="0.25">
      <c r="B46" s="131" t="s">
        <v>169</v>
      </c>
      <c r="C46" s="162">
        <v>0</v>
      </c>
      <c r="D46" s="162">
        <v>0</v>
      </c>
      <c r="E46" s="162">
        <v>0</v>
      </c>
      <c r="F46" s="162">
        <v>0</v>
      </c>
      <c r="G46" s="162">
        <v>996.59999999999991</v>
      </c>
      <c r="H46" s="162">
        <v>1550.2</v>
      </c>
      <c r="I46" s="162">
        <v>3023.2</v>
      </c>
      <c r="K46" s="163">
        <v>0</v>
      </c>
      <c r="L46" s="163">
        <v>0</v>
      </c>
      <c r="M46" s="163">
        <v>0</v>
      </c>
      <c r="N46" s="163">
        <v>0</v>
      </c>
      <c r="O46" s="163">
        <v>0</v>
      </c>
      <c r="P46" s="163">
        <v>0</v>
      </c>
      <c r="Q46" s="163">
        <v>0</v>
      </c>
      <c r="R46" s="163">
        <v>0</v>
      </c>
      <c r="S46" s="163">
        <v>0</v>
      </c>
      <c r="T46" s="163">
        <v>0</v>
      </c>
    </row>
    <row r="47" spans="2:20" x14ac:dyDescent="0.25">
      <c r="B47" s="131" t="s">
        <v>170</v>
      </c>
      <c r="C47" s="162">
        <v>0</v>
      </c>
      <c r="D47" s="162">
        <v>0</v>
      </c>
      <c r="E47" s="162">
        <v>0</v>
      </c>
      <c r="F47" s="162">
        <v>0</v>
      </c>
      <c r="G47" s="162">
        <v>0</v>
      </c>
      <c r="H47" s="162">
        <v>0</v>
      </c>
      <c r="I47" s="162">
        <v>0</v>
      </c>
      <c r="K47" s="163">
        <v>0</v>
      </c>
      <c r="L47" s="163">
        <v>0</v>
      </c>
      <c r="M47" s="163">
        <v>0</v>
      </c>
      <c r="N47" s="163">
        <v>0</v>
      </c>
      <c r="O47" s="163">
        <v>0</v>
      </c>
      <c r="P47" s="163">
        <v>0</v>
      </c>
      <c r="Q47" s="163">
        <v>0</v>
      </c>
      <c r="R47" s="163">
        <v>0</v>
      </c>
      <c r="S47" s="163">
        <v>0</v>
      </c>
      <c r="T47" s="163">
        <v>0</v>
      </c>
    </row>
    <row r="48" spans="2:20" x14ac:dyDescent="0.25">
      <c r="B48" s="131" t="s">
        <v>167</v>
      </c>
      <c r="C48" s="162">
        <v>1.4000000000000001</v>
      </c>
      <c r="D48" s="162">
        <v>0</v>
      </c>
      <c r="E48" s="162">
        <v>0</v>
      </c>
      <c r="F48" s="162">
        <v>0</v>
      </c>
      <c r="G48" s="162">
        <v>0</v>
      </c>
      <c r="H48" s="162">
        <v>0</v>
      </c>
      <c r="I48" s="162">
        <v>0</v>
      </c>
      <c r="K48" s="163">
        <v>0</v>
      </c>
      <c r="L48" s="163">
        <v>0</v>
      </c>
      <c r="M48" s="163">
        <v>0</v>
      </c>
      <c r="N48" s="163">
        <v>0</v>
      </c>
      <c r="O48" s="163">
        <v>0</v>
      </c>
      <c r="P48" s="163">
        <v>0</v>
      </c>
      <c r="Q48" s="163">
        <v>0</v>
      </c>
      <c r="R48" s="163">
        <v>0</v>
      </c>
      <c r="S48" s="163">
        <v>0</v>
      </c>
      <c r="T48" s="163">
        <v>0</v>
      </c>
    </row>
    <row r="49" spans="2:20" x14ac:dyDescent="0.25">
      <c r="B49" s="131" t="s">
        <v>55</v>
      </c>
      <c r="C49" s="162">
        <v>0</v>
      </c>
      <c r="D49" s="162">
        <v>0</v>
      </c>
      <c r="E49" s="162">
        <v>0</v>
      </c>
      <c r="F49" s="162">
        <v>8</v>
      </c>
      <c r="G49" s="162">
        <v>0.89999999999999991</v>
      </c>
      <c r="H49" s="162">
        <v>0</v>
      </c>
      <c r="I49" s="162">
        <v>0</v>
      </c>
      <c r="K49" s="163">
        <v>0</v>
      </c>
      <c r="L49" s="163">
        <v>0</v>
      </c>
      <c r="M49" s="163">
        <v>0</v>
      </c>
      <c r="N49" s="163">
        <v>0</v>
      </c>
      <c r="O49" s="163">
        <v>0</v>
      </c>
      <c r="P49" s="163">
        <v>0</v>
      </c>
      <c r="Q49" s="163">
        <v>0</v>
      </c>
      <c r="R49" s="163">
        <v>0</v>
      </c>
      <c r="S49" s="163">
        <v>0</v>
      </c>
      <c r="T49" s="163">
        <v>0</v>
      </c>
    </row>
    <row r="50" spans="2:20" x14ac:dyDescent="0.25">
      <c r="B50" s="161" t="s">
        <v>166</v>
      </c>
      <c r="C50" s="162"/>
      <c r="D50" s="162"/>
      <c r="E50" s="162"/>
      <c r="F50" s="162"/>
      <c r="G50" s="162"/>
      <c r="H50" s="162"/>
      <c r="I50" s="162"/>
      <c r="K50" s="163"/>
      <c r="L50" s="163"/>
      <c r="M50" s="163"/>
      <c r="N50" s="163"/>
      <c r="O50" s="163"/>
      <c r="P50" s="163"/>
      <c r="Q50" s="163"/>
      <c r="R50" s="163"/>
      <c r="S50" s="163"/>
      <c r="T50" s="163"/>
    </row>
    <row r="51" spans="2:20" x14ac:dyDescent="0.25">
      <c r="B51" s="131" t="s">
        <v>54</v>
      </c>
      <c r="C51" s="162">
        <v>0</v>
      </c>
      <c r="D51" s="162">
        <v>0</v>
      </c>
      <c r="E51" s="162">
        <v>0</v>
      </c>
      <c r="F51" s="162">
        <v>0</v>
      </c>
      <c r="G51" s="162">
        <v>0</v>
      </c>
      <c r="H51" s="162">
        <v>0</v>
      </c>
      <c r="I51" s="162">
        <v>0</v>
      </c>
      <c r="K51" s="163">
        <v>0</v>
      </c>
      <c r="L51" s="163">
        <v>0</v>
      </c>
      <c r="M51" s="163">
        <v>0</v>
      </c>
      <c r="N51" s="163">
        <v>0</v>
      </c>
      <c r="O51" s="163">
        <v>0</v>
      </c>
      <c r="P51" s="163">
        <v>0</v>
      </c>
      <c r="Q51" s="163">
        <v>0</v>
      </c>
      <c r="R51" s="163">
        <v>0</v>
      </c>
      <c r="S51" s="163">
        <v>0</v>
      </c>
      <c r="T51" s="163">
        <v>0</v>
      </c>
    </row>
    <row r="52" spans="2:20" x14ac:dyDescent="0.25">
      <c r="B52" s="131" t="s">
        <v>168</v>
      </c>
      <c r="C52" s="162">
        <v>39.4</v>
      </c>
      <c r="D52" s="162">
        <v>55.8</v>
      </c>
      <c r="E52" s="162">
        <v>65.7</v>
      </c>
      <c r="F52" s="162">
        <v>77</v>
      </c>
      <c r="G52" s="162">
        <v>84.1</v>
      </c>
      <c r="H52" s="162">
        <v>120</v>
      </c>
      <c r="I52" s="162">
        <v>274.8</v>
      </c>
      <c r="K52" s="163">
        <f>-K59*'P &amp; L'!K14</f>
        <v>199.14555699352289</v>
      </c>
      <c r="L52" s="163">
        <f>-L59*'P &amp; L'!L14</f>
        <v>254.11109785570542</v>
      </c>
      <c r="M52" s="163">
        <f>-M59*'P &amp; L'!M14</f>
        <v>319.42860756736297</v>
      </c>
      <c r="N52" s="163">
        <f>-N59*'P &amp; L'!N14</f>
        <v>394.56273684452054</v>
      </c>
      <c r="O52" s="163">
        <f>-O59*'P &amp; L'!O14</f>
        <v>479.55168479447144</v>
      </c>
      <c r="P52" s="163">
        <f>-P59*'P &amp; L'!P14</f>
        <v>574.08434579861864</v>
      </c>
      <c r="Q52" s="163">
        <f>-Q59*'P &amp; L'!Q14</f>
        <v>677.45295362291142</v>
      </c>
      <c r="R52" s="163">
        <f>-R59*'P &amp; L'!R14</f>
        <v>792.13737391973996</v>
      </c>
      <c r="S52" s="163">
        <f>-S59*'P &amp; L'!S14</f>
        <v>918.28550234840714</v>
      </c>
      <c r="T52" s="163">
        <f>-T59*'P &amp; L'!T14</f>
        <v>1055.8582748298629</v>
      </c>
    </row>
    <row r="53" spans="2:20" x14ac:dyDescent="0.25">
      <c r="B53" s="131" t="s">
        <v>169</v>
      </c>
      <c r="C53" s="162">
        <v>34.4</v>
      </c>
      <c r="D53" s="162">
        <v>81.7</v>
      </c>
      <c r="E53" s="162">
        <v>112.5</v>
      </c>
      <c r="F53" s="162">
        <v>148.80000000000001</v>
      </c>
      <c r="G53" s="162">
        <v>1167.2</v>
      </c>
      <c r="H53" s="162">
        <v>1711.9</v>
      </c>
      <c r="I53" s="162">
        <v>3233</v>
      </c>
      <c r="K53" s="163">
        <f>K60*BS!K12</f>
        <v>218.7049085117884</v>
      </c>
      <c r="L53" s="163">
        <f>L60*BS!L12</f>
        <v>230.19294585154341</v>
      </c>
      <c r="M53" s="163">
        <f>M60*BS!M12</f>
        <v>240.35985889722659</v>
      </c>
      <c r="N53" s="163">
        <f>N60*BS!N12</f>
        <v>249.35757694265621</v>
      </c>
      <c r="O53" s="163">
        <f>O60*BS!O12</f>
        <v>257.32055741286143</v>
      </c>
      <c r="P53" s="163">
        <f>P60*BS!P12</f>
        <v>264.36779512899307</v>
      </c>
      <c r="Q53" s="163">
        <f>Q60*BS!Q12</f>
        <v>270.61274253039591</v>
      </c>
      <c r="R53" s="163">
        <f>R60*BS!R12</f>
        <v>276.14766300326369</v>
      </c>
      <c r="S53" s="163">
        <f>S60*BS!S12</f>
        <v>281.05420964437815</v>
      </c>
      <c r="T53" s="163">
        <f>T60*BS!T12</f>
        <v>285.40464544439078</v>
      </c>
    </row>
    <row r="54" spans="2:20" x14ac:dyDescent="0.25">
      <c r="B54" s="131" t="s">
        <v>170</v>
      </c>
      <c r="C54" s="162">
        <v>8.6999999999999993</v>
      </c>
      <c r="D54" s="162">
        <v>7.1</v>
      </c>
      <c r="E54" s="162">
        <v>8.1999999999999993</v>
      </c>
      <c r="F54" s="162">
        <v>0</v>
      </c>
      <c r="G54" s="162">
        <v>0</v>
      </c>
      <c r="H54" s="162">
        <v>0</v>
      </c>
      <c r="I54" s="162">
        <v>0</v>
      </c>
      <c r="K54" s="163">
        <v>0</v>
      </c>
      <c r="L54" s="163">
        <v>0</v>
      </c>
      <c r="M54" s="163">
        <v>0</v>
      </c>
      <c r="N54" s="163">
        <v>0</v>
      </c>
      <c r="O54" s="163">
        <v>0</v>
      </c>
      <c r="P54" s="163">
        <v>0</v>
      </c>
      <c r="Q54" s="163">
        <v>1</v>
      </c>
      <c r="R54" s="163">
        <v>2</v>
      </c>
      <c r="S54" s="163">
        <v>3</v>
      </c>
      <c r="T54" s="163">
        <v>4</v>
      </c>
    </row>
    <row r="55" spans="2:20" ht="16.5" thickBot="1" x14ac:dyDescent="0.3">
      <c r="B55" s="131" t="s">
        <v>55</v>
      </c>
      <c r="C55" s="162">
        <v>0</v>
      </c>
      <c r="D55" s="162">
        <v>0</v>
      </c>
      <c r="E55" s="162">
        <v>0</v>
      </c>
      <c r="F55" s="162">
        <v>34.1</v>
      </c>
      <c r="G55" s="162">
        <v>103.69999999999999</v>
      </c>
      <c r="H55" s="162">
        <v>104.1</v>
      </c>
      <c r="I55" s="162">
        <v>168.6</v>
      </c>
      <c r="K55" s="163">
        <f>I55</f>
        <v>168.6</v>
      </c>
      <c r="L55" s="163">
        <f t="shared" ref="L55:T55" si="30">K55</f>
        <v>168.6</v>
      </c>
      <c r="M55" s="163">
        <f t="shared" si="30"/>
        <v>168.6</v>
      </c>
      <c r="N55" s="163">
        <f t="shared" si="30"/>
        <v>168.6</v>
      </c>
      <c r="O55" s="163">
        <f t="shared" si="30"/>
        <v>168.6</v>
      </c>
      <c r="P55" s="163">
        <f t="shared" si="30"/>
        <v>168.6</v>
      </c>
      <c r="Q55" s="163">
        <f t="shared" si="30"/>
        <v>168.6</v>
      </c>
      <c r="R55" s="163">
        <f t="shared" si="30"/>
        <v>168.6</v>
      </c>
      <c r="S55" s="163">
        <f t="shared" si="30"/>
        <v>168.6</v>
      </c>
      <c r="T55" s="163">
        <f t="shared" si="30"/>
        <v>168.6</v>
      </c>
    </row>
    <row r="56" spans="2:20" ht="17.25" thickTop="1" thickBot="1" x14ac:dyDescent="0.3">
      <c r="B56" s="195" t="s">
        <v>171</v>
      </c>
      <c r="C56" s="165">
        <v>473.9</v>
      </c>
      <c r="D56" s="165">
        <v>511.9</v>
      </c>
      <c r="E56" s="165">
        <v>640.29999999999995</v>
      </c>
      <c r="F56" s="165">
        <v>785</v>
      </c>
      <c r="G56" s="165">
        <v>940.40000000000009</v>
      </c>
      <c r="H56" s="165">
        <v>1151.5999999999999</v>
      </c>
      <c r="I56" s="165">
        <v>1218.5999999999999</v>
      </c>
      <c r="J56" s="159"/>
      <c r="K56" s="166">
        <f t="shared" ref="K56:T56" si="31">K44-K52-K53-K55</f>
        <v>1391.141249130766</v>
      </c>
      <c r="L56" s="166">
        <f t="shared" si="31"/>
        <v>1576.0297090200861</v>
      </c>
      <c r="M56" s="166">
        <f t="shared" si="31"/>
        <v>1785.118434795532</v>
      </c>
      <c r="N56" s="166">
        <f t="shared" si="31"/>
        <v>2003.8612794072733</v>
      </c>
      <c r="O56" s="166">
        <f t="shared" si="31"/>
        <v>2231.7815111858563</v>
      </c>
      <c r="P56" s="166">
        <f t="shared" si="31"/>
        <v>2468.7913365690297</v>
      </c>
      <c r="Q56" s="166">
        <f t="shared" si="31"/>
        <v>2715.2282454705705</v>
      </c>
      <c r="R56" s="166">
        <f t="shared" si="31"/>
        <v>2968.2853311341073</v>
      </c>
      <c r="S56" s="166">
        <f t="shared" si="31"/>
        <v>3227.5193321347042</v>
      </c>
      <c r="T56" s="166">
        <f t="shared" si="31"/>
        <v>3492.7034713857261</v>
      </c>
    </row>
    <row r="57" spans="2:20" ht="5.0999999999999996" customHeight="1" thickTop="1" x14ac:dyDescent="0.25">
      <c r="B57" s="131"/>
      <c r="C57" s="162"/>
      <c r="D57" s="162"/>
      <c r="E57" s="162"/>
      <c r="F57" s="162"/>
      <c r="G57" s="162"/>
      <c r="H57" s="162"/>
      <c r="I57" s="162"/>
      <c r="K57" s="163"/>
      <c r="L57" s="163"/>
      <c r="M57" s="163"/>
      <c r="N57" s="163"/>
      <c r="O57" s="163"/>
      <c r="P57" s="163"/>
      <c r="Q57" s="163"/>
      <c r="R57" s="163"/>
      <c r="S57" s="163"/>
      <c r="T57" s="163"/>
    </row>
    <row r="58" spans="2:20" x14ac:dyDescent="0.25">
      <c r="B58" s="180" t="s">
        <v>172</v>
      </c>
      <c r="C58" s="182">
        <f>C44/BS!C10</f>
        <v>1.0866670843645249E-2</v>
      </c>
      <c r="D58" s="182">
        <f>D44/BS!D10</f>
        <v>1.1054980213858718E-2</v>
      </c>
      <c r="E58" s="182">
        <f>E44/BS!E10</f>
        <v>1.0639009788352298E-2</v>
      </c>
      <c r="F58" s="182">
        <f>F44/BS!F10</f>
        <v>1.0661542052375121E-2</v>
      </c>
      <c r="G58" s="182">
        <f>G44/BS!G10</f>
        <v>1.1037324849755807E-2</v>
      </c>
      <c r="H58" s="182">
        <f>H44/BS!H10</f>
        <v>1.07137157722426E-2</v>
      </c>
      <c r="I58" s="182">
        <f>I44/BS!I10</f>
        <v>1.0643118903505156E-2</v>
      </c>
      <c r="J58" s="196"/>
      <c r="K58" s="170">
        <f t="shared" ref="K58:T59" si="32">AVERAGE($C58:$I58)</f>
        <v>1.0802337489104991E-2</v>
      </c>
      <c r="L58" s="170">
        <f t="shared" si="32"/>
        <v>1.0802337489104991E-2</v>
      </c>
      <c r="M58" s="170">
        <f t="shared" si="32"/>
        <v>1.0802337489104991E-2</v>
      </c>
      <c r="N58" s="170">
        <f t="shared" si="32"/>
        <v>1.0802337489104991E-2</v>
      </c>
      <c r="O58" s="170">
        <f t="shared" si="32"/>
        <v>1.0802337489104991E-2</v>
      </c>
      <c r="P58" s="170">
        <f t="shared" si="32"/>
        <v>1.0802337489104991E-2</v>
      </c>
      <c r="Q58" s="170">
        <f t="shared" si="32"/>
        <v>1.0802337489104991E-2</v>
      </c>
      <c r="R58" s="170">
        <f t="shared" si="32"/>
        <v>1.0802337489104991E-2</v>
      </c>
      <c r="S58" s="170">
        <f t="shared" si="32"/>
        <v>1.0802337489104991E-2</v>
      </c>
      <c r="T58" s="170">
        <f t="shared" si="32"/>
        <v>1.0802337489104991E-2</v>
      </c>
    </row>
    <row r="59" spans="2:20" x14ac:dyDescent="0.25">
      <c r="B59" s="180" t="s">
        <v>173</v>
      </c>
      <c r="C59" s="182">
        <f>C52/-'P &amp; L'!C14</f>
        <v>8.6384564788423591E-3</v>
      </c>
      <c r="D59" s="182">
        <f>D52/-'P &amp; L'!D14</f>
        <v>1.0399388709767596E-2</v>
      </c>
      <c r="E59" s="182">
        <f>E52/-'P &amp; L'!E14</f>
        <v>1.06619496600185E-2</v>
      </c>
      <c r="F59" s="182">
        <f>F52/-'P &amp; L'!F14</f>
        <v>1.0308312248149189E-2</v>
      </c>
      <c r="G59" s="182">
        <f>G52/-'P &amp; L'!G14</f>
        <v>9.2813313909857406E-3</v>
      </c>
      <c r="H59" s="182">
        <f>H52/-'P &amp; L'!H14</f>
        <v>1.029247791405781E-2</v>
      </c>
      <c r="I59" s="182">
        <f>I52/-'P &amp; L'!I14</f>
        <v>1.782702338012819E-2</v>
      </c>
      <c r="J59" s="196"/>
      <c r="K59" s="170">
        <f t="shared" si="32"/>
        <v>1.1058419968849912E-2</v>
      </c>
      <c r="L59" s="170">
        <f t="shared" si="32"/>
        <v>1.1058419968849912E-2</v>
      </c>
      <c r="M59" s="170">
        <f t="shared" si="32"/>
        <v>1.1058419968849912E-2</v>
      </c>
      <c r="N59" s="170">
        <f t="shared" si="32"/>
        <v>1.1058419968849912E-2</v>
      </c>
      <c r="O59" s="170">
        <f t="shared" si="32"/>
        <v>1.1058419968849912E-2</v>
      </c>
      <c r="P59" s="170">
        <f t="shared" si="32"/>
        <v>1.1058419968849912E-2</v>
      </c>
      <c r="Q59" s="170">
        <f t="shared" si="32"/>
        <v>1.1058419968849912E-2</v>
      </c>
      <c r="R59" s="170">
        <f t="shared" si="32"/>
        <v>1.1058419968849912E-2</v>
      </c>
      <c r="S59" s="170">
        <f t="shared" si="32"/>
        <v>1.1058419968849912E-2</v>
      </c>
      <c r="T59" s="170">
        <f t="shared" si="32"/>
        <v>1.1058419968849912E-2</v>
      </c>
    </row>
    <row r="60" spans="2:20" x14ac:dyDescent="0.25">
      <c r="B60" s="180" t="s">
        <v>174</v>
      </c>
      <c r="C60" s="182">
        <f>(C53-C45)/BS!C12</f>
        <v>4.7955613176641149E-3</v>
      </c>
      <c r="D60" s="182">
        <f>(D53-D45)/BS!D12</f>
        <v>8.5082895942681005E-3</v>
      </c>
      <c r="E60" s="182">
        <f>(E53-E45)/BS!E12</f>
        <v>8.1013934396716239E-3</v>
      </c>
      <c r="F60" s="182">
        <f>(F53-F45)/BS!F12</f>
        <v>9.8878315879006966E-3</v>
      </c>
      <c r="G60" s="182">
        <f>(G53-G46)/BS!G12</f>
        <v>1.1084399974010794E-2</v>
      </c>
      <c r="H60" s="182">
        <f>(H53-H46)/BS!H12</f>
        <v>9.2838729309364862E-3</v>
      </c>
      <c r="I60" s="182">
        <f>(I53-I46)/BS!I12</f>
        <v>8.8099067359253633E-3</v>
      </c>
      <c r="J60" s="196"/>
      <c r="K60" s="170">
        <f t="shared" ref="K60:T60" si="33">AVERAGE($C60:$I60)</f>
        <v>8.6387507971967398E-3</v>
      </c>
      <c r="L60" s="170">
        <f t="shared" si="33"/>
        <v>8.6387507971967398E-3</v>
      </c>
      <c r="M60" s="170">
        <f t="shared" si="33"/>
        <v>8.6387507971967398E-3</v>
      </c>
      <c r="N60" s="170">
        <f t="shared" si="33"/>
        <v>8.6387507971967398E-3</v>
      </c>
      <c r="O60" s="170">
        <f t="shared" si="33"/>
        <v>8.6387507971967398E-3</v>
      </c>
      <c r="P60" s="170">
        <f t="shared" si="33"/>
        <v>8.6387507971967398E-3</v>
      </c>
      <c r="Q60" s="170">
        <f t="shared" si="33"/>
        <v>8.6387507971967398E-3</v>
      </c>
      <c r="R60" s="170">
        <f t="shared" si="33"/>
        <v>8.6387507971967398E-3</v>
      </c>
      <c r="S60" s="170">
        <f t="shared" si="33"/>
        <v>8.6387507971967398E-3</v>
      </c>
      <c r="T60" s="170">
        <f t="shared" si="33"/>
        <v>8.6387507971967398E-3</v>
      </c>
    </row>
    <row r="61" spans="2:20" x14ac:dyDescent="0.25">
      <c r="B61" s="180"/>
      <c r="C61" s="182"/>
      <c r="D61" s="182"/>
      <c r="E61" s="182"/>
      <c r="F61" s="182"/>
      <c r="G61" s="182"/>
      <c r="H61" s="182"/>
      <c r="I61" s="182"/>
      <c r="J61" s="196"/>
      <c r="K61" s="170"/>
      <c r="L61" s="170"/>
      <c r="M61" s="170"/>
      <c r="N61" s="170"/>
      <c r="O61" s="170"/>
      <c r="P61" s="170"/>
      <c r="Q61" s="170"/>
    </row>
    <row r="62" spans="2:20" x14ac:dyDescent="0.25">
      <c r="B62" s="171" t="s">
        <v>211</v>
      </c>
      <c r="C62" s="197"/>
      <c r="D62" s="197"/>
      <c r="E62" s="197"/>
      <c r="F62" s="197"/>
      <c r="G62" s="197"/>
      <c r="H62" s="197"/>
      <c r="I62" s="197"/>
      <c r="J62" s="196"/>
      <c r="K62" s="198"/>
      <c r="L62" s="198"/>
      <c r="M62" s="198"/>
      <c r="N62" s="198"/>
      <c r="O62" s="198"/>
      <c r="P62" s="198"/>
      <c r="Q62" s="198"/>
    </row>
    <row r="63" spans="2:20" x14ac:dyDescent="0.25">
      <c r="B63" s="199" t="s">
        <v>212</v>
      </c>
      <c r="C63" s="158">
        <v>122.2</v>
      </c>
      <c r="D63" s="158">
        <v>0</v>
      </c>
      <c r="E63" s="158">
        <v>0</v>
      </c>
      <c r="F63" s="158">
        <v>0</v>
      </c>
      <c r="G63" s="158">
        <v>0</v>
      </c>
      <c r="H63" s="158">
        <v>0</v>
      </c>
      <c r="I63" s="158">
        <v>0</v>
      </c>
      <c r="J63" s="196"/>
      <c r="K63" s="198">
        <v>0</v>
      </c>
      <c r="L63" s="198">
        <v>0</v>
      </c>
      <c r="M63" s="198">
        <v>0</v>
      </c>
      <c r="N63" s="198">
        <v>0</v>
      </c>
      <c r="O63" s="198">
        <v>0</v>
      </c>
      <c r="P63" s="198">
        <v>0</v>
      </c>
      <c r="Q63" s="198">
        <v>0</v>
      </c>
      <c r="R63" s="198">
        <v>0</v>
      </c>
      <c r="S63" s="198">
        <v>0</v>
      </c>
      <c r="T63" s="198">
        <v>0</v>
      </c>
    </row>
    <row r="64" spans="2:20" x14ac:dyDescent="0.25">
      <c r="B64" s="199" t="s">
        <v>213</v>
      </c>
      <c r="C64" s="158">
        <v>247.60000000000002</v>
      </c>
      <c r="D64" s="158">
        <v>12.3</v>
      </c>
      <c r="E64" s="158">
        <v>0</v>
      </c>
      <c r="F64" s="158">
        <v>0</v>
      </c>
      <c r="G64" s="158">
        <v>0</v>
      </c>
      <c r="H64" s="158">
        <v>0</v>
      </c>
      <c r="I64" s="158">
        <v>0</v>
      </c>
      <c r="J64" s="196"/>
      <c r="K64" s="198">
        <v>0</v>
      </c>
      <c r="L64" s="198">
        <v>0</v>
      </c>
      <c r="M64" s="198">
        <v>0</v>
      </c>
      <c r="N64" s="198">
        <v>0</v>
      </c>
      <c r="O64" s="198">
        <v>0</v>
      </c>
      <c r="P64" s="198">
        <v>0</v>
      </c>
      <c r="Q64" s="198">
        <v>0</v>
      </c>
      <c r="R64" s="198">
        <v>0</v>
      </c>
      <c r="S64" s="198">
        <v>0</v>
      </c>
      <c r="T64" s="198">
        <v>0</v>
      </c>
    </row>
    <row r="65" spans="2:20" x14ac:dyDescent="0.25">
      <c r="B65" s="199" t="s">
        <v>216</v>
      </c>
      <c r="C65" s="158">
        <v>0</v>
      </c>
      <c r="D65" s="158">
        <v>0</v>
      </c>
      <c r="E65" s="158">
        <v>0</v>
      </c>
      <c r="F65" s="158">
        <v>663.7</v>
      </c>
      <c r="G65" s="158">
        <v>569.6</v>
      </c>
      <c r="H65" s="158">
        <v>672.90000000000009</v>
      </c>
      <c r="I65" s="158">
        <v>1207.6000000000001</v>
      </c>
      <c r="J65" s="196"/>
      <c r="K65" s="198">
        <f t="shared" ref="K65:T65" si="34">K35*K70</f>
        <v>1578.3067958224665</v>
      </c>
      <c r="L65" s="198">
        <f t="shared" si="34"/>
        <v>1619.143151916536</v>
      </c>
      <c r="M65" s="198">
        <f t="shared" si="34"/>
        <v>1649.4970625215462</v>
      </c>
      <c r="N65" s="198">
        <f t="shared" si="34"/>
        <v>1672.0593079602559</v>
      </c>
      <c r="O65" s="198">
        <f t="shared" si="34"/>
        <v>1688.8299615297683</v>
      </c>
      <c r="P65" s="198">
        <f t="shared" si="34"/>
        <v>1701.2956898152188</v>
      </c>
      <c r="Q65" s="198">
        <f t="shared" si="34"/>
        <v>1710.6606473435329</v>
      </c>
      <c r="R65" s="198">
        <f t="shared" si="34"/>
        <v>1717.7207832038237</v>
      </c>
      <c r="S65" s="198">
        <f t="shared" si="34"/>
        <v>1723.0677311706961</v>
      </c>
      <c r="T65" s="198">
        <f t="shared" si="34"/>
        <v>1727.1412562090727</v>
      </c>
    </row>
    <row r="66" spans="2:20" x14ac:dyDescent="0.25">
      <c r="B66" s="199" t="s">
        <v>214</v>
      </c>
      <c r="C66" s="158">
        <v>616.1</v>
      </c>
      <c r="D66" s="158">
        <v>414</v>
      </c>
      <c r="E66" s="158">
        <v>536.1</v>
      </c>
      <c r="F66" s="158">
        <v>7.1999999999999993</v>
      </c>
      <c r="G66" s="158">
        <v>9.8000000000000007</v>
      </c>
      <c r="H66" s="158">
        <v>18.400000000000002</v>
      </c>
      <c r="I66" s="158">
        <v>210.10000000000002</v>
      </c>
      <c r="J66" s="196"/>
      <c r="K66" s="198">
        <f>AVERAGE($D$66:$I$66)</f>
        <v>199.26666666666665</v>
      </c>
      <c r="L66" s="198">
        <f t="shared" ref="L66:T66" si="35">AVERAGE($D$66:$I$66)</f>
        <v>199.26666666666665</v>
      </c>
      <c r="M66" s="198">
        <f t="shared" si="35"/>
        <v>199.26666666666665</v>
      </c>
      <c r="N66" s="198">
        <f t="shared" si="35"/>
        <v>199.26666666666665</v>
      </c>
      <c r="O66" s="198">
        <f t="shared" si="35"/>
        <v>199.26666666666665</v>
      </c>
      <c r="P66" s="198">
        <f t="shared" si="35"/>
        <v>199.26666666666665</v>
      </c>
      <c r="Q66" s="198">
        <f t="shared" si="35"/>
        <v>199.26666666666665</v>
      </c>
      <c r="R66" s="198">
        <f t="shared" si="35"/>
        <v>199.26666666666665</v>
      </c>
      <c r="S66" s="198">
        <f t="shared" si="35"/>
        <v>199.26666666666665</v>
      </c>
      <c r="T66" s="198">
        <f t="shared" si="35"/>
        <v>199.26666666666665</v>
      </c>
    </row>
    <row r="67" spans="2:20" ht="16.5" thickBot="1" x14ac:dyDescent="0.3">
      <c r="B67" s="199" t="s">
        <v>215</v>
      </c>
      <c r="C67" s="158">
        <v>11.5</v>
      </c>
      <c r="D67" s="158">
        <v>2.5</v>
      </c>
      <c r="E67" s="158">
        <v>1.7999999999999998</v>
      </c>
      <c r="F67" s="158">
        <v>3.2</v>
      </c>
      <c r="G67" s="158">
        <v>1.9</v>
      </c>
      <c r="H67" s="158">
        <v>3.2</v>
      </c>
      <c r="I67" s="158">
        <v>2.8000000000000003</v>
      </c>
      <c r="J67" s="196"/>
      <c r="K67" s="198">
        <f>I67</f>
        <v>2.8000000000000003</v>
      </c>
      <c r="L67" s="198">
        <f t="shared" ref="L67:T67" si="36">K67</f>
        <v>2.8000000000000003</v>
      </c>
      <c r="M67" s="198">
        <f t="shared" si="36"/>
        <v>2.8000000000000003</v>
      </c>
      <c r="N67" s="198">
        <f t="shared" si="36"/>
        <v>2.8000000000000003</v>
      </c>
      <c r="O67" s="198">
        <f t="shared" si="36"/>
        <v>2.8000000000000003</v>
      </c>
      <c r="P67" s="198">
        <f t="shared" si="36"/>
        <v>2.8000000000000003</v>
      </c>
      <c r="Q67" s="198">
        <f t="shared" si="36"/>
        <v>2.8000000000000003</v>
      </c>
      <c r="R67" s="198">
        <f t="shared" si="36"/>
        <v>2.8000000000000003</v>
      </c>
      <c r="S67" s="198">
        <f t="shared" si="36"/>
        <v>2.8000000000000003</v>
      </c>
      <c r="T67" s="198">
        <f t="shared" si="36"/>
        <v>2.8000000000000003</v>
      </c>
    </row>
    <row r="68" spans="2:20" ht="17.25" thickTop="1" thickBot="1" x14ac:dyDescent="0.3">
      <c r="B68" s="200" t="s">
        <v>217</v>
      </c>
      <c r="C68" s="201">
        <f>SUM(C63:C67)</f>
        <v>997.40000000000009</v>
      </c>
      <c r="D68" s="201">
        <f t="shared" ref="D68:I68" si="37">SUM(D63:D67)</f>
        <v>428.8</v>
      </c>
      <c r="E68" s="201">
        <f t="shared" si="37"/>
        <v>537.9</v>
      </c>
      <c r="F68" s="201">
        <f t="shared" si="37"/>
        <v>674.10000000000014</v>
      </c>
      <c r="G68" s="201">
        <f t="shared" si="37"/>
        <v>581.29999999999995</v>
      </c>
      <c r="H68" s="201">
        <f t="shared" si="37"/>
        <v>694.50000000000011</v>
      </c>
      <c r="I68" s="201">
        <f t="shared" si="37"/>
        <v>1420.5000000000002</v>
      </c>
      <c r="J68" s="196"/>
      <c r="K68" s="202">
        <f t="shared" ref="K68:T68" si="38">SUM(K65:K67)</f>
        <v>1780.3734624891331</v>
      </c>
      <c r="L68" s="202">
        <f t="shared" si="38"/>
        <v>1821.2098185832026</v>
      </c>
      <c r="M68" s="202">
        <f t="shared" si="38"/>
        <v>1851.5637291882128</v>
      </c>
      <c r="N68" s="202">
        <f t="shared" si="38"/>
        <v>1874.1259746269225</v>
      </c>
      <c r="O68" s="202">
        <f t="shared" si="38"/>
        <v>1890.8966281964349</v>
      </c>
      <c r="P68" s="202">
        <f t="shared" si="38"/>
        <v>1903.3623564818854</v>
      </c>
      <c r="Q68" s="202">
        <f t="shared" si="38"/>
        <v>1912.7273140101995</v>
      </c>
      <c r="R68" s="202">
        <f t="shared" si="38"/>
        <v>1919.7874498704903</v>
      </c>
      <c r="S68" s="202">
        <f t="shared" si="38"/>
        <v>1925.1343978373627</v>
      </c>
      <c r="T68" s="202">
        <f t="shared" si="38"/>
        <v>1929.2079228757393</v>
      </c>
    </row>
    <row r="69" spans="2:20" ht="5.0999999999999996" customHeight="1" thickTop="1" x14ac:dyDescent="0.25">
      <c r="B69" s="203"/>
      <c r="C69" s="204"/>
      <c r="D69" s="204"/>
      <c r="E69" s="204"/>
      <c r="F69" s="204"/>
      <c r="G69" s="204"/>
      <c r="H69" s="204"/>
      <c r="I69" s="204"/>
      <c r="J69" s="196"/>
      <c r="K69" s="205"/>
      <c r="L69" s="205"/>
      <c r="M69" s="205"/>
      <c r="N69" s="205"/>
      <c r="O69" s="205"/>
      <c r="P69" s="205"/>
      <c r="Q69" s="205"/>
    </row>
    <row r="70" spans="2:20" x14ac:dyDescent="0.25">
      <c r="B70" s="203" t="s">
        <v>218</v>
      </c>
      <c r="C70" s="206">
        <v>0</v>
      </c>
      <c r="D70" s="206">
        <v>0</v>
      </c>
      <c r="E70" s="206">
        <v>0</v>
      </c>
      <c r="F70" s="206">
        <f>F65/AVERAGE(Schedules!E35:F35)</f>
        <v>0.10290560654924337</v>
      </c>
      <c r="G70" s="206">
        <f>G65/AVERAGE(Schedules!F35:G35)</f>
        <v>9.2232459478277753E-2</v>
      </c>
      <c r="H70" s="206">
        <f>H65/AVERAGE(Schedules!G35:H35)</f>
        <v>9.5326467296604309E-2</v>
      </c>
      <c r="I70" s="206">
        <f>I65/AVERAGE(Schedules!H35:I35)</f>
        <v>0.10596049733694841</v>
      </c>
      <c r="J70" s="196"/>
      <c r="K70" s="205">
        <f>AVERAGE($F$70:$I$70)</f>
        <v>9.9106257665268455E-2</v>
      </c>
      <c r="L70" s="205">
        <f t="shared" ref="L70:T70" si="39">AVERAGE($F$70:$I$70)</f>
        <v>9.9106257665268455E-2</v>
      </c>
      <c r="M70" s="205">
        <f t="shared" si="39"/>
        <v>9.9106257665268455E-2</v>
      </c>
      <c r="N70" s="205">
        <f t="shared" si="39"/>
        <v>9.9106257665268455E-2</v>
      </c>
      <c r="O70" s="205">
        <f t="shared" si="39"/>
        <v>9.9106257665268455E-2</v>
      </c>
      <c r="P70" s="205">
        <f t="shared" si="39"/>
        <v>9.9106257665268455E-2</v>
      </c>
      <c r="Q70" s="205">
        <f t="shared" si="39"/>
        <v>9.9106257665268455E-2</v>
      </c>
      <c r="R70" s="205">
        <f t="shared" si="39"/>
        <v>9.9106257665268455E-2</v>
      </c>
      <c r="S70" s="205">
        <f t="shared" si="39"/>
        <v>9.9106257665268455E-2</v>
      </c>
      <c r="T70" s="205">
        <f t="shared" si="39"/>
        <v>9.9106257665268455E-2</v>
      </c>
    </row>
    <row r="71" spans="2:20" x14ac:dyDescent="0.25">
      <c r="C71" s="207"/>
      <c r="D71" s="207"/>
      <c r="E71" s="207"/>
      <c r="F71" s="207"/>
      <c r="G71" s="207"/>
      <c r="H71" s="207"/>
      <c r="I71" s="207"/>
      <c r="J71" s="163"/>
      <c r="K71" s="163"/>
      <c r="L71" s="163"/>
      <c r="M71" s="163"/>
      <c r="N71" s="163"/>
      <c r="O71" s="163"/>
    </row>
    <row r="72" spans="2:20" x14ac:dyDescent="0.25">
      <c r="B72" s="208" t="s">
        <v>164</v>
      </c>
      <c r="C72" s="135"/>
      <c r="D72" s="209"/>
      <c r="E72" s="209"/>
      <c r="F72" s="209"/>
      <c r="G72" s="209"/>
      <c r="H72" s="209"/>
      <c r="I72" s="209"/>
      <c r="J72" s="210"/>
      <c r="K72" s="211">
        <v>0.05</v>
      </c>
      <c r="L72" s="211">
        <v>0.05</v>
      </c>
      <c r="M72" s="211">
        <v>0.05</v>
      </c>
      <c r="N72" s="211">
        <v>0.02</v>
      </c>
      <c r="O72" s="211">
        <v>0.02</v>
      </c>
      <c r="P72" s="211">
        <v>0.02</v>
      </c>
      <c r="Q72" s="211">
        <v>0.01</v>
      </c>
      <c r="R72" s="211">
        <v>0.01</v>
      </c>
      <c r="S72" s="211">
        <v>0.01</v>
      </c>
      <c r="T72" s="211">
        <v>0.01</v>
      </c>
    </row>
    <row r="73" spans="2:20" x14ac:dyDescent="0.25">
      <c r="B73" s="212" t="s">
        <v>236</v>
      </c>
      <c r="C73" s="135"/>
      <c r="D73" s="209"/>
      <c r="E73" s="209"/>
      <c r="F73" s="209"/>
      <c r="G73" s="209"/>
      <c r="H73" s="209"/>
      <c r="I73" s="209"/>
      <c r="J73" s="210"/>
      <c r="K73" s="213">
        <f>AVERAGE($D$30:$I$30)*1.03</f>
        <v>1.0036566461229448</v>
      </c>
      <c r="L73" s="213">
        <f>K73*1.03</f>
        <v>1.0337663455066333</v>
      </c>
      <c r="M73" s="213">
        <f>L73*1.05</f>
        <v>1.085454662781965</v>
      </c>
      <c r="N73" s="213">
        <f>M73*1.01</f>
        <v>1.0963092094097846</v>
      </c>
      <c r="O73" s="213">
        <f t="shared" ref="O73:P73" si="40">N73*1.01</f>
        <v>1.1072723015038826</v>
      </c>
      <c r="P73" s="213">
        <f t="shared" si="40"/>
        <v>1.1183450245189215</v>
      </c>
      <c r="Q73" s="213">
        <f>P73*1.01</f>
        <v>1.1295284747641108</v>
      </c>
      <c r="R73" s="213">
        <f t="shared" ref="R73:T73" si="41">Q73*1.01</f>
        <v>1.1408237595117519</v>
      </c>
      <c r="S73" s="213">
        <f t="shared" si="41"/>
        <v>1.1522319971068693</v>
      </c>
      <c r="T73" s="213">
        <f t="shared" si="41"/>
        <v>1.1637543170779381</v>
      </c>
    </row>
    <row r="74" spans="2:20" x14ac:dyDescent="0.25">
      <c r="B74" s="212" t="s">
        <v>237</v>
      </c>
      <c r="C74" s="135"/>
      <c r="D74" s="209"/>
      <c r="E74" s="209"/>
      <c r="F74" s="209"/>
      <c r="G74" s="209"/>
      <c r="H74" s="209"/>
      <c r="I74" s="209"/>
      <c r="J74" s="210"/>
      <c r="K74" s="213">
        <f>AVERAGE($D$30:$I$30)</f>
        <v>0.97442392827470359</v>
      </c>
      <c r="L74" s="213">
        <f>K74*1.05</f>
        <v>1.0231451246884389</v>
      </c>
      <c r="M74" s="213">
        <f>L74*1.05</f>
        <v>1.0743023809228609</v>
      </c>
      <c r="N74" s="213">
        <f t="shared" ref="N74:T74" si="42">M74*1.01</f>
        <v>1.0850454047320894</v>
      </c>
      <c r="O74" s="213">
        <f t="shared" si="42"/>
        <v>1.0958958587794103</v>
      </c>
      <c r="P74" s="213">
        <f t="shared" si="42"/>
        <v>1.1068548173672044</v>
      </c>
      <c r="Q74" s="213">
        <f t="shared" si="42"/>
        <v>1.1179233655408765</v>
      </c>
      <c r="R74" s="213">
        <f t="shared" si="42"/>
        <v>1.1291025991962853</v>
      </c>
      <c r="S74" s="213">
        <f t="shared" si="42"/>
        <v>1.1403936251882483</v>
      </c>
      <c r="T74" s="213">
        <f t="shared" si="42"/>
        <v>1.1517975614401308</v>
      </c>
    </row>
    <row r="75" spans="2:20" x14ac:dyDescent="0.25">
      <c r="B75" s="212" t="s">
        <v>238</v>
      </c>
      <c r="C75" s="135"/>
      <c r="D75" s="209"/>
      <c r="E75" s="209"/>
      <c r="F75" s="209"/>
      <c r="G75" s="209"/>
      <c r="H75" s="209"/>
      <c r="I75" s="209"/>
      <c r="J75" s="210"/>
      <c r="K75" s="213">
        <f>AVERAGE($D$30:$I$30)*0.9</f>
        <v>0.87698153544723323</v>
      </c>
      <c r="L75" s="213">
        <f>K75*1.05</f>
        <v>0.92083061221959495</v>
      </c>
      <c r="M75" s="213">
        <f>L75*1.05</f>
        <v>0.96687214283057477</v>
      </c>
      <c r="N75" s="213">
        <f>M75*1.05</f>
        <v>1.0152157499721035</v>
      </c>
      <c r="O75" s="213">
        <f>N75*1.05</f>
        <v>1.0659765374707086</v>
      </c>
      <c r="P75" s="213">
        <f>O75*1.02</f>
        <v>1.0872960682201229</v>
      </c>
      <c r="Q75" s="213">
        <f>P75*1.02</f>
        <v>1.1090419895845254</v>
      </c>
      <c r="R75" s="213">
        <f>Q75</f>
        <v>1.1090419895845254</v>
      </c>
      <c r="S75" s="213">
        <f>R75</f>
        <v>1.1090419895845254</v>
      </c>
      <c r="T75" s="213">
        <f>S75*1.02</f>
        <v>1.1312228293762159</v>
      </c>
    </row>
    <row r="76" spans="2:20" ht="5.0999999999999996" customHeight="1" x14ac:dyDescent="0.25">
      <c r="C76" s="214"/>
      <c r="D76" s="207"/>
      <c r="E76" s="207"/>
      <c r="F76" s="207"/>
      <c r="G76" s="207"/>
      <c r="H76" s="207"/>
      <c r="I76" s="207"/>
      <c r="J76" s="156"/>
      <c r="K76" s="155"/>
    </row>
    <row r="77" spans="2:20" x14ac:dyDescent="0.25">
      <c r="J77" s="156"/>
      <c r="K77" s="155"/>
    </row>
    <row r="78" spans="2:20" x14ac:dyDescent="0.25">
      <c r="J78" s="156"/>
      <c r="K78" s="155"/>
    </row>
    <row r="79" spans="2:20" x14ac:dyDescent="0.25">
      <c r="J79" s="156"/>
      <c r="K79" s="155"/>
    </row>
    <row r="80" spans="2:20" x14ac:dyDescent="0.25">
      <c r="J80" s="156"/>
      <c r="K80" s="155"/>
    </row>
    <row r="81" spans="4:11" x14ac:dyDescent="0.25">
      <c r="J81" s="156"/>
      <c r="K81" s="155"/>
    </row>
    <row r="82" spans="4:11" x14ac:dyDescent="0.25">
      <c r="J82" s="156"/>
      <c r="K82" s="155"/>
    </row>
    <row r="83" spans="4:11" x14ac:dyDescent="0.25">
      <c r="J83" s="156"/>
      <c r="K83" s="155"/>
    </row>
    <row r="84" spans="4:11" x14ac:dyDescent="0.25">
      <c r="J84" s="156"/>
      <c r="K84" s="155"/>
    </row>
    <row r="85" spans="4:11" x14ac:dyDescent="0.25">
      <c r="D85" s="183"/>
      <c r="E85" s="183"/>
      <c r="F85" s="183"/>
      <c r="G85" s="183"/>
      <c r="H85" s="183"/>
      <c r="I85" s="183"/>
    </row>
    <row r="86" spans="4:11" x14ac:dyDescent="0.25">
      <c r="D86" s="215"/>
    </row>
  </sheetData>
  <pageMargins left="0.7" right="0.7" top="0.75" bottom="0.75" header="0.3" footer="0.3"/>
  <pageSetup paperSize="9" scale="2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93"/>
  <sheetViews>
    <sheetView zoomScale="85" zoomScaleNormal="85" workbookViewId="0">
      <selection activeCell="G27" sqref="G27"/>
    </sheetView>
  </sheetViews>
  <sheetFormatPr defaultRowHeight="15" x14ac:dyDescent="0.25"/>
  <cols>
    <col min="1" max="1" width="11" bestFit="1" customWidth="1"/>
    <col min="2" max="2" width="8" bestFit="1" customWidth="1"/>
    <col min="3" max="3" width="8.140625" bestFit="1" customWidth="1"/>
    <col min="4" max="5" width="8" bestFit="1" customWidth="1"/>
    <col min="6" max="6" width="7.7109375" bestFit="1" customWidth="1"/>
    <col min="7" max="7" width="11.85546875" bestFit="1" customWidth="1"/>
    <col min="8" max="10" width="11.140625" bestFit="1" customWidth="1"/>
    <col min="11" max="11" width="11.140625" customWidth="1"/>
    <col min="12" max="12" width="31.42578125" customWidth="1"/>
    <col min="13" max="13" width="20" customWidth="1"/>
    <col min="14" max="14" width="15.5703125" customWidth="1"/>
    <col min="15" max="15" width="36.85546875" customWidth="1"/>
    <col min="16" max="22" width="14.85546875" customWidth="1"/>
  </cols>
  <sheetData>
    <row r="1" spans="1:21" ht="16.5" thickBot="1" x14ac:dyDescent="0.3">
      <c r="A1" s="228" t="s">
        <v>289</v>
      </c>
      <c r="B1" s="228" t="s">
        <v>290</v>
      </c>
      <c r="C1" s="228" t="s">
        <v>291</v>
      </c>
      <c r="D1" s="228" t="s">
        <v>177</v>
      </c>
      <c r="E1" s="228" t="s">
        <v>176</v>
      </c>
      <c r="F1" s="228" t="s">
        <v>292</v>
      </c>
      <c r="G1" s="228" t="s">
        <v>293</v>
      </c>
      <c r="H1" s="228" t="s">
        <v>321</v>
      </c>
      <c r="I1" s="228" t="s">
        <v>322</v>
      </c>
      <c r="J1" s="228" t="s">
        <v>323</v>
      </c>
      <c r="K1" s="228"/>
      <c r="O1" s="241"/>
      <c r="P1" s="245" t="s">
        <v>354</v>
      </c>
      <c r="Q1" s="245" t="s">
        <v>355</v>
      </c>
      <c r="R1" s="245" t="s">
        <v>356</v>
      </c>
      <c r="S1" s="245" t="s">
        <v>357</v>
      </c>
      <c r="T1" s="245" t="s">
        <v>358</v>
      </c>
      <c r="U1" s="245" t="s">
        <v>359</v>
      </c>
    </row>
    <row r="2" spans="1:21" ht="15.75" thickTop="1" x14ac:dyDescent="0.25">
      <c r="A2" s="227">
        <v>43922</v>
      </c>
      <c r="B2" s="228">
        <v>2082.6999999999998</v>
      </c>
      <c r="C2" s="228">
        <v>2218</v>
      </c>
      <c r="D2" s="228">
        <v>2230</v>
      </c>
      <c r="E2" s="228">
        <v>2078.15</v>
      </c>
      <c r="F2">
        <v>272200</v>
      </c>
      <c r="G2" s="228">
        <v>-4.7899999999999998E-2</v>
      </c>
      <c r="H2" s="228">
        <f>YEAR(AVEU_Historical_Data__2[[#This Row],[Date]])</f>
        <v>2020</v>
      </c>
      <c r="I2" s="228">
        <f>ROUNDUP((MOD(MONTH(AVEU_Historical_Data__2[[#This Row],[Date]])+8,12)+1)/3,0)</f>
        <v>1</v>
      </c>
      <c r="J2" s="228">
        <f>MONTH(AVEU_Historical_Data__2[[#This Row],[Date]])</f>
        <v>4</v>
      </c>
      <c r="K2" s="228"/>
      <c r="O2" s="4" t="s">
        <v>342</v>
      </c>
      <c r="P2" s="247">
        <v>-2.9237400583831175E-2</v>
      </c>
      <c r="Q2" s="247">
        <v>0.28302998874210639</v>
      </c>
      <c r="R2" s="247">
        <v>0.38297993915987938</v>
      </c>
      <c r="S2" s="247">
        <v>0.18555909537819715</v>
      </c>
      <c r="T2" s="247">
        <v>0.16872253210007004</v>
      </c>
      <c r="U2" s="247">
        <v>0.15941713044818684</v>
      </c>
    </row>
    <row r="3" spans="1:21" x14ac:dyDescent="0.25">
      <c r="A3" s="227">
        <v>43924</v>
      </c>
      <c r="B3" s="228">
        <v>2066.9499999999998</v>
      </c>
      <c r="C3" s="228">
        <v>2101.5</v>
      </c>
      <c r="D3" s="228">
        <v>2119</v>
      </c>
      <c r="E3" s="228">
        <v>2020</v>
      </c>
      <c r="F3">
        <v>303210</v>
      </c>
      <c r="G3" s="228">
        <v>-7.6E-3</v>
      </c>
      <c r="H3" s="228">
        <f>YEAR(AVEU_Historical_Data__2[[#This Row],[Date]])</f>
        <v>2020</v>
      </c>
      <c r="I3" s="228">
        <f>ROUNDUP((MOD(MONTH(AVEU_Historical_Data__2[[#This Row],[Date]])+8,12)+1)/3,0)</f>
        <v>1</v>
      </c>
      <c r="J3" s="228">
        <f>MONTH(AVEU_Historical_Data__2[[#This Row],[Date]])</f>
        <v>4</v>
      </c>
      <c r="K3" s="228"/>
      <c r="L3" s="229" t="s">
        <v>295</v>
      </c>
      <c r="M3" t="s">
        <v>297</v>
      </c>
    </row>
    <row r="4" spans="1:21" ht="16.5" thickBot="1" x14ac:dyDescent="0.3">
      <c r="A4" s="227">
        <v>43928</v>
      </c>
      <c r="B4" s="228">
        <v>2170.25</v>
      </c>
      <c r="C4" s="228">
        <v>2090.1</v>
      </c>
      <c r="D4" s="228">
        <v>2170.25</v>
      </c>
      <c r="E4" s="228">
        <v>2090.1</v>
      </c>
      <c r="F4">
        <v>219470</v>
      </c>
      <c r="G4" s="228">
        <v>0.05</v>
      </c>
      <c r="H4" s="228">
        <f>YEAR(AVEU_Historical_Data__2[[#This Row],[Date]])</f>
        <v>2020</v>
      </c>
      <c r="I4" s="228">
        <f>ROUNDUP((MOD(MONTH(AVEU_Historical_Data__2[[#This Row],[Date]])+8,12)+1)/3,0)</f>
        <v>1</v>
      </c>
      <c r="J4" s="228">
        <f>MONTH(AVEU_Historical_Data__2[[#This Row],[Date]])</f>
        <v>4</v>
      </c>
      <c r="K4" s="228"/>
      <c r="L4" s="230">
        <v>2020</v>
      </c>
      <c r="M4" s="228">
        <v>2280.6283422459887</v>
      </c>
      <c r="O4" s="241"/>
      <c r="P4" s="245" t="s">
        <v>354</v>
      </c>
      <c r="Q4" s="245" t="s">
        <v>355</v>
      </c>
      <c r="R4" s="245" t="s">
        <v>356</v>
      </c>
      <c r="S4" s="245" t="s">
        <v>357</v>
      </c>
      <c r="T4" s="245" t="s">
        <v>358</v>
      </c>
      <c r="U4" s="245" t="s">
        <v>359</v>
      </c>
    </row>
    <row r="5" spans="1:21" ht="15.75" thickTop="1" x14ac:dyDescent="0.25">
      <c r="A5" s="227">
        <v>43929</v>
      </c>
      <c r="B5" s="228">
        <v>2278.75</v>
      </c>
      <c r="C5" s="228">
        <v>2222</v>
      </c>
      <c r="D5" s="228">
        <v>2278.75</v>
      </c>
      <c r="E5" s="228">
        <v>2201.0500000000002</v>
      </c>
      <c r="F5">
        <v>153350</v>
      </c>
      <c r="G5" s="228">
        <v>0.05</v>
      </c>
      <c r="H5" s="228">
        <f>YEAR(AVEU_Historical_Data__2[[#This Row],[Date]])</f>
        <v>2020</v>
      </c>
      <c r="I5" s="228">
        <f>ROUNDUP((MOD(MONTH(AVEU_Historical_Data__2[[#This Row],[Date]])+8,12)+1)/3,0)</f>
        <v>1</v>
      </c>
      <c r="J5" s="228">
        <f>MONTH(AVEU_Historical_Data__2[[#This Row],[Date]])</f>
        <v>4</v>
      </c>
      <c r="K5" s="228"/>
      <c r="L5" s="230">
        <v>2021</v>
      </c>
      <c r="M5" s="228">
        <v>3620.9114919354824</v>
      </c>
      <c r="O5" s="4" t="s">
        <v>4</v>
      </c>
      <c r="P5" s="4">
        <v>27306</v>
      </c>
      <c r="Q5" s="4">
        <v>27454</v>
      </c>
      <c r="R5" s="4">
        <v>31096</v>
      </c>
      <c r="S5" s="4">
        <v>32941</v>
      </c>
      <c r="T5" s="4">
        <v>33869</v>
      </c>
      <c r="U5" s="4">
        <v>33422</v>
      </c>
    </row>
    <row r="6" spans="1:21" x14ac:dyDescent="0.25">
      <c r="A6" s="227">
        <v>43930</v>
      </c>
      <c r="B6" s="228">
        <v>2392.65</v>
      </c>
      <c r="C6" s="228">
        <v>2392.65</v>
      </c>
      <c r="D6" s="228">
        <v>2392.65</v>
      </c>
      <c r="E6" s="228">
        <v>2392.65</v>
      </c>
      <c r="F6">
        <v>231680</v>
      </c>
      <c r="G6" s="228">
        <v>0.05</v>
      </c>
      <c r="H6" s="228">
        <f>YEAR(AVEU_Historical_Data__2[[#This Row],[Date]])</f>
        <v>2020</v>
      </c>
      <c r="I6" s="228">
        <f>ROUNDUP((MOD(MONTH(AVEU_Historical_Data__2[[#This Row],[Date]])+8,12)+1)/3,0)</f>
        <v>1</v>
      </c>
      <c r="J6" s="228">
        <f>MONTH(AVEU_Historical_Data__2[[#This Row],[Date]])</f>
        <v>4</v>
      </c>
      <c r="K6" s="228"/>
      <c r="L6" s="230">
        <v>2022</v>
      </c>
      <c r="M6" s="228">
        <v>4077.6554435483849</v>
      </c>
    </row>
    <row r="7" spans="1:21" ht="16.5" thickBot="1" x14ac:dyDescent="0.3">
      <c r="A7" s="227">
        <v>43934</v>
      </c>
      <c r="B7" s="228">
        <v>2273.0500000000002</v>
      </c>
      <c r="C7" s="228">
        <v>2320</v>
      </c>
      <c r="D7" s="228">
        <v>2320</v>
      </c>
      <c r="E7" s="228">
        <v>2273.0500000000002</v>
      </c>
      <c r="F7">
        <v>272320</v>
      </c>
      <c r="G7" s="228">
        <v>-0.05</v>
      </c>
      <c r="H7" s="228">
        <f>YEAR(AVEU_Historical_Data__2[[#This Row],[Date]])</f>
        <v>2020</v>
      </c>
      <c r="I7" s="228">
        <f>ROUNDUP((MOD(MONTH(AVEU_Historical_Data__2[[#This Row],[Date]])+8,12)+1)/3,0)</f>
        <v>1</v>
      </c>
      <c r="J7" s="228">
        <f>MONTH(AVEU_Historical_Data__2[[#This Row],[Date]])</f>
        <v>4</v>
      </c>
      <c r="K7" s="228"/>
      <c r="L7" s="230">
        <v>2023</v>
      </c>
      <c r="M7" s="228">
        <v>3673.7089430894307</v>
      </c>
      <c r="O7" s="241"/>
      <c r="P7" s="245" t="s">
        <v>354</v>
      </c>
      <c r="Q7" s="245" t="s">
        <v>355</v>
      </c>
      <c r="R7" s="245" t="s">
        <v>356</v>
      </c>
      <c r="S7" s="245" t="s">
        <v>357</v>
      </c>
      <c r="T7" s="245" t="s">
        <v>358</v>
      </c>
      <c r="U7" s="245" t="s">
        <v>359</v>
      </c>
    </row>
    <row r="8" spans="1:21" ht="15.75" thickTop="1" x14ac:dyDescent="0.25">
      <c r="A8" s="227">
        <v>43936</v>
      </c>
      <c r="B8" s="228">
        <v>2180.9</v>
      </c>
      <c r="C8" s="228">
        <v>2161</v>
      </c>
      <c r="D8" s="228">
        <v>2320</v>
      </c>
      <c r="E8" s="228">
        <v>2159.4</v>
      </c>
      <c r="F8">
        <v>634860</v>
      </c>
      <c r="G8" s="228">
        <v>-4.0500000000000001E-2</v>
      </c>
      <c r="H8" s="228">
        <f>YEAR(AVEU_Historical_Data__2[[#This Row],[Date]])</f>
        <v>2020</v>
      </c>
      <c r="I8" s="228">
        <f>ROUNDUP((MOD(MONTH(AVEU_Historical_Data__2[[#This Row],[Date]])+8,12)+1)/3,0)</f>
        <v>1</v>
      </c>
      <c r="J8" s="228">
        <f>MONTH(AVEU_Historical_Data__2[[#This Row],[Date]])</f>
        <v>4</v>
      </c>
      <c r="K8" s="228"/>
      <c r="L8" s="230">
        <v>2024</v>
      </c>
      <c r="M8" s="228">
        <v>4383.2403614457817</v>
      </c>
      <c r="O8" s="4" t="s">
        <v>3</v>
      </c>
      <c r="P8" s="4">
        <v>8.8000000000000007</v>
      </c>
      <c r="Q8" s="4">
        <v>11.5</v>
      </c>
      <c r="R8" s="4">
        <v>13.4</v>
      </c>
      <c r="S8" s="4">
        <v>15.1</v>
      </c>
      <c r="T8" s="4">
        <v>17.2</v>
      </c>
      <c r="U8" s="4">
        <v>20.6</v>
      </c>
    </row>
    <row r="9" spans="1:21" x14ac:dyDescent="0.25">
      <c r="A9" s="227">
        <v>43937</v>
      </c>
      <c r="B9" s="228">
        <v>2137.85</v>
      </c>
      <c r="C9" s="228">
        <v>2151</v>
      </c>
      <c r="D9" s="228">
        <v>2210</v>
      </c>
      <c r="E9" s="228">
        <v>2104.9</v>
      </c>
      <c r="F9">
        <v>393230</v>
      </c>
      <c r="G9" s="228">
        <v>-1.9699999999999999E-2</v>
      </c>
      <c r="H9" s="228">
        <f>YEAR(AVEU_Historical_Data__2[[#This Row],[Date]])</f>
        <v>2020</v>
      </c>
      <c r="I9" s="228">
        <f>ROUNDUP((MOD(MONTH(AVEU_Historical_Data__2[[#This Row],[Date]])+8,12)+1)/3,0)</f>
        <v>1</v>
      </c>
      <c r="J9" s="228">
        <f>MONTH(AVEU_Historical_Data__2[[#This Row],[Date]])</f>
        <v>4</v>
      </c>
      <c r="K9" s="228"/>
      <c r="L9" s="230">
        <v>2025</v>
      </c>
      <c r="M9" s="228">
        <v>4083.3016064257026</v>
      </c>
    </row>
    <row r="10" spans="1:21" ht="16.5" thickBot="1" x14ac:dyDescent="0.3">
      <c r="A10" s="227">
        <v>43938</v>
      </c>
      <c r="B10" s="228">
        <v>2212.1</v>
      </c>
      <c r="C10" s="228">
        <v>2214</v>
      </c>
      <c r="D10" s="228">
        <v>2230</v>
      </c>
      <c r="E10" s="228">
        <v>2200</v>
      </c>
      <c r="F10">
        <v>292020</v>
      </c>
      <c r="G10" s="228">
        <v>3.4700000000000002E-2</v>
      </c>
      <c r="H10" s="228">
        <f>YEAR(AVEU_Historical_Data__2[[#This Row],[Date]])</f>
        <v>2020</v>
      </c>
      <c r="I10" s="228">
        <f>ROUNDUP((MOD(MONTH(AVEU_Historical_Data__2[[#This Row],[Date]])+8,12)+1)/3,0)</f>
        <v>1</v>
      </c>
      <c r="J10" s="228">
        <f>MONTH(AVEU_Historical_Data__2[[#This Row],[Date]])</f>
        <v>4</v>
      </c>
      <c r="K10" s="228"/>
      <c r="L10" s="230">
        <v>2026</v>
      </c>
      <c r="M10" s="228">
        <v>4041.9933333333342</v>
      </c>
      <c r="O10" s="241"/>
      <c r="P10" s="245" t="s">
        <v>354</v>
      </c>
      <c r="Q10" s="245" t="s">
        <v>355</v>
      </c>
      <c r="R10" s="245" t="s">
        <v>356</v>
      </c>
      <c r="S10" s="245" t="s">
        <v>357</v>
      </c>
      <c r="T10" s="245" t="s">
        <v>358</v>
      </c>
      <c r="U10" s="245" t="s">
        <v>359</v>
      </c>
    </row>
    <row r="11" spans="1:21" ht="15.75" thickTop="1" x14ac:dyDescent="0.25">
      <c r="A11" s="227">
        <v>43941</v>
      </c>
      <c r="B11" s="228">
        <v>2256.25</v>
      </c>
      <c r="C11" s="228">
        <v>2229.9499999999998</v>
      </c>
      <c r="D11" s="228">
        <v>2285</v>
      </c>
      <c r="E11" s="228">
        <v>2150.0500000000002</v>
      </c>
      <c r="F11">
        <v>274760</v>
      </c>
      <c r="G11" s="228">
        <v>0.02</v>
      </c>
      <c r="H11" s="228">
        <f>YEAR(AVEU_Historical_Data__2[[#This Row],[Date]])</f>
        <v>2020</v>
      </c>
      <c r="I11" s="228">
        <f>ROUNDUP((MOD(MONTH(AVEU_Historical_Data__2[[#This Row],[Date]])+8,12)+1)/3,0)</f>
        <v>1</v>
      </c>
      <c r="J11" s="228">
        <f>MONTH(AVEU_Historical_Data__2[[#This Row],[Date]])</f>
        <v>4</v>
      </c>
      <c r="K11" s="228"/>
      <c r="L11" s="230" t="s">
        <v>296</v>
      </c>
      <c r="M11" s="228">
        <v>3777.9851444723686</v>
      </c>
      <c r="O11" s="4" t="s">
        <v>9</v>
      </c>
      <c r="P11" s="254">
        <v>241430.6</v>
      </c>
      <c r="Q11" s="254">
        <v>309762.7</v>
      </c>
      <c r="R11" s="254">
        <v>428395.6</v>
      </c>
      <c r="S11" s="254">
        <v>507888.3</v>
      </c>
      <c r="T11" s="254">
        <v>593580.5</v>
      </c>
      <c r="U11" s="254">
        <v>688207.4</v>
      </c>
    </row>
    <row r="12" spans="1:21" x14ac:dyDescent="0.25">
      <c r="A12" s="227">
        <v>43942</v>
      </c>
      <c r="B12" s="228">
        <v>2238.1999999999998</v>
      </c>
      <c r="C12" s="228">
        <v>2200</v>
      </c>
      <c r="D12" s="228">
        <v>2288.5</v>
      </c>
      <c r="E12" s="228">
        <v>2199.4499999999998</v>
      </c>
      <c r="F12">
        <v>205880</v>
      </c>
      <c r="G12" s="228">
        <v>-8.0000000000000002E-3</v>
      </c>
      <c r="H12" s="228">
        <f>YEAR(AVEU_Historical_Data__2[[#This Row],[Date]])</f>
        <v>2020</v>
      </c>
      <c r="I12" s="228">
        <f>ROUNDUP((MOD(MONTH(AVEU_Historical_Data__2[[#This Row],[Date]])+8,12)+1)/3,0)</f>
        <v>1</v>
      </c>
      <c r="J12" s="228">
        <f>MONTH(AVEU_Historical_Data__2[[#This Row],[Date]])</f>
        <v>4</v>
      </c>
      <c r="K12" s="228"/>
      <c r="P12" s="230"/>
      <c r="Q12" s="228"/>
    </row>
    <row r="13" spans="1:21" ht="16.5" thickBot="1" x14ac:dyDescent="0.3">
      <c r="A13" s="227">
        <v>43943</v>
      </c>
      <c r="B13" s="228">
        <v>2290.0500000000002</v>
      </c>
      <c r="C13" s="228">
        <v>2235</v>
      </c>
      <c r="D13" s="228">
        <v>2320</v>
      </c>
      <c r="E13" s="228">
        <v>2225</v>
      </c>
      <c r="F13">
        <v>232000</v>
      </c>
      <c r="G13" s="228">
        <v>2.3199999999999998E-2</v>
      </c>
      <c r="H13" s="228">
        <f>YEAR(AVEU_Historical_Data__2[[#This Row],[Date]])</f>
        <v>2020</v>
      </c>
      <c r="I13" s="228">
        <f>ROUNDUP((MOD(MONTH(AVEU_Historical_Data__2[[#This Row],[Date]])+8,12)+1)/3,0)</f>
        <v>1</v>
      </c>
      <c r="J13" s="228">
        <f>MONTH(AVEU_Historical_Data__2[[#This Row],[Date]])</f>
        <v>4</v>
      </c>
      <c r="K13" s="228"/>
      <c r="O13" s="241"/>
      <c r="P13" s="245" t="s">
        <v>354</v>
      </c>
      <c r="Q13" s="245" t="s">
        <v>355</v>
      </c>
      <c r="R13" s="245" t="s">
        <v>356</v>
      </c>
      <c r="S13" s="245" t="s">
        <v>357</v>
      </c>
      <c r="T13" s="245" t="s">
        <v>358</v>
      </c>
      <c r="U13" s="245" t="s">
        <v>359</v>
      </c>
    </row>
    <row r="14" spans="1:21" ht="15.75" thickTop="1" x14ac:dyDescent="0.25">
      <c r="A14" s="227">
        <v>43944</v>
      </c>
      <c r="B14" s="228">
        <v>2303.5</v>
      </c>
      <c r="C14" s="228">
        <v>2290.0500000000002</v>
      </c>
      <c r="D14" s="228">
        <v>2350</v>
      </c>
      <c r="E14" s="228">
        <v>2290.0500000000002</v>
      </c>
      <c r="F14">
        <v>182400</v>
      </c>
      <c r="G14" s="228">
        <v>5.8999999999999999E-3</v>
      </c>
      <c r="H14" s="228">
        <f>YEAR(AVEU_Historical_Data__2[[#This Row],[Date]])</f>
        <v>2020</v>
      </c>
      <c r="I14" s="228">
        <f>ROUNDUP((MOD(MONTH(AVEU_Historical_Data__2[[#This Row],[Date]])+8,12)+1)/3,0)</f>
        <v>1</v>
      </c>
      <c r="J14" s="228">
        <f>MONTH(AVEU_Historical_Data__2[[#This Row],[Date]])</f>
        <v>4</v>
      </c>
      <c r="K14" s="228"/>
      <c r="L14" s="229" t="s">
        <v>295</v>
      </c>
      <c r="M14" t="s">
        <v>324</v>
      </c>
      <c r="O14" s="4" t="s">
        <v>19</v>
      </c>
      <c r="P14" s="254">
        <v>13288.899999999985</v>
      </c>
      <c r="Q14" s="254">
        <v>20004.19999999999</v>
      </c>
      <c r="R14" s="254">
        <v>29981.600000000031</v>
      </c>
      <c r="S14" s="254">
        <v>33730.100000000028</v>
      </c>
      <c r="T14" s="254">
        <v>36178.099999999948</v>
      </c>
      <c r="U14" s="254">
        <v>41495.699999999968</v>
      </c>
    </row>
    <row r="15" spans="1:21" x14ac:dyDescent="0.25">
      <c r="A15" s="227">
        <v>43945</v>
      </c>
      <c r="B15" s="228">
        <v>2310.5</v>
      </c>
      <c r="C15" s="228">
        <v>2299.4499999999998</v>
      </c>
      <c r="D15" s="228">
        <v>2346.5</v>
      </c>
      <c r="E15" s="228">
        <v>2269.4499999999998</v>
      </c>
      <c r="F15">
        <v>586420</v>
      </c>
      <c r="G15" s="228">
        <v>3.0000000000000001E-3</v>
      </c>
      <c r="H15" s="228">
        <f>YEAR(AVEU_Historical_Data__2[[#This Row],[Date]])</f>
        <v>2020</v>
      </c>
      <c r="I15" s="228">
        <f>ROUNDUP((MOD(MONTH(AVEU_Historical_Data__2[[#This Row],[Date]])+8,12)+1)/3,0)</f>
        <v>1</v>
      </c>
      <c r="J15" s="228">
        <f>MONTH(AVEU_Historical_Data__2[[#This Row],[Date]])</f>
        <v>4</v>
      </c>
      <c r="K15" s="228"/>
      <c r="L15" s="230">
        <v>2020</v>
      </c>
      <c r="M15" s="228">
        <v>119713620</v>
      </c>
      <c r="O15" s="4" t="s">
        <v>29</v>
      </c>
      <c r="P15" s="247">
        <v>5.5042318579334948E-2</v>
      </c>
      <c r="Q15" s="247">
        <v>6.4579111687753196E-2</v>
      </c>
      <c r="R15" s="247">
        <v>6.9985779499135925E-2</v>
      </c>
      <c r="S15" s="247">
        <v>6.6412437537939004E-2</v>
      </c>
      <c r="T15" s="247">
        <v>6.094893615945933E-2</v>
      </c>
      <c r="U15" s="247">
        <v>6.0295341200922815E-2</v>
      </c>
    </row>
    <row r="16" spans="1:21" x14ac:dyDescent="0.25">
      <c r="A16" s="227">
        <v>43948</v>
      </c>
      <c r="B16" s="228">
        <v>2323.9499999999998</v>
      </c>
      <c r="C16" s="228">
        <v>2300</v>
      </c>
      <c r="D16" s="228">
        <v>2350</v>
      </c>
      <c r="E16" s="228">
        <v>2274</v>
      </c>
      <c r="F16">
        <v>198320</v>
      </c>
      <c r="G16" s="228">
        <v>5.7999999999999996E-3</v>
      </c>
      <c r="H16" s="228">
        <f>YEAR(AVEU_Historical_Data__2[[#This Row],[Date]])</f>
        <v>2020</v>
      </c>
      <c r="I16" s="228">
        <f>ROUNDUP((MOD(MONTH(AVEU_Historical_Data__2[[#This Row],[Date]])+8,12)+1)/3,0)</f>
        <v>1</v>
      </c>
      <c r="J16" s="228">
        <f>MONTH(AVEU_Historical_Data__2[[#This Row],[Date]])</f>
        <v>4</v>
      </c>
      <c r="K16" s="228"/>
      <c r="L16" s="230">
        <v>2021</v>
      </c>
      <c r="M16" s="228">
        <v>116165280</v>
      </c>
      <c r="P16" s="230"/>
      <c r="Q16" s="228"/>
    </row>
    <row r="17" spans="1:21" ht="16.5" thickBot="1" x14ac:dyDescent="0.3">
      <c r="A17" s="227">
        <v>43949</v>
      </c>
      <c r="B17" s="228">
        <v>2305.8000000000002</v>
      </c>
      <c r="C17" s="228">
        <v>2339</v>
      </c>
      <c r="D17" s="228">
        <v>2340</v>
      </c>
      <c r="E17" s="228">
        <v>2285</v>
      </c>
      <c r="F17">
        <v>858550</v>
      </c>
      <c r="G17" s="228">
        <v>-7.7999999999999996E-3</v>
      </c>
      <c r="H17" s="228">
        <f>YEAR(AVEU_Historical_Data__2[[#This Row],[Date]])</f>
        <v>2020</v>
      </c>
      <c r="I17" s="228">
        <f>ROUNDUP((MOD(MONTH(AVEU_Historical_Data__2[[#This Row],[Date]])+8,12)+1)/3,0)</f>
        <v>1</v>
      </c>
      <c r="J17" s="228">
        <f>MONTH(AVEU_Historical_Data__2[[#This Row],[Date]])</f>
        <v>4</v>
      </c>
      <c r="K17" s="228"/>
      <c r="L17" s="230">
        <v>2022</v>
      </c>
      <c r="M17" s="228">
        <v>102609300</v>
      </c>
      <c r="O17" s="241"/>
      <c r="P17" s="245" t="s">
        <v>354</v>
      </c>
      <c r="Q17" s="245" t="s">
        <v>355</v>
      </c>
      <c r="R17" s="245" t="s">
        <v>356</v>
      </c>
      <c r="S17" s="245" t="s">
        <v>357</v>
      </c>
      <c r="T17" s="245" t="s">
        <v>358</v>
      </c>
      <c r="U17" s="245" t="s">
        <v>359</v>
      </c>
    </row>
    <row r="18" spans="1:21" ht="15.75" thickTop="1" x14ac:dyDescent="0.25">
      <c r="A18" s="227">
        <v>43950</v>
      </c>
      <c r="B18" s="228">
        <v>2344.35</v>
      </c>
      <c r="C18" s="228">
        <v>2310</v>
      </c>
      <c r="D18" s="228">
        <v>2350</v>
      </c>
      <c r="E18" s="228">
        <v>2305.8000000000002</v>
      </c>
      <c r="F18">
        <v>120880</v>
      </c>
      <c r="G18" s="228">
        <v>1.67E-2</v>
      </c>
      <c r="H18" s="228">
        <f>YEAR(AVEU_Historical_Data__2[[#This Row],[Date]])</f>
        <v>2020</v>
      </c>
      <c r="I18" s="228">
        <f>ROUNDUP((MOD(MONTH(AVEU_Historical_Data__2[[#This Row],[Date]])+8,12)+1)/3,0)</f>
        <v>1</v>
      </c>
      <c r="J18" s="228">
        <f>MONTH(AVEU_Historical_Data__2[[#This Row],[Date]])</f>
        <v>4</v>
      </c>
      <c r="K18" s="228"/>
      <c r="L18" s="230">
        <v>2023</v>
      </c>
      <c r="M18" s="228">
        <v>85452980</v>
      </c>
      <c r="O18" s="4" t="s">
        <v>361</v>
      </c>
      <c r="P18" s="254">
        <v>10994.299999999985</v>
      </c>
      <c r="Q18" s="254">
        <v>14923.999999999989</v>
      </c>
      <c r="R18" s="254">
        <v>23783.400000000034</v>
      </c>
      <c r="S18" s="254">
        <v>25356.100000000024</v>
      </c>
      <c r="T18" s="254">
        <v>27074.499999999945</v>
      </c>
      <c r="U18" s="254">
        <v>29705.999999999971</v>
      </c>
    </row>
    <row r="19" spans="1:21" x14ac:dyDescent="0.25">
      <c r="A19" s="227">
        <v>43951</v>
      </c>
      <c r="B19" s="228">
        <v>2383.65</v>
      </c>
      <c r="C19" s="228">
        <v>2349</v>
      </c>
      <c r="D19" s="228">
        <v>2389.75</v>
      </c>
      <c r="E19" s="228">
        <v>2325</v>
      </c>
      <c r="F19">
        <v>619340</v>
      </c>
      <c r="G19" s="228">
        <v>1.6799999999999999E-2</v>
      </c>
      <c r="H19" s="228">
        <f>YEAR(AVEU_Historical_Data__2[[#This Row],[Date]])</f>
        <v>2020</v>
      </c>
      <c r="I19" s="228">
        <f>ROUNDUP((MOD(MONTH(AVEU_Historical_Data__2[[#This Row],[Date]])+8,12)+1)/3,0)</f>
        <v>1</v>
      </c>
      <c r="J19" s="228">
        <f>MONTH(AVEU_Historical_Data__2[[#This Row],[Date]])</f>
        <v>4</v>
      </c>
      <c r="K19" s="228"/>
      <c r="L19" s="230">
        <v>2024</v>
      </c>
      <c r="M19" s="228">
        <v>138939140</v>
      </c>
      <c r="O19" s="4" t="s">
        <v>33</v>
      </c>
      <c r="P19" s="247">
        <v>4.5538138081916646E-2</v>
      </c>
      <c r="Q19" s="247">
        <v>4.8178815590127502E-2</v>
      </c>
      <c r="R19" s="247">
        <v>5.551737692917489E-2</v>
      </c>
      <c r="S19" s="247">
        <v>4.9924560183804242E-2</v>
      </c>
      <c r="T19" s="247">
        <v>4.5612178971512617E-2</v>
      </c>
      <c r="U19" s="247">
        <v>4.3164313548502919E-2</v>
      </c>
    </row>
    <row r="20" spans="1:21" x14ac:dyDescent="0.25">
      <c r="A20" s="227">
        <v>43955</v>
      </c>
      <c r="B20" s="228">
        <v>2281.3000000000002</v>
      </c>
      <c r="C20" s="228">
        <v>2310.1999999999998</v>
      </c>
      <c r="D20" s="228">
        <v>2345</v>
      </c>
      <c r="E20" s="228">
        <v>2269.9499999999998</v>
      </c>
      <c r="F20">
        <v>234630</v>
      </c>
      <c r="G20" s="228">
        <v>-4.2900000000000001E-2</v>
      </c>
      <c r="H20" s="228">
        <f>YEAR(AVEU_Historical_Data__2[[#This Row],[Date]])</f>
        <v>2020</v>
      </c>
      <c r="I20" s="228">
        <f>ROUNDUP((MOD(MONTH(AVEU_Historical_Data__2[[#This Row],[Date]])+8,12)+1)/3,0)</f>
        <v>1</v>
      </c>
      <c r="J20" s="228">
        <f>MONTH(AVEU_Historical_Data__2[[#This Row],[Date]])</f>
        <v>5</v>
      </c>
      <c r="K20" s="228"/>
      <c r="L20" s="230">
        <v>2025</v>
      </c>
      <c r="M20" s="228">
        <v>145453260</v>
      </c>
    </row>
    <row r="21" spans="1:21" ht="16.5" thickBot="1" x14ac:dyDescent="0.3">
      <c r="A21" s="227">
        <v>43956</v>
      </c>
      <c r="B21" s="228">
        <v>2198.9499999999998</v>
      </c>
      <c r="C21" s="228">
        <v>2320</v>
      </c>
      <c r="D21" s="228">
        <v>2329.9499999999998</v>
      </c>
      <c r="E21" s="228">
        <v>2185.3000000000002</v>
      </c>
      <c r="F21">
        <v>183050</v>
      </c>
      <c r="G21" s="228">
        <v>-3.61E-2</v>
      </c>
      <c r="H21" s="228">
        <f>YEAR(AVEU_Historical_Data__2[[#This Row],[Date]])</f>
        <v>2020</v>
      </c>
      <c r="I21" s="228">
        <f>ROUNDUP((MOD(MONTH(AVEU_Historical_Data__2[[#This Row],[Date]])+8,12)+1)/3,0)</f>
        <v>1</v>
      </c>
      <c r="J21" s="228">
        <f>MONTH(AVEU_Historical_Data__2[[#This Row],[Date]])</f>
        <v>5</v>
      </c>
      <c r="K21" s="228"/>
      <c r="L21" s="230">
        <v>2026</v>
      </c>
      <c r="M21" s="228">
        <v>93491040</v>
      </c>
      <c r="O21" s="241"/>
      <c r="P21" s="245" t="s">
        <v>354</v>
      </c>
      <c r="Q21" s="245" t="s">
        <v>355</v>
      </c>
      <c r="R21" s="245" t="s">
        <v>356</v>
      </c>
      <c r="S21" s="245" t="s">
        <v>357</v>
      </c>
      <c r="T21" s="245" t="s">
        <v>358</v>
      </c>
      <c r="U21" s="245" t="s">
        <v>359</v>
      </c>
    </row>
    <row r="22" spans="1:21" ht="15.75" thickTop="1" x14ac:dyDescent="0.25">
      <c r="A22" s="227">
        <v>43957</v>
      </c>
      <c r="B22" s="228">
        <v>2175.6</v>
      </c>
      <c r="C22" s="228">
        <v>2200</v>
      </c>
      <c r="D22" s="228">
        <v>2249</v>
      </c>
      <c r="E22" s="228">
        <v>2126.5500000000002</v>
      </c>
      <c r="F22">
        <v>292520</v>
      </c>
      <c r="G22" s="228">
        <v>-1.06E-2</v>
      </c>
      <c r="H22" s="228">
        <f>YEAR(AVEU_Historical_Data__2[[#This Row],[Date]])</f>
        <v>2020</v>
      </c>
      <c r="I22" s="228">
        <f>ROUNDUP((MOD(MONTH(AVEU_Historical_Data__2[[#This Row],[Date]])+8,12)+1)/3,0)</f>
        <v>1</v>
      </c>
      <c r="J22" s="228">
        <f>MONTH(AVEU_Historical_Data__2[[#This Row],[Date]])</f>
        <v>5</v>
      </c>
      <c r="K22" s="228"/>
      <c r="L22" s="230" t="s">
        <v>296</v>
      </c>
      <c r="M22" s="228">
        <v>801824620</v>
      </c>
      <c r="O22" s="4" t="s">
        <v>126</v>
      </c>
      <c r="P22" s="254">
        <v>13751.400000000001</v>
      </c>
      <c r="Q22" s="254">
        <v>13723.500000000011</v>
      </c>
      <c r="R22" s="254">
        <v>26302.699999999997</v>
      </c>
      <c r="S22" s="254">
        <v>27458.399999999983</v>
      </c>
      <c r="T22" s="254">
        <v>24629.7</v>
      </c>
      <c r="U22" s="254">
        <v>34667.39999999998</v>
      </c>
    </row>
    <row r="23" spans="1:21" x14ac:dyDescent="0.25">
      <c r="A23" s="227">
        <v>43958</v>
      </c>
      <c r="B23" s="228">
        <v>2182.1</v>
      </c>
      <c r="C23" s="228">
        <v>2180</v>
      </c>
      <c r="D23" s="228">
        <v>2210.3000000000002</v>
      </c>
      <c r="E23" s="228">
        <v>2144</v>
      </c>
      <c r="F23">
        <v>287440</v>
      </c>
      <c r="G23" s="228">
        <v>3.0000000000000001E-3</v>
      </c>
      <c r="H23" s="228">
        <f>YEAR(AVEU_Historical_Data__2[[#This Row],[Date]])</f>
        <v>2020</v>
      </c>
      <c r="I23" s="228">
        <f>ROUNDUP((MOD(MONTH(AVEU_Historical_Data__2[[#This Row],[Date]])+8,12)+1)/3,0)</f>
        <v>1</v>
      </c>
      <c r="J23" s="228">
        <f>MONTH(AVEU_Historical_Data__2[[#This Row],[Date]])</f>
        <v>5</v>
      </c>
      <c r="K23" s="228"/>
    </row>
    <row r="24" spans="1:21" ht="16.5" thickBot="1" x14ac:dyDescent="0.3">
      <c r="A24" s="227">
        <v>43959</v>
      </c>
      <c r="B24" s="228">
        <v>2255</v>
      </c>
      <c r="C24" s="228">
        <v>2190</v>
      </c>
      <c r="D24" s="228">
        <v>2284</v>
      </c>
      <c r="E24" s="228">
        <v>2185</v>
      </c>
      <c r="F24">
        <v>247820</v>
      </c>
      <c r="G24" s="228">
        <v>3.3399999999999999E-2</v>
      </c>
      <c r="H24" s="228">
        <f>YEAR(AVEU_Historical_Data__2[[#This Row],[Date]])</f>
        <v>2020</v>
      </c>
      <c r="I24" s="228">
        <f>ROUNDUP((MOD(MONTH(AVEU_Historical_Data__2[[#This Row],[Date]])+8,12)+1)/3,0)</f>
        <v>1</v>
      </c>
      <c r="J24" s="228">
        <f>MONTH(AVEU_Historical_Data__2[[#This Row],[Date]])</f>
        <v>5</v>
      </c>
      <c r="K24" s="228"/>
      <c r="O24" s="241"/>
      <c r="P24" s="245" t="s">
        <v>354</v>
      </c>
      <c r="Q24" s="245" t="s">
        <v>355</v>
      </c>
      <c r="R24" s="245" t="s">
        <v>356</v>
      </c>
      <c r="S24" s="245" t="s">
        <v>357</v>
      </c>
      <c r="T24" s="245" t="s">
        <v>358</v>
      </c>
      <c r="U24" s="245" t="s">
        <v>359</v>
      </c>
    </row>
    <row r="25" spans="1:21" ht="17.25" thickTop="1" thickBot="1" x14ac:dyDescent="0.3">
      <c r="A25" s="227">
        <v>43962</v>
      </c>
      <c r="B25" s="228">
        <v>2313.5500000000002</v>
      </c>
      <c r="C25" s="228">
        <v>2280</v>
      </c>
      <c r="D25" s="228">
        <v>2358</v>
      </c>
      <c r="E25" s="228">
        <v>2270</v>
      </c>
      <c r="F25">
        <v>279520</v>
      </c>
      <c r="G25" s="228">
        <v>2.5999999999999999E-2</v>
      </c>
      <c r="H25" s="228">
        <f>YEAR(AVEU_Historical_Data__2[[#This Row],[Date]])</f>
        <v>2020</v>
      </c>
      <c r="I25" s="228">
        <f>ROUNDUP((MOD(MONTH(AVEU_Historical_Data__2[[#This Row],[Date]])+8,12)+1)/3,0)</f>
        <v>1</v>
      </c>
      <c r="J25" s="228">
        <f>MONTH(AVEU_Historical_Data__2[[#This Row],[Date]])</f>
        <v>5</v>
      </c>
      <c r="K25" s="228"/>
      <c r="L25" s="359" t="s">
        <v>298</v>
      </c>
      <c r="M25" s="360" t="s">
        <v>300</v>
      </c>
      <c r="O25" s="4" t="s">
        <v>85</v>
      </c>
      <c r="P25" s="248">
        <v>37.252421346379514</v>
      </c>
      <c r="Q25" s="248">
        <v>34.50517456460657</v>
      </c>
      <c r="R25" s="248">
        <v>30.108430228163794</v>
      </c>
      <c r="S25" s="248">
        <v>30.241088062403435</v>
      </c>
      <c r="T25" s="248">
        <v>32.389249026244407</v>
      </c>
      <c r="U25" s="248">
        <v>34.168209894229754</v>
      </c>
    </row>
    <row r="26" spans="1:21" ht="15.75" thickTop="1" x14ac:dyDescent="0.25">
      <c r="A26" s="227">
        <v>43963</v>
      </c>
      <c r="B26" s="228">
        <v>2303.35</v>
      </c>
      <c r="C26" s="228">
        <v>2320.5500000000002</v>
      </c>
      <c r="D26" s="228">
        <v>2347</v>
      </c>
      <c r="E26" s="228">
        <v>2286.9</v>
      </c>
      <c r="F26">
        <v>277810</v>
      </c>
      <c r="G26" s="228">
        <v>-4.4000000000000003E-3</v>
      </c>
      <c r="H26" s="228">
        <f>YEAR(AVEU_Historical_Data__2[[#This Row],[Date]])</f>
        <v>2020</v>
      </c>
      <c r="I26" s="228">
        <f>ROUNDUP((MOD(MONTH(AVEU_Historical_Data__2[[#This Row],[Date]])+8,12)+1)/3,0)</f>
        <v>1</v>
      </c>
      <c r="J26" s="228">
        <f>MONTH(AVEU_Historical_Data__2[[#This Row],[Date]])</f>
        <v>5</v>
      </c>
      <c r="K26" s="228"/>
      <c r="L26" s="235" t="s">
        <v>326</v>
      </c>
      <c r="M26" s="233">
        <v>0.74519999999999997</v>
      </c>
      <c r="O26" s="4" t="s">
        <v>344</v>
      </c>
      <c r="P26" s="248">
        <v>0.47720649329455334</v>
      </c>
      <c r="Q26" s="248">
        <v>0.65084579260188513</v>
      </c>
      <c r="R26" s="248">
        <v>0.55126966756894802</v>
      </c>
      <c r="S26" s="248">
        <v>0.82117908603131839</v>
      </c>
      <c r="T26" s="248">
        <v>0.98435174336084164</v>
      </c>
      <c r="U26" s="248">
        <v>0.80384525071947799</v>
      </c>
    </row>
    <row r="27" spans="1:21" ht="15.75" thickBot="1" x14ac:dyDescent="0.3">
      <c r="A27" s="227">
        <v>43964</v>
      </c>
      <c r="B27" s="228">
        <v>2352.15</v>
      </c>
      <c r="C27" s="228">
        <v>2353</v>
      </c>
      <c r="D27" s="228">
        <v>2379.9499999999998</v>
      </c>
      <c r="E27" s="228">
        <v>2305</v>
      </c>
      <c r="F27">
        <v>373230</v>
      </c>
      <c r="G27" s="228">
        <v>2.12E-2</v>
      </c>
      <c r="H27" s="228">
        <f>YEAR(AVEU_Historical_Data__2[[#This Row],[Date]])</f>
        <v>2020</v>
      </c>
      <c r="I27" s="228">
        <f>ROUNDUP((MOD(MONTH(AVEU_Historical_Data__2[[#This Row],[Date]])+8,12)+1)/3,0)</f>
        <v>1</v>
      </c>
      <c r="J27" s="228">
        <f>MONTH(AVEU_Historical_Data__2[[#This Row],[Date]])</f>
        <v>5</v>
      </c>
      <c r="K27" s="228"/>
      <c r="L27" s="231" t="s">
        <v>307</v>
      </c>
      <c r="M27" s="234">
        <v>6.7699999999999996E-2</v>
      </c>
      <c r="O27" s="4" t="s">
        <v>343</v>
      </c>
      <c r="P27" s="248">
        <v>8.9815725664422867</v>
      </c>
      <c r="Q27" s="248">
        <v>8.0704086654021463</v>
      </c>
      <c r="R27" s="248">
        <v>6.7548237615761897</v>
      </c>
      <c r="S27" s="248">
        <v>7.3321287759500162</v>
      </c>
      <c r="T27" s="248">
        <v>7.4211282706615194</v>
      </c>
      <c r="U27" s="248">
        <v>7.5205581688454597</v>
      </c>
    </row>
    <row r="28" spans="1:21" ht="16.5" thickTop="1" thickBot="1" x14ac:dyDescent="0.3">
      <c r="A28" s="227">
        <v>43965</v>
      </c>
      <c r="B28" s="228">
        <v>2324.4</v>
      </c>
      <c r="C28" s="228">
        <v>2344.35</v>
      </c>
      <c r="D28" s="228">
        <v>2358</v>
      </c>
      <c r="E28" s="228">
        <v>2304</v>
      </c>
      <c r="F28">
        <v>344410</v>
      </c>
      <c r="G28" s="228">
        <v>-1.18E-2</v>
      </c>
      <c r="H28" s="228">
        <f>YEAR(AVEU_Historical_Data__2[[#This Row],[Date]])</f>
        <v>2020</v>
      </c>
      <c r="I28" s="228">
        <f>ROUNDUP((MOD(MONTH(AVEU_Historical_Data__2[[#This Row],[Date]])+8,12)+1)/3,0)</f>
        <v>1</v>
      </c>
      <c r="J28" s="228">
        <f>MONTH(AVEU_Historical_Data__2[[#This Row],[Date]])</f>
        <v>5</v>
      </c>
      <c r="K28" s="228"/>
      <c r="L28" s="231" t="s">
        <v>309</v>
      </c>
      <c r="M28" s="234">
        <v>0.09</v>
      </c>
      <c r="O28" s="249" t="s">
        <v>345</v>
      </c>
      <c r="P28" s="250">
        <f t="shared" ref="P28:U28" si="0">P25+P26-P27</f>
        <v>28.748055273231778</v>
      </c>
      <c r="Q28" s="250">
        <f t="shared" si="0"/>
        <v>27.085611691806307</v>
      </c>
      <c r="R28" s="250">
        <f t="shared" si="0"/>
        <v>23.904876134156552</v>
      </c>
      <c r="S28" s="250">
        <f t="shared" si="0"/>
        <v>23.730138372484738</v>
      </c>
      <c r="T28" s="250">
        <f t="shared" si="0"/>
        <v>25.952472498943727</v>
      </c>
      <c r="U28" s="250">
        <f t="shared" si="0"/>
        <v>27.451496976103769</v>
      </c>
    </row>
    <row r="29" spans="1:21" ht="15.75" thickTop="1" x14ac:dyDescent="0.25">
      <c r="A29" s="227">
        <v>43966</v>
      </c>
      <c r="B29" s="228">
        <v>2333.8000000000002</v>
      </c>
      <c r="C29" s="228">
        <v>2320</v>
      </c>
      <c r="D29" s="228">
        <v>2340</v>
      </c>
      <c r="E29" s="228">
        <v>2290.25</v>
      </c>
      <c r="F29">
        <v>181710</v>
      </c>
      <c r="G29" s="228">
        <v>4.0000000000000001E-3</v>
      </c>
      <c r="H29" s="228">
        <f>YEAR(AVEU_Historical_Data__2[[#This Row],[Date]])</f>
        <v>2020</v>
      </c>
      <c r="I29" s="228">
        <f>ROUNDUP((MOD(MONTH(AVEU_Historical_Data__2[[#This Row],[Date]])+8,12)+1)/3,0)</f>
        <v>1</v>
      </c>
      <c r="J29" s="228">
        <f>MONTH(AVEU_Historical_Data__2[[#This Row],[Date]])</f>
        <v>5</v>
      </c>
      <c r="K29" s="228"/>
      <c r="L29" s="231" t="s">
        <v>311</v>
      </c>
      <c r="M29" s="234">
        <v>1.46E-2</v>
      </c>
    </row>
    <row r="30" spans="1:21" ht="16.5" thickBot="1" x14ac:dyDescent="0.3">
      <c r="A30" s="227">
        <v>43969</v>
      </c>
      <c r="B30" s="228">
        <v>2306.5500000000002</v>
      </c>
      <c r="C30" s="228">
        <v>2333</v>
      </c>
      <c r="D30" s="228">
        <v>2370.8000000000002</v>
      </c>
      <c r="E30" s="228">
        <v>2275</v>
      </c>
      <c r="F30">
        <v>293740</v>
      </c>
      <c r="G30" s="228">
        <v>-1.17E-2</v>
      </c>
      <c r="H30" s="228">
        <f>YEAR(AVEU_Historical_Data__2[[#This Row],[Date]])</f>
        <v>2020</v>
      </c>
      <c r="I30" s="228">
        <f>ROUNDUP((MOD(MONTH(AVEU_Historical_Data__2[[#This Row],[Date]])+8,12)+1)/3,0)</f>
        <v>1</v>
      </c>
      <c r="J30" s="228">
        <f>MONTH(AVEU_Historical_Data__2[[#This Row],[Date]])</f>
        <v>5</v>
      </c>
      <c r="K30" s="228"/>
      <c r="L30" s="231" t="s">
        <v>303</v>
      </c>
      <c r="M30" s="234">
        <v>7.1900000000000006E-2</v>
      </c>
      <c r="O30" s="241"/>
      <c r="P30" s="245" t="s">
        <v>354</v>
      </c>
      <c r="Q30" s="245" t="s">
        <v>355</v>
      </c>
      <c r="R30" s="245" t="s">
        <v>356</v>
      </c>
      <c r="S30" s="245" t="s">
        <v>357</v>
      </c>
      <c r="T30" s="245" t="s">
        <v>358</v>
      </c>
      <c r="U30" s="245" t="s">
        <v>359</v>
      </c>
    </row>
    <row r="31" spans="1:21" ht="16.5" thickTop="1" thickBot="1" x14ac:dyDescent="0.3">
      <c r="A31" s="227">
        <v>43970</v>
      </c>
      <c r="B31" s="228">
        <v>2337.5</v>
      </c>
      <c r="C31" s="228">
        <v>2341.9499999999998</v>
      </c>
      <c r="D31" s="228">
        <v>2355.6</v>
      </c>
      <c r="E31" s="228">
        <v>2306</v>
      </c>
      <c r="F31">
        <v>254060</v>
      </c>
      <c r="G31" s="228">
        <v>1.34E-2</v>
      </c>
      <c r="H31" s="228">
        <f>YEAR(AVEU_Historical_Data__2[[#This Row],[Date]])</f>
        <v>2020</v>
      </c>
      <c r="I31" s="228">
        <f>ROUNDUP((MOD(MONTH(AVEU_Historical_Data__2[[#This Row],[Date]])+8,12)+1)/3,0)</f>
        <v>1</v>
      </c>
      <c r="J31" s="228">
        <f>MONTH(AVEU_Historical_Data__2[[#This Row],[Date]])</f>
        <v>5</v>
      </c>
      <c r="K31" s="228"/>
      <c r="L31" s="231" t="s">
        <v>325</v>
      </c>
      <c r="M31" s="234">
        <v>1.06E-2</v>
      </c>
      <c r="O31" s="4" t="s">
        <v>348</v>
      </c>
      <c r="P31" s="255">
        <v>121841.1</v>
      </c>
      <c r="Q31" s="255">
        <v>136778.90000000002</v>
      </c>
      <c r="R31" s="255">
        <v>160787.79999999999</v>
      </c>
      <c r="S31" s="255">
        <v>186973.4</v>
      </c>
      <c r="T31" s="255">
        <v>214267</v>
      </c>
      <c r="U31" s="255">
        <v>244623.6</v>
      </c>
    </row>
    <row r="32" spans="1:21" ht="15.75" thickTop="1" x14ac:dyDescent="0.25">
      <c r="A32" s="227">
        <v>43971</v>
      </c>
      <c r="B32" s="228">
        <v>2454.35</v>
      </c>
      <c r="C32" s="228">
        <v>2335</v>
      </c>
      <c r="D32" s="228">
        <v>2454.35</v>
      </c>
      <c r="E32" s="228">
        <v>2318</v>
      </c>
      <c r="F32">
        <v>374840</v>
      </c>
      <c r="G32" s="228">
        <v>0.05</v>
      </c>
      <c r="H32" s="228">
        <f>YEAR(AVEU_Historical_Data__2[[#This Row],[Date]])</f>
        <v>2020</v>
      </c>
      <c r="I32" s="228">
        <f>ROUNDUP((MOD(MONTH(AVEU_Historical_Data__2[[#This Row],[Date]])+8,12)+1)/3,0)</f>
        <v>1</v>
      </c>
      <c r="J32" s="228">
        <f>MONTH(AVEU_Historical_Data__2[[#This Row],[Date]])</f>
        <v>5</v>
      </c>
      <c r="K32" s="228"/>
      <c r="L32" s="357" t="s">
        <v>318</v>
      </c>
      <c r="M32" s="358">
        <f>SUM(M26:M31)</f>
        <v>0.99999999999999989</v>
      </c>
      <c r="O32" s="4" t="s">
        <v>261</v>
      </c>
      <c r="P32" s="255">
        <f>SUM(BS!D46:D47,BS!D53:D54,BS!D56:D58,BS!D59)</f>
        <v>13537.199999999999</v>
      </c>
      <c r="Q32" s="255">
        <f>SUM(BS!E46:E47,BS!E53:E54,BS!E56:E58,BS!E59)</f>
        <v>16310.400000000001</v>
      </c>
      <c r="R32" s="255">
        <f>SUM(BS!F46:F47,BS!F53:F54,BS!F56:F58,BS!F59)</f>
        <v>18078.8</v>
      </c>
      <c r="S32" s="255">
        <f>SUM(BS!G46:G47,BS!G53:G54,BS!G56:G58,BS!G59)</f>
        <v>20629.300000000003</v>
      </c>
      <c r="T32" s="255">
        <f>SUM(BS!H46:H47,BS!H53:H54,BS!H56:H58,BS!H59)</f>
        <v>24781.8</v>
      </c>
      <c r="U32" s="255">
        <f>SUM(BS!I46:I47,BS!I53:I54,BS!I56:I58,BS!I59)</f>
        <v>45423.9</v>
      </c>
    </row>
    <row r="33" spans="1:22" x14ac:dyDescent="0.25">
      <c r="A33" s="227">
        <v>43972</v>
      </c>
      <c r="B33" s="228">
        <v>2470.25</v>
      </c>
      <c r="C33" s="228">
        <v>2452</v>
      </c>
      <c r="D33" s="228">
        <v>2519.9499999999998</v>
      </c>
      <c r="E33" s="228">
        <v>2375</v>
      </c>
      <c r="F33">
        <v>359120</v>
      </c>
      <c r="G33" s="228">
        <v>6.4999999999999997E-3</v>
      </c>
      <c r="H33" s="228">
        <f>YEAR(AVEU_Historical_Data__2[[#This Row],[Date]])</f>
        <v>2020</v>
      </c>
      <c r="I33" s="228">
        <f>ROUNDUP((MOD(MONTH(AVEU_Historical_Data__2[[#This Row],[Date]])+8,12)+1)/3,0)</f>
        <v>1</v>
      </c>
      <c r="J33" s="228">
        <f>MONTH(AVEU_Historical_Data__2[[#This Row],[Date]])</f>
        <v>5</v>
      </c>
      <c r="K33" s="228"/>
      <c r="O33" s="4" t="s">
        <v>347</v>
      </c>
      <c r="P33" s="246">
        <f t="shared" ref="P33:U33" si="1">P32/P31</f>
        <v>0.11110536592332143</v>
      </c>
      <c r="Q33" s="246">
        <f t="shared" si="1"/>
        <v>0.11924646272195491</v>
      </c>
      <c r="R33" s="246">
        <f t="shared" si="1"/>
        <v>0.11243887906918311</v>
      </c>
      <c r="S33" s="246">
        <f t="shared" si="1"/>
        <v>0.11033280669870689</v>
      </c>
      <c r="T33" s="246">
        <f t="shared" si="1"/>
        <v>0.11565850084240691</v>
      </c>
      <c r="U33" s="246">
        <f t="shared" si="1"/>
        <v>0.18568895233329899</v>
      </c>
    </row>
    <row r="34" spans="1:22" x14ac:dyDescent="0.25">
      <c r="A34" s="227">
        <v>43973</v>
      </c>
      <c r="B34" s="228">
        <v>2398.3000000000002</v>
      </c>
      <c r="C34" s="228">
        <v>2484.8000000000002</v>
      </c>
      <c r="D34" s="228">
        <v>2518</v>
      </c>
      <c r="E34" s="228">
        <v>2381.5</v>
      </c>
      <c r="F34">
        <v>388440</v>
      </c>
      <c r="G34" s="228">
        <v>-2.9100000000000001E-2</v>
      </c>
      <c r="H34" s="228">
        <f>YEAR(AVEU_Historical_Data__2[[#This Row],[Date]])</f>
        <v>2020</v>
      </c>
      <c r="I34" s="228">
        <f>ROUNDUP((MOD(MONTH(AVEU_Historical_Data__2[[#This Row],[Date]])+8,12)+1)/3,0)</f>
        <v>1</v>
      </c>
      <c r="J34" s="228">
        <f>MONTH(AVEU_Historical_Data__2[[#This Row],[Date]])</f>
        <v>5</v>
      </c>
      <c r="K34" s="228"/>
    </row>
    <row r="35" spans="1:22" ht="16.5" thickBot="1" x14ac:dyDescent="0.3">
      <c r="A35" s="227">
        <v>43977</v>
      </c>
      <c r="B35" s="228">
        <v>2283.25</v>
      </c>
      <c r="C35" s="228">
        <v>2339</v>
      </c>
      <c r="D35" s="228">
        <v>2340</v>
      </c>
      <c r="E35" s="228">
        <v>2278.4</v>
      </c>
      <c r="F35">
        <v>773060</v>
      </c>
      <c r="G35" s="228">
        <v>-4.8000000000000001E-2</v>
      </c>
      <c r="H35" s="228">
        <f>YEAR(AVEU_Historical_Data__2[[#This Row],[Date]])</f>
        <v>2020</v>
      </c>
      <c r="I35" s="228">
        <f>ROUNDUP((MOD(MONTH(AVEU_Historical_Data__2[[#This Row],[Date]])+8,12)+1)/3,0)</f>
        <v>1</v>
      </c>
      <c r="J35" s="228">
        <f>MONTH(AVEU_Historical_Data__2[[#This Row],[Date]])</f>
        <v>5</v>
      </c>
      <c r="K35" s="228"/>
      <c r="O35" s="241"/>
      <c r="P35" s="245" t="s">
        <v>354</v>
      </c>
      <c r="Q35" s="245" t="s">
        <v>355</v>
      </c>
      <c r="R35" s="245" t="s">
        <v>356</v>
      </c>
      <c r="S35" s="245" t="s">
        <v>357</v>
      </c>
      <c r="T35" s="245" t="s">
        <v>358</v>
      </c>
      <c r="U35" s="245" t="s">
        <v>359</v>
      </c>
    </row>
    <row r="36" spans="1:22" ht="15.75" customHeight="1" thickTop="1" x14ac:dyDescent="0.25">
      <c r="A36" s="227">
        <v>43978</v>
      </c>
      <c r="B36" s="228">
        <v>2200.1999999999998</v>
      </c>
      <c r="C36" s="228">
        <v>2222.1999999999998</v>
      </c>
      <c r="D36" s="228">
        <v>2275</v>
      </c>
      <c r="E36" s="228">
        <v>2176</v>
      </c>
      <c r="F36">
        <v>751860</v>
      </c>
      <c r="G36" s="228">
        <v>-3.6400000000000002E-2</v>
      </c>
      <c r="H36" s="228">
        <f>YEAR(AVEU_Historical_Data__2[[#This Row],[Date]])</f>
        <v>2020</v>
      </c>
      <c r="I36" s="228">
        <f>ROUNDUP((MOD(MONTH(AVEU_Historical_Data__2[[#This Row],[Date]])+8,12)+1)/3,0)</f>
        <v>1</v>
      </c>
      <c r="J36" s="228">
        <f>MONTH(AVEU_Historical_Data__2[[#This Row],[Date]])</f>
        <v>5</v>
      </c>
      <c r="K36" s="228"/>
      <c r="O36" s="4" t="s">
        <v>351</v>
      </c>
      <c r="P36" s="254">
        <f>'P &amp; L'!D32</f>
        <v>10994.299999999985</v>
      </c>
      <c r="Q36" s="254">
        <f>'P &amp; L'!E32</f>
        <v>14923.999999999989</v>
      </c>
      <c r="R36" s="254">
        <f>'P &amp; L'!F32</f>
        <v>23783.400000000034</v>
      </c>
      <c r="S36" s="254">
        <f>'P &amp; L'!G32</f>
        <v>25356.100000000024</v>
      </c>
      <c r="T36" s="254">
        <f>'P &amp; L'!H32</f>
        <v>27074.499999999945</v>
      </c>
      <c r="U36" s="254">
        <f>'P &amp; L'!I32</f>
        <v>29705.999999999971</v>
      </c>
    </row>
    <row r="37" spans="1:22" ht="15" customHeight="1" x14ac:dyDescent="0.25">
      <c r="A37" s="227">
        <v>43979</v>
      </c>
      <c r="B37" s="228">
        <v>2308.4499999999998</v>
      </c>
      <c r="C37" s="228">
        <v>2210</v>
      </c>
      <c r="D37" s="228">
        <v>2310.1999999999998</v>
      </c>
      <c r="E37" s="228">
        <v>2205</v>
      </c>
      <c r="F37">
        <v>927240</v>
      </c>
      <c r="G37" s="228">
        <v>4.9200000000000001E-2</v>
      </c>
      <c r="H37" s="228">
        <f>YEAR(AVEU_Historical_Data__2[[#This Row],[Date]])</f>
        <v>2020</v>
      </c>
      <c r="I37" s="228">
        <f>ROUNDUP((MOD(MONTH(AVEU_Historical_Data__2[[#This Row],[Date]])+8,12)+1)/3,0)</f>
        <v>1</v>
      </c>
      <c r="J37" s="228">
        <f>MONTH(AVEU_Historical_Data__2[[#This Row],[Date]])</f>
        <v>5</v>
      </c>
      <c r="K37" s="228"/>
      <c r="O37" s="4" t="s">
        <v>352</v>
      </c>
      <c r="P37" s="254">
        <f>AVERAGE(BS!C34:D34)-SUM(AVERAGE(BS!C50:D50),AVERAGE(BS!C62:D62))</f>
        <v>116321.54999999997</v>
      </c>
      <c r="Q37" s="254">
        <f>AVERAGE(BS!D34:E34)-SUM(AVERAGE(BS!D50:E50),AVERAGE(BS!D62:E62))</f>
        <v>129309.99999999999</v>
      </c>
      <c r="R37" s="254">
        <f>AVERAGE(BS!E34:F34)-SUM(AVERAGE(BS!E50:F50),AVERAGE(BS!E62:F62))</f>
        <v>148783.35000000003</v>
      </c>
      <c r="S37" s="254">
        <f>AVERAGE(BS!F34:G34)-SUM(AVERAGE(BS!F50:G50),AVERAGE(BS!F62:G62))</f>
        <v>173880.6</v>
      </c>
      <c r="T37" s="254">
        <f>AVERAGE(BS!G34:H34)-SUM(AVERAGE(BS!G50:H50),AVERAGE(BS!G62:H62))</f>
        <v>200620.2</v>
      </c>
      <c r="U37" s="254">
        <f>AVERAGE(BS!H34:I34)-SUM(AVERAGE(BS!H50:I50),AVERAGE(BS!H62:I62))</f>
        <v>229445.3</v>
      </c>
    </row>
    <row r="38" spans="1:22" ht="15" customHeight="1" x14ac:dyDescent="0.25">
      <c r="A38" s="227">
        <v>43980</v>
      </c>
      <c r="B38" s="228">
        <v>2269.35</v>
      </c>
      <c r="C38" s="228">
        <v>2330</v>
      </c>
      <c r="D38" s="228">
        <v>2358</v>
      </c>
      <c r="E38" s="228">
        <v>2229</v>
      </c>
      <c r="F38">
        <v>3800000</v>
      </c>
      <c r="G38" s="228">
        <v>-1.6899999999999998E-2</v>
      </c>
      <c r="H38" s="228">
        <f>YEAR(AVEU_Historical_Data__2[[#This Row],[Date]])</f>
        <v>2020</v>
      </c>
      <c r="I38" s="228">
        <f>ROUNDUP((MOD(MONTH(AVEU_Historical_Data__2[[#This Row],[Date]])+8,12)+1)/3,0)</f>
        <v>1</v>
      </c>
      <c r="J38" s="228">
        <f>MONTH(AVEU_Historical_Data__2[[#This Row],[Date]])</f>
        <v>5</v>
      </c>
      <c r="K38" s="228"/>
      <c r="O38" s="4" t="s">
        <v>353</v>
      </c>
      <c r="P38" s="254">
        <f>AVERAGE(P32:P32)+AVERAGE(P31:P31)-AVERAGE(BS!C28:D28)-AVERAGE(BS!C26:D26)</f>
        <v>133803.30000000002</v>
      </c>
      <c r="Q38" s="254">
        <f>AVERAGE(P32:Q32)+AVERAGE(P31:Q31)-AVERAGE(BS!D28:E28)-AVERAGE(BS!D26:E26)</f>
        <v>142756.30000000002</v>
      </c>
      <c r="R38" s="254">
        <f>AVERAGE(Q32:R32)+AVERAGE(Q31:R31)-AVERAGE(BS!E28:F28)-AVERAGE(BS!E26:F26)</f>
        <v>163426</v>
      </c>
      <c r="S38" s="254">
        <f>AVERAGE(R32:S32)+AVERAGE(R31:S31)-AVERAGE(BS!F28:G28)-AVERAGE(BS!F26:G26)</f>
        <v>188969.04999999996</v>
      </c>
      <c r="T38" s="254">
        <f>AVERAGE(S32:T32)+AVERAGE(S31:T31)-AVERAGE(BS!G28:H28)-AVERAGE(BS!G26:H26)</f>
        <v>219323.2</v>
      </c>
      <c r="U38" s="254">
        <f>AVERAGE(T32:U32)+AVERAGE(T31:U31)-AVERAGE(BS!H28:I28)-AVERAGE(BS!H26:I26)</f>
        <v>261335.94999999995</v>
      </c>
    </row>
    <row r="39" spans="1:22" ht="15" customHeight="1" x14ac:dyDescent="0.25">
      <c r="A39" s="227">
        <v>43983</v>
      </c>
      <c r="B39" s="228">
        <v>2305.5</v>
      </c>
      <c r="C39" s="228">
        <v>2320.1</v>
      </c>
      <c r="D39" s="228">
        <v>2328.5500000000002</v>
      </c>
      <c r="E39" s="228">
        <v>2282.65</v>
      </c>
      <c r="F39">
        <v>448580</v>
      </c>
      <c r="G39" s="228">
        <v>1.5900000000000001E-2</v>
      </c>
      <c r="H39" s="228">
        <f>YEAR(AVEU_Historical_Data__2[[#This Row],[Date]])</f>
        <v>2020</v>
      </c>
      <c r="I39" s="228">
        <f>ROUNDUP((MOD(MONTH(AVEU_Historical_Data__2[[#This Row],[Date]])+8,12)+1)/3,0)</f>
        <v>1</v>
      </c>
      <c r="J39" s="228">
        <f>MONTH(AVEU_Historical_Data__2[[#This Row],[Date]])</f>
        <v>6</v>
      </c>
      <c r="K39" s="228"/>
      <c r="O39" s="4" t="s">
        <v>349</v>
      </c>
      <c r="P39" s="247">
        <f>P$36/P37</f>
        <v>9.4516450305209887E-2</v>
      </c>
      <c r="Q39" s="247">
        <f t="shared" ref="Q39:U39" si="2">Q$36/Q37</f>
        <v>0.11541257443353176</v>
      </c>
      <c r="R39" s="247">
        <f t="shared" si="2"/>
        <v>0.15985256414780302</v>
      </c>
      <c r="S39" s="247">
        <f t="shared" si="2"/>
        <v>0.14582477861245027</v>
      </c>
      <c r="T39" s="247">
        <f t="shared" si="2"/>
        <v>0.13495400762236276</v>
      </c>
      <c r="U39" s="247">
        <f t="shared" si="2"/>
        <v>0.12946876662978049</v>
      </c>
    </row>
    <row r="40" spans="1:22" ht="15" customHeight="1" x14ac:dyDescent="0.25">
      <c r="A40" s="227">
        <v>43984</v>
      </c>
      <c r="B40" s="228">
        <v>2381.6999999999998</v>
      </c>
      <c r="C40" s="228">
        <v>2309.1</v>
      </c>
      <c r="D40" s="228">
        <v>2389</v>
      </c>
      <c r="E40" s="228">
        <v>2290.0500000000002</v>
      </c>
      <c r="F40">
        <v>503210</v>
      </c>
      <c r="G40" s="228">
        <v>3.3099999999999997E-2</v>
      </c>
      <c r="H40" s="228">
        <f>YEAR(AVEU_Historical_Data__2[[#This Row],[Date]])</f>
        <v>2020</v>
      </c>
      <c r="I40" s="228">
        <f>ROUNDUP((MOD(MONTH(AVEU_Historical_Data__2[[#This Row],[Date]])+8,12)+1)/3,0)</f>
        <v>1</v>
      </c>
      <c r="J40" s="228">
        <f>MONTH(AVEU_Historical_Data__2[[#This Row],[Date]])</f>
        <v>6</v>
      </c>
      <c r="K40" s="228"/>
      <c r="O40" s="4" t="s">
        <v>350</v>
      </c>
      <c r="P40" s="247">
        <f>P$36/P38</f>
        <v>8.2167629647400195E-2</v>
      </c>
      <c r="Q40" s="247">
        <f t="shared" ref="Q40:U40" si="3">Q$36/Q38</f>
        <v>0.10454179605383432</v>
      </c>
      <c r="R40" s="247">
        <f t="shared" si="3"/>
        <v>0.14553008701185879</v>
      </c>
      <c r="S40" s="247">
        <f t="shared" si="3"/>
        <v>0.13418123232349441</v>
      </c>
      <c r="T40" s="247">
        <f t="shared" si="3"/>
        <v>0.12344567286999253</v>
      </c>
      <c r="U40" s="247">
        <f t="shared" si="3"/>
        <v>0.113669780219675</v>
      </c>
    </row>
    <row r="41" spans="1:22" ht="15" customHeight="1" x14ac:dyDescent="0.25">
      <c r="A41" s="227">
        <v>43985</v>
      </c>
      <c r="B41" s="228">
        <v>2349.3000000000002</v>
      </c>
      <c r="C41" s="228">
        <v>2390</v>
      </c>
      <c r="D41" s="228">
        <v>2450</v>
      </c>
      <c r="E41" s="228">
        <v>2330</v>
      </c>
      <c r="F41">
        <v>425480</v>
      </c>
      <c r="G41" s="228">
        <v>-1.3599999999999999E-2</v>
      </c>
      <c r="H41" s="228">
        <f>YEAR(AVEU_Historical_Data__2[[#This Row],[Date]])</f>
        <v>2020</v>
      </c>
      <c r="I41" s="228">
        <f>ROUNDUP((MOD(MONTH(AVEU_Historical_Data__2[[#This Row],[Date]])+8,12)+1)/3,0)</f>
        <v>1</v>
      </c>
      <c r="J41" s="228">
        <f>MONTH(AVEU_Historical_Data__2[[#This Row],[Date]])</f>
        <v>6</v>
      </c>
      <c r="K41" s="228"/>
      <c r="O41" s="252"/>
      <c r="P41" s="251"/>
      <c r="Q41" s="4"/>
      <c r="R41" s="4"/>
      <c r="S41" s="4"/>
      <c r="T41" s="4"/>
      <c r="U41" s="4"/>
    </row>
    <row r="42" spans="1:22" ht="15" customHeight="1" x14ac:dyDescent="0.25">
      <c r="A42" s="227">
        <v>43986</v>
      </c>
      <c r="B42" s="228">
        <v>2414.1999999999998</v>
      </c>
      <c r="C42" s="228">
        <v>2362</v>
      </c>
      <c r="D42" s="228">
        <v>2434</v>
      </c>
      <c r="E42" s="228">
        <v>2311.3000000000002</v>
      </c>
      <c r="F42">
        <v>363350</v>
      </c>
      <c r="G42" s="228">
        <v>2.76E-2</v>
      </c>
      <c r="H42" s="228">
        <f>YEAR(AVEU_Historical_Data__2[[#This Row],[Date]])</f>
        <v>2020</v>
      </c>
      <c r="I42" s="228">
        <f>ROUNDUP((MOD(MONTH(AVEU_Historical_Data__2[[#This Row],[Date]])+8,12)+1)/3,0)</f>
        <v>1</v>
      </c>
      <c r="J42" s="228">
        <f>MONTH(AVEU_Historical_Data__2[[#This Row],[Date]])</f>
        <v>6</v>
      </c>
      <c r="K42" s="228"/>
      <c r="O42" s="252"/>
      <c r="P42" s="251"/>
      <c r="Q42" s="4"/>
      <c r="R42" s="4"/>
      <c r="S42" s="4"/>
      <c r="T42" s="4"/>
      <c r="U42" s="4"/>
    </row>
    <row r="43" spans="1:22" ht="15" customHeight="1" x14ac:dyDescent="0.25">
      <c r="A43" s="227">
        <v>43987</v>
      </c>
      <c r="B43" s="228">
        <v>2499</v>
      </c>
      <c r="C43" s="228">
        <v>2438</v>
      </c>
      <c r="D43" s="228">
        <v>2524</v>
      </c>
      <c r="E43" s="228">
        <v>2434.15</v>
      </c>
      <c r="F43">
        <v>668800</v>
      </c>
      <c r="G43" s="228">
        <v>3.5099999999999999E-2</v>
      </c>
      <c r="H43" s="228">
        <f>YEAR(AVEU_Historical_Data__2[[#This Row],[Date]])</f>
        <v>2020</v>
      </c>
      <c r="I43" s="228">
        <f>ROUNDUP((MOD(MONTH(AVEU_Historical_Data__2[[#This Row],[Date]])+8,12)+1)/3,0)</f>
        <v>1</v>
      </c>
      <c r="J43" s="228">
        <f>MONTH(AVEU_Historical_Data__2[[#This Row],[Date]])</f>
        <v>6</v>
      </c>
      <c r="K43" s="228"/>
      <c r="O43" s="252"/>
      <c r="P43" s="251"/>
      <c r="Q43" s="4"/>
      <c r="R43" s="4"/>
      <c r="S43" s="4"/>
      <c r="T43" s="4"/>
      <c r="U43" s="4"/>
      <c r="V43" s="4"/>
    </row>
    <row r="44" spans="1:22" ht="15" customHeight="1" x14ac:dyDescent="0.25">
      <c r="A44" s="227">
        <v>43990</v>
      </c>
      <c r="B44" s="228">
        <v>2459.5</v>
      </c>
      <c r="C44" s="228">
        <v>2520</v>
      </c>
      <c r="D44" s="228">
        <v>2527</v>
      </c>
      <c r="E44" s="228">
        <v>2414.1999999999998</v>
      </c>
      <c r="F44">
        <v>322710</v>
      </c>
      <c r="G44" s="228">
        <v>-1.5800000000000002E-2</v>
      </c>
      <c r="H44" s="228">
        <f>YEAR(AVEU_Historical_Data__2[[#This Row],[Date]])</f>
        <v>2020</v>
      </c>
      <c r="I44" s="228">
        <f>ROUNDUP((MOD(MONTH(AVEU_Historical_Data__2[[#This Row],[Date]])+8,12)+1)/3,0)</f>
        <v>1</v>
      </c>
      <c r="J44" s="228">
        <f>MONTH(AVEU_Historical_Data__2[[#This Row],[Date]])</f>
        <v>6</v>
      </c>
      <c r="K44" s="228"/>
      <c r="O44" s="252"/>
      <c r="P44" s="251"/>
      <c r="Q44" s="4"/>
      <c r="R44" s="4"/>
      <c r="S44" s="4"/>
      <c r="T44" s="4"/>
      <c r="U44" s="4"/>
      <c r="V44" s="4"/>
    </row>
    <row r="45" spans="1:22" ht="15" customHeight="1" x14ac:dyDescent="0.25">
      <c r="A45" s="227">
        <v>43991</v>
      </c>
      <c r="B45" s="228">
        <v>2390.1</v>
      </c>
      <c r="C45" s="228">
        <v>2461</v>
      </c>
      <c r="D45" s="228">
        <v>2468.8000000000002</v>
      </c>
      <c r="E45" s="228">
        <v>2370</v>
      </c>
      <c r="F45">
        <v>376330</v>
      </c>
      <c r="G45" s="228">
        <v>-2.8199999999999999E-2</v>
      </c>
      <c r="H45" s="228">
        <f>YEAR(AVEU_Historical_Data__2[[#This Row],[Date]])</f>
        <v>2020</v>
      </c>
      <c r="I45" s="228">
        <f>ROUNDUP((MOD(MONTH(AVEU_Historical_Data__2[[#This Row],[Date]])+8,12)+1)/3,0)</f>
        <v>1</v>
      </c>
      <c r="J45" s="228">
        <f>MONTH(AVEU_Historical_Data__2[[#This Row],[Date]])</f>
        <v>6</v>
      </c>
      <c r="K45" s="228"/>
      <c r="O45" s="252"/>
      <c r="P45" s="4"/>
      <c r="Q45" s="4"/>
      <c r="R45" s="4"/>
      <c r="S45" s="4"/>
      <c r="T45" s="4"/>
      <c r="U45" s="4"/>
      <c r="V45" s="4"/>
    </row>
    <row r="46" spans="1:22" ht="15" customHeight="1" x14ac:dyDescent="0.25">
      <c r="A46" s="227">
        <v>43992</v>
      </c>
      <c r="B46" s="228">
        <v>2388.35</v>
      </c>
      <c r="C46" s="228">
        <v>2400</v>
      </c>
      <c r="D46" s="228">
        <v>2429.9499999999998</v>
      </c>
      <c r="E46" s="228">
        <v>2360</v>
      </c>
      <c r="F46">
        <v>215500</v>
      </c>
      <c r="G46" s="228">
        <v>-6.9999999999999999E-4</v>
      </c>
      <c r="H46" s="228">
        <f>YEAR(AVEU_Historical_Data__2[[#This Row],[Date]])</f>
        <v>2020</v>
      </c>
      <c r="I46" s="228">
        <f>ROUNDUP((MOD(MONTH(AVEU_Historical_Data__2[[#This Row],[Date]])+8,12)+1)/3,0)</f>
        <v>1</v>
      </c>
      <c r="J46" s="228">
        <f>MONTH(AVEU_Historical_Data__2[[#This Row],[Date]])</f>
        <v>6</v>
      </c>
      <c r="K46" s="228"/>
      <c r="O46" s="252"/>
      <c r="P46" s="4"/>
      <c r="Q46" s="4"/>
      <c r="R46" s="4"/>
      <c r="S46" s="4"/>
      <c r="T46" s="4"/>
      <c r="U46" s="4"/>
      <c r="V46" s="4"/>
    </row>
    <row r="47" spans="1:22" ht="15" customHeight="1" x14ac:dyDescent="0.25">
      <c r="A47" s="227">
        <v>43993</v>
      </c>
      <c r="B47" s="228">
        <v>2406.5</v>
      </c>
      <c r="C47" s="228">
        <v>2390</v>
      </c>
      <c r="D47" s="228">
        <v>2422.8000000000002</v>
      </c>
      <c r="E47" s="228">
        <v>2365</v>
      </c>
      <c r="F47">
        <v>325840</v>
      </c>
      <c r="G47" s="228">
        <v>7.6E-3</v>
      </c>
      <c r="H47" s="228">
        <f>YEAR(AVEU_Historical_Data__2[[#This Row],[Date]])</f>
        <v>2020</v>
      </c>
      <c r="I47" s="228">
        <f>ROUNDUP((MOD(MONTH(AVEU_Historical_Data__2[[#This Row],[Date]])+8,12)+1)/3,0)</f>
        <v>1</v>
      </c>
      <c r="J47" s="228">
        <f>MONTH(AVEU_Historical_Data__2[[#This Row],[Date]])</f>
        <v>6</v>
      </c>
      <c r="K47" s="228"/>
      <c r="O47" s="253"/>
      <c r="P47" s="4"/>
      <c r="Q47" s="4"/>
      <c r="R47" s="4"/>
      <c r="S47" s="4"/>
      <c r="T47" s="4"/>
      <c r="U47" s="4"/>
      <c r="V47" s="4"/>
    </row>
    <row r="48" spans="1:22" ht="15" customHeight="1" x14ac:dyDescent="0.25">
      <c r="A48" s="227">
        <v>43994</v>
      </c>
      <c r="B48" s="228">
        <v>2397.8000000000002</v>
      </c>
      <c r="C48" s="228">
        <v>2312</v>
      </c>
      <c r="D48" s="228">
        <v>2438</v>
      </c>
      <c r="E48" s="228">
        <v>2312</v>
      </c>
      <c r="F48">
        <v>415420</v>
      </c>
      <c r="G48" s="228">
        <v>-3.5999999999999999E-3</v>
      </c>
      <c r="H48" s="228">
        <f>YEAR(AVEU_Historical_Data__2[[#This Row],[Date]])</f>
        <v>2020</v>
      </c>
      <c r="I48" s="228">
        <f>ROUNDUP((MOD(MONTH(AVEU_Historical_Data__2[[#This Row],[Date]])+8,12)+1)/3,0)</f>
        <v>1</v>
      </c>
      <c r="J48" s="228">
        <f>MONTH(AVEU_Historical_Data__2[[#This Row],[Date]])</f>
        <v>6</v>
      </c>
      <c r="K48" s="228"/>
      <c r="O48" s="4"/>
      <c r="P48" s="4"/>
      <c r="Q48" s="4"/>
      <c r="R48" s="4"/>
      <c r="S48" s="4"/>
      <c r="T48" s="4"/>
      <c r="U48" s="4"/>
      <c r="V48" s="4"/>
    </row>
    <row r="49" spans="1:22" ht="15" customHeight="1" x14ac:dyDescent="0.25">
      <c r="A49" s="227">
        <v>43997</v>
      </c>
      <c r="B49" s="228">
        <v>2365.3000000000002</v>
      </c>
      <c r="C49" s="228">
        <v>2373</v>
      </c>
      <c r="D49" s="228">
        <v>2422</v>
      </c>
      <c r="E49" s="228">
        <v>2337.0500000000002</v>
      </c>
      <c r="F49">
        <v>354820</v>
      </c>
      <c r="G49" s="228">
        <v>-1.3599999999999999E-2</v>
      </c>
      <c r="H49" s="228">
        <f>YEAR(AVEU_Historical_Data__2[[#This Row],[Date]])</f>
        <v>2020</v>
      </c>
      <c r="I49" s="228">
        <f>ROUNDUP((MOD(MONTH(AVEU_Historical_Data__2[[#This Row],[Date]])+8,12)+1)/3,0)</f>
        <v>1</v>
      </c>
      <c r="J49" s="228">
        <f>MONTH(AVEU_Historical_Data__2[[#This Row],[Date]])</f>
        <v>6</v>
      </c>
      <c r="K49" s="228"/>
      <c r="O49" s="4"/>
      <c r="V49" s="4"/>
    </row>
    <row r="50" spans="1:22" ht="15" customHeight="1" x14ac:dyDescent="0.25">
      <c r="A50" s="227">
        <v>43998</v>
      </c>
      <c r="B50" s="228">
        <v>2403.5500000000002</v>
      </c>
      <c r="C50" s="228">
        <v>2399</v>
      </c>
      <c r="D50" s="228">
        <v>2434</v>
      </c>
      <c r="E50" s="228">
        <v>2356.6</v>
      </c>
      <c r="F50">
        <v>321260</v>
      </c>
      <c r="G50" s="228">
        <v>1.6199999999999999E-2</v>
      </c>
      <c r="H50" s="228">
        <f>YEAR(AVEU_Historical_Data__2[[#This Row],[Date]])</f>
        <v>2020</v>
      </c>
      <c r="I50" s="228">
        <f>ROUNDUP((MOD(MONTH(AVEU_Historical_Data__2[[#This Row],[Date]])+8,12)+1)/3,0)</f>
        <v>1</v>
      </c>
      <c r="J50" s="228">
        <f>MONTH(AVEU_Historical_Data__2[[#This Row],[Date]])</f>
        <v>6</v>
      </c>
      <c r="K50" s="228"/>
      <c r="O50" s="4"/>
      <c r="V50" s="4"/>
    </row>
    <row r="51" spans="1:22" ht="15" customHeight="1" x14ac:dyDescent="0.25">
      <c r="A51" s="227">
        <v>43999</v>
      </c>
      <c r="B51" s="228">
        <v>2340.4</v>
      </c>
      <c r="C51" s="228">
        <v>2390</v>
      </c>
      <c r="D51" s="228">
        <v>2404</v>
      </c>
      <c r="E51" s="228">
        <v>2325</v>
      </c>
      <c r="F51">
        <v>563670</v>
      </c>
      <c r="G51" s="228">
        <v>-2.63E-2</v>
      </c>
      <c r="H51" s="228">
        <f>YEAR(AVEU_Historical_Data__2[[#This Row],[Date]])</f>
        <v>2020</v>
      </c>
      <c r="I51" s="228">
        <f>ROUNDUP((MOD(MONTH(AVEU_Historical_Data__2[[#This Row],[Date]])+8,12)+1)/3,0)</f>
        <v>1</v>
      </c>
      <c r="J51" s="228">
        <f>MONTH(AVEU_Historical_Data__2[[#This Row],[Date]])</f>
        <v>6</v>
      </c>
      <c r="K51" s="228"/>
      <c r="O51" s="4"/>
    </row>
    <row r="52" spans="1:22" ht="15" customHeight="1" x14ac:dyDescent="0.25">
      <c r="A52" s="227">
        <v>44000</v>
      </c>
      <c r="B52" s="228">
        <v>2350.85</v>
      </c>
      <c r="C52" s="228">
        <v>2331</v>
      </c>
      <c r="D52" s="228">
        <v>2365</v>
      </c>
      <c r="E52" s="228">
        <v>2320.3000000000002</v>
      </c>
      <c r="F52">
        <v>199700</v>
      </c>
      <c r="G52" s="228">
        <v>4.4999999999999997E-3</v>
      </c>
      <c r="H52" s="228">
        <f>YEAR(AVEU_Historical_Data__2[[#This Row],[Date]])</f>
        <v>2020</v>
      </c>
      <c r="I52" s="228">
        <f>ROUNDUP((MOD(MONTH(AVEU_Historical_Data__2[[#This Row],[Date]])+8,12)+1)/3,0)</f>
        <v>1</v>
      </c>
      <c r="J52" s="228">
        <f>MONTH(AVEU_Historical_Data__2[[#This Row],[Date]])</f>
        <v>6</v>
      </c>
      <c r="K52" s="228"/>
    </row>
    <row r="53" spans="1:22" ht="15.75" customHeight="1" x14ac:dyDescent="0.25">
      <c r="A53" s="227">
        <v>44001</v>
      </c>
      <c r="B53" s="228">
        <v>2363.15</v>
      </c>
      <c r="C53" s="228">
        <v>2372.6999999999998</v>
      </c>
      <c r="D53" s="228">
        <v>2399</v>
      </c>
      <c r="E53" s="228">
        <v>2310</v>
      </c>
      <c r="F53">
        <v>1480000</v>
      </c>
      <c r="G53" s="228">
        <v>5.1999999999999998E-3</v>
      </c>
      <c r="H53" s="228">
        <f>YEAR(AVEU_Historical_Data__2[[#This Row],[Date]])</f>
        <v>2020</v>
      </c>
      <c r="I53" s="228">
        <f>ROUNDUP((MOD(MONTH(AVEU_Historical_Data__2[[#This Row],[Date]])+8,12)+1)/3,0)</f>
        <v>1</v>
      </c>
      <c r="J53" s="228">
        <f>MONTH(AVEU_Historical_Data__2[[#This Row],[Date]])</f>
        <v>6</v>
      </c>
      <c r="K53" s="228"/>
    </row>
    <row r="54" spans="1:22" ht="16.5" customHeight="1" x14ac:dyDescent="0.25">
      <c r="A54" s="227">
        <v>44004</v>
      </c>
      <c r="B54" s="228">
        <v>2350.4</v>
      </c>
      <c r="C54" s="228">
        <v>2366</v>
      </c>
      <c r="D54" s="228">
        <v>2399.4</v>
      </c>
      <c r="E54" s="228">
        <v>2340</v>
      </c>
      <c r="F54">
        <v>366260</v>
      </c>
      <c r="G54" s="228">
        <v>-5.4000000000000003E-3</v>
      </c>
      <c r="H54" s="228">
        <f>YEAR(AVEU_Historical_Data__2[[#This Row],[Date]])</f>
        <v>2020</v>
      </c>
      <c r="I54" s="228">
        <f>ROUNDUP((MOD(MONTH(AVEU_Historical_Data__2[[#This Row],[Date]])+8,12)+1)/3,0)</f>
        <v>1</v>
      </c>
      <c r="J54" s="228">
        <f>MONTH(AVEU_Historical_Data__2[[#This Row],[Date]])</f>
        <v>6</v>
      </c>
      <c r="K54" s="228"/>
    </row>
    <row r="55" spans="1:22" x14ac:dyDescent="0.25">
      <c r="A55" s="227">
        <v>44005</v>
      </c>
      <c r="B55" s="228">
        <v>2359.9</v>
      </c>
      <c r="C55" s="228">
        <v>2350.3000000000002</v>
      </c>
      <c r="D55" s="228">
        <v>2375</v>
      </c>
      <c r="E55" s="228">
        <v>2340</v>
      </c>
      <c r="F55">
        <v>175280</v>
      </c>
      <c r="G55" s="228">
        <v>4.0000000000000001E-3</v>
      </c>
      <c r="H55" s="228">
        <f>YEAR(AVEU_Historical_Data__2[[#This Row],[Date]])</f>
        <v>2020</v>
      </c>
      <c r="I55" s="228">
        <f>ROUNDUP((MOD(MONTH(AVEU_Historical_Data__2[[#This Row],[Date]])+8,12)+1)/3,0)</f>
        <v>1</v>
      </c>
      <c r="J55" s="228">
        <f>MONTH(AVEU_Historical_Data__2[[#This Row],[Date]])</f>
        <v>6</v>
      </c>
      <c r="K55" s="228"/>
    </row>
    <row r="56" spans="1:22" x14ac:dyDescent="0.25">
      <c r="A56" s="227">
        <v>44006</v>
      </c>
      <c r="B56" s="228">
        <v>2358.35</v>
      </c>
      <c r="C56" s="228">
        <v>2397.8000000000002</v>
      </c>
      <c r="D56" s="228">
        <v>2424</v>
      </c>
      <c r="E56" s="228">
        <v>2342</v>
      </c>
      <c r="F56">
        <v>415040</v>
      </c>
      <c r="G56" s="228">
        <v>-6.9999999999999999E-4</v>
      </c>
      <c r="H56" s="228">
        <f>YEAR(AVEU_Historical_Data__2[[#This Row],[Date]])</f>
        <v>2020</v>
      </c>
      <c r="I56" s="228">
        <f>ROUNDUP((MOD(MONTH(AVEU_Historical_Data__2[[#This Row],[Date]])+8,12)+1)/3,0)</f>
        <v>1</v>
      </c>
      <c r="J56" s="228">
        <f>MONTH(AVEU_Historical_Data__2[[#This Row],[Date]])</f>
        <v>6</v>
      </c>
      <c r="K56" s="228"/>
    </row>
    <row r="57" spans="1:22" x14ac:dyDescent="0.25">
      <c r="A57" s="227">
        <v>44007</v>
      </c>
      <c r="B57" s="228">
        <v>2305.5500000000002</v>
      </c>
      <c r="C57" s="228">
        <v>2348</v>
      </c>
      <c r="D57" s="228">
        <v>2348.6999999999998</v>
      </c>
      <c r="E57" s="228">
        <v>2298.1</v>
      </c>
      <c r="F57">
        <v>483360</v>
      </c>
      <c r="G57" s="228">
        <v>-2.24E-2</v>
      </c>
      <c r="H57" s="228">
        <f>YEAR(AVEU_Historical_Data__2[[#This Row],[Date]])</f>
        <v>2020</v>
      </c>
      <c r="I57" s="228">
        <f>ROUNDUP((MOD(MONTH(AVEU_Historical_Data__2[[#This Row],[Date]])+8,12)+1)/3,0)</f>
        <v>1</v>
      </c>
      <c r="J57" s="228">
        <f>MONTH(AVEU_Historical_Data__2[[#This Row],[Date]])</f>
        <v>6</v>
      </c>
      <c r="K57" s="228"/>
    </row>
    <row r="58" spans="1:22" x14ac:dyDescent="0.25">
      <c r="A58" s="227">
        <v>44008</v>
      </c>
      <c r="B58" s="228">
        <v>2294.4</v>
      </c>
      <c r="C58" s="228">
        <v>2329.6999999999998</v>
      </c>
      <c r="D58" s="228">
        <v>2337.85</v>
      </c>
      <c r="E58" s="228">
        <v>2290</v>
      </c>
      <c r="F58">
        <v>203490</v>
      </c>
      <c r="G58" s="228">
        <v>-4.7999999999999996E-3</v>
      </c>
      <c r="H58" s="228">
        <f>YEAR(AVEU_Historical_Data__2[[#This Row],[Date]])</f>
        <v>2020</v>
      </c>
      <c r="I58" s="228">
        <f>ROUNDUP((MOD(MONTH(AVEU_Historical_Data__2[[#This Row],[Date]])+8,12)+1)/3,0)</f>
        <v>1</v>
      </c>
      <c r="J58" s="228">
        <f>MONTH(AVEU_Historical_Data__2[[#This Row],[Date]])</f>
        <v>6</v>
      </c>
      <c r="K58" s="228"/>
    </row>
    <row r="59" spans="1:22" x14ac:dyDescent="0.25">
      <c r="A59" s="227">
        <v>44011</v>
      </c>
      <c r="B59" s="228">
        <v>2290.9499999999998</v>
      </c>
      <c r="C59" s="228">
        <v>2294.4</v>
      </c>
      <c r="D59" s="228">
        <v>2334.6999999999998</v>
      </c>
      <c r="E59" s="228">
        <v>2274</v>
      </c>
      <c r="F59">
        <v>234440</v>
      </c>
      <c r="G59" s="228">
        <v>-1.5E-3</v>
      </c>
      <c r="H59" s="228">
        <f>YEAR(AVEU_Historical_Data__2[[#This Row],[Date]])</f>
        <v>2020</v>
      </c>
      <c r="I59" s="228">
        <f>ROUNDUP((MOD(MONTH(AVEU_Historical_Data__2[[#This Row],[Date]])+8,12)+1)/3,0)</f>
        <v>1</v>
      </c>
      <c r="J59" s="228">
        <f>MONTH(AVEU_Historical_Data__2[[#This Row],[Date]])</f>
        <v>6</v>
      </c>
      <c r="K59" s="228"/>
    </row>
    <row r="60" spans="1:22" x14ac:dyDescent="0.25">
      <c r="A60" s="227">
        <v>44012</v>
      </c>
      <c r="B60" s="228">
        <v>2317.15</v>
      </c>
      <c r="C60" s="228">
        <v>2314.6999999999998</v>
      </c>
      <c r="D60" s="228">
        <v>2332.5</v>
      </c>
      <c r="E60" s="228">
        <v>2288</v>
      </c>
      <c r="F60">
        <v>381990</v>
      </c>
      <c r="G60" s="228">
        <v>1.14E-2</v>
      </c>
      <c r="H60" s="228">
        <f>YEAR(AVEU_Historical_Data__2[[#This Row],[Date]])</f>
        <v>2020</v>
      </c>
      <c r="I60" s="228">
        <f>ROUNDUP((MOD(MONTH(AVEU_Historical_Data__2[[#This Row],[Date]])+8,12)+1)/3,0)</f>
        <v>1</v>
      </c>
      <c r="J60" s="228">
        <f>MONTH(AVEU_Historical_Data__2[[#This Row],[Date]])</f>
        <v>6</v>
      </c>
      <c r="K60" s="228"/>
    </row>
    <row r="61" spans="1:22" x14ac:dyDescent="0.25">
      <c r="A61" s="227">
        <v>44013</v>
      </c>
      <c r="B61" s="228">
        <v>2289.35</v>
      </c>
      <c r="C61" s="228">
        <v>2325</v>
      </c>
      <c r="D61" s="228">
        <v>2327</v>
      </c>
      <c r="E61" s="228">
        <v>2285</v>
      </c>
      <c r="F61">
        <v>230110</v>
      </c>
      <c r="G61" s="228">
        <v>-1.2E-2</v>
      </c>
      <c r="H61" s="228">
        <f>YEAR(AVEU_Historical_Data__2[[#This Row],[Date]])</f>
        <v>2020</v>
      </c>
      <c r="I61" s="228">
        <f>ROUNDUP((MOD(MONTH(AVEU_Historical_Data__2[[#This Row],[Date]])+8,12)+1)/3,0)</f>
        <v>2</v>
      </c>
      <c r="J61" s="228">
        <f>MONTH(AVEU_Historical_Data__2[[#This Row],[Date]])</f>
        <v>7</v>
      </c>
      <c r="K61" s="228"/>
    </row>
    <row r="62" spans="1:22" x14ac:dyDescent="0.25">
      <c r="A62" s="227">
        <v>44014</v>
      </c>
      <c r="B62" s="228">
        <v>2295.5</v>
      </c>
      <c r="C62" s="228">
        <v>2302</v>
      </c>
      <c r="D62" s="228">
        <v>2325</v>
      </c>
      <c r="E62" s="228">
        <v>2285</v>
      </c>
      <c r="F62">
        <v>412120</v>
      </c>
      <c r="G62" s="228">
        <v>2.7000000000000001E-3</v>
      </c>
      <c r="H62" s="228">
        <f>YEAR(AVEU_Historical_Data__2[[#This Row],[Date]])</f>
        <v>2020</v>
      </c>
      <c r="I62" s="228">
        <f>ROUNDUP((MOD(MONTH(AVEU_Historical_Data__2[[#This Row],[Date]])+8,12)+1)/3,0)</f>
        <v>2</v>
      </c>
      <c r="J62" s="228">
        <f>MONTH(AVEU_Historical_Data__2[[#This Row],[Date]])</f>
        <v>7</v>
      </c>
      <c r="K62" s="228"/>
    </row>
    <row r="63" spans="1:22" x14ac:dyDescent="0.25">
      <c r="A63" s="227">
        <v>44015</v>
      </c>
      <c r="B63" s="228">
        <v>2290.15</v>
      </c>
      <c r="C63" s="228">
        <v>2305</v>
      </c>
      <c r="D63" s="228">
        <v>2309.9499999999998</v>
      </c>
      <c r="E63" s="228">
        <v>2276.0500000000002</v>
      </c>
      <c r="F63">
        <v>369960</v>
      </c>
      <c r="G63" s="228">
        <v>-2.3E-3</v>
      </c>
      <c r="H63" s="228">
        <f>YEAR(AVEU_Historical_Data__2[[#This Row],[Date]])</f>
        <v>2020</v>
      </c>
      <c r="I63" s="228">
        <f>ROUNDUP((MOD(MONTH(AVEU_Historical_Data__2[[#This Row],[Date]])+8,12)+1)/3,0)</f>
        <v>2</v>
      </c>
      <c r="J63" s="228">
        <f>MONTH(AVEU_Historical_Data__2[[#This Row],[Date]])</f>
        <v>7</v>
      </c>
      <c r="K63" s="228"/>
    </row>
    <row r="64" spans="1:22" x14ac:dyDescent="0.25">
      <c r="A64" s="227">
        <v>44018</v>
      </c>
      <c r="B64" s="228">
        <v>2323</v>
      </c>
      <c r="C64" s="228">
        <v>2296</v>
      </c>
      <c r="D64" s="228">
        <v>2355</v>
      </c>
      <c r="E64" s="228">
        <v>2296</v>
      </c>
      <c r="F64">
        <v>408630</v>
      </c>
      <c r="G64" s="228">
        <v>1.43E-2</v>
      </c>
      <c r="H64" s="228">
        <f>YEAR(AVEU_Historical_Data__2[[#This Row],[Date]])</f>
        <v>2020</v>
      </c>
      <c r="I64" s="228">
        <f>ROUNDUP((MOD(MONTH(AVEU_Historical_Data__2[[#This Row],[Date]])+8,12)+1)/3,0)</f>
        <v>2</v>
      </c>
      <c r="J64" s="228">
        <f>MONTH(AVEU_Historical_Data__2[[#This Row],[Date]])</f>
        <v>7</v>
      </c>
      <c r="K64" s="228"/>
    </row>
    <row r="65" spans="1:11" x14ac:dyDescent="0.25">
      <c r="A65" s="227">
        <v>44019</v>
      </c>
      <c r="B65" s="228">
        <v>2361.6999999999998</v>
      </c>
      <c r="C65" s="228">
        <v>2313.1</v>
      </c>
      <c r="D65" s="228">
        <v>2381</v>
      </c>
      <c r="E65" s="228">
        <v>2305</v>
      </c>
      <c r="F65">
        <v>412870</v>
      </c>
      <c r="G65" s="228">
        <v>1.67E-2</v>
      </c>
      <c r="H65" s="228">
        <f>YEAR(AVEU_Historical_Data__2[[#This Row],[Date]])</f>
        <v>2020</v>
      </c>
      <c r="I65" s="228">
        <f>ROUNDUP((MOD(MONTH(AVEU_Historical_Data__2[[#This Row],[Date]])+8,12)+1)/3,0)</f>
        <v>2</v>
      </c>
      <c r="J65" s="228">
        <f>MONTH(AVEU_Historical_Data__2[[#This Row],[Date]])</f>
        <v>7</v>
      </c>
      <c r="K65" s="228"/>
    </row>
    <row r="66" spans="1:11" x14ac:dyDescent="0.25">
      <c r="A66" s="227">
        <v>44020</v>
      </c>
      <c r="B66" s="228">
        <v>2319.5500000000002</v>
      </c>
      <c r="C66" s="228">
        <v>2385</v>
      </c>
      <c r="D66" s="228">
        <v>2385.3000000000002</v>
      </c>
      <c r="E66" s="228">
        <v>2300.4499999999998</v>
      </c>
      <c r="F66">
        <v>491070</v>
      </c>
      <c r="G66" s="228">
        <v>-1.78E-2</v>
      </c>
      <c r="H66" s="228">
        <f>YEAR(AVEU_Historical_Data__2[[#This Row],[Date]])</f>
        <v>2020</v>
      </c>
      <c r="I66" s="228">
        <f>ROUNDUP((MOD(MONTH(AVEU_Historical_Data__2[[#This Row],[Date]])+8,12)+1)/3,0)</f>
        <v>2</v>
      </c>
      <c r="J66" s="228">
        <f>MONTH(AVEU_Historical_Data__2[[#This Row],[Date]])</f>
        <v>7</v>
      </c>
      <c r="K66" s="228"/>
    </row>
    <row r="67" spans="1:11" x14ac:dyDescent="0.25">
      <c r="A67" s="227">
        <v>44021</v>
      </c>
      <c r="B67" s="228">
        <v>2320.35</v>
      </c>
      <c r="C67" s="228">
        <v>2329.6999999999998</v>
      </c>
      <c r="D67" s="228">
        <v>2364</v>
      </c>
      <c r="E67" s="228">
        <v>2309</v>
      </c>
      <c r="F67">
        <v>266580</v>
      </c>
      <c r="G67" s="228">
        <v>2.9999999999999997E-4</v>
      </c>
      <c r="H67" s="228">
        <f>YEAR(AVEU_Historical_Data__2[[#This Row],[Date]])</f>
        <v>2020</v>
      </c>
      <c r="I67" s="228">
        <f>ROUNDUP((MOD(MONTH(AVEU_Historical_Data__2[[#This Row],[Date]])+8,12)+1)/3,0)</f>
        <v>2</v>
      </c>
      <c r="J67" s="228">
        <f>MONTH(AVEU_Historical_Data__2[[#This Row],[Date]])</f>
        <v>7</v>
      </c>
      <c r="K67" s="228"/>
    </row>
    <row r="68" spans="1:11" x14ac:dyDescent="0.25">
      <c r="A68" s="227">
        <v>44022</v>
      </c>
      <c r="B68" s="228">
        <v>2322.6999999999998</v>
      </c>
      <c r="C68" s="228">
        <v>2328.6999999999998</v>
      </c>
      <c r="D68" s="228">
        <v>2342.0500000000002</v>
      </c>
      <c r="E68" s="228">
        <v>2306.65</v>
      </c>
      <c r="F68">
        <v>275120</v>
      </c>
      <c r="G68" s="228">
        <v>1E-3</v>
      </c>
      <c r="H68" s="228">
        <f>YEAR(AVEU_Historical_Data__2[[#This Row],[Date]])</f>
        <v>2020</v>
      </c>
      <c r="I68" s="228">
        <f>ROUNDUP((MOD(MONTH(AVEU_Historical_Data__2[[#This Row],[Date]])+8,12)+1)/3,0)</f>
        <v>2</v>
      </c>
      <c r="J68" s="228">
        <f>MONTH(AVEU_Historical_Data__2[[#This Row],[Date]])</f>
        <v>7</v>
      </c>
      <c r="K68" s="228"/>
    </row>
    <row r="69" spans="1:11" x14ac:dyDescent="0.25">
      <c r="A69" s="227">
        <v>44025</v>
      </c>
      <c r="B69" s="228">
        <v>2233.9499999999998</v>
      </c>
      <c r="C69" s="228">
        <v>2210.0500000000002</v>
      </c>
      <c r="D69" s="228">
        <v>2304.9499999999998</v>
      </c>
      <c r="E69" s="228">
        <v>2180</v>
      </c>
      <c r="F69">
        <v>1750000</v>
      </c>
      <c r="G69" s="228">
        <v>-3.8199999999999998E-2</v>
      </c>
      <c r="H69" s="228">
        <f>YEAR(AVEU_Historical_Data__2[[#This Row],[Date]])</f>
        <v>2020</v>
      </c>
      <c r="I69" s="228">
        <f>ROUNDUP((MOD(MONTH(AVEU_Historical_Data__2[[#This Row],[Date]])+8,12)+1)/3,0)</f>
        <v>2</v>
      </c>
      <c r="J69" s="228">
        <f>MONTH(AVEU_Historical_Data__2[[#This Row],[Date]])</f>
        <v>7</v>
      </c>
      <c r="K69" s="228"/>
    </row>
    <row r="70" spans="1:11" x14ac:dyDescent="0.25">
      <c r="A70" s="227">
        <v>44026</v>
      </c>
      <c r="B70" s="228">
        <v>2154.85</v>
      </c>
      <c r="C70" s="228">
        <v>2215</v>
      </c>
      <c r="D70" s="228">
        <v>2220</v>
      </c>
      <c r="E70" s="228">
        <v>2148</v>
      </c>
      <c r="F70">
        <v>841390</v>
      </c>
      <c r="G70" s="228">
        <v>-3.5400000000000001E-2</v>
      </c>
      <c r="H70" s="228">
        <f>YEAR(AVEU_Historical_Data__2[[#This Row],[Date]])</f>
        <v>2020</v>
      </c>
      <c r="I70" s="228">
        <f>ROUNDUP((MOD(MONTH(AVEU_Historical_Data__2[[#This Row],[Date]])+8,12)+1)/3,0)</f>
        <v>2</v>
      </c>
      <c r="J70" s="228">
        <f>MONTH(AVEU_Historical_Data__2[[#This Row],[Date]])</f>
        <v>7</v>
      </c>
      <c r="K70" s="228"/>
    </row>
    <row r="71" spans="1:11" x14ac:dyDescent="0.25">
      <c r="A71" s="227">
        <v>44027</v>
      </c>
      <c r="B71" s="228">
        <v>2146.35</v>
      </c>
      <c r="C71" s="228">
        <v>2170</v>
      </c>
      <c r="D71" s="228">
        <v>2195</v>
      </c>
      <c r="E71" s="228">
        <v>2135</v>
      </c>
      <c r="F71">
        <v>540470</v>
      </c>
      <c r="G71" s="228">
        <v>-3.8999999999999998E-3</v>
      </c>
      <c r="H71" s="228">
        <f>YEAR(AVEU_Historical_Data__2[[#This Row],[Date]])</f>
        <v>2020</v>
      </c>
      <c r="I71" s="228">
        <f>ROUNDUP((MOD(MONTH(AVEU_Historical_Data__2[[#This Row],[Date]])+8,12)+1)/3,0)</f>
        <v>2</v>
      </c>
      <c r="J71" s="228">
        <f>MONTH(AVEU_Historical_Data__2[[#This Row],[Date]])</f>
        <v>7</v>
      </c>
      <c r="K71" s="228"/>
    </row>
    <row r="72" spans="1:11" x14ac:dyDescent="0.25">
      <c r="A72" s="227">
        <v>44028</v>
      </c>
      <c r="B72" s="228">
        <v>2007.05</v>
      </c>
      <c r="C72" s="228">
        <v>2145</v>
      </c>
      <c r="D72" s="228">
        <v>2149.6999999999998</v>
      </c>
      <c r="E72" s="228">
        <v>1980</v>
      </c>
      <c r="F72">
        <v>3720000</v>
      </c>
      <c r="G72" s="228">
        <v>-6.4899999999999999E-2</v>
      </c>
      <c r="H72" s="228">
        <f>YEAR(AVEU_Historical_Data__2[[#This Row],[Date]])</f>
        <v>2020</v>
      </c>
      <c r="I72" s="228">
        <f>ROUNDUP((MOD(MONTH(AVEU_Historical_Data__2[[#This Row],[Date]])+8,12)+1)/3,0)</f>
        <v>2</v>
      </c>
      <c r="J72" s="228">
        <f>MONTH(AVEU_Historical_Data__2[[#This Row],[Date]])</f>
        <v>7</v>
      </c>
      <c r="K72" s="228"/>
    </row>
    <row r="73" spans="1:11" x14ac:dyDescent="0.25">
      <c r="A73" s="227">
        <v>44029</v>
      </c>
      <c r="B73" s="228">
        <v>1989.75</v>
      </c>
      <c r="C73" s="228">
        <v>2000</v>
      </c>
      <c r="D73" s="228">
        <v>2019.8</v>
      </c>
      <c r="E73" s="228">
        <v>1955</v>
      </c>
      <c r="F73">
        <v>3880000</v>
      </c>
      <c r="G73" s="228">
        <v>-8.6E-3</v>
      </c>
      <c r="H73" s="228">
        <f>YEAR(AVEU_Historical_Data__2[[#This Row],[Date]])</f>
        <v>2020</v>
      </c>
      <c r="I73" s="228">
        <f>ROUNDUP((MOD(MONTH(AVEU_Historical_Data__2[[#This Row],[Date]])+8,12)+1)/3,0)</f>
        <v>2</v>
      </c>
      <c r="J73" s="228">
        <f>MONTH(AVEU_Historical_Data__2[[#This Row],[Date]])</f>
        <v>7</v>
      </c>
      <c r="K73" s="228"/>
    </row>
    <row r="74" spans="1:11" x14ac:dyDescent="0.25">
      <c r="A74" s="227">
        <v>44032</v>
      </c>
      <c r="B74" s="228">
        <v>2019</v>
      </c>
      <c r="C74" s="228">
        <v>1979.9</v>
      </c>
      <c r="D74" s="228">
        <v>2039</v>
      </c>
      <c r="E74" s="228">
        <v>1968</v>
      </c>
      <c r="F74">
        <v>1560000</v>
      </c>
      <c r="G74" s="228">
        <v>1.47E-2</v>
      </c>
      <c r="H74" s="228">
        <f>YEAR(AVEU_Historical_Data__2[[#This Row],[Date]])</f>
        <v>2020</v>
      </c>
      <c r="I74" s="228">
        <f>ROUNDUP((MOD(MONTH(AVEU_Historical_Data__2[[#This Row],[Date]])+8,12)+1)/3,0)</f>
        <v>2</v>
      </c>
      <c r="J74" s="228">
        <f>MONTH(AVEU_Historical_Data__2[[#This Row],[Date]])</f>
        <v>7</v>
      </c>
      <c r="K74" s="228"/>
    </row>
    <row r="75" spans="1:11" x14ac:dyDescent="0.25">
      <c r="A75" s="227">
        <v>44033</v>
      </c>
      <c r="B75" s="228">
        <v>2040.8</v>
      </c>
      <c r="C75" s="228">
        <v>2035</v>
      </c>
      <c r="D75" s="228">
        <v>2054.9</v>
      </c>
      <c r="E75" s="228">
        <v>2021.05</v>
      </c>
      <c r="F75">
        <v>717410</v>
      </c>
      <c r="G75" s="228">
        <v>1.0800000000000001E-2</v>
      </c>
      <c r="H75" s="228">
        <f>YEAR(AVEU_Historical_Data__2[[#This Row],[Date]])</f>
        <v>2020</v>
      </c>
      <c r="I75" s="228">
        <f>ROUNDUP((MOD(MONTH(AVEU_Historical_Data__2[[#This Row],[Date]])+8,12)+1)/3,0)</f>
        <v>2</v>
      </c>
      <c r="J75" s="228">
        <f>MONTH(AVEU_Historical_Data__2[[#This Row],[Date]])</f>
        <v>7</v>
      </c>
      <c r="K75" s="228"/>
    </row>
    <row r="76" spans="1:11" x14ac:dyDescent="0.25">
      <c r="A76" s="227">
        <v>44034</v>
      </c>
      <c r="B76" s="228">
        <v>2110</v>
      </c>
      <c r="C76" s="228">
        <v>2055</v>
      </c>
      <c r="D76" s="228">
        <v>2120.6</v>
      </c>
      <c r="E76" s="228">
        <v>2010</v>
      </c>
      <c r="F76">
        <v>1720000</v>
      </c>
      <c r="G76" s="228">
        <v>3.39E-2</v>
      </c>
      <c r="H76" s="228">
        <f>YEAR(AVEU_Historical_Data__2[[#This Row],[Date]])</f>
        <v>2020</v>
      </c>
      <c r="I76" s="228">
        <f>ROUNDUP((MOD(MONTH(AVEU_Historical_Data__2[[#This Row],[Date]])+8,12)+1)/3,0)</f>
        <v>2</v>
      </c>
      <c r="J76" s="228">
        <f>MONTH(AVEU_Historical_Data__2[[#This Row],[Date]])</f>
        <v>7</v>
      </c>
      <c r="K76" s="228"/>
    </row>
    <row r="77" spans="1:11" x14ac:dyDescent="0.25">
      <c r="A77" s="227">
        <v>44035</v>
      </c>
      <c r="B77" s="228">
        <v>2100.35</v>
      </c>
      <c r="C77" s="228">
        <v>2107.6999999999998</v>
      </c>
      <c r="D77" s="228">
        <v>2148</v>
      </c>
      <c r="E77" s="228">
        <v>2095</v>
      </c>
      <c r="F77">
        <v>771240</v>
      </c>
      <c r="G77" s="228">
        <v>-4.5999999999999999E-3</v>
      </c>
      <c r="H77" s="228">
        <f>YEAR(AVEU_Historical_Data__2[[#This Row],[Date]])</f>
        <v>2020</v>
      </c>
      <c r="I77" s="228">
        <f>ROUNDUP((MOD(MONTH(AVEU_Historical_Data__2[[#This Row],[Date]])+8,12)+1)/3,0)</f>
        <v>2</v>
      </c>
      <c r="J77" s="228">
        <f>MONTH(AVEU_Historical_Data__2[[#This Row],[Date]])</f>
        <v>7</v>
      </c>
      <c r="K77" s="228"/>
    </row>
    <row r="78" spans="1:11" x14ac:dyDescent="0.25">
      <c r="A78" s="227">
        <v>44036</v>
      </c>
      <c r="B78" s="228">
        <v>2031.4</v>
      </c>
      <c r="C78" s="228">
        <v>2095</v>
      </c>
      <c r="D78" s="228">
        <v>2124.8000000000002</v>
      </c>
      <c r="E78" s="228">
        <v>2027</v>
      </c>
      <c r="F78">
        <v>1350000</v>
      </c>
      <c r="G78" s="228">
        <v>-3.2800000000000003E-2</v>
      </c>
      <c r="H78" s="228">
        <f>YEAR(AVEU_Historical_Data__2[[#This Row],[Date]])</f>
        <v>2020</v>
      </c>
      <c r="I78" s="228">
        <f>ROUNDUP((MOD(MONTH(AVEU_Historical_Data__2[[#This Row],[Date]])+8,12)+1)/3,0)</f>
        <v>2</v>
      </c>
      <c r="J78" s="228">
        <f>MONTH(AVEU_Historical_Data__2[[#This Row],[Date]])</f>
        <v>7</v>
      </c>
      <c r="K78" s="228"/>
    </row>
    <row r="79" spans="1:11" x14ac:dyDescent="0.25">
      <c r="A79" s="227">
        <v>44039</v>
      </c>
      <c r="B79" s="228">
        <v>2026.1</v>
      </c>
      <c r="C79" s="228">
        <v>2044</v>
      </c>
      <c r="D79" s="228">
        <v>2060</v>
      </c>
      <c r="E79" s="228">
        <v>2001.5</v>
      </c>
      <c r="F79">
        <v>2240000</v>
      </c>
      <c r="G79" s="228">
        <v>-2.5999999999999999E-3</v>
      </c>
      <c r="H79" s="228">
        <f>YEAR(AVEU_Historical_Data__2[[#This Row],[Date]])</f>
        <v>2020</v>
      </c>
      <c r="I79" s="228">
        <f>ROUNDUP((MOD(MONTH(AVEU_Historical_Data__2[[#This Row],[Date]])+8,12)+1)/3,0)</f>
        <v>2</v>
      </c>
      <c r="J79" s="228">
        <f>MONTH(AVEU_Historical_Data__2[[#This Row],[Date]])</f>
        <v>7</v>
      </c>
      <c r="K79" s="228"/>
    </row>
    <row r="80" spans="1:11" x14ac:dyDescent="0.25">
      <c r="A80" s="227">
        <v>44040</v>
      </c>
      <c r="B80" s="228">
        <v>2051.4</v>
      </c>
      <c r="C80" s="228">
        <v>2060</v>
      </c>
      <c r="D80" s="228">
        <v>2067</v>
      </c>
      <c r="E80" s="228">
        <v>2027.8</v>
      </c>
      <c r="F80">
        <v>522669.99999999994</v>
      </c>
      <c r="G80" s="228">
        <v>1.2500000000000001E-2</v>
      </c>
      <c r="H80" s="228">
        <f>YEAR(AVEU_Historical_Data__2[[#This Row],[Date]])</f>
        <v>2020</v>
      </c>
      <c r="I80" s="228">
        <f>ROUNDUP((MOD(MONTH(AVEU_Historical_Data__2[[#This Row],[Date]])+8,12)+1)/3,0)</f>
        <v>2</v>
      </c>
      <c r="J80" s="228">
        <f>MONTH(AVEU_Historical_Data__2[[#This Row],[Date]])</f>
        <v>7</v>
      </c>
      <c r="K80" s="228"/>
    </row>
    <row r="81" spans="1:11" x14ac:dyDescent="0.25">
      <c r="A81" s="227">
        <v>44041</v>
      </c>
      <c r="B81" s="228">
        <v>2049.6999999999998</v>
      </c>
      <c r="C81" s="228">
        <v>2060</v>
      </c>
      <c r="D81" s="228">
        <v>2075</v>
      </c>
      <c r="E81" s="228">
        <v>2041.1</v>
      </c>
      <c r="F81">
        <v>351800</v>
      </c>
      <c r="G81" s="228">
        <v>-8.0000000000000004E-4</v>
      </c>
      <c r="H81" s="228">
        <f>YEAR(AVEU_Historical_Data__2[[#This Row],[Date]])</f>
        <v>2020</v>
      </c>
      <c r="I81" s="228">
        <f>ROUNDUP((MOD(MONTH(AVEU_Historical_Data__2[[#This Row],[Date]])+8,12)+1)/3,0)</f>
        <v>2</v>
      </c>
      <c r="J81" s="228">
        <f>MONTH(AVEU_Historical_Data__2[[#This Row],[Date]])</f>
        <v>7</v>
      </c>
      <c r="K81" s="228"/>
    </row>
    <row r="82" spans="1:11" x14ac:dyDescent="0.25">
      <c r="A82" s="227">
        <v>44042</v>
      </c>
      <c r="B82" s="228">
        <v>2040.2</v>
      </c>
      <c r="C82" s="228">
        <v>2039</v>
      </c>
      <c r="D82" s="228">
        <v>2068</v>
      </c>
      <c r="E82" s="228">
        <v>2030</v>
      </c>
      <c r="F82">
        <v>411870</v>
      </c>
      <c r="G82" s="228">
        <v>-4.5999999999999999E-3</v>
      </c>
      <c r="H82" s="228">
        <f>YEAR(AVEU_Historical_Data__2[[#This Row],[Date]])</f>
        <v>2020</v>
      </c>
      <c r="I82" s="228">
        <f>ROUNDUP((MOD(MONTH(AVEU_Historical_Data__2[[#This Row],[Date]])+8,12)+1)/3,0)</f>
        <v>2</v>
      </c>
      <c r="J82" s="228">
        <f>MONTH(AVEU_Historical_Data__2[[#This Row],[Date]])</f>
        <v>7</v>
      </c>
      <c r="K82" s="228"/>
    </row>
    <row r="83" spans="1:11" x14ac:dyDescent="0.25">
      <c r="A83" s="227">
        <v>44043</v>
      </c>
      <c r="B83" s="228">
        <v>2063.4499999999998</v>
      </c>
      <c r="C83" s="228">
        <v>2046</v>
      </c>
      <c r="D83" s="228">
        <v>2075</v>
      </c>
      <c r="E83" s="228">
        <v>2033.05</v>
      </c>
      <c r="F83">
        <v>423800</v>
      </c>
      <c r="G83" s="228">
        <v>1.14E-2</v>
      </c>
      <c r="H83" s="228">
        <f>YEAR(AVEU_Historical_Data__2[[#This Row],[Date]])</f>
        <v>2020</v>
      </c>
      <c r="I83" s="228">
        <f>ROUNDUP((MOD(MONTH(AVEU_Historical_Data__2[[#This Row],[Date]])+8,12)+1)/3,0)</f>
        <v>2</v>
      </c>
      <c r="J83" s="228">
        <f>MONTH(AVEU_Historical_Data__2[[#This Row],[Date]])</f>
        <v>7</v>
      </c>
      <c r="K83" s="228"/>
    </row>
    <row r="84" spans="1:11" x14ac:dyDescent="0.25">
      <c r="A84" s="227">
        <v>44046</v>
      </c>
      <c r="B84" s="228">
        <v>2093.15</v>
      </c>
      <c r="C84" s="228">
        <v>2068.6999999999998</v>
      </c>
      <c r="D84" s="228">
        <v>2112.6999999999998</v>
      </c>
      <c r="E84" s="228">
        <v>2060.3000000000002</v>
      </c>
      <c r="F84">
        <v>554680</v>
      </c>
      <c r="G84" s="228">
        <v>1.44E-2</v>
      </c>
      <c r="H84" s="228">
        <f>YEAR(AVEU_Historical_Data__2[[#This Row],[Date]])</f>
        <v>2020</v>
      </c>
      <c r="I84" s="228">
        <f>ROUNDUP((MOD(MONTH(AVEU_Historical_Data__2[[#This Row],[Date]])+8,12)+1)/3,0)</f>
        <v>2</v>
      </c>
      <c r="J84" s="228">
        <f>MONTH(AVEU_Historical_Data__2[[#This Row],[Date]])</f>
        <v>8</v>
      </c>
      <c r="K84" s="228"/>
    </row>
    <row r="85" spans="1:11" x14ac:dyDescent="0.25">
      <c r="A85" s="227">
        <v>44047</v>
      </c>
      <c r="B85" s="228">
        <v>2165.1</v>
      </c>
      <c r="C85" s="228">
        <v>2093.15</v>
      </c>
      <c r="D85" s="228">
        <v>2178</v>
      </c>
      <c r="E85" s="228">
        <v>2090</v>
      </c>
      <c r="F85">
        <v>613850</v>
      </c>
      <c r="G85" s="228">
        <v>3.44E-2</v>
      </c>
      <c r="H85" s="228">
        <f>YEAR(AVEU_Historical_Data__2[[#This Row],[Date]])</f>
        <v>2020</v>
      </c>
      <c r="I85" s="228">
        <f>ROUNDUP((MOD(MONTH(AVEU_Historical_Data__2[[#This Row],[Date]])+8,12)+1)/3,0)</f>
        <v>2</v>
      </c>
      <c r="J85" s="228">
        <f>MONTH(AVEU_Historical_Data__2[[#This Row],[Date]])</f>
        <v>8</v>
      </c>
      <c r="K85" s="228"/>
    </row>
    <row r="86" spans="1:11" x14ac:dyDescent="0.25">
      <c r="A86" s="227">
        <v>44048</v>
      </c>
      <c r="B86" s="228">
        <v>2163.4499999999998</v>
      </c>
      <c r="C86" s="228">
        <v>2175</v>
      </c>
      <c r="D86" s="228">
        <v>2189.9499999999998</v>
      </c>
      <c r="E86" s="228">
        <v>2151.0500000000002</v>
      </c>
      <c r="F86">
        <v>503500</v>
      </c>
      <c r="G86" s="228">
        <v>-8.0000000000000004E-4</v>
      </c>
      <c r="H86" s="228">
        <f>YEAR(AVEU_Historical_Data__2[[#This Row],[Date]])</f>
        <v>2020</v>
      </c>
      <c r="I86" s="228">
        <f>ROUNDUP((MOD(MONTH(AVEU_Historical_Data__2[[#This Row],[Date]])+8,12)+1)/3,0)</f>
        <v>2</v>
      </c>
      <c r="J86" s="228">
        <f>MONTH(AVEU_Historical_Data__2[[#This Row],[Date]])</f>
        <v>8</v>
      </c>
      <c r="K86" s="228"/>
    </row>
    <row r="87" spans="1:11" x14ac:dyDescent="0.25">
      <c r="A87" s="227">
        <v>44049</v>
      </c>
      <c r="B87" s="228">
        <v>2150.5500000000002</v>
      </c>
      <c r="C87" s="228">
        <v>2170</v>
      </c>
      <c r="D87" s="228">
        <v>2191.9499999999998</v>
      </c>
      <c r="E87" s="228">
        <v>2135.65</v>
      </c>
      <c r="F87">
        <v>637780</v>
      </c>
      <c r="G87" s="228">
        <v>-6.0000000000000001E-3</v>
      </c>
      <c r="H87" s="228">
        <f>YEAR(AVEU_Historical_Data__2[[#This Row],[Date]])</f>
        <v>2020</v>
      </c>
      <c r="I87" s="228">
        <f>ROUNDUP((MOD(MONTH(AVEU_Historical_Data__2[[#This Row],[Date]])+8,12)+1)/3,0)</f>
        <v>2</v>
      </c>
      <c r="J87" s="228">
        <f>MONTH(AVEU_Historical_Data__2[[#This Row],[Date]])</f>
        <v>8</v>
      </c>
      <c r="K87" s="228"/>
    </row>
    <row r="88" spans="1:11" x14ac:dyDescent="0.25">
      <c r="A88" s="227">
        <v>44050</v>
      </c>
      <c r="B88" s="228">
        <v>2138.4</v>
      </c>
      <c r="C88" s="228">
        <v>2170</v>
      </c>
      <c r="D88" s="228">
        <v>2176.4</v>
      </c>
      <c r="E88" s="228">
        <v>2133</v>
      </c>
      <c r="F88">
        <v>354660</v>
      </c>
      <c r="G88" s="228">
        <v>-5.5999999999999999E-3</v>
      </c>
      <c r="H88" s="228">
        <f>YEAR(AVEU_Historical_Data__2[[#This Row],[Date]])</f>
        <v>2020</v>
      </c>
      <c r="I88" s="228">
        <f>ROUNDUP((MOD(MONTH(AVEU_Historical_Data__2[[#This Row],[Date]])+8,12)+1)/3,0)</f>
        <v>2</v>
      </c>
      <c r="J88" s="228">
        <f>MONTH(AVEU_Historical_Data__2[[#This Row],[Date]])</f>
        <v>8</v>
      </c>
      <c r="K88" s="228"/>
    </row>
    <row r="89" spans="1:11" x14ac:dyDescent="0.25">
      <c r="A89" s="227">
        <v>44053</v>
      </c>
      <c r="B89" s="228">
        <v>2116.5</v>
      </c>
      <c r="C89" s="228">
        <v>2138.4</v>
      </c>
      <c r="D89" s="228">
        <v>2145</v>
      </c>
      <c r="E89" s="228">
        <v>2100</v>
      </c>
      <c r="F89">
        <v>366330</v>
      </c>
      <c r="G89" s="228">
        <v>-1.0200000000000001E-2</v>
      </c>
      <c r="H89" s="228">
        <f>YEAR(AVEU_Historical_Data__2[[#This Row],[Date]])</f>
        <v>2020</v>
      </c>
      <c r="I89" s="228">
        <f>ROUNDUP((MOD(MONTH(AVEU_Historical_Data__2[[#This Row],[Date]])+8,12)+1)/3,0)</f>
        <v>2</v>
      </c>
      <c r="J89" s="228">
        <f>MONTH(AVEU_Historical_Data__2[[#This Row],[Date]])</f>
        <v>8</v>
      </c>
      <c r="K89" s="228"/>
    </row>
    <row r="90" spans="1:11" x14ac:dyDescent="0.25">
      <c r="A90" s="227">
        <v>44054</v>
      </c>
      <c r="B90" s="228">
        <v>2131.9499999999998</v>
      </c>
      <c r="C90" s="228">
        <v>2120</v>
      </c>
      <c r="D90" s="228">
        <v>2143.15</v>
      </c>
      <c r="E90" s="228">
        <v>2110.35</v>
      </c>
      <c r="F90">
        <v>461470</v>
      </c>
      <c r="G90" s="228">
        <v>7.3000000000000001E-3</v>
      </c>
      <c r="H90" s="228">
        <f>YEAR(AVEU_Historical_Data__2[[#This Row],[Date]])</f>
        <v>2020</v>
      </c>
      <c r="I90" s="228">
        <f>ROUNDUP((MOD(MONTH(AVEU_Historical_Data__2[[#This Row],[Date]])+8,12)+1)/3,0)</f>
        <v>2</v>
      </c>
      <c r="J90" s="228">
        <f>MONTH(AVEU_Historical_Data__2[[#This Row],[Date]])</f>
        <v>8</v>
      </c>
      <c r="K90" s="228"/>
    </row>
    <row r="91" spans="1:11" x14ac:dyDescent="0.25">
      <c r="A91" s="227">
        <v>44055</v>
      </c>
      <c r="B91" s="228">
        <v>2169.1999999999998</v>
      </c>
      <c r="C91" s="228">
        <v>2139</v>
      </c>
      <c r="D91" s="228">
        <v>2175</v>
      </c>
      <c r="E91" s="228">
        <v>2122</v>
      </c>
      <c r="F91">
        <v>440620</v>
      </c>
      <c r="G91" s="228">
        <v>1.7500000000000002E-2</v>
      </c>
      <c r="H91" s="228">
        <f>YEAR(AVEU_Historical_Data__2[[#This Row],[Date]])</f>
        <v>2020</v>
      </c>
      <c r="I91" s="228">
        <f>ROUNDUP((MOD(MONTH(AVEU_Historical_Data__2[[#This Row],[Date]])+8,12)+1)/3,0)</f>
        <v>2</v>
      </c>
      <c r="J91" s="228">
        <f>MONTH(AVEU_Historical_Data__2[[#This Row],[Date]])</f>
        <v>8</v>
      </c>
      <c r="K91" s="228"/>
    </row>
    <row r="92" spans="1:11" x14ac:dyDescent="0.25">
      <c r="A92" s="227">
        <v>44056</v>
      </c>
      <c r="B92" s="228">
        <v>2207.1</v>
      </c>
      <c r="C92" s="228">
        <v>2177</v>
      </c>
      <c r="D92" s="228">
        <v>2213.4499999999998</v>
      </c>
      <c r="E92" s="228">
        <v>2150</v>
      </c>
      <c r="F92">
        <v>598900</v>
      </c>
      <c r="G92" s="228">
        <v>1.7500000000000002E-2</v>
      </c>
      <c r="H92" s="228">
        <f>YEAR(AVEU_Historical_Data__2[[#This Row],[Date]])</f>
        <v>2020</v>
      </c>
      <c r="I92" s="228">
        <f>ROUNDUP((MOD(MONTH(AVEU_Historical_Data__2[[#This Row],[Date]])+8,12)+1)/3,0)</f>
        <v>2</v>
      </c>
      <c r="J92" s="228">
        <f>MONTH(AVEU_Historical_Data__2[[#This Row],[Date]])</f>
        <v>8</v>
      </c>
      <c r="K92" s="228"/>
    </row>
    <row r="93" spans="1:11" x14ac:dyDescent="0.25">
      <c r="A93" s="227">
        <v>44057</v>
      </c>
      <c r="B93" s="228">
        <v>2178</v>
      </c>
      <c r="C93" s="228">
        <v>2214.3000000000002</v>
      </c>
      <c r="D93" s="228">
        <v>2219.9</v>
      </c>
      <c r="E93" s="228">
        <v>2173.5500000000002</v>
      </c>
      <c r="F93">
        <v>290350</v>
      </c>
      <c r="G93" s="228">
        <v>-1.32E-2</v>
      </c>
      <c r="H93" s="228">
        <f>YEAR(AVEU_Historical_Data__2[[#This Row],[Date]])</f>
        <v>2020</v>
      </c>
      <c r="I93" s="228">
        <f>ROUNDUP((MOD(MONTH(AVEU_Historical_Data__2[[#This Row],[Date]])+8,12)+1)/3,0)</f>
        <v>2</v>
      </c>
      <c r="J93" s="228">
        <f>MONTH(AVEU_Historical_Data__2[[#This Row],[Date]])</f>
        <v>8</v>
      </c>
      <c r="K93" s="228"/>
    </row>
    <row r="94" spans="1:11" x14ac:dyDescent="0.25">
      <c r="A94" s="227">
        <v>44060</v>
      </c>
      <c r="B94" s="228">
        <v>2189.75</v>
      </c>
      <c r="C94" s="228">
        <v>2181</v>
      </c>
      <c r="D94" s="228">
        <v>2203.75</v>
      </c>
      <c r="E94" s="228">
        <v>2160</v>
      </c>
      <c r="F94">
        <v>272840</v>
      </c>
      <c r="G94" s="228">
        <v>5.4000000000000003E-3</v>
      </c>
      <c r="H94" s="228">
        <f>YEAR(AVEU_Historical_Data__2[[#This Row],[Date]])</f>
        <v>2020</v>
      </c>
      <c r="I94" s="228">
        <f>ROUNDUP((MOD(MONTH(AVEU_Historical_Data__2[[#This Row],[Date]])+8,12)+1)/3,0)</f>
        <v>2</v>
      </c>
      <c r="J94" s="228">
        <f>MONTH(AVEU_Historical_Data__2[[#This Row],[Date]])</f>
        <v>8</v>
      </c>
      <c r="K94" s="228"/>
    </row>
    <row r="95" spans="1:11" x14ac:dyDescent="0.25">
      <c r="A95" s="227">
        <v>44061</v>
      </c>
      <c r="B95" s="228">
        <v>2259.4499999999998</v>
      </c>
      <c r="C95" s="228">
        <v>2195</v>
      </c>
      <c r="D95" s="228">
        <v>2266.3000000000002</v>
      </c>
      <c r="E95" s="228">
        <v>2170</v>
      </c>
      <c r="F95">
        <v>700410</v>
      </c>
      <c r="G95" s="228">
        <v>3.1800000000000002E-2</v>
      </c>
      <c r="H95" s="228">
        <f>YEAR(AVEU_Historical_Data__2[[#This Row],[Date]])</f>
        <v>2020</v>
      </c>
      <c r="I95" s="228">
        <f>ROUNDUP((MOD(MONTH(AVEU_Historical_Data__2[[#This Row],[Date]])+8,12)+1)/3,0)</f>
        <v>2</v>
      </c>
      <c r="J95" s="228">
        <f>MONTH(AVEU_Historical_Data__2[[#This Row],[Date]])</f>
        <v>8</v>
      </c>
      <c r="K95" s="228"/>
    </row>
    <row r="96" spans="1:11" x14ac:dyDescent="0.25">
      <c r="A96" s="227">
        <v>44062</v>
      </c>
      <c r="B96" s="228">
        <v>2266.6</v>
      </c>
      <c r="C96" s="228">
        <v>2279</v>
      </c>
      <c r="D96" s="228">
        <v>2309.25</v>
      </c>
      <c r="E96" s="228">
        <v>2240</v>
      </c>
      <c r="F96">
        <v>590890</v>
      </c>
      <c r="G96" s="228">
        <v>3.2000000000000002E-3</v>
      </c>
      <c r="H96" s="228">
        <f>YEAR(AVEU_Historical_Data__2[[#This Row],[Date]])</f>
        <v>2020</v>
      </c>
      <c r="I96" s="228">
        <f>ROUNDUP((MOD(MONTH(AVEU_Historical_Data__2[[#This Row],[Date]])+8,12)+1)/3,0)</f>
        <v>2</v>
      </c>
      <c r="J96" s="228">
        <f>MONTH(AVEU_Historical_Data__2[[#This Row],[Date]])</f>
        <v>8</v>
      </c>
      <c r="K96" s="228"/>
    </row>
    <row r="97" spans="1:11" x14ac:dyDescent="0.25">
      <c r="A97" s="227">
        <v>44063</v>
      </c>
      <c r="B97" s="228">
        <v>2285.9</v>
      </c>
      <c r="C97" s="228">
        <v>2252</v>
      </c>
      <c r="D97" s="228">
        <v>2290</v>
      </c>
      <c r="E97" s="228">
        <v>2219</v>
      </c>
      <c r="F97">
        <v>373080</v>
      </c>
      <c r="G97" s="228">
        <v>8.5000000000000006E-3</v>
      </c>
      <c r="H97" s="228">
        <f>YEAR(AVEU_Historical_Data__2[[#This Row],[Date]])</f>
        <v>2020</v>
      </c>
      <c r="I97" s="228">
        <f>ROUNDUP((MOD(MONTH(AVEU_Historical_Data__2[[#This Row],[Date]])+8,12)+1)/3,0)</f>
        <v>2</v>
      </c>
      <c r="J97" s="228">
        <f>MONTH(AVEU_Historical_Data__2[[#This Row],[Date]])</f>
        <v>8</v>
      </c>
      <c r="K97" s="228"/>
    </row>
    <row r="98" spans="1:11" x14ac:dyDescent="0.25">
      <c r="A98" s="227">
        <v>44064</v>
      </c>
      <c r="B98" s="228">
        <v>2259.4499999999998</v>
      </c>
      <c r="C98" s="228">
        <v>2290.4</v>
      </c>
      <c r="D98" s="228">
        <v>2300</v>
      </c>
      <c r="E98" s="228">
        <v>2252.35</v>
      </c>
      <c r="F98">
        <v>326280</v>
      </c>
      <c r="G98" s="228">
        <v>-1.1599999999999999E-2</v>
      </c>
      <c r="H98" s="228">
        <f>YEAR(AVEU_Historical_Data__2[[#This Row],[Date]])</f>
        <v>2020</v>
      </c>
      <c r="I98" s="228">
        <f>ROUNDUP((MOD(MONTH(AVEU_Historical_Data__2[[#This Row],[Date]])+8,12)+1)/3,0)</f>
        <v>2</v>
      </c>
      <c r="J98" s="228">
        <f>MONTH(AVEU_Historical_Data__2[[#This Row],[Date]])</f>
        <v>8</v>
      </c>
      <c r="K98" s="228"/>
    </row>
    <row r="99" spans="1:11" x14ac:dyDescent="0.25">
      <c r="A99" s="227">
        <v>44067</v>
      </c>
      <c r="B99" s="228">
        <v>2250.3000000000002</v>
      </c>
      <c r="C99" s="228">
        <v>2269.9499999999998</v>
      </c>
      <c r="D99" s="228">
        <v>2272</v>
      </c>
      <c r="E99" s="228">
        <v>2244</v>
      </c>
      <c r="F99">
        <v>161740</v>
      </c>
      <c r="G99" s="228">
        <v>-4.0000000000000001E-3</v>
      </c>
      <c r="H99" s="228">
        <f>YEAR(AVEU_Historical_Data__2[[#This Row],[Date]])</f>
        <v>2020</v>
      </c>
      <c r="I99" s="228">
        <f>ROUNDUP((MOD(MONTH(AVEU_Historical_Data__2[[#This Row],[Date]])+8,12)+1)/3,0)</f>
        <v>2</v>
      </c>
      <c r="J99" s="228">
        <f>MONTH(AVEU_Historical_Data__2[[#This Row],[Date]])</f>
        <v>8</v>
      </c>
      <c r="K99" s="228"/>
    </row>
    <row r="100" spans="1:11" x14ac:dyDescent="0.25">
      <c r="A100" s="227">
        <v>44068</v>
      </c>
      <c r="B100" s="228">
        <v>2341.15</v>
      </c>
      <c r="C100" s="228">
        <v>2267.1999999999998</v>
      </c>
      <c r="D100" s="228">
        <v>2351.75</v>
      </c>
      <c r="E100" s="228">
        <v>2260.1</v>
      </c>
      <c r="F100">
        <v>1040000</v>
      </c>
      <c r="G100" s="228">
        <v>4.0399999999999998E-2</v>
      </c>
      <c r="H100" s="228">
        <f>YEAR(AVEU_Historical_Data__2[[#This Row],[Date]])</f>
        <v>2020</v>
      </c>
      <c r="I100" s="228">
        <f>ROUNDUP((MOD(MONTH(AVEU_Historical_Data__2[[#This Row],[Date]])+8,12)+1)/3,0)</f>
        <v>2</v>
      </c>
      <c r="J100" s="228">
        <f>MONTH(AVEU_Historical_Data__2[[#This Row],[Date]])</f>
        <v>8</v>
      </c>
      <c r="K100" s="228"/>
    </row>
    <row r="101" spans="1:11" x14ac:dyDescent="0.25">
      <c r="A101" s="227">
        <v>44069</v>
      </c>
      <c r="B101" s="228">
        <v>2410.1</v>
      </c>
      <c r="C101" s="228">
        <v>2343</v>
      </c>
      <c r="D101" s="228">
        <v>2425</v>
      </c>
      <c r="E101" s="228">
        <v>2343</v>
      </c>
      <c r="F101">
        <v>1470000</v>
      </c>
      <c r="G101" s="228">
        <v>2.9499999999999998E-2</v>
      </c>
      <c r="H101" s="228">
        <f>YEAR(AVEU_Historical_Data__2[[#This Row],[Date]])</f>
        <v>2020</v>
      </c>
      <c r="I101" s="228">
        <f>ROUNDUP((MOD(MONTH(AVEU_Historical_Data__2[[#This Row],[Date]])+8,12)+1)/3,0)</f>
        <v>2</v>
      </c>
      <c r="J101" s="228">
        <f>MONTH(AVEU_Historical_Data__2[[#This Row],[Date]])</f>
        <v>8</v>
      </c>
      <c r="K101" s="228"/>
    </row>
    <row r="102" spans="1:11" x14ac:dyDescent="0.25">
      <c r="A102" s="227">
        <v>44070</v>
      </c>
      <c r="B102" s="228">
        <v>2380.85</v>
      </c>
      <c r="C102" s="228">
        <v>2440</v>
      </c>
      <c r="D102" s="228">
        <v>2445</v>
      </c>
      <c r="E102" s="228">
        <v>2351.25</v>
      </c>
      <c r="F102">
        <v>695840</v>
      </c>
      <c r="G102" s="228">
        <v>-1.21E-2</v>
      </c>
      <c r="H102" s="228">
        <f>YEAR(AVEU_Historical_Data__2[[#This Row],[Date]])</f>
        <v>2020</v>
      </c>
      <c r="I102" s="228">
        <f>ROUNDUP((MOD(MONTH(AVEU_Historical_Data__2[[#This Row],[Date]])+8,12)+1)/3,0)</f>
        <v>2</v>
      </c>
      <c r="J102" s="228">
        <f>MONTH(AVEU_Historical_Data__2[[#This Row],[Date]])</f>
        <v>8</v>
      </c>
      <c r="K102" s="228"/>
    </row>
    <row r="103" spans="1:11" x14ac:dyDescent="0.25">
      <c r="A103" s="227">
        <v>44071</v>
      </c>
      <c r="B103" s="228">
        <v>2319.4</v>
      </c>
      <c r="C103" s="228">
        <v>2376.75</v>
      </c>
      <c r="D103" s="228">
        <v>2376.9</v>
      </c>
      <c r="E103" s="228">
        <v>2300</v>
      </c>
      <c r="F103">
        <v>617760</v>
      </c>
      <c r="G103" s="228">
        <v>-2.58E-2</v>
      </c>
      <c r="H103" s="228">
        <f>YEAR(AVEU_Historical_Data__2[[#This Row],[Date]])</f>
        <v>2020</v>
      </c>
      <c r="I103" s="228">
        <f>ROUNDUP((MOD(MONTH(AVEU_Historical_Data__2[[#This Row],[Date]])+8,12)+1)/3,0)</f>
        <v>2</v>
      </c>
      <c r="J103" s="228">
        <f>MONTH(AVEU_Historical_Data__2[[#This Row],[Date]])</f>
        <v>8</v>
      </c>
      <c r="K103" s="228"/>
    </row>
    <row r="104" spans="1:11" x14ac:dyDescent="0.25">
      <c r="A104" s="227">
        <v>44074</v>
      </c>
      <c r="B104" s="228">
        <v>2251.25</v>
      </c>
      <c r="C104" s="228">
        <v>2298.9</v>
      </c>
      <c r="D104" s="228">
        <v>2298.9</v>
      </c>
      <c r="E104" s="228">
        <v>2195</v>
      </c>
      <c r="F104">
        <v>1030000</v>
      </c>
      <c r="G104" s="228">
        <v>-2.9399999999999999E-2</v>
      </c>
      <c r="H104" s="228">
        <f>YEAR(AVEU_Historical_Data__2[[#This Row],[Date]])</f>
        <v>2020</v>
      </c>
      <c r="I104" s="228">
        <f>ROUNDUP((MOD(MONTH(AVEU_Historical_Data__2[[#This Row],[Date]])+8,12)+1)/3,0)</f>
        <v>2</v>
      </c>
      <c r="J104" s="228">
        <f>MONTH(AVEU_Historical_Data__2[[#This Row],[Date]])</f>
        <v>8</v>
      </c>
      <c r="K104" s="228"/>
    </row>
    <row r="105" spans="1:11" x14ac:dyDescent="0.25">
      <c r="A105" s="227">
        <v>44075</v>
      </c>
      <c r="B105" s="228">
        <v>2241.6</v>
      </c>
      <c r="C105" s="228">
        <v>2244</v>
      </c>
      <c r="D105" s="228">
        <v>2280</v>
      </c>
      <c r="E105" s="228">
        <v>2202</v>
      </c>
      <c r="F105">
        <v>623860</v>
      </c>
      <c r="G105" s="228">
        <v>-4.3E-3</v>
      </c>
      <c r="H105" s="228">
        <f>YEAR(AVEU_Historical_Data__2[[#This Row],[Date]])</f>
        <v>2020</v>
      </c>
      <c r="I105" s="228">
        <f>ROUNDUP((MOD(MONTH(AVEU_Historical_Data__2[[#This Row],[Date]])+8,12)+1)/3,0)</f>
        <v>2</v>
      </c>
      <c r="J105" s="228">
        <f>MONTH(AVEU_Historical_Data__2[[#This Row],[Date]])</f>
        <v>9</v>
      </c>
      <c r="K105" s="228"/>
    </row>
    <row r="106" spans="1:11" x14ac:dyDescent="0.25">
      <c r="A106" s="227">
        <v>44076</v>
      </c>
      <c r="B106" s="228">
        <v>2218.4499999999998</v>
      </c>
      <c r="C106" s="228">
        <v>2247.85</v>
      </c>
      <c r="D106" s="228">
        <v>2275</v>
      </c>
      <c r="E106" s="228">
        <v>2212.0500000000002</v>
      </c>
      <c r="F106">
        <v>590820</v>
      </c>
      <c r="G106" s="228">
        <v>-1.03E-2</v>
      </c>
      <c r="H106" s="228">
        <f>YEAR(AVEU_Historical_Data__2[[#This Row],[Date]])</f>
        <v>2020</v>
      </c>
      <c r="I106" s="228">
        <f>ROUNDUP((MOD(MONTH(AVEU_Historical_Data__2[[#This Row],[Date]])+8,12)+1)/3,0)</f>
        <v>2</v>
      </c>
      <c r="J106" s="228">
        <f>MONTH(AVEU_Historical_Data__2[[#This Row],[Date]])</f>
        <v>9</v>
      </c>
      <c r="K106" s="228"/>
    </row>
    <row r="107" spans="1:11" x14ac:dyDescent="0.25">
      <c r="A107" s="227">
        <v>44077</v>
      </c>
      <c r="B107" s="228">
        <v>2278.4</v>
      </c>
      <c r="C107" s="228">
        <v>2239</v>
      </c>
      <c r="D107" s="228">
        <v>2324.3000000000002</v>
      </c>
      <c r="E107" s="228">
        <v>2229</v>
      </c>
      <c r="F107">
        <v>767030</v>
      </c>
      <c r="G107" s="228">
        <v>2.7E-2</v>
      </c>
      <c r="H107" s="228">
        <f>YEAR(AVEU_Historical_Data__2[[#This Row],[Date]])</f>
        <v>2020</v>
      </c>
      <c r="I107" s="228">
        <f>ROUNDUP((MOD(MONTH(AVEU_Historical_Data__2[[#This Row],[Date]])+8,12)+1)/3,0)</f>
        <v>2</v>
      </c>
      <c r="J107" s="228">
        <f>MONTH(AVEU_Historical_Data__2[[#This Row],[Date]])</f>
        <v>9</v>
      </c>
      <c r="K107" s="228"/>
    </row>
    <row r="108" spans="1:11" x14ac:dyDescent="0.25">
      <c r="A108" s="227">
        <v>44078</v>
      </c>
      <c r="B108" s="228">
        <v>2251.4499999999998</v>
      </c>
      <c r="C108" s="228">
        <v>2251.1</v>
      </c>
      <c r="D108" s="228">
        <v>2367.85</v>
      </c>
      <c r="E108" s="228">
        <v>2183.3000000000002</v>
      </c>
      <c r="F108">
        <v>1120000</v>
      </c>
      <c r="G108" s="228">
        <v>-1.18E-2</v>
      </c>
      <c r="H108" s="228">
        <f>YEAR(AVEU_Historical_Data__2[[#This Row],[Date]])</f>
        <v>2020</v>
      </c>
      <c r="I108" s="228">
        <f>ROUNDUP((MOD(MONTH(AVEU_Historical_Data__2[[#This Row],[Date]])+8,12)+1)/3,0)</f>
        <v>2</v>
      </c>
      <c r="J108" s="228">
        <f>MONTH(AVEU_Historical_Data__2[[#This Row],[Date]])</f>
        <v>9</v>
      </c>
      <c r="K108" s="228"/>
    </row>
    <row r="109" spans="1:11" x14ac:dyDescent="0.25">
      <c r="A109" s="227">
        <v>44081</v>
      </c>
      <c r="B109" s="228">
        <v>2261.4</v>
      </c>
      <c r="C109" s="228">
        <v>2270</v>
      </c>
      <c r="D109" s="228">
        <v>2278.25</v>
      </c>
      <c r="E109" s="228">
        <v>2240.15</v>
      </c>
      <c r="F109">
        <v>517070.00000000006</v>
      </c>
      <c r="G109" s="228">
        <v>4.4000000000000003E-3</v>
      </c>
      <c r="H109" s="228">
        <f>YEAR(AVEU_Historical_Data__2[[#This Row],[Date]])</f>
        <v>2020</v>
      </c>
      <c r="I109" s="228">
        <f>ROUNDUP((MOD(MONTH(AVEU_Historical_Data__2[[#This Row],[Date]])+8,12)+1)/3,0)</f>
        <v>2</v>
      </c>
      <c r="J109" s="228">
        <f>MONTH(AVEU_Historical_Data__2[[#This Row],[Date]])</f>
        <v>9</v>
      </c>
      <c r="K109" s="228"/>
    </row>
    <row r="110" spans="1:11" x14ac:dyDescent="0.25">
      <c r="A110" s="227">
        <v>44082</v>
      </c>
      <c r="B110" s="228">
        <v>2246.6</v>
      </c>
      <c r="C110" s="228">
        <v>2263.15</v>
      </c>
      <c r="D110" s="228">
        <v>2297.85</v>
      </c>
      <c r="E110" s="228">
        <v>2235.0500000000002</v>
      </c>
      <c r="F110">
        <v>1230000</v>
      </c>
      <c r="G110" s="228">
        <v>-6.4999999999999997E-3</v>
      </c>
      <c r="H110" s="228">
        <f>YEAR(AVEU_Historical_Data__2[[#This Row],[Date]])</f>
        <v>2020</v>
      </c>
      <c r="I110" s="228">
        <f>ROUNDUP((MOD(MONTH(AVEU_Historical_Data__2[[#This Row],[Date]])+8,12)+1)/3,0)</f>
        <v>2</v>
      </c>
      <c r="J110" s="228">
        <f>MONTH(AVEU_Historical_Data__2[[#This Row],[Date]])</f>
        <v>9</v>
      </c>
      <c r="K110" s="228"/>
    </row>
    <row r="111" spans="1:11" x14ac:dyDescent="0.25">
      <c r="A111" s="227">
        <v>44083</v>
      </c>
      <c r="B111" s="228">
        <v>2222.6999999999998</v>
      </c>
      <c r="C111" s="228">
        <v>2230</v>
      </c>
      <c r="D111" s="228">
        <v>2257.9499999999998</v>
      </c>
      <c r="E111" s="228">
        <v>2207.6</v>
      </c>
      <c r="F111">
        <v>550210</v>
      </c>
      <c r="G111" s="228">
        <v>-1.06E-2</v>
      </c>
      <c r="H111" s="228">
        <f>YEAR(AVEU_Historical_Data__2[[#This Row],[Date]])</f>
        <v>2020</v>
      </c>
      <c r="I111" s="228">
        <f>ROUNDUP((MOD(MONTH(AVEU_Historical_Data__2[[#This Row],[Date]])+8,12)+1)/3,0)</f>
        <v>2</v>
      </c>
      <c r="J111" s="228">
        <f>MONTH(AVEU_Historical_Data__2[[#This Row],[Date]])</f>
        <v>9</v>
      </c>
      <c r="K111" s="228"/>
    </row>
    <row r="112" spans="1:11" x14ac:dyDescent="0.25">
      <c r="A112" s="227">
        <v>44084</v>
      </c>
      <c r="B112" s="228">
        <v>2237.75</v>
      </c>
      <c r="C112" s="228">
        <v>2225</v>
      </c>
      <c r="D112" s="228">
        <v>2244.9499999999998</v>
      </c>
      <c r="E112" s="228">
        <v>2215</v>
      </c>
      <c r="F112">
        <v>316350</v>
      </c>
      <c r="G112" s="228">
        <v>6.7999999999999996E-3</v>
      </c>
      <c r="H112" s="228">
        <f>YEAR(AVEU_Historical_Data__2[[#This Row],[Date]])</f>
        <v>2020</v>
      </c>
      <c r="I112" s="228">
        <f>ROUNDUP((MOD(MONTH(AVEU_Historical_Data__2[[#This Row],[Date]])+8,12)+1)/3,0)</f>
        <v>2</v>
      </c>
      <c r="J112" s="228">
        <f>MONTH(AVEU_Historical_Data__2[[#This Row],[Date]])</f>
        <v>9</v>
      </c>
      <c r="K112" s="228"/>
    </row>
    <row r="113" spans="1:11" x14ac:dyDescent="0.25">
      <c r="A113" s="227">
        <v>44085</v>
      </c>
      <c r="B113" s="228">
        <v>2239.35</v>
      </c>
      <c r="C113" s="228">
        <v>2241.9</v>
      </c>
      <c r="D113" s="228">
        <v>2273</v>
      </c>
      <c r="E113" s="228">
        <v>2226.0500000000002</v>
      </c>
      <c r="F113">
        <v>456380</v>
      </c>
      <c r="G113" s="228">
        <v>6.9999999999999999E-4</v>
      </c>
      <c r="H113" s="228">
        <f>YEAR(AVEU_Historical_Data__2[[#This Row],[Date]])</f>
        <v>2020</v>
      </c>
      <c r="I113" s="228">
        <f>ROUNDUP((MOD(MONTH(AVEU_Historical_Data__2[[#This Row],[Date]])+8,12)+1)/3,0)</f>
        <v>2</v>
      </c>
      <c r="J113" s="228">
        <f>MONTH(AVEU_Historical_Data__2[[#This Row],[Date]])</f>
        <v>9</v>
      </c>
      <c r="K113" s="228"/>
    </row>
    <row r="114" spans="1:11" x14ac:dyDescent="0.25">
      <c r="A114" s="227">
        <v>44088</v>
      </c>
      <c r="B114" s="228">
        <v>2162.6999999999998</v>
      </c>
      <c r="C114" s="228">
        <v>2250</v>
      </c>
      <c r="D114" s="228">
        <v>2258.9499999999998</v>
      </c>
      <c r="E114" s="228">
        <v>2150.0500000000002</v>
      </c>
      <c r="F114">
        <v>902090</v>
      </c>
      <c r="G114" s="228">
        <v>-3.4200000000000001E-2</v>
      </c>
      <c r="H114" s="228">
        <f>YEAR(AVEU_Historical_Data__2[[#This Row],[Date]])</f>
        <v>2020</v>
      </c>
      <c r="I114" s="228">
        <f>ROUNDUP((MOD(MONTH(AVEU_Historical_Data__2[[#This Row],[Date]])+8,12)+1)/3,0)</f>
        <v>2</v>
      </c>
      <c r="J114" s="228">
        <f>MONTH(AVEU_Historical_Data__2[[#This Row],[Date]])</f>
        <v>9</v>
      </c>
      <c r="K114" s="228"/>
    </row>
    <row r="115" spans="1:11" x14ac:dyDescent="0.25">
      <c r="A115" s="227">
        <v>44089</v>
      </c>
      <c r="B115" s="228">
        <v>2136.15</v>
      </c>
      <c r="C115" s="228">
        <v>2185</v>
      </c>
      <c r="D115" s="228">
        <v>2185</v>
      </c>
      <c r="E115" s="228">
        <v>2130</v>
      </c>
      <c r="F115">
        <v>1120000</v>
      </c>
      <c r="G115" s="228">
        <v>-1.23E-2</v>
      </c>
      <c r="H115" s="228">
        <f>YEAR(AVEU_Historical_Data__2[[#This Row],[Date]])</f>
        <v>2020</v>
      </c>
      <c r="I115" s="228">
        <f>ROUNDUP((MOD(MONTH(AVEU_Historical_Data__2[[#This Row],[Date]])+8,12)+1)/3,0)</f>
        <v>2</v>
      </c>
      <c r="J115" s="228">
        <f>MONTH(AVEU_Historical_Data__2[[#This Row],[Date]])</f>
        <v>9</v>
      </c>
      <c r="K115" s="228"/>
    </row>
    <row r="116" spans="1:11" x14ac:dyDescent="0.25">
      <c r="A116" s="227">
        <v>44090</v>
      </c>
      <c r="B116" s="228">
        <v>2135.9499999999998</v>
      </c>
      <c r="C116" s="228">
        <v>2152.5500000000002</v>
      </c>
      <c r="D116" s="228">
        <v>2173</v>
      </c>
      <c r="E116" s="228">
        <v>2130.6999999999998</v>
      </c>
      <c r="F116">
        <v>391190</v>
      </c>
      <c r="G116" s="228">
        <v>-1E-4</v>
      </c>
      <c r="H116" s="228">
        <f>YEAR(AVEU_Historical_Data__2[[#This Row],[Date]])</f>
        <v>2020</v>
      </c>
      <c r="I116" s="228">
        <f>ROUNDUP((MOD(MONTH(AVEU_Historical_Data__2[[#This Row],[Date]])+8,12)+1)/3,0)</f>
        <v>2</v>
      </c>
      <c r="J116" s="228">
        <f>MONTH(AVEU_Historical_Data__2[[#This Row],[Date]])</f>
        <v>9</v>
      </c>
      <c r="K116" s="228"/>
    </row>
    <row r="117" spans="1:11" x14ac:dyDescent="0.25">
      <c r="A117" s="227">
        <v>44091</v>
      </c>
      <c r="B117" s="228">
        <v>2139.0500000000002</v>
      </c>
      <c r="C117" s="228">
        <v>2147</v>
      </c>
      <c r="D117" s="228">
        <v>2167</v>
      </c>
      <c r="E117" s="228">
        <v>2133.1</v>
      </c>
      <c r="F117">
        <v>244380</v>
      </c>
      <c r="G117" s="228">
        <v>1.5E-3</v>
      </c>
      <c r="H117" s="228">
        <f>YEAR(AVEU_Historical_Data__2[[#This Row],[Date]])</f>
        <v>2020</v>
      </c>
      <c r="I117" s="228">
        <f>ROUNDUP((MOD(MONTH(AVEU_Historical_Data__2[[#This Row],[Date]])+8,12)+1)/3,0)</f>
        <v>2</v>
      </c>
      <c r="J117" s="228">
        <f>MONTH(AVEU_Historical_Data__2[[#This Row],[Date]])</f>
        <v>9</v>
      </c>
      <c r="K117" s="228"/>
    </row>
    <row r="118" spans="1:11" x14ac:dyDescent="0.25">
      <c r="A118" s="227">
        <v>44092</v>
      </c>
      <c r="B118" s="228">
        <v>2149.0500000000002</v>
      </c>
      <c r="C118" s="228">
        <v>2149.9</v>
      </c>
      <c r="D118" s="228">
        <v>2175.9499999999998</v>
      </c>
      <c r="E118" s="228">
        <v>2104</v>
      </c>
      <c r="F118">
        <v>1200000</v>
      </c>
      <c r="G118" s="228">
        <v>4.7000000000000002E-3</v>
      </c>
      <c r="H118" s="228">
        <f>YEAR(AVEU_Historical_Data__2[[#This Row],[Date]])</f>
        <v>2020</v>
      </c>
      <c r="I118" s="228">
        <f>ROUNDUP((MOD(MONTH(AVEU_Historical_Data__2[[#This Row],[Date]])+8,12)+1)/3,0)</f>
        <v>2</v>
      </c>
      <c r="J118" s="228">
        <f>MONTH(AVEU_Historical_Data__2[[#This Row],[Date]])</f>
        <v>9</v>
      </c>
      <c r="K118" s="228"/>
    </row>
    <row r="119" spans="1:11" x14ac:dyDescent="0.25">
      <c r="A119" s="227">
        <v>44095</v>
      </c>
      <c r="B119" s="228">
        <v>2097.4499999999998</v>
      </c>
      <c r="C119" s="228">
        <v>2175</v>
      </c>
      <c r="D119" s="228">
        <v>2177</v>
      </c>
      <c r="E119" s="228">
        <v>2056</v>
      </c>
      <c r="F119">
        <v>1140000</v>
      </c>
      <c r="G119" s="228">
        <v>-2.4E-2</v>
      </c>
      <c r="H119" s="228">
        <f>YEAR(AVEU_Historical_Data__2[[#This Row],[Date]])</f>
        <v>2020</v>
      </c>
      <c r="I119" s="228">
        <f>ROUNDUP((MOD(MONTH(AVEU_Historical_Data__2[[#This Row],[Date]])+8,12)+1)/3,0)</f>
        <v>2</v>
      </c>
      <c r="J119" s="228">
        <f>MONTH(AVEU_Historical_Data__2[[#This Row],[Date]])</f>
        <v>9</v>
      </c>
      <c r="K119" s="228"/>
    </row>
    <row r="120" spans="1:11" x14ac:dyDescent="0.25">
      <c r="A120" s="227">
        <v>44096</v>
      </c>
      <c r="B120" s="228">
        <v>2049.3000000000002</v>
      </c>
      <c r="C120" s="228">
        <v>2099</v>
      </c>
      <c r="D120" s="228">
        <v>2104.85</v>
      </c>
      <c r="E120" s="228">
        <v>1995.1</v>
      </c>
      <c r="F120">
        <v>723120</v>
      </c>
      <c r="G120" s="228">
        <v>-2.3E-2</v>
      </c>
      <c r="H120" s="228">
        <f>YEAR(AVEU_Historical_Data__2[[#This Row],[Date]])</f>
        <v>2020</v>
      </c>
      <c r="I120" s="228">
        <f>ROUNDUP((MOD(MONTH(AVEU_Historical_Data__2[[#This Row],[Date]])+8,12)+1)/3,0)</f>
        <v>2</v>
      </c>
      <c r="J120" s="228">
        <f>MONTH(AVEU_Historical_Data__2[[#This Row],[Date]])</f>
        <v>9</v>
      </c>
      <c r="K120" s="228"/>
    </row>
    <row r="121" spans="1:11" x14ac:dyDescent="0.25">
      <c r="A121" s="227">
        <v>44097</v>
      </c>
      <c r="B121" s="228">
        <v>2055.3000000000002</v>
      </c>
      <c r="C121" s="228">
        <v>2066.9499999999998</v>
      </c>
      <c r="D121" s="228">
        <v>2100</v>
      </c>
      <c r="E121" s="228">
        <v>2047</v>
      </c>
      <c r="F121">
        <v>422290</v>
      </c>
      <c r="G121" s="228">
        <v>2.8999999999999998E-3</v>
      </c>
      <c r="H121" s="228">
        <f>YEAR(AVEU_Historical_Data__2[[#This Row],[Date]])</f>
        <v>2020</v>
      </c>
      <c r="I121" s="228">
        <f>ROUNDUP((MOD(MONTH(AVEU_Historical_Data__2[[#This Row],[Date]])+8,12)+1)/3,0)</f>
        <v>2</v>
      </c>
      <c r="J121" s="228">
        <f>MONTH(AVEU_Historical_Data__2[[#This Row],[Date]])</f>
        <v>9</v>
      </c>
      <c r="K121" s="228"/>
    </row>
    <row r="122" spans="1:11" x14ac:dyDescent="0.25">
      <c r="A122" s="227">
        <v>44098</v>
      </c>
      <c r="B122" s="228">
        <v>2047.35</v>
      </c>
      <c r="C122" s="228">
        <v>2047.9</v>
      </c>
      <c r="D122" s="228">
        <v>2084</v>
      </c>
      <c r="E122" s="228">
        <v>2037.6</v>
      </c>
      <c r="F122">
        <v>452640</v>
      </c>
      <c r="G122" s="228">
        <v>-3.8999999999999998E-3</v>
      </c>
      <c r="H122" s="228">
        <f>YEAR(AVEU_Historical_Data__2[[#This Row],[Date]])</f>
        <v>2020</v>
      </c>
      <c r="I122" s="228">
        <f>ROUNDUP((MOD(MONTH(AVEU_Historical_Data__2[[#This Row],[Date]])+8,12)+1)/3,0)</f>
        <v>2</v>
      </c>
      <c r="J122" s="228">
        <f>MONTH(AVEU_Historical_Data__2[[#This Row],[Date]])</f>
        <v>9</v>
      </c>
      <c r="K122" s="228"/>
    </row>
    <row r="123" spans="1:11" x14ac:dyDescent="0.25">
      <c r="A123" s="227">
        <v>44099</v>
      </c>
      <c r="B123" s="228">
        <v>2102.6999999999998</v>
      </c>
      <c r="C123" s="228">
        <v>2042.1</v>
      </c>
      <c r="D123" s="228">
        <v>2120</v>
      </c>
      <c r="E123" s="228">
        <v>2042.1</v>
      </c>
      <c r="F123">
        <v>325520</v>
      </c>
      <c r="G123" s="228">
        <v>2.7E-2</v>
      </c>
      <c r="H123" s="228">
        <f>YEAR(AVEU_Historical_Data__2[[#This Row],[Date]])</f>
        <v>2020</v>
      </c>
      <c r="I123" s="228">
        <f>ROUNDUP((MOD(MONTH(AVEU_Historical_Data__2[[#This Row],[Date]])+8,12)+1)/3,0)</f>
        <v>2</v>
      </c>
      <c r="J123" s="228">
        <f>MONTH(AVEU_Historical_Data__2[[#This Row],[Date]])</f>
        <v>9</v>
      </c>
      <c r="K123" s="228"/>
    </row>
    <row r="124" spans="1:11" x14ac:dyDescent="0.25">
      <c r="A124" s="227">
        <v>44102</v>
      </c>
      <c r="B124" s="228">
        <v>2108.4</v>
      </c>
      <c r="C124" s="228">
        <v>2110.9</v>
      </c>
      <c r="D124" s="228">
        <v>2142</v>
      </c>
      <c r="E124" s="228">
        <v>2098</v>
      </c>
      <c r="F124">
        <v>357110</v>
      </c>
      <c r="G124" s="228">
        <v>2.7000000000000001E-3</v>
      </c>
      <c r="H124" s="228">
        <f>YEAR(AVEU_Historical_Data__2[[#This Row],[Date]])</f>
        <v>2020</v>
      </c>
      <c r="I124" s="228">
        <f>ROUNDUP((MOD(MONTH(AVEU_Historical_Data__2[[#This Row],[Date]])+8,12)+1)/3,0)</f>
        <v>2</v>
      </c>
      <c r="J124" s="228">
        <f>MONTH(AVEU_Historical_Data__2[[#This Row],[Date]])</f>
        <v>9</v>
      </c>
      <c r="K124" s="228"/>
    </row>
    <row r="125" spans="1:11" x14ac:dyDescent="0.25">
      <c r="A125" s="227">
        <v>44103</v>
      </c>
      <c r="B125" s="228">
        <v>2133.25</v>
      </c>
      <c r="C125" s="228">
        <v>2108.4</v>
      </c>
      <c r="D125" s="228">
        <v>2150.6</v>
      </c>
      <c r="E125" s="228">
        <v>2082.9</v>
      </c>
      <c r="F125">
        <v>593650</v>
      </c>
      <c r="G125" s="228">
        <v>1.18E-2</v>
      </c>
      <c r="H125" s="228">
        <f>YEAR(AVEU_Historical_Data__2[[#This Row],[Date]])</f>
        <v>2020</v>
      </c>
      <c r="I125" s="228">
        <f>ROUNDUP((MOD(MONTH(AVEU_Historical_Data__2[[#This Row],[Date]])+8,12)+1)/3,0)</f>
        <v>2</v>
      </c>
      <c r="J125" s="228">
        <f>MONTH(AVEU_Historical_Data__2[[#This Row],[Date]])</f>
        <v>9</v>
      </c>
      <c r="K125" s="228"/>
    </row>
    <row r="126" spans="1:11" x14ac:dyDescent="0.25">
      <c r="A126" s="227">
        <v>44104</v>
      </c>
      <c r="B126" s="228">
        <v>2203.15</v>
      </c>
      <c r="C126" s="228">
        <v>2134</v>
      </c>
      <c r="D126" s="228">
        <v>2219.8000000000002</v>
      </c>
      <c r="E126" s="228">
        <v>2115</v>
      </c>
      <c r="F126">
        <v>677290</v>
      </c>
      <c r="G126" s="228">
        <v>3.2800000000000003E-2</v>
      </c>
      <c r="H126" s="228">
        <f>YEAR(AVEU_Historical_Data__2[[#This Row],[Date]])</f>
        <v>2020</v>
      </c>
      <c r="I126" s="228">
        <f>ROUNDUP((MOD(MONTH(AVEU_Historical_Data__2[[#This Row],[Date]])+8,12)+1)/3,0)</f>
        <v>2</v>
      </c>
      <c r="J126" s="228">
        <f>MONTH(AVEU_Historical_Data__2[[#This Row],[Date]])</f>
        <v>9</v>
      </c>
      <c r="K126" s="228"/>
    </row>
    <row r="127" spans="1:11" x14ac:dyDescent="0.25">
      <c r="A127" s="227">
        <v>44105</v>
      </c>
      <c r="B127" s="228">
        <v>2184.8000000000002</v>
      </c>
      <c r="C127" s="228">
        <v>2210</v>
      </c>
      <c r="D127" s="228">
        <v>2242</v>
      </c>
      <c r="E127" s="228">
        <v>2171.1</v>
      </c>
      <c r="F127">
        <v>551440</v>
      </c>
      <c r="G127" s="228">
        <v>-8.3000000000000001E-3</v>
      </c>
      <c r="H127" s="228">
        <f>YEAR(AVEU_Historical_Data__2[[#This Row],[Date]])</f>
        <v>2020</v>
      </c>
      <c r="I127" s="228">
        <f>ROUNDUP((MOD(MONTH(AVEU_Historical_Data__2[[#This Row],[Date]])+8,12)+1)/3,0)</f>
        <v>3</v>
      </c>
      <c r="J127" s="228">
        <f>MONTH(AVEU_Historical_Data__2[[#This Row],[Date]])</f>
        <v>10</v>
      </c>
      <c r="K127" s="228"/>
    </row>
    <row r="128" spans="1:11" x14ac:dyDescent="0.25">
      <c r="A128" s="227">
        <v>44109</v>
      </c>
      <c r="B128" s="228">
        <v>2110.4499999999998</v>
      </c>
      <c r="C128" s="228">
        <v>2192.9499999999998</v>
      </c>
      <c r="D128" s="228">
        <v>2197.15</v>
      </c>
      <c r="E128" s="228">
        <v>2104</v>
      </c>
      <c r="F128">
        <v>438930</v>
      </c>
      <c r="G128" s="228">
        <v>-3.4000000000000002E-2</v>
      </c>
      <c r="H128" s="228">
        <f>YEAR(AVEU_Historical_Data__2[[#This Row],[Date]])</f>
        <v>2020</v>
      </c>
      <c r="I128" s="228">
        <f>ROUNDUP((MOD(MONTH(AVEU_Historical_Data__2[[#This Row],[Date]])+8,12)+1)/3,0)</f>
        <v>3</v>
      </c>
      <c r="J128" s="228">
        <f>MONTH(AVEU_Historical_Data__2[[#This Row],[Date]])</f>
        <v>10</v>
      </c>
      <c r="K128" s="228"/>
    </row>
    <row r="129" spans="1:11" x14ac:dyDescent="0.25">
      <c r="A129" s="227">
        <v>44110</v>
      </c>
      <c r="B129" s="228">
        <v>2083.0500000000002</v>
      </c>
      <c r="C129" s="228">
        <v>2135.75</v>
      </c>
      <c r="D129" s="228">
        <v>2135.75</v>
      </c>
      <c r="E129" s="228">
        <v>2066</v>
      </c>
      <c r="F129">
        <v>453730</v>
      </c>
      <c r="G129" s="228">
        <v>-1.2999999999999999E-2</v>
      </c>
      <c r="H129" s="228">
        <f>YEAR(AVEU_Historical_Data__2[[#This Row],[Date]])</f>
        <v>2020</v>
      </c>
      <c r="I129" s="228">
        <f>ROUNDUP((MOD(MONTH(AVEU_Historical_Data__2[[#This Row],[Date]])+8,12)+1)/3,0)</f>
        <v>3</v>
      </c>
      <c r="J129" s="228">
        <f>MONTH(AVEU_Historical_Data__2[[#This Row],[Date]])</f>
        <v>10</v>
      </c>
      <c r="K129" s="228"/>
    </row>
    <row r="130" spans="1:11" x14ac:dyDescent="0.25">
      <c r="A130" s="227">
        <v>44111</v>
      </c>
      <c r="B130" s="228">
        <v>2066.1</v>
      </c>
      <c r="C130" s="228">
        <v>2092.9499999999998</v>
      </c>
      <c r="D130" s="228">
        <v>2108.6999999999998</v>
      </c>
      <c r="E130" s="228">
        <v>2047</v>
      </c>
      <c r="F130">
        <v>598380</v>
      </c>
      <c r="G130" s="228">
        <v>-8.0999999999999996E-3</v>
      </c>
      <c r="H130" s="228">
        <f>YEAR(AVEU_Historical_Data__2[[#This Row],[Date]])</f>
        <v>2020</v>
      </c>
      <c r="I130" s="228">
        <f>ROUNDUP((MOD(MONTH(AVEU_Historical_Data__2[[#This Row],[Date]])+8,12)+1)/3,0)</f>
        <v>3</v>
      </c>
      <c r="J130" s="228">
        <f>MONTH(AVEU_Historical_Data__2[[#This Row],[Date]])</f>
        <v>10</v>
      </c>
      <c r="K130" s="228"/>
    </row>
    <row r="131" spans="1:11" x14ac:dyDescent="0.25">
      <c r="A131" s="227">
        <v>44112</v>
      </c>
      <c r="B131" s="228">
        <v>2065.35</v>
      </c>
      <c r="C131" s="228">
        <v>2085</v>
      </c>
      <c r="D131" s="228">
        <v>2090</v>
      </c>
      <c r="E131" s="228">
        <v>2045.05</v>
      </c>
      <c r="F131">
        <v>387440</v>
      </c>
      <c r="G131" s="228">
        <v>-4.0000000000000002E-4</v>
      </c>
      <c r="H131" s="228">
        <f>YEAR(AVEU_Historical_Data__2[[#This Row],[Date]])</f>
        <v>2020</v>
      </c>
      <c r="I131" s="228">
        <f>ROUNDUP((MOD(MONTH(AVEU_Historical_Data__2[[#This Row],[Date]])+8,12)+1)/3,0)</f>
        <v>3</v>
      </c>
      <c r="J131" s="228">
        <f>MONTH(AVEU_Historical_Data__2[[#This Row],[Date]])</f>
        <v>10</v>
      </c>
      <c r="K131" s="228"/>
    </row>
    <row r="132" spans="1:11" x14ac:dyDescent="0.25">
      <c r="A132" s="227">
        <v>44113</v>
      </c>
      <c r="B132" s="228">
        <v>2057.6</v>
      </c>
      <c r="C132" s="228">
        <v>2068</v>
      </c>
      <c r="D132" s="228">
        <v>2090.9</v>
      </c>
      <c r="E132" s="228">
        <v>2035.05</v>
      </c>
      <c r="F132">
        <v>553520</v>
      </c>
      <c r="G132" s="228">
        <v>-3.8E-3</v>
      </c>
      <c r="H132" s="228">
        <f>YEAR(AVEU_Historical_Data__2[[#This Row],[Date]])</f>
        <v>2020</v>
      </c>
      <c r="I132" s="228">
        <f>ROUNDUP((MOD(MONTH(AVEU_Historical_Data__2[[#This Row],[Date]])+8,12)+1)/3,0)</f>
        <v>3</v>
      </c>
      <c r="J132" s="228">
        <f>MONTH(AVEU_Historical_Data__2[[#This Row],[Date]])</f>
        <v>10</v>
      </c>
      <c r="K132" s="228"/>
    </row>
    <row r="133" spans="1:11" x14ac:dyDescent="0.25">
      <c r="A133" s="227">
        <v>44116</v>
      </c>
      <c r="B133" s="228">
        <v>2002.6</v>
      </c>
      <c r="C133" s="228">
        <v>2072</v>
      </c>
      <c r="D133" s="228">
        <v>2084</v>
      </c>
      <c r="E133" s="228">
        <v>1995.1</v>
      </c>
      <c r="F133">
        <v>860070</v>
      </c>
      <c r="G133" s="228">
        <v>-2.6700000000000002E-2</v>
      </c>
      <c r="H133" s="228">
        <f>YEAR(AVEU_Historical_Data__2[[#This Row],[Date]])</f>
        <v>2020</v>
      </c>
      <c r="I133" s="228">
        <f>ROUNDUP((MOD(MONTH(AVEU_Historical_Data__2[[#This Row],[Date]])+8,12)+1)/3,0)</f>
        <v>3</v>
      </c>
      <c r="J133" s="228">
        <f>MONTH(AVEU_Historical_Data__2[[#This Row],[Date]])</f>
        <v>10</v>
      </c>
      <c r="K133" s="228"/>
    </row>
    <row r="134" spans="1:11" x14ac:dyDescent="0.25">
      <c r="A134" s="227">
        <v>44117</v>
      </c>
      <c r="B134" s="228">
        <v>1977.45</v>
      </c>
      <c r="C134" s="228">
        <v>2002.6</v>
      </c>
      <c r="D134" s="228">
        <v>2035.45</v>
      </c>
      <c r="E134" s="228">
        <v>1965</v>
      </c>
      <c r="F134">
        <v>1220000</v>
      </c>
      <c r="G134" s="228">
        <v>-1.26E-2</v>
      </c>
      <c r="H134" s="228">
        <f>YEAR(AVEU_Historical_Data__2[[#This Row],[Date]])</f>
        <v>2020</v>
      </c>
      <c r="I134" s="228">
        <f>ROUNDUP((MOD(MONTH(AVEU_Historical_Data__2[[#This Row],[Date]])+8,12)+1)/3,0)</f>
        <v>3</v>
      </c>
      <c r="J134" s="228">
        <f>MONTH(AVEU_Historical_Data__2[[#This Row],[Date]])</f>
        <v>10</v>
      </c>
      <c r="K134" s="228"/>
    </row>
    <row r="135" spans="1:11" x14ac:dyDescent="0.25">
      <c r="A135" s="227">
        <v>44118</v>
      </c>
      <c r="B135" s="228">
        <v>1974.55</v>
      </c>
      <c r="C135" s="228">
        <v>1984.9</v>
      </c>
      <c r="D135" s="228">
        <v>2014.85</v>
      </c>
      <c r="E135" s="228">
        <v>1966.25</v>
      </c>
      <c r="F135">
        <v>974660</v>
      </c>
      <c r="G135" s="228">
        <v>-1.5E-3</v>
      </c>
      <c r="H135" s="228">
        <f>YEAR(AVEU_Historical_Data__2[[#This Row],[Date]])</f>
        <v>2020</v>
      </c>
      <c r="I135" s="228">
        <f>ROUNDUP((MOD(MONTH(AVEU_Historical_Data__2[[#This Row],[Date]])+8,12)+1)/3,0)</f>
        <v>3</v>
      </c>
      <c r="J135" s="228">
        <f>MONTH(AVEU_Historical_Data__2[[#This Row],[Date]])</f>
        <v>10</v>
      </c>
      <c r="K135" s="228"/>
    </row>
    <row r="136" spans="1:11" x14ac:dyDescent="0.25">
      <c r="A136" s="227">
        <v>44119</v>
      </c>
      <c r="B136" s="228">
        <v>1977.7</v>
      </c>
      <c r="C136" s="228">
        <v>1987.1</v>
      </c>
      <c r="D136" s="228">
        <v>1998.5</v>
      </c>
      <c r="E136" s="228">
        <v>1970.05</v>
      </c>
      <c r="F136">
        <v>744870</v>
      </c>
      <c r="G136" s="228">
        <v>1.6000000000000001E-3</v>
      </c>
      <c r="H136" s="228">
        <f>YEAR(AVEU_Historical_Data__2[[#This Row],[Date]])</f>
        <v>2020</v>
      </c>
      <c r="I136" s="228">
        <f>ROUNDUP((MOD(MONTH(AVEU_Historical_Data__2[[#This Row],[Date]])+8,12)+1)/3,0)</f>
        <v>3</v>
      </c>
      <c r="J136" s="228">
        <f>MONTH(AVEU_Historical_Data__2[[#This Row],[Date]])</f>
        <v>10</v>
      </c>
      <c r="K136" s="228"/>
    </row>
    <row r="137" spans="1:11" x14ac:dyDescent="0.25">
      <c r="A137" s="227">
        <v>44120</v>
      </c>
      <c r="B137" s="228">
        <v>1984.2</v>
      </c>
      <c r="C137" s="228">
        <v>1980</v>
      </c>
      <c r="D137" s="228">
        <v>1999</v>
      </c>
      <c r="E137" s="228">
        <v>1970</v>
      </c>
      <c r="F137">
        <v>614030</v>
      </c>
      <c r="G137" s="228">
        <v>3.3E-3</v>
      </c>
      <c r="H137" s="228">
        <f>YEAR(AVEU_Historical_Data__2[[#This Row],[Date]])</f>
        <v>2020</v>
      </c>
      <c r="I137" s="228">
        <f>ROUNDUP((MOD(MONTH(AVEU_Historical_Data__2[[#This Row],[Date]])+8,12)+1)/3,0)</f>
        <v>3</v>
      </c>
      <c r="J137" s="228">
        <f>MONTH(AVEU_Historical_Data__2[[#This Row],[Date]])</f>
        <v>10</v>
      </c>
      <c r="K137" s="228"/>
    </row>
    <row r="138" spans="1:11" x14ac:dyDescent="0.25">
      <c r="A138" s="227">
        <v>44123</v>
      </c>
      <c r="B138" s="228">
        <v>2094.3000000000002</v>
      </c>
      <c r="C138" s="228">
        <v>1969.05</v>
      </c>
      <c r="D138" s="228">
        <v>2140</v>
      </c>
      <c r="E138" s="228">
        <v>1954.85</v>
      </c>
      <c r="F138">
        <v>3270000</v>
      </c>
      <c r="G138" s="228">
        <v>5.5500000000000001E-2</v>
      </c>
      <c r="H138" s="228">
        <f>YEAR(AVEU_Historical_Data__2[[#This Row],[Date]])</f>
        <v>2020</v>
      </c>
      <c r="I138" s="228">
        <f>ROUNDUP((MOD(MONTH(AVEU_Historical_Data__2[[#This Row],[Date]])+8,12)+1)/3,0)</f>
        <v>3</v>
      </c>
      <c r="J138" s="228">
        <f>MONTH(AVEU_Historical_Data__2[[#This Row],[Date]])</f>
        <v>10</v>
      </c>
      <c r="K138" s="228"/>
    </row>
    <row r="139" spans="1:11" x14ac:dyDescent="0.25">
      <c r="A139" s="227">
        <v>44124</v>
      </c>
      <c r="B139" s="228">
        <v>2143.0500000000002</v>
      </c>
      <c r="C139" s="228">
        <v>2099</v>
      </c>
      <c r="D139" s="228">
        <v>2170</v>
      </c>
      <c r="E139" s="228">
        <v>2056</v>
      </c>
      <c r="F139">
        <v>1560000</v>
      </c>
      <c r="G139" s="228">
        <v>2.3300000000000001E-2</v>
      </c>
      <c r="H139" s="228">
        <f>YEAR(AVEU_Historical_Data__2[[#This Row],[Date]])</f>
        <v>2020</v>
      </c>
      <c r="I139" s="228">
        <f>ROUNDUP((MOD(MONTH(AVEU_Historical_Data__2[[#This Row],[Date]])+8,12)+1)/3,0)</f>
        <v>3</v>
      </c>
      <c r="J139" s="228">
        <f>MONTH(AVEU_Historical_Data__2[[#This Row],[Date]])</f>
        <v>10</v>
      </c>
      <c r="K139" s="228"/>
    </row>
    <row r="140" spans="1:11" x14ac:dyDescent="0.25">
      <c r="A140" s="227">
        <v>44125</v>
      </c>
      <c r="B140" s="228">
        <v>2081.35</v>
      </c>
      <c r="C140" s="228">
        <v>2143.0500000000002</v>
      </c>
      <c r="D140" s="228">
        <v>2170</v>
      </c>
      <c r="E140" s="228">
        <v>2061.0500000000002</v>
      </c>
      <c r="F140">
        <v>892880</v>
      </c>
      <c r="G140" s="228">
        <v>-2.8799999999999999E-2</v>
      </c>
      <c r="H140" s="228">
        <f>YEAR(AVEU_Historical_Data__2[[#This Row],[Date]])</f>
        <v>2020</v>
      </c>
      <c r="I140" s="228">
        <f>ROUNDUP((MOD(MONTH(AVEU_Historical_Data__2[[#This Row],[Date]])+8,12)+1)/3,0)</f>
        <v>3</v>
      </c>
      <c r="J140" s="228">
        <f>MONTH(AVEU_Historical_Data__2[[#This Row],[Date]])</f>
        <v>10</v>
      </c>
      <c r="K140" s="228"/>
    </row>
    <row r="141" spans="1:11" x14ac:dyDescent="0.25">
      <c r="A141" s="227">
        <v>44126</v>
      </c>
      <c r="B141" s="228">
        <v>2100.3000000000002</v>
      </c>
      <c r="C141" s="228">
        <v>2081</v>
      </c>
      <c r="D141" s="228">
        <v>2129.9</v>
      </c>
      <c r="E141" s="228">
        <v>2062.9</v>
      </c>
      <c r="F141">
        <v>548830</v>
      </c>
      <c r="G141" s="228">
        <v>9.1000000000000004E-3</v>
      </c>
      <c r="H141" s="228">
        <f>YEAR(AVEU_Historical_Data__2[[#This Row],[Date]])</f>
        <v>2020</v>
      </c>
      <c r="I141" s="228">
        <f>ROUNDUP((MOD(MONTH(AVEU_Historical_Data__2[[#This Row],[Date]])+8,12)+1)/3,0)</f>
        <v>3</v>
      </c>
      <c r="J141" s="228">
        <f>MONTH(AVEU_Historical_Data__2[[#This Row],[Date]])</f>
        <v>10</v>
      </c>
      <c r="K141" s="228"/>
    </row>
    <row r="142" spans="1:11" x14ac:dyDescent="0.25">
      <c r="A142" s="227">
        <v>44127</v>
      </c>
      <c r="B142" s="228">
        <v>2116.5500000000002</v>
      </c>
      <c r="C142" s="228">
        <v>2106.9499999999998</v>
      </c>
      <c r="D142" s="228">
        <v>2133.85</v>
      </c>
      <c r="E142" s="228">
        <v>2081</v>
      </c>
      <c r="F142">
        <v>546620</v>
      </c>
      <c r="G142" s="228">
        <v>7.7000000000000002E-3</v>
      </c>
      <c r="H142" s="228">
        <f>YEAR(AVEU_Historical_Data__2[[#This Row],[Date]])</f>
        <v>2020</v>
      </c>
      <c r="I142" s="228">
        <f>ROUNDUP((MOD(MONTH(AVEU_Historical_Data__2[[#This Row],[Date]])+8,12)+1)/3,0)</f>
        <v>3</v>
      </c>
      <c r="J142" s="228">
        <f>MONTH(AVEU_Historical_Data__2[[#This Row],[Date]])</f>
        <v>10</v>
      </c>
      <c r="K142" s="228"/>
    </row>
    <row r="143" spans="1:11" x14ac:dyDescent="0.25">
      <c r="A143" s="227">
        <v>44130</v>
      </c>
      <c r="B143" s="228">
        <v>2144.25</v>
      </c>
      <c r="C143" s="228">
        <v>2120</v>
      </c>
      <c r="D143" s="228">
        <v>2150</v>
      </c>
      <c r="E143" s="228">
        <v>2100.35</v>
      </c>
      <c r="F143">
        <v>613120</v>
      </c>
      <c r="G143" s="228">
        <v>1.3100000000000001E-2</v>
      </c>
      <c r="H143" s="228">
        <f>YEAR(AVEU_Historical_Data__2[[#This Row],[Date]])</f>
        <v>2020</v>
      </c>
      <c r="I143" s="228">
        <f>ROUNDUP((MOD(MONTH(AVEU_Historical_Data__2[[#This Row],[Date]])+8,12)+1)/3,0)</f>
        <v>3</v>
      </c>
      <c r="J143" s="228">
        <f>MONTH(AVEU_Historical_Data__2[[#This Row],[Date]])</f>
        <v>10</v>
      </c>
      <c r="K143" s="228"/>
    </row>
    <row r="144" spans="1:11" x14ac:dyDescent="0.25">
      <c r="A144" s="227">
        <v>44131</v>
      </c>
      <c r="B144" s="228">
        <v>2176.1999999999998</v>
      </c>
      <c r="C144" s="228">
        <v>2133</v>
      </c>
      <c r="D144" s="228">
        <v>2188</v>
      </c>
      <c r="E144" s="228">
        <v>2111.85</v>
      </c>
      <c r="F144">
        <v>621370</v>
      </c>
      <c r="G144" s="228">
        <v>1.49E-2</v>
      </c>
      <c r="H144" s="228">
        <f>YEAR(AVEU_Historical_Data__2[[#This Row],[Date]])</f>
        <v>2020</v>
      </c>
      <c r="I144" s="228">
        <f>ROUNDUP((MOD(MONTH(AVEU_Historical_Data__2[[#This Row],[Date]])+8,12)+1)/3,0)</f>
        <v>3</v>
      </c>
      <c r="J144" s="228">
        <f>MONTH(AVEU_Historical_Data__2[[#This Row],[Date]])</f>
        <v>10</v>
      </c>
      <c r="K144" s="228"/>
    </row>
    <row r="145" spans="1:11" x14ac:dyDescent="0.25">
      <c r="A145" s="227">
        <v>44132</v>
      </c>
      <c r="B145" s="228">
        <v>2240.1999999999998</v>
      </c>
      <c r="C145" s="228">
        <v>2197</v>
      </c>
      <c r="D145" s="228">
        <v>2249</v>
      </c>
      <c r="E145" s="228">
        <v>2175</v>
      </c>
      <c r="F145">
        <v>989250</v>
      </c>
      <c r="G145" s="228">
        <v>2.9399999999999999E-2</v>
      </c>
      <c r="H145" s="228">
        <f>YEAR(AVEU_Historical_Data__2[[#This Row],[Date]])</f>
        <v>2020</v>
      </c>
      <c r="I145" s="228">
        <f>ROUNDUP((MOD(MONTH(AVEU_Historical_Data__2[[#This Row],[Date]])+8,12)+1)/3,0)</f>
        <v>3</v>
      </c>
      <c r="J145" s="228">
        <f>MONTH(AVEU_Historical_Data__2[[#This Row],[Date]])</f>
        <v>10</v>
      </c>
      <c r="K145" s="228"/>
    </row>
    <row r="146" spans="1:11" x14ac:dyDescent="0.25">
      <c r="A146" s="227">
        <v>44133</v>
      </c>
      <c r="B146" s="228">
        <v>2267.1</v>
      </c>
      <c r="C146" s="228">
        <v>2200</v>
      </c>
      <c r="D146" s="228">
        <v>2277.6</v>
      </c>
      <c r="E146" s="228">
        <v>2185</v>
      </c>
      <c r="F146">
        <v>624080</v>
      </c>
      <c r="G146" s="228">
        <v>1.2E-2</v>
      </c>
      <c r="H146" s="228">
        <f>YEAR(AVEU_Historical_Data__2[[#This Row],[Date]])</f>
        <v>2020</v>
      </c>
      <c r="I146" s="228">
        <f>ROUNDUP((MOD(MONTH(AVEU_Historical_Data__2[[#This Row],[Date]])+8,12)+1)/3,0)</f>
        <v>3</v>
      </c>
      <c r="J146" s="228">
        <f>MONTH(AVEU_Historical_Data__2[[#This Row],[Date]])</f>
        <v>10</v>
      </c>
      <c r="K146" s="228"/>
    </row>
    <row r="147" spans="1:11" x14ac:dyDescent="0.25">
      <c r="A147" s="227">
        <v>44134</v>
      </c>
      <c r="B147" s="228">
        <v>2239.9</v>
      </c>
      <c r="C147" s="228">
        <v>2260</v>
      </c>
      <c r="D147" s="228">
        <v>2278.9</v>
      </c>
      <c r="E147" s="228">
        <v>2195.75</v>
      </c>
      <c r="F147">
        <v>680420</v>
      </c>
      <c r="G147" s="228">
        <v>-1.2E-2</v>
      </c>
      <c r="H147" s="228">
        <f>YEAR(AVEU_Historical_Data__2[[#This Row],[Date]])</f>
        <v>2020</v>
      </c>
      <c r="I147" s="228">
        <f>ROUNDUP((MOD(MONTH(AVEU_Historical_Data__2[[#This Row],[Date]])+8,12)+1)/3,0)</f>
        <v>3</v>
      </c>
      <c r="J147" s="228">
        <f>MONTH(AVEU_Historical_Data__2[[#This Row],[Date]])</f>
        <v>10</v>
      </c>
      <c r="K147" s="228"/>
    </row>
    <row r="148" spans="1:11" x14ac:dyDescent="0.25">
      <c r="A148" s="227">
        <v>44137</v>
      </c>
      <c r="B148" s="228">
        <v>2205.75</v>
      </c>
      <c r="C148" s="228">
        <v>2240</v>
      </c>
      <c r="D148" s="228">
        <v>2259</v>
      </c>
      <c r="E148" s="228">
        <v>2163</v>
      </c>
      <c r="F148">
        <v>397530</v>
      </c>
      <c r="G148" s="228">
        <v>-1.52E-2</v>
      </c>
      <c r="H148" s="228">
        <f>YEAR(AVEU_Historical_Data__2[[#This Row],[Date]])</f>
        <v>2020</v>
      </c>
      <c r="I148" s="228">
        <f>ROUNDUP((MOD(MONTH(AVEU_Historical_Data__2[[#This Row],[Date]])+8,12)+1)/3,0)</f>
        <v>3</v>
      </c>
      <c r="J148" s="228">
        <f>MONTH(AVEU_Historical_Data__2[[#This Row],[Date]])</f>
        <v>11</v>
      </c>
      <c r="K148" s="228"/>
    </row>
    <row r="149" spans="1:11" x14ac:dyDescent="0.25">
      <c r="A149" s="227">
        <v>44138</v>
      </c>
      <c r="B149" s="228">
        <v>2209.0500000000002</v>
      </c>
      <c r="C149" s="228">
        <v>2203.8000000000002</v>
      </c>
      <c r="D149" s="228">
        <v>2245</v>
      </c>
      <c r="E149" s="228">
        <v>2180</v>
      </c>
      <c r="F149">
        <v>598460</v>
      </c>
      <c r="G149" s="228">
        <v>1.5E-3</v>
      </c>
      <c r="H149" s="228">
        <f>YEAR(AVEU_Historical_Data__2[[#This Row],[Date]])</f>
        <v>2020</v>
      </c>
      <c r="I149" s="228">
        <f>ROUNDUP((MOD(MONTH(AVEU_Historical_Data__2[[#This Row],[Date]])+8,12)+1)/3,0)</f>
        <v>3</v>
      </c>
      <c r="J149" s="228">
        <f>MONTH(AVEU_Historical_Data__2[[#This Row],[Date]])</f>
        <v>11</v>
      </c>
      <c r="K149" s="228"/>
    </row>
    <row r="150" spans="1:11" x14ac:dyDescent="0.25">
      <c r="A150" s="227">
        <v>44139</v>
      </c>
      <c r="B150" s="228">
        <v>2290.8000000000002</v>
      </c>
      <c r="C150" s="228">
        <v>2210.0500000000002</v>
      </c>
      <c r="D150" s="228">
        <v>2300</v>
      </c>
      <c r="E150" s="228">
        <v>2210.0500000000002</v>
      </c>
      <c r="F150">
        <v>698830</v>
      </c>
      <c r="G150" s="228">
        <v>3.6999999999999998E-2</v>
      </c>
      <c r="H150" s="228">
        <f>YEAR(AVEU_Historical_Data__2[[#This Row],[Date]])</f>
        <v>2020</v>
      </c>
      <c r="I150" s="228">
        <f>ROUNDUP((MOD(MONTH(AVEU_Historical_Data__2[[#This Row],[Date]])+8,12)+1)/3,0)</f>
        <v>3</v>
      </c>
      <c r="J150" s="228">
        <f>MONTH(AVEU_Historical_Data__2[[#This Row],[Date]])</f>
        <v>11</v>
      </c>
      <c r="K150" s="228"/>
    </row>
    <row r="151" spans="1:11" x14ac:dyDescent="0.25">
      <c r="A151" s="227">
        <v>44140</v>
      </c>
      <c r="B151" s="228">
        <v>2281.9499999999998</v>
      </c>
      <c r="C151" s="228">
        <v>2202.5</v>
      </c>
      <c r="D151" s="228">
        <v>2325.4499999999998</v>
      </c>
      <c r="E151" s="228">
        <v>2202.5</v>
      </c>
      <c r="F151">
        <v>600280</v>
      </c>
      <c r="G151" s="228">
        <v>-3.8999999999999998E-3</v>
      </c>
      <c r="H151" s="228">
        <f>YEAR(AVEU_Historical_Data__2[[#This Row],[Date]])</f>
        <v>2020</v>
      </c>
      <c r="I151" s="228">
        <f>ROUNDUP((MOD(MONTH(AVEU_Historical_Data__2[[#This Row],[Date]])+8,12)+1)/3,0)</f>
        <v>3</v>
      </c>
      <c r="J151" s="228">
        <f>MONTH(AVEU_Historical_Data__2[[#This Row],[Date]])</f>
        <v>11</v>
      </c>
      <c r="K151" s="228"/>
    </row>
    <row r="152" spans="1:11" x14ac:dyDescent="0.25">
      <c r="A152" s="227">
        <v>44141</v>
      </c>
      <c r="B152" s="228">
        <v>2294.6</v>
      </c>
      <c r="C152" s="228">
        <v>2281.9499999999998</v>
      </c>
      <c r="D152" s="228">
        <v>2303.25</v>
      </c>
      <c r="E152" s="228">
        <v>2243.4499999999998</v>
      </c>
      <c r="F152">
        <v>445990</v>
      </c>
      <c r="G152" s="228">
        <v>5.4999999999999997E-3</v>
      </c>
      <c r="H152" s="228">
        <f>YEAR(AVEU_Historical_Data__2[[#This Row],[Date]])</f>
        <v>2020</v>
      </c>
      <c r="I152" s="228">
        <f>ROUNDUP((MOD(MONTH(AVEU_Historical_Data__2[[#This Row],[Date]])+8,12)+1)/3,0)</f>
        <v>3</v>
      </c>
      <c r="J152" s="228">
        <f>MONTH(AVEU_Historical_Data__2[[#This Row],[Date]])</f>
        <v>11</v>
      </c>
      <c r="K152" s="228"/>
    </row>
    <row r="153" spans="1:11" x14ac:dyDescent="0.25">
      <c r="A153" s="227">
        <v>44144</v>
      </c>
      <c r="B153" s="228">
        <v>2325.85</v>
      </c>
      <c r="C153" s="228">
        <v>2306.0500000000002</v>
      </c>
      <c r="D153" s="228">
        <v>2335</v>
      </c>
      <c r="E153" s="228">
        <v>2283.0500000000002</v>
      </c>
      <c r="F153">
        <v>415800</v>
      </c>
      <c r="G153" s="228">
        <v>1.3599999999999999E-2</v>
      </c>
      <c r="H153" s="228">
        <f>YEAR(AVEU_Historical_Data__2[[#This Row],[Date]])</f>
        <v>2020</v>
      </c>
      <c r="I153" s="228">
        <f>ROUNDUP((MOD(MONTH(AVEU_Historical_Data__2[[#This Row],[Date]])+8,12)+1)/3,0)</f>
        <v>3</v>
      </c>
      <c r="J153" s="228">
        <f>MONTH(AVEU_Historical_Data__2[[#This Row],[Date]])</f>
        <v>11</v>
      </c>
      <c r="K153" s="228"/>
    </row>
    <row r="154" spans="1:11" x14ac:dyDescent="0.25">
      <c r="A154" s="227">
        <v>44145</v>
      </c>
      <c r="B154" s="228">
        <v>2362.4</v>
      </c>
      <c r="C154" s="228">
        <v>2340</v>
      </c>
      <c r="D154" s="228">
        <v>2368.9</v>
      </c>
      <c r="E154" s="228">
        <v>2315.5</v>
      </c>
      <c r="F154">
        <v>469480</v>
      </c>
      <c r="G154" s="228">
        <v>1.5699999999999999E-2</v>
      </c>
      <c r="H154" s="228">
        <f>YEAR(AVEU_Historical_Data__2[[#This Row],[Date]])</f>
        <v>2020</v>
      </c>
      <c r="I154" s="228">
        <f>ROUNDUP((MOD(MONTH(AVEU_Historical_Data__2[[#This Row],[Date]])+8,12)+1)/3,0)</f>
        <v>3</v>
      </c>
      <c r="J154" s="228">
        <f>MONTH(AVEU_Historical_Data__2[[#This Row],[Date]])</f>
        <v>11</v>
      </c>
      <c r="K154" s="228"/>
    </row>
    <row r="155" spans="1:11" x14ac:dyDescent="0.25">
      <c r="A155" s="227">
        <v>44146</v>
      </c>
      <c r="B155" s="228">
        <v>2398.1999999999998</v>
      </c>
      <c r="C155" s="228">
        <v>2373.9</v>
      </c>
      <c r="D155" s="228">
        <v>2403</v>
      </c>
      <c r="E155" s="228">
        <v>2361</v>
      </c>
      <c r="F155">
        <v>506440</v>
      </c>
      <c r="G155" s="228">
        <v>1.52E-2</v>
      </c>
      <c r="H155" s="228">
        <f>YEAR(AVEU_Historical_Data__2[[#This Row],[Date]])</f>
        <v>2020</v>
      </c>
      <c r="I155" s="228">
        <f>ROUNDUP((MOD(MONTH(AVEU_Historical_Data__2[[#This Row],[Date]])+8,12)+1)/3,0)</f>
        <v>3</v>
      </c>
      <c r="J155" s="228">
        <f>MONTH(AVEU_Historical_Data__2[[#This Row],[Date]])</f>
        <v>11</v>
      </c>
      <c r="K155" s="228"/>
    </row>
    <row r="156" spans="1:11" x14ac:dyDescent="0.25">
      <c r="A156" s="227">
        <v>44147</v>
      </c>
      <c r="B156" s="228">
        <v>2400.3000000000002</v>
      </c>
      <c r="C156" s="228">
        <v>2400</v>
      </c>
      <c r="D156" s="228">
        <v>2410</v>
      </c>
      <c r="E156" s="228">
        <v>2361.0500000000002</v>
      </c>
      <c r="F156">
        <v>369950</v>
      </c>
      <c r="G156" s="228">
        <v>8.9999999999999998E-4</v>
      </c>
      <c r="H156" s="228">
        <f>YEAR(AVEU_Historical_Data__2[[#This Row],[Date]])</f>
        <v>2020</v>
      </c>
      <c r="I156" s="228">
        <f>ROUNDUP((MOD(MONTH(AVEU_Historical_Data__2[[#This Row],[Date]])+8,12)+1)/3,0)</f>
        <v>3</v>
      </c>
      <c r="J156" s="228">
        <f>MONTH(AVEU_Historical_Data__2[[#This Row],[Date]])</f>
        <v>11</v>
      </c>
      <c r="K156" s="228"/>
    </row>
    <row r="157" spans="1:11" x14ac:dyDescent="0.25">
      <c r="A157" s="227">
        <v>44148</v>
      </c>
      <c r="B157" s="228">
        <v>2383.0500000000002</v>
      </c>
      <c r="C157" s="228">
        <v>2390</v>
      </c>
      <c r="D157" s="228">
        <v>2399</v>
      </c>
      <c r="E157" s="228">
        <v>2361.5</v>
      </c>
      <c r="F157">
        <v>171760</v>
      </c>
      <c r="G157" s="228">
        <v>-7.1999999999999998E-3</v>
      </c>
      <c r="H157" s="228">
        <f>YEAR(AVEU_Historical_Data__2[[#This Row],[Date]])</f>
        <v>2020</v>
      </c>
      <c r="I157" s="228">
        <f>ROUNDUP((MOD(MONTH(AVEU_Historical_Data__2[[#This Row],[Date]])+8,12)+1)/3,0)</f>
        <v>3</v>
      </c>
      <c r="J157" s="228">
        <f>MONTH(AVEU_Historical_Data__2[[#This Row],[Date]])</f>
        <v>11</v>
      </c>
      <c r="K157" s="228"/>
    </row>
    <row r="158" spans="1:11" x14ac:dyDescent="0.25">
      <c r="A158" s="227">
        <v>44152</v>
      </c>
      <c r="B158" s="228">
        <v>2432.15</v>
      </c>
      <c r="C158" s="228">
        <v>2374.15</v>
      </c>
      <c r="D158" s="228">
        <v>2507.9499999999998</v>
      </c>
      <c r="E158" s="228">
        <v>2374.15</v>
      </c>
      <c r="F158">
        <v>1130000</v>
      </c>
      <c r="G158" s="228">
        <v>2.06E-2</v>
      </c>
      <c r="H158" s="228">
        <f>YEAR(AVEU_Historical_Data__2[[#This Row],[Date]])</f>
        <v>2020</v>
      </c>
      <c r="I158" s="228">
        <f>ROUNDUP((MOD(MONTH(AVEU_Historical_Data__2[[#This Row],[Date]])+8,12)+1)/3,0)</f>
        <v>3</v>
      </c>
      <c r="J158" s="228">
        <f>MONTH(AVEU_Historical_Data__2[[#This Row],[Date]])</f>
        <v>11</v>
      </c>
      <c r="K158" s="228"/>
    </row>
    <row r="159" spans="1:11" x14ac:dyDescent="0.25">
      <c r="A159" s="227">
        <v>44153</v>
      </c>
      <c r="B159" s="228">
        <v>2375.0500000000002</v>
      </c>
      <c r="C159" s="228">
        <v>2420</v>
      </c>
      <c r="D159" s="228">
        <v>2420</v>
      </c>
      <c r="E159" s="228">
        <v>2360.85</v>
      </c>
      <c r="F159">
        <v>607580</v>
      </c>
      <c r="G159" s="228">
        <v>-2.35E-2</v>
      </c>
      <c r="H159" s="228">
        <f>YEAR(AVEU_Historical_Data__2[[#This Row],[Date]])</f>
        <v>2020</v>
      </c>
      <c r="I159" s="228">
        <f>ROUNDUP((MOD(MONTH(AVEU_Historical_Data__2[[#This Row],[Date]])+8,12)+1)/3,0)</f>
        <v>3</v>
      </c>
      <c r="J159" s="228">
        <f>MONTH(AVEU_Historical_Data__2[[#This Row],[Date]])</f>
        <v>11</v>
      </c>
      <c r="K159" s="228"/>
    </row>
    <row r="160" spans="1:11" x14ac:dyDescent="0.25">
      <c r="A160" s="227">
        <v>44154</v>
      </c>
      <c r="B160" s="228">
        <v>2392.1999999999998</v>
      </c>
      <c r="C160" s="228">
        <v>2375</v>
      </c>
      <c r="D160" s="228">
        <v>2415</v>
      </c>
      <c r="E160" s="228">
        <v>2330</v>
      </c>
      <c r="F160">
        <v>460180</v>
      </c>
      <c r="G160" s="228">
        <v>7.1999999999999998E-3</v>
      </c>
      <c r="H160" s="228">
        <f>YEAR(AVEU_Historical_Data__2[[#This Row],[Date]])</f>
        <v>2020</v>
      </c>
      <c r="I160" s="228">
        <f>ROUNDUP((MOD(MONTH(AVEU_Historical_Data__2[[#This Row],[Date]])+8,12)+1)/3,0)</f>
        <v>3</v>
      </c>
      <c r="J160" s="228">
        <f>MONTH(AVEU_Historical_Data__2[[#This Row],[Date]])</f>
        <v>11</v>
      </c>
      <c r="K160" s="228"/>
    </row>
    <row r="161" spans="1:11" x14ac:dyDescent="0.25">
      <c r="A161" s="227">
        <v>44155</v>
      </c>
      <c r="B161" s="228">
        <v>2382.6</v>
      </c>
      <c r="C161" s="228">
        <v>2390</v>
      </c>
      <c r="D161" s="228">
        <v>2438.9499999999998</v>
      </c>
      <c r="E161" s="228">
        <v>2350.5500000000002</v>
      </c>
      <c r="F161">
        <v>284940</v>
      </c>
      <c r="G161" s="228">
        <v>-4.0000000000000001E-3</v>
      </c>
      <c r="H161" s="228">
        <f>YEAR(AVEU_Historical_Data__2[[#This Row],[Date]])</f>
        <v>2020</v>
      </c>
      <c r="I161" s="228">
        <f>ROUNDUP((MOD(MONTH(AVEU_Historical_Data__2[[#This Row],[Date]])+8,12)+1)/3,0)</f>
        <v>3</v>
      </c>
      <c r="J161" s="228">
        <f>MONTH(AVEU_Historical_Data__2[[#This Row],[Date]])</f>
        <v>11</v>
      </c>
      <c r="K161" s="228"/>
    </row>
    <row r="162" spans="1:11" x14ac:dyDescent="0.25">
      <c r="A162" s="227">
        <v>44158</v>
      </c>
      <c r="B162" s="228">
        <v>2360.4</v>
      </c>
      <c r="C162" s="228">
        <v>2361.1</v>
      </c>
      <c r="D162" s="228">
        <v>2379.9</v>
      </c>
      <c r="E162" s="228">
        <v>2352.25</v>
      </c>
      <c r="F162">
        <v>234660</v>
      </c>
      <c r="G162" s="228">
        <v>-9.2999999999999992E-3</v>
      </c>
      <c r="H162" s="228">
        <f>YEAR(AVEU_Historical_Data__2[[#This Row],[Date]])</f>
        <v>2020</v>
      </c>
      <c r="I162" s="228">
        <f>ROUNDUP((MOD(MONTH(AVEU_Historical_Data__2[[#This Row],[Date]])+8,12)+1)/3,0)</f>
        <v>3</v>
      </c>
      <c r="J162" s="228">
        <f>MONTH(AVEU_Historical_Data__2[[#This Row],[Date]])</f>
        <v>11</v>
      </c>
      <c r="K162" s="228"/>
    </row>
    <row r="163" spans="1:11" x14ac:dyDescent="0.25">
      <c r="A163" s="227">
        <v>44159</v>
      </c>
      <c r="B163" s="228">
        <v>2380.25</v>
      </c>
      <c r="C163" s="228">
        <v>2367.9499999999998</v>
      </c>
      <c r="D163" s="228">
        <v>2429.9</v>
      </c>
      <c r="E163" s="228">
        <v>2350</v>
      </c>
      <c r="F163">
        <v>543630</v>
      </c>
      <c r="G163" s="228">
        <v>8.3999999999999995E-3</v>
      </c>
      <c r="H163" s="228">
        <f>YEAR(AVEU_Historical_Data__2[[#This Row],[Date]])</f>
        <v>2020</v>
      </c>
      <c r="I163" s="228">
        <f>ROUNDUP((MOD(MONTH(AVEU_Historical_Data__2[[#This Row],[Date]])+8,12)+1)/3,0)</f>
        <v>3</v>
      </c>
      <c r="J163" s="228">
        <f>MONTH(AVEU_Historical_Data__2[[#This Row],[Date]])</f>
        <v>11</v>
      </c>
      <c r="K163" s="228"/>
    </row>
    <row r="164" spans="1:11" x14ac:dyDescent="0.25">
      <c r="A164" s="227">
        <v>44160</v>
      </c>
      <c r="B164" s="228">
        <v>2360.8000000000002</v>
      </c>
      <c r="C164" s="228">
        <v>2370</v>
      </c>
      <c r="D164" s="228">
        <v>2399.5</v>
      </c>
      <c r="E164" s="228">
        <v>2350</v>
      </c>
      <c r="F164">
        <v>439770</v>
      </c>
      <c r="G164" s="228">
        <v>-8.2000000000000007E-3</v>
      </c>
      <c r="H164" s="228">
        <f>YEAR(AVEU_Historical_Data__2[[#This Row],[Date]])</f>
        <v>2020</v>
      </c>
      <c r="I164" s="228">
        <f>ROUNDUP((MOD(MONTH(AVEU_Historical_Data__2[[#This Row],[Date]])+8,12)+1)/3,0)</f>
        <v>3</v>
      </c>
      <c r="J164" s="228">
        <f>MONTH(AVEU_Historical_Data__2[[#This Row],[Date]])</f>
        <v>11</v>
      </c>
      <c r="K164" s="228"/>
    </row>
    <row r="165" spans="1:11" x14ac:dyDescent="0.25">
      <c r="A165" s="227">
        <v>44161</v>
      </c>
      <c r="B165" s="228">
        <v>2373.0500000000002</v>
      </c>
      <c r="C165" s="228">
        <v>2353</v>
      </c>
      <c r="D165" s="228">
        <v>2396.9</v>
      </c>
      <c r="E165" s="228">
        <v>2343.1999999999998</v>
      </c>
      <c r="F165">
        <v>333430</v>
      </c>
      <c r="G165" s="228">
        <v>5.1999999999999998E-3</v>
      </c>
      <c r="H165" s="228">
        <f>YEAR(AVEU_Historical_Data__2[[#This Row],[Date]])</f>
        <v>2020</v>
      </c>
      <c r="I165" s="228">
        <f>ROUNDUP((MOD(MONTH(AVEU_Historical_Data__2[[#This Row],[Date]])+8,12)+1)/3,0)</f>
        <v>3</v>
      </c>
      <c r="J165" s="228">
        <f>MONTH(AVEU_Historical_Data__2[[#This Row],[Date]])</f>
        <v>11</v>
      </c>
      <c r="K165" s="228"/>
    </row>
    <row r="166" spans="1:11" x14ac:dyDescent="0.25">
      <c r="A166" s="227">
        <v>44162</v>
      </c>
      <c r="B166" s="228">
        <v>2289.1999999999998</v>
      </c>
      <c r="C166" s="228">
        <v>2373</v>
      </c>
      <c r="D166" s="228">
        <v>2395</v>
      </c>
      <c r="E166" s="228">
        <v>2220.0500000000002</v>
      </c>
      <c r="F166">
        <v>1600000</v>
      </c>
      <c r="G166" s="228">
        <v>-3.5299999999999998E-2</v>
      </c>
      <c r="H166" s="228">
        <f>YEAR(AVEU_Historical_Data__2[[#This Row],[Date]])</f>
        <v>2020</v>
      </c>
      <c r="I166" s="228">
        <f>ROUNDUP((MOD(MONTH(AVEU_Historical_Data__2[[#This Row],[Date]])+8,12)+1)/3,0)</f>
        <v>3</v>
      </c>
      <c r="J166" s="228">
        <f>MONTH(AVEU_Historical_Data__2[[#This Row],[Date]])</f>
        <v>11</v>
      </c>
      <c r="K166" s="228"/>
    </row>
    <row r="167" spans="1:11" x14ac:dyDescent="0.25">
      <c r="A167" s="227">
        <v>44166</v>
      </c>
      <c r="B167" s="228">
        <v>2426.6999999999998</v>
      </c>
      <c r="C167" s="228">
        <v>2330</v>
      </c>
      <c r="D167" s="228">
        <v>2450</v>
      </c>
      <c r="E167" s="228">
        <v>2315</v>
      </c>
      <c r="F167">
        <v>912170</v>
      </c>
      <c r="G167" s="228">
        <v>6.0100000000000001E-2</v>
      </c>
      <c r="H167" s="228">
        <f>YEAR(AVEU_Historical_Data__2[[#This Row],[Date]])</f>
        <v>2020</v>
      </c>
      <c r="I167" s="228">
        <f>ROUNDUP((MOD(MONTH(AVEU_Historical_Data__2[[#This Row],[Date]])+8,12)+1)/3,0)</f>
        <v>3</v>
      </c>
      <c r="J167" s="228">
        <f>MONTH(AVEU_Historical_Data__2[[#This Row],[Date]])</f>
        <v>12</v>
      </c>
      <c r="K167" s="228"/>
    </row>
    <row r="168" spans="1:11" x14ac:dyDescent="0.25">
      <c r="A168" s="227">
        <v>44167</v>
      </c>
      <c r="B168" s="228">
        <v>2456</v>
      </c>
      <c r="C168" s="228">
        <v>2435</v>
      </c>
      <c r="D168" s="228">
        <v>2473</v>
      </c>
      <c r="E168" s="228">
        <v>2380.15</v>
      </c>
      <c r="F168">
        <v>494720</v>
      </c>
      <c r="G168" s="228">
        <v>1.21E-2</v>
      </c>
      <c r="H168" s="228">
        <f>YEAR(AVEU_Historical_Data__2[[#This Row],[Date]])</f>
        <v>2020</v>
      </c>
      <c r="I168" s="228">
        <f>ROUNDUP((MOD(MONTH(AVEU_Historical_Data__2[[#This Row],[Date]])+8,12)+1)/3,0)</f>
        <v>3</v>
      </c>
      <c r="J168" s="228">
        <f>MONTH(AVEU_Historical_Data__2[[#This Row],[Date]])</f>
        <v>12</v>
      </c>
      <c r="K168" s="228"/>
    </row>
    <row r="169" spans="1:11" x14ac:dyDescent="0.25">
      <c r="A169" s="227">
        <v>44168</v>
      </c>
      <c r="B169" s="228">
        <v>2470.85</v>
      </c>
      <c r="C169" s="228">
        <v>2460.1</v>
      </c>
      <c r="D169" s="228">
        <v>2479.3000000000002</v>
      </c>
      <c r="E169" s="228">
        <v>2440</v>
      </c>
      <c r="F169">
        <v>393030</v>
      </c>
      <c r="G169" s="228">
        <v>6.0000000000000001E-3</v>
      </c>
      <c r="H169" s="228">
        <f>YEAR(AVEU_Historical_Data__2[[#This Row],[Date]])</f>
        <v>2020</v>
      </c>
      <c r="I169" s="228">
        <f>ROUNDUP((MOD(MONTH(AVEU_Historical_Data__2[[#This Row],[Date]])+8,12)+1)/3,0)</f>
        <v>3</v>
      </c>
      <c r="J169" s="228">
        <f>MONTH(AVEU_Historical_Data__2[[#This Row],[Date]])</f>
        <v>12</v>
      </c>
      <c r="K169" s="228"/>
    </row>
    <row r="170" spans="1:11" x14ac:dyDescent="0.25">
      <c r="A170" s="227">
        <v>44169</v>
      </c>
      <c r="B170" s="228">
        <v>2441.9</v>
      </c>
      <c r="C170" s="228">
        <v>2469.9499999999998</v>
      </c>
      <c r="D170" s="228">
        <v>2469.9499999999998</v>
      </c>
      <c r="E170" s="228">
        <v>2415.5500000000002</v>
      </c>
      <c r="F170">
        <v>310930</v>
      </c>
      <c r="G170" s="228">
        <v>-1.17E-2</v>
      </c>
      <c r="H170" s="228">
        <f>YEAR(AVEU_Historical_Data__2[[#This Row],[Date]])</f>
        <v>2020</v>
      </c>
      <c r="I170" s="228">
        <f>ROUNDUP((MOD(MONTH(AVEU_Historical_Data__2[[#This Row],[Date]])+8,12)+1)/3,0)</f>
        <v>3</v>
      </c>
      <c r="J170" s="228">
        <f>MONTH(AVEU_Historical_Data__2[[#This Row],[Date]])</f>
        <v>12</v>
      </c>
      <c r="K170" s="228"/>
    </row>
    <row r="171" spans="1:11" x14ac:dyDescent="0.25">
      <c r="A171" s="227">
        <v>44172</v>
      </c>
      <c r="B171" s="228">
        <v>2526.4499999999998</v>
      </c>
      <c r="C171" s="228">
        <v>2441.9</v>
      </c>
      <c r="D171" s="228">
        <v>2540.5</v>
      </c>
      <c r="E171" s="228">
        <v>2413</v>
      </c>
      <c r="F171">
        <v>918510</v>
      </c>
      <c r="G171" s="228">
        <v>3.4599999999999999E-2</v>
      </c>
      <c r="H171" s="228">
        <f>YEAR(AVEU_Historical_Data__2[[#This Row],[Date]])</f>
        <v>2020</v>
      </c>
      <c r="I171" s="228">
        <f>ROUNDUP((MOD(MONTH(AVEU_Historical_Data__2[[#This Row],[Date]])+8,12)+1)/3,0)</f>
        <v>3</v>
      </c>
      <c r="J171" s="228">
        <f>MONTH(AVEU_Historical_Data__2[[#This Row],[Date]])</f>
        <v>12</v>
      </c>
      <c r="K171" s="228"/>
    </row>
    <row r="172" spans="1:11" x14ac:dyDescent="0.25">
      <c r="A172" s="227">
        <v>44173</v>
      </c>
      <c r="B172" s="228">
        <v>2652.1</v>
      </c>
      <c r="C172" s="228">
        <v>2530</v>
      </c>
      <c r="D172" s="228">
        <v>2689</v>
      </c>
      <c r="E172" s="228">
        <v>2520</v>
      </c>
      <c r="F172">
        <v>2110000</v>
      </c>
      <c r="G172" s="228">
        <v>4.9700000000000001E-2</v>
      </c>
      <c r="H172" s="228">
        <f>YEAR(AVEU_Historical_Data__2[[#This Row],[Date]])</f>
        <v>2020</v>
      </c>
      <c r="I172" s="228">
        <f>ROUNDUP((MOD(MONTH(AVEU_Historical_Data__2[[#This Row],[Date]])+8,12)+1)/3,0)</f>
        <v>3</v>
      </c>
      <c r="J172" s="228">
        <f>MONTH(AVEU_Historical_Data__2[[#This Row],[Date]])</f>
        <v>12</v>
      </c>
      <c r="K172" s="228"/>
    </row>
    <row r="173" spans="1:11" x14ac:dyDescent="0.25">
      <c r="A173" s="227">
        <v>44174</v>
      </c>
      <c r="B173" s="228">
        <v>2625.3</v>
      </c>
      <c r="C173" s="228">
        <v>2652</v>
      </c>
      <c r="D173" s="228">
        <v>2755</v>
      </c>
      <c r="E173" s="228">
        <v>2586</v>
      </c>
      <c r="F173">
        <v>1250000</v>
      </c>
      <c r="G173" s="228">
        <v>-1.01E-2</v>
      </c>
      <c r="H173" s="228">
        <f>YEAR(AVEU_Historical_Data__2[[#This Row],[Date]])</f>
        <v>2020</v>
      </c>
      <c r="I173" s="228">
        <f>ROUNDUP((MOD(MONTH(AVEU_Historical_Data__2[[#This Row],[Date]])+8,12)+1)/3,0)</f>
        <v>3</v>
      </c>
      <c r="J173" s="228">
        <f>MONTH(AVEU_Historical_Data__2[[#This Row],[Date]])</f>
        <v>12</v>
      </c>
      <c r="K173" s="228"/>
    </row>
    <row r="174" spans="1:11" x14ac:dyDescent="0.25">
      <c r="A174" s="227">
        <v>44175</v>
      </c>
      <c r="B174" s="228">
        <v>2622.05</v>
      </c>
      <c r="C174" s="228">
        <v>2630</v>
      </c>
      <c r="D174" s="228">
        <v>2673.5</v>
      </c>
      <c r="E174" s="228">
        <v>2575.85</v>
      </c>
      <c r="F174">
        <v>713360</v>
      </c>
      <c r="G174" s="228">
        <v>-1.1999999999999999E-3</v>
      </c>
      <c r="H174" s="228">
        <f>YEAR(AVEU_Historical_Data__2[[#This Row],[Date]])</f>
        <v>2020</v>
      </c>
      <c r="I174" s="228">
        <f>ROUNDUP((MOD(MONTH(AVEU_Historical_Data__2[[#This Row],[Date]])+8,12)+1)/3,0)</f>
        <v>3</v>
      </c>
      <c r="J174" s="228">
        <f>MONTH(AVEU_Historical_Data__2[[#This Row],[Date]])</f>
        <v>12</v>
      </c>
      <c r="K174" s="228"/>
    </row>
    <row r="175" spans="1:11" x14ac:dyDescent="0.25">
      <c r="A175" s="227">
        <v>44176</v>
      </c>
      <c r="B175" s="228">
        <v>2685.1</v>
      </c>
      <c r="C175" s="228">
        <v>2647</v>
      </c>
      <c r="D175" s="228">
        <v>2715</v>
      </c>
      <c r="E175" s="228">
        <v>2632</v>
      </c>
      <c r="F175">
        <v>595810</v>
      </c>
      <c r="G175" s="228">
        <v>2.4E-2</v>
      </c>
      <c r="H175" s="228">
        <f>YEAR(AVEU_Historical_Data__2[[#This Row],[Date]])</f>
        <v>2020</v>
      </c>
      <c r="I175" s="228">
        <f>ROUNDUP((MOD(MONTH(AVEU_Historical_Data__2[[#This Row],[Date]])+8,12)+1)/3,0)</f>
        <v>3</v>
      </c>
      <c r="J175" s="228">
        <f>MONTH(AVEU_Historical_Data__2[[#This Row],[Date]])</f>
        <v>12</v>
      </c>
      <c r="K175" s="228"/>
    </row>
    <row r="176" spans="1:11" x14ac:dyDescent="0.25">
      <c r="A176" s="227">
        <v>44179</v>
      </c>
      <c r="B176" s="228">
        <v>2671.95</v>
      </c>
      <c r="C176" s="228">
        <v>2715</v>
      </c>
      <c r="D176" s="228">
        <v>2745</v>
      </c>
      <c r="E176" s="228">
        <v>2651.25</v>
      </c>
      <c r="F176">
        <v>486460</v>
      </c>
      <c r="G176" s="228">
        <v>-4.8999999999999998E-3</v>
      </c>
      <c r="H176" s="228">
        <f>YEAR(AVEU_Historical_Data__2[[#This Row],[Date]])</f>
        <v>2020</v>
      </c>
      <c r="I176" s="228">
        <f>ROUNDUP((MOD(MONTH(AVEU_Historical_Data__2[[#This Row],[Date]])+8,12)+1)/3,0)</f>
        <v>3</v>
      </c>
      <c r="J176" s="228">
        <f>MONTH(AVEU_Historical_Data__2[[#This Row],[Date]])</f>
        <v>12</v>
      </c>
      <c r="K176" s="228"/>
    </row>
    <row r="177" spans="1:11" x14ac:dyDescent="0.25">
      <c r="A177" s="227">
        <v>44180</v>
      </c>
      <c r="B177" s="228">
        <v>2640.05</v>
      </c>
      <c r="C177" s="228">
        <v>2672</v>
      </c>
      <c r="D177" s="228">
        <v>2688.9</v>
      </c>
      <c r="E177" s="228">
        <v>2624.5</v>
      </c>
      <c r="F177">
        <v>257300</v>
      </c>
      <c r="G177" s="228">
        <v>-1.1900000000000001E-2</v>
      </c>
      <c r="H177" s="228">
        <f>YEAR(AVEU_Historical_Data__2[[#This Row],[Date]])</f>
        <v>2020</v>
      </c>
      <c r="I177" s="228">
        <f>ROUNDUP((MOD(MONTH(AVEU_Historical_Data__2[[#This Row],[Date]])+8,12)+1)/3,0)</f>
        <v>3</v>
      </c>
      <c r="J177" s="228">
        <f>MONTH(AVEU_Historical_Data__2[[#This Row],[Date]])</f>
        <v>12</v>
      </c>
      <c r="K177" s="228"/>
    </row>
    <row r="178" spans="1:11" x14ac:dyDescent="0.25">
      <c r="A178" s="227">
        <v>44181</v>
      </c>
      <c r="B178" s="228">
        <v>2627.05</v>
      </c>
      <c r="C178" s="228">
        <v>2650.05</v>
      </c>
      <c r="D178" s="228">
        <v>2678.45</v>
      </c>
      <c r="E178" s="228">
        <v>2605</v>
      </c>
      <c r="F178">
        <v>452430</v>
      </c>
      <c r="G178" s="228">
        <v>-4.8999999999999998E-3</v>
      </c>
      <c r="H178" s="228">
        <f>YEAR(AVEU_Historical_Data__2[[#This Row],[Date]])</f>
        <v>2020</v>
      </c>
      <c r="I178" s="228">
        <f>ROUNDUP((MOD(MONTH(AVEU_Historical_Data__2[[#This Row],[Date]])+8,12)+1)/3,0)</f>
        <v>3</v>
      </c>
      <c r="J178" s="228">
        <f>MONTH(AVEU_Historical_Data__2[[#This Row],[Date]])</f>
        <v>12</v>
      </c>
      <c r="K178" s="228"/>
    </row>
    <row r="179" spans="1:11" x14ac:dyDescent="0.25">
      <c r="A179" s="227">
        <v>44182</v>
      </c>
      <c r="B179" s="228">
        <v>2556.0500000000002</v>
      </c>
      <c r="C179" s="228">
        <v>2645</v>
      </c>
      <c r="D179" s="228">
        <v>2650</v>
      </c>
      <c r="E179" s="228">
        <v>2503</v>
      </c>
      <c r="F179">
        <v>796300</v>
      </c>
      <c r="G179" s="228">
        <v>-2.7E-2</v>
      </c>
      <c r="H179" s="228">
        <f>YEAR(AVEU_Historical_Data__2[[#This Row],[Date]])</f>
        <v>2020</v>
      </c>
      <c r="I179" s="228">
        <f>ROUNDUP((MOD(MONTH(AVEU_Historical_Data__2[[#This Row],[Date]])+8,12)+1)/3,0)</f>
        <v>3</v>
      </c>
      <c r="J179" s="228">
        <f>MONTH(AVEU_Historical_Data__2[[#This Row],[Date]])</f>
        <v>12</v>
      </c>
      <c r="K179" s="228"/>
    </row>
    <row r="180" spans="1:11" x14ac:dyDescent="0.25">
      <c r="A180" s="227">
        <v>44183</v>
      </c>
      <c r="B180" s="228">
        <v>2637.05</v>
      </c>
      <c r="C180" s="228">
        <v>2574</v>
      </c>
      <c r="D180" s="228">
        <v>2650</v>
      </c>
      <c r="E180" s="228">
        <v>2555</v>
      </c>
      <c r="F180">
        <v>681410</v>
      </c>
      <c r="G180" s="228">
        <v>3.1699999999999999E-2</v>
      </c>
      <c r="H180" s="228">
        <f>YEAR(AVEU_Historical_Data__2[[#This Row],[Date]])</f>
        <v>2020</v>
      </c>
      <c r="I180" s="228">
        <f>ROUNDUP((MOD(MONTH(AVEU_Historical_Data__2[[#This Row],[Date]])+8,12)+1)/3,0)</f>
        <v>3</v>
      </c>
      <c r="J180" s="228">
        <f>MONTH(AVEU_Historical_Data__2[[#This Row],[Date]])</f>
        <v>12</v>
      </c>
      <c r="K180" s="228"/>
    </row>
    <row r="181" spans="1:11" x14ac:dyDescent="0.25">
      <c r="A181" s="227">
        <v>44186</v>
      </c>
      <c r="B181" s="228">
        <v>2682.4</v>
      </c>
      <c r="C181" s="228">
        <v>2645</v>
      </c>
      <c r="D181" s="228">
        <v>2715</v>
      </c>
      <c r="E181" s="228">
        <v>2460.8000000000002</v>
      </c>
      <c r="F181">
        <v>1200000</v>
      </c>
      <c r="G181" s="228">
        <v>1.72E-2</v>
      </c>
      <c r="H181" s="228">
        <f>YEAR(AVEU_Historical_Data__2[[#This Row],[Date]])</f>
        <v>2020</v>
      </c>
      <c r="I181" s="228">
        <f>ROUNDUP((MOD(MONTH(AVEU_Historical_Data__2[[#This Row],[Date]])+8,12)+1)/3,0)</f>
        <v>3</v>
      </c>
      <c r="J181" s="228">
        <f>MONTH(AVEU_Historical_Data__2[[#This Row],[Date]])</f>
        <v>12</v>
      </c>
      <c r="K181" s="228"/>
    </row>
    <row r="182" spans="1:11" x14ac:dyDescent="0.25">
      <c r="A182" s="227">
        <v>44187</v>
      </c>
      <c r="B182" s="228">
        <v>2625.75</v>
      </c>
      <c r="C182" s="228">
        <v>2676</v>
      </c>
      <c r="D182" s="228">
        <v>2678.3</v>
      </c>
      <c r="E182" s="228">
        <v>2552.25</v>
      </c>
      <c r="F182">
        <v>744980</v>
      </c>
      <c r="G182" s="228">
        <v>-2.1100000000000001E-2</v>
      </c>
      <c r="H182" s="228">
        <f>YEAR(AVEU_Historical_Data__2[[#This Row],[Date]])</f>
        <v>2020</v>
      </c>
      <c r="I182" s="228">
        <f>ROUNDUP((MOD(MONTH(AVEU_Historical_Data__2[[#This Row],[Date]])+8,12)+1)/3,0)</f>
        <v>3</v>
      </c>
      <c r="J182" s="228">
        <f>MONTH(AVEU_Historical_Data__2[[#This Row],[Date]])</f>
        <v>12</v>
      </c>
      <c r="K182" s="228"/>
    </row>
    <row r="183" spans="1:11" x14ac:dyDescent="0.25">
      <c r="A183" s="227">
        <v>44188</v>
      </c>
      <c r="B183" s="228">
        <v>2661.85</v>
      </c>
      <c r="C183" s="228">
        <v>2650</v>
      </c>
      <c r="D183" s="228">
        <v>2675</v>
      </c>
      <c r="E183" s="228">
        <v>2621.3000000000002</v>
      </c>
      <c r="F183">
        <v>374140</v>
      </c>
      <c r="G183" s="228">
        <v>1.37E-2</v>
      </c>
      <c r="H183" s="228">
        <f>YEAR(AVEU_Historical_Data__2[[#This Row],[Date]])</f>
        <v>2020</v>
      </c>
      <c r="I183" s="228">
        <f>ROUNDUP((MOD(MONTH(AVEU_Historical_Data__2[[#This Row],[Date]])+8,12)+1)/3,0)</f>
        <v>3</v>
      </c>
      <c r="J183" s="228">
        <f>MONTH(AVEU_Historical_Data__2[[#This Row],[Date]])</f>
        <v>12</v>
      </c>
      <c r="K183" s="228"/>
    </row>
    <row r="184" spans="1:11" x14ac:dyDescent="0.25">
      <c r="A184" s="227">
        <v>44189</v>
      </c>
      <c r="B184" s="228">
        <v>2673.1</v>
      </c>
      <c r="C184" s="228">
        <v>2661.85</v>
      </c>
      <c r="D184" s="228">
        <v>2700</v>
      </c>
      <c r="E184" s="228">
        <v>2604.8000000000002</v>
      </c>
      <c r="F184">
        <v>432160</v>
      </c>
      <c r="G184" s="228">
        <v>4.1999999999999997E-3</v>
      </c>
      <c r="H184" s="228">
        <f>YEAR(AVEU_Historical_Data__2[[#This Row],[Date]])</f>
        <v>2020</v>
      </c>
      <c r="I184" s="228">
        <f>ROUNDUP((MOD(MONTH(AVEU_Historical_Data__2[[#This Row],[Date]])+8,12)+1)/3,0)</f>
        <v>3</v>
      </c>
      <c r="J184" s="228">
        <f>MONTH(AVEU_Historical_Data__2[[#This Row],[Date]])</f>
        <v>12</v>
      </c>
      <c r="K184" s="228"/>
    </row>
    <row r="185" spans="1:11" x14ac:dyDescent="0.25">
      <c r="A185" s="227">
        <v>44193</v>
      </c>
      <c r="B185" s="228">
        <v>2678</v>
      </c>
      <c r="C185" s="228">
        <v>2685.95</v>
      </c>
      <c r="D185" s="228">
        <v>2698.95</v>
      </c>
      <c r="E185" s="228">
        <v>2655</v>
      </c>
      <c r="F185">
        <v>319380</v>
      </c>
      <c r="G185" s="228">
        <v>1.8E-3</v>
      </c>
      <c r="H185" s="228">
        <f>YEAR(AVEU_Historical_Data__2[[#This Row],[Date]])</f>
        <v>2020</v>
      </c>
      <c r="I185" s="228">
        <f>ROUNDUP((MOD(MONTH(AVEU_Historical_Data__2[[#This Row],[Date]])+8,12)+1)/3,0)</f>
        <v>3</v>
      </c>
      <c r="J185" s="228">
        <f>MONTH(AVEU_Historical_Data__2[[#This Row],[Date]])</f>
        <v>12</v>
      </c>
      <c r="K185" s="228"/>
    </row>
    <row r="186" spans="1:11" x14ac:dyDescent="0.25">
      <c r="A186" s="227">
        <v>44194</v>
      </c>
      <c r="B186" s="228">
        <v>2665.7</v>
      </c>
      <c r="C186" s="228">
        <v>2690</v>
      </c>
      <c r="D186" s="228">
        <v>2694.7</v>
      </c>
      <c r="E186" s="228">
        <v>2645</v>
      </c>
      <c r="F186">
        <v>345140</v>
      </c>
      <c r="G186" s="228">
        <v>-4.5999999999999999E-3</v>
      </c>
      <c r="H186" s="228">
        <f>YEAR(AVEU_Historical_Data__2[[#This Row],[Date]])</f>
        <v>2020</v>
      </c>
      <c r="I186" s="228">
        <f>ROUNDUP((MOD(MONTH(AVEU_Historical_Data__2[[#This Row],[Date]])+8,12)+1)/3,0)</f>
        <v>3</v>
      </c>
      <c r="J186" s="228">
        <f>MONTH(AVEU_Historical_Data__2[[#This Row],[Date]])</f>
        <v>12</v>
      </c>
      <c r="K186" s="228"/>
    </row>
    <row r="187" spans="1:11" x14ac:dyDescent="0.25">
      <c r="A187" s="227">
        <v>44195</v>
      </c>
      <c r="B187" s="228">
        <v>2680.3</v>
      </c>
      <c r="C187" s="228">
        <v>2666.2</v>
      </c>
      <c r="D187" s="228">
        <v>2725</v>
      </c>
      <c r="E187" s="228">
        <v>2642.35</v>
      </c>
      <c r="F187">
        <v>479320</v>
      </c>
      <c r="G187" s="228">
        <v>5.4999999999999997E-3</v>
      </c>
      <c r="H187" s="228">
        <f>YEAR(AVEU_Historical_Data__2[[#This Row],[Date]])</f>
        <v>2020</v>
      </c>
      <c r="I187" s="228">
        <f>ROUNDUP((MOD(MONTH(AVEU_Historical_Data__2[[#This Row],[Date]])+8,12)+1)/3,0)</f>
        <v>3</v>
      </c>
      <c r="J187" s="228">
        <f>MONTH(AVEU_Historical_Data__2[[#This Row],[Date]])</f>
        <v>12</v>
      </c>
      <c r="K187" s="228"/>
    </row>
    <row r="188" spans="1:11" x14ac:dyDescent="0.25">
      <c r="A188" s="227">
        <v>44196</v>
      </c>
      <c r="B188" s="228">
        <v>2763.6</v>
      </c>
      <c r="C188" s="228">
        <v>2691</v>
      </c>
      <c r="D188" s="228">
        <v>2780</v>
      </c>
      <c r="E188" s="228">
        <v>2670</v>
      </c>
      <c r="F188">
        <v>984710</v>
      </c>
      <c r="G188" s="228">
        <v>3.1099999999999999E-2</v>
      </c>
      <c r="H188" s="228">
        <f>YEAR(AVEU_Historical_Data__2[[#This Row],[Date]])</f>
        <v>2020</v>
      </c>
      <c r="I188" s="228">
        <f>ROUNDUP((MOD(MONTH(AVEU_Historical_Data__2[[#This Row],[Date]])+8,12)+1)/3,0)</f>
        <v>3</v>
      </c>
      <c r="J188" s="228">
        <f>MONTH(AVEU_Historical_Data__2[[#This Row],[Date]])</f>
        <v>12</v>
      </c>
      <c r="K188" s="228"/>
    </row>
    <row r="189" spans="1:11" x14ac:dyDescent="0.25">
      <c r="A189" s="227">
        <v>44197</v>
      </c>
      <c r="B189" s="228">
        <v>2789.1</v>
      </c>
      <c r="C189" s="228">
        <v>2767</v>
      </c>
      <c r="D189" s="228">
        <v>2804.1</v>
      </c>
      <c r="E189" s="228">
        <v>2747</v>
      </c>
      <c r="F189">
        <v>432860</v>
      </c>
      <c r="G189" s="228">
        <v>9.1999999999999998E-3</v>
      </c>
      <c r="H189" s="228">
        <f>YEAR(AVEU_Historical_Data__2[[#This Row],[Date]])</f>
        <v>2021</v>
      </c>
      <c r="I189" s="228">
        <f>ROUNDUP((MOD(MONTH(AVEU_Historical_Data__2[[#This Row],[Date]])+8,12)+1)/3,0)</f>
        <v>4</v>
      </c>
      <c r="J189" s="228">
        <f>MONTH(AVEU_Historical_Data__2[[#This Row],[Date]])</f>
        <v>1</v>
      </c>
      <c r="K189" s="228"/>
    </row>
    <row r="190" spans="1:11" x14ac:dyDescent="0.25">
      <c r="A190" s="227">
        <v>44200</v>
      </c>
      <c r="B190" s="228">
        <v>2898.45</v>
      </c>
      <c r="C190" s="228">
        <v>2808</v>
      </c>
      <c r="D190" s="228">
        <v>2949</v>
      </c>
      <c r="E190" s="228">
        <v>2805</v>
      </c>
      <c r="F190">
        <v>868530</v>
      </c>
      <c r="G190" s="228">
        <v>3.9199999999999999E-2</v>
      </c>
      <c r="H190" s="228">
        <f>YEAR(AVEU_Historical_Data__2[[#This Row],[Date]])</f>
        <v>2021</v>
      </c>
      <c r="I190" s="228">
        <f>ROUNDUP((MOD(MONTH(AVEU_Historical_Data__2[[#This Row],[Date]])+8,12)+1)/3,0)</f>
        <v>4</v>
      </c>
      <c r="J190" s="228">
        <f>MONTH(AVEU_Historical_Data__2[[#This Row],[Date]])</f>
        <v>1</v>
      </c>
      <c r="K190" s="228"/>
    </row>
    <row r="191" spans="1:11" x14ac:dyDescent="0.25">
      <c r="A191" s="227">
        <v>44201</v>
      </c>
      <c r="B191" s="228">
        <v>2991.15</v>
      </c>
      <c r="C191" s="228">
        <v>2890</v>
      </c>
      <c r="D191" s="228">
        <v>3064</v>
      </c>
      <c r="E191" s="228">
        <v>2810.1</v>
      </c>
      <c r="F191">
        <v>808890</v>
      </c>
      <c r="G191" s="228">
        <v>3.2000000000000001E-2</v>
      </c>
      <c r="H191" s="228">
        <f>YEAR(AVEU_Historical_Data__2[[#This Row],[Date]])</f>
        <v>2021</v>
      </c>
      <c r="I191" s="228">
        <f>ROUNDUP((MOD(MONTH(AVEU_Historical_Data__2[[#This Row],[Date]])+8,12)+1)/3,0)</f>
        <v>4</v>
      </c>
      <c r="J191" s="228">
        <f>MONTH(AVEU_Historical_Data__2[[#This Row],[Date]])</f>
        <v>1</v>
      </c>
      <c r="K191" s="228"/>
    </row>
    <row r="192" spans="1:11" x14ac:dyDescent="0.25">
      <c r="A192" s="227">
        <v>44202</v>
      </c>
      <c r="B192" s="228">
        <v>2914.95</v>
      </c>
      <c r="C192" s="228">
        <v>3006.45</v>
      </c>
      <c r="D192" s="228">
        <v>3100</v>
      </c>
      <c r="E192" s="228">
        <v>2832.8</v>
      </c>
      <c r="F192">
        <v>1110000</v>
      </c>
      <c r="G192" s="228">
        <v>-2.5499999999999998E-2</v>
      </c>
      <c r="H192" s="228">
        <f>YEAR(AVEU_Historical_Data__2[[#This Row],[Date]])</f>
        <v>2021</v>
      </c>
      <c r="I192" s="228">
        <f>ROUNDUP((MOD(MONTH(AVEU_Historical_Data__2[[#This Row],[Date]])+8,12)+1)/3,0)</f>
        <v>4</v>
      </c>
      <c r="J192" s="228">
        <f>MONTH(AVEU_Historical_Data__2[[#This Row],[Date]])</f>
        <v>1</v>
      </c>
      <c r="K192" s="228"/>
    </row>
    <row r="193" spans="1:11" x14ac:dyDescent="0.25">
      <c r="A193" s="227">
        <v>44203</v>
      </c>
      <c r="B193" s="228">
        <v>2921.45</v>
      </c>
      <c r="C193" s="228">
        <v>2971.7</v>
      </c>
      <c r="D193" s="228">
        <v>3008</v>
      </c>
      <c r="E193" s="228">
        <v>2880</v>
      </c>
      <c r="F193">
        <v>872260</v>
      </c>
      <c r="G193" s="228">
        <v>2.2000000000000001E-3</v>
      </c>
      <c r="H193" s="228">
        <f>YEAR(AVEU_Historical_Data__2[[#This Row],[Date]])</f>
        <v>2021</v>
      </c>
      <c r="I193" s="228">
        <f>ROUNDUP((MOD(MONTH(AVEU_Historical_Data__2[[#This Row],[Date]])+8,12)+1)/3,0)</f>
        <v>4</v>
      </c>
      <c r="J193" s="228">
        <f>MONTH(AVEU_Historical_Data__2[[#This Row],[Date]])</f>
        <v>1</v>
      </c>
      <c r="K193" s="228"/>
    </row>
    <row r="194" spans="1:11" x14ac:dyDescent="0.25">
      <c r="A194" s="227">
        <v>44204</v>
      </c>
      <c r="B194" s="228">
        <v>2967.5</v>
      </c>
      <c r="C194" s="228">
        <v>2949.9</v>
      </c>
      <c r="D194" s="228">
        <v>2999</v>
      </c>
      <c r="E194" s="228">
        <v>2932.25</v>
      </c>
      <c r="F194">
        <v>742340</v>
      </c>
      <c r="G194" s="228">
        <v>1.5800000000000002E-2</v>
      </c>
      <c r="H194" s="228">
        <f>YEAR(AVEU_Historical_Data__2[[#This Row],[Date]])</f>
        <v>2021</v>
      </c>
      <c r="I194" s="228">
        <f>ROUNDUP((MOD(MONTH(AVEU_Historical_Data__2[[#This Row],[Date]])+8,12)+1)/3,0)</f>
        <v>4</v>
      </c>
      <c r="J194" s="228">
        <f>MONTH(AVEU_Historical_Data__2[[#This Row],[Date]])</f>
        <v>1</v>
      </c>
      <c r="K194" s="228"/>
    </row>
    <row r="195" spans="1:11" x14ac:dyDescent="0.25">
      <c r="A195" s="227">
        <v>44207</v>
      </c>
      <c r="B195" s="228">
        <v>2984.85</v>
      </c>
      <c r="C195" s="228">
        <v>3137</v>
      </c>
      <c r="D195" s="228">
        <v>3137</v>
      </c>
      <c r="E195" s="228">
        <v>2940</v>
      </c>
      <c r="F195">
        <v>1850000</v>
      </c>
      <c r="G195" s="228">
        <v>5.7999999999999996E-3</v>
      </c>
      <c r="H195" s="228">
        <f>YEAR(AVEU_Historical_Data__2[[#This Row],[Date]])</f>
        <v>2021</v>
      </c>
      <c r="I195" s="228">
        <f>ROUNDUP((MOD(MONTH(AVEU_Historical_Data__2[[#This Row],[Date]])+8,12)+1)/3,0)</f>
        <v>4</v>
      </c>
      <c r="J195" s="228">
        <f>MONTH(AVEU_Historical_Data__2[[#This Row],[Date]])</f>
        <v>1</v>
      </c>
      <c r="K195" s="228"/>
    </row>
    <row r="196" spans="1:11" x14ac:dyDescent="0.25">
      <c r="A196" s="227">
        <v>44208</v>
      </c>
      <c r="B196" s="228">
        <v>2998.2</v>
      </c>
      <c r="C196" s="228">
        <v>2959</v>
      </c>
      <c r="D196" s="228">
        <v>3009.5</v>
      </c>
      <c r="E196" s="228">
        <v>2939.45</v>
      </c>
      <c r="F196">
        <v>1080000</v>
      </c>
      <c r="G196" s="228">
        <v>4.4999999999999997E-3</v>
      </c>
      <c r="H196" s="228">
        <f>YEAR(AVEU_Historical_Data__2[[#This Row],[Date]])</f>
        <v>2021</v>
      </c>
      <c r="I196" s="228">
        <f>ROUNDUP((MOD(MONTH(AVEU_Historical_Data__2[[#This Row],[Date]])+8,12)+1)/3,0)</f>
        <v>4</v>
      </c>
      <c r="J196" s="228">
        <f>MONTH(AVEU_Historical_Data__2[[#This Row],[Date]])</f>
        <v>1</v>
      </c>
      <c r="K196" s="228"/>
    </row>
    <row r="197" spans="1:11" x14ac:dyDescent="0.25">
      <c r="A197" s="227">
        <v>44209</v>
      </c>
      <c r="B197" s="228">
        <v>2926.1</v>
      </c>
      <c r="C197" s="228">
        <v>3001</v>
      </c>
      <c r="D197" s="228">
        <v>3008.65</v>
      </c>
      <c r="E197" s="228">
        <v>2878.5</v>
      </c>
      <c r="F197">
        <v>421060</v>
      </c>
      <c r="G197" s="228">
        <v>-2.4E-2</v>
      </c>
      <c r="H197" s="228">
        <f>YEAR(AVEU_Historical_Data__2[[#This Row],[Date]])</f>
        <v>2021</v>
      </c>
      <c r="I197" s="228">
        <f>ROUNDUP((MOD(MONTH(AVEU_Historical_Data__2[[#This Row],[Date]])+8,12)+1)/3,0)</f>
        <v>4</v>
      </c>
      <c r="J197" s="228">
        <f>MONTH(AVEU_Historical_Data__2[[#This Row],[Date]])</f>
        <v>1</v>
      </c>
      <c r="K197" s="228"/>
    </row>
    <row r="198" spans="1:11" x14ac:dyDescent="0.25">
      <c r="A198" s="227">
        <v>44210</v>
      </c>
      <c r="B198" s="228">
        <v>2895.55</v>
      </c>
      <c r="C198" s="228">
        <v>2939</v>
      </c>
      <c r="D198" s="228">
        <v>2940</v>
      </c>
      <c r="E198" s="228">
        <v>2875.25</v>
      </c>
      <c r="F198">
        <v>340920</v>
      </c>
      <c r="G198" s="228">
        <v>-1.04E-2</v>
      </c>
      <c r="H198" s="228">
        <f>YEAR(AVEU_Historical_Data__2[[#This Row],[Date]])</f>
        <v>2021</v>
      </c>
      <c r="I198" s="228">
        <f>ROUNDUP((MOD(MONTH(AVEU_Historical_Data__2[[#This Row],[Date]])+8,12)+1)/3,0)</f>
        <v>4</v>
      </c>
      <c r="J198" s="228">
        <f>MONTH(AVEU_Historical_Data__2[[#This Row],[Date]])</f>
        <v>1</v>
      </c>
      <c r="K198" s="228"/>
    </row>
    <row r="199" spans="1:11" x14ac:dyDescent="0.25">
      <c r="A199" s="227">
        <v>44211</v>
      </c>
      <c r="B199" s="228">
        <v>2820.95</v>
      </c>
      <c r="C199" s="228">
        <v>2904</v>
      </c>
      <c r="D199" s="228">
        <v>2920</v>
      </c>
      <c r="E199" s="228">
        <v>2801</v>
      </c>
      <c r="F199">
        <v>356130</v>
      </c>
      <c r="G199" s="228">
        <v>-2.58E-2</v>
      </c>
      <c r="H199" s="228">
        <f>YEAR(AVEU_Historical_Data__2[[#This Row],[Date]])</f>
        <v>2021</v>
      </c>
      <c r="I199" s="228">
        <f>ROUNDUP((MOD(MONTH(AVEU_Historical_Data__2[[#This Row],[Date]])+8,12)+1)/3,0)</f>
        <v>4</v>
      </c>
      <c r="J199" s="228">
        <f>MONTH(AVEU_Historical_Data__2[[#This Row],[Date]])</f>
        <v>1</v>
      </c>
      <c r="K199" s="228"/>
    </row>
    <row r="200" spans="1:11" x14ac:dyDescent="0.25">
      <c r="A200" s="227">
        <v>44214</v>
      </c>
      <c r="B200" s="228">
        <v>2744.9</v>
      </c>
      <c r="C200" s="228">
        <v>2800</v>
      </c>
      <c r="D200" s="228">
        <v>2829.9</v>
      </c>
      <c r="E200" s="228">
        <v>2715</v>
      </c>
      <c r="F200">
        <v>518630</v>
      </c>
      <c r="G200" s="228">
        <v>-2.7E-2</v>
      </c>
      <c r="H200" s="228">
        <f>YEAR(AVEU_Historical_Data__2[[#This Row],[Date]])</f>
        <v>2021</v>
      </c>
      <c r="I200" s="228">
        <f>ROUNDUP((MOD(MONTH(AVEU_Historical_Data__2[[#This Row],[Date]])+8,12)+1)/3,0)</f>
        <v>4</v>
      </c>
      <c r="J200" s="228">
        <f>MONTH(AVEU_Historical_Data__2[[#This Row],[Date]])</f>
        <v>1</v>
      </c>
      <c r="K200" s="228"/>
    </row>
    <row r="201" spans="1:11" x14ac:dyDescent="0.25">
      <c r="A201" s="227">
        <v>44215</v>
      </c>
      <c r="B201" s="228">
        <v>2778.4</v>
      </c>
      <c r="C201" s="228">
        <v>2754.9</v>
      </c>
      <c r="D201" s="228">
        <v>2818.6</v>
      </c>
      <c r="E201" s="228">
        <v>2750</v>
      </c>
      <c r="F201">
        <v>317830</v>
      </c>
      <c r="G201" s="228">
        <v>1.2200000000000001E-2</v>
      </c>
      <c r="H201" s="228">
        <f>YEAR(AVEU_Historical_Data__2[[#This Row],[Date]])</f>
        <v>2021</v>
      </c>
      <c r="I201" s="228">
        <f>ROUNDUP((MOD(MONTH(AVEU_Historical_Data__2[[#This Row],[Date]])+8,12)+1)/3,0)</f>
        <v>4</v>
      </c>
      <c r="J201" s="228">
        <f>MONTH(AVEU_Historical_Data__2[[#This Row],[Date]])</f>
        <v>1</v>
      </c>
      <c r="K201" s="228"/>
    </row>
    <row r="202" spans="1:11" x14ac:dyDescent="0.25">
      <c r="A202" s="227">
        <v>44216</v>
      </c>
      <c r="B202" s="228">
        <v>2764.95</v>
      </c>
      <c r="C202" s="228">
        <v>2797.85</v>
      </c>
      <c r="D202" s="228">
        <v>2798</v>
      </c>
      <c r="E202" s="228">
        <v>2740.1</v>
      </c>
      <c r="F202">
        <v>303830</v>
      </c>
      <c r="G202" s="228">
        <v>-4.7999999999999996E-3</v>
      </c>
      <c r="H202" s="228">
        <f>YEAR(AVEU_Historical_Data__2[[#This Row],[Date]])</f>
        <v>2021</v>
      </c>
      <c r="I202" s="228">
        <f>ROUNDUP((MOD(MONTH(AVEU_Historical_Data__2[[#This Row],[Date]])+8,12)+1)/3,0)</f>
        <v>4</v>
      </c>
      <c r="J202" s="228">
        <f>MONTH(AVEU_Historical_Data__2[[#This Row],[Date]])</f>
        <v>1</v>
      </c>
      <c r="K202" s="228"/>
    </row>
    <row r="203" spans="1:11" x14ac:dyDescent="0.25">
      <c r="A203" s="227">
        <v>44217</v>
      </c>
      <c r="B203" s="228">
        <v>2719.15</v>
      </c>
      <c r="C203" s="228">
        <v>2775</v>
      </c>
      <c r="D203" s="228">
        <v>2802.95</v>
      </c>
      <c r="E203" s="228">
        <v>2701</v>
      </c>
      <c r="F203">
        <v>342830</v>
      </c>
      <c r="G203" s="228">
        <v>-1.66E-2</v>
      </c>
      <c r="H203" s="228">
        <f>YEAR(AVEU_Historical_Data__2[[#This Row],[Date]])</f>
        <v>2021</v>
      </c>
      <c r="I203" s="228">
        <f>ROUNDUP((MOD(MONTH(AVEU_Historical_Data__2[[#This Row],[Date]])+8,12)+1)/3,0)</f>
        <v>4</v>
      </c>
      <c r="J203" s="228">
        <f>MONTH(AVEU_Historical_Data__2[[#This Row],[Date]])</f>
        <v>1</v>
      </c>
      <c r="K203" s="228"/>
    </row>
    <row r="204" spans="1:11" x14ac:dyDescent="0.25">
      <c r="A204" s="227">
        <v>44218</v>
      </c>
      <c r="B204" s="228">
        <v>2862.75</v>
      </c>
      <c r="C204" s="228">
        <v>2730.1</v>
      </c>
      <c r="D204" s="228">
        <v>2899</v>
      </c>
      <c r="E204" s="228">
        <v>2730</v>
      </c>
      <c r="F204">
        <v>1030000</v>
      </c>
      <c r="G204" s="228">
        <v>5.28E-2</v>
      </c>
      <c r="H204" s="228">
        <f>YEAR(AVEU_Historical_Data__2[[#This Row],[Date]])</f>
        <v>2021</v>
      </c>
      <c r="I204" s="228">
        <f>ROUNDUP((MOD(MONTH(AVEU_Historical_Data__2[[#This Row],[Date]])+8,12)+1)/3,0)</f>
        <v>4</v>
      </c>
      <c r="J204" s="228">
        <f>MONTH(AVEU_Historical_Data__2[[#This Row],[Date]])</f>
        <v>1</v>
      </c>
      <c r="K204" s="228"/>
    </row>
    <row r="205" spans="1:11" x14ac:dyDescent="0.25">
      <c r="A205" s="227">
        <v>44221</v>
      </c>
      <c r="B205" s="228">
        <v>2837</v>
      </c>
      <c r="C205" s="228">
        <v>2894</v>
      </c>
      <c r="D205" s="228">
        <v>2940.65</v>
      </c>
      <c r="E205" s="228">
        <v>2805.4</v>
      </c>
      <c r="F205">
        <v>460310</v>
      </c>
      <c r="G205" s="228">
        <v>-8.9999999999999993E-3</v>
      </c>
      <c r="H205" s="228">
        <f>YEAR(AVEU_Historical_Data__2[[#This Row],[Date]])</f>
        <v>2021</v>
      </c>
      <c r="I205" s="228">
        <f>ROUNDUP((MOD(MONTH(AVEU_Historical_Data__2[[#This Row],[Date]])+8,12)+1)/3,0)</f>
        <v>4</v>
      </c>
      <c r="J205" s="228">
        <f>MONTH(AVEU_Historical_Data__2[[#This Row],[Date]])</f>
        <v>1</v>
      </c>
      <c r="K205" s="228"/>
    </row>
    <row r="206" spans="1:11" x14ac:dyDescent="0.25">
      <c r="A206" s="227">
        <v>44223</v>
      </c>
      <c r="B206" s="228">
        <v>2811.75</v>
      </c>
      <c r="C206" s="228">
        <v>2850.7</v>
      </c>
      <c r="D206" s="228">
        <v>2889.55</v>
      </c>
      <c r="E206" s="228">
        <v>2790</v>
      </c>
      <c r="F206">
        <v>550090</v>
      </c>
      <c r="G206" s="228">
        <v>-8.8999999999999999E-3</v>
      </c>
      <c r="H206" s="228">
        <f>YEAR(AVEU_Historical_Data__2[[#This Row],[Date]])</f>
        <v>2021</v>
      </c>
      <c r="I206" s="228">
        <f>ROUNDUP((MOD(MONTH(AVEU_Historical_Data__2[[#This Row],[Date]])+8,12)+1)/3,0)</f>
        <v>4</v>
      </c>
      <c r="J206" s="228">
        <f>MONTH(AVEU_Historical_Data__2[[#This Row],[Date]])</f>
        <v>1</v>
      </c>
      <c r="K206" s="228"/>
    </row>
    <row r="207" spans="1:11" x14ac:dyDescent="0.25">
      <c r="A207" s="227">
        <v>44224</v>
      </c>
      <c r="B207" s="228">
        <v>2794.45</v>
      </c>
      <c r="C207" s="228">
        <v>2812</v>
      </c>
      <c r="D207" s="228">
        <v>2879.75</v>
      </c>
      <c r="E207" s="228">
        <v>2771</v>
      </c>
      <c r="F207">
        <v>620350</v>
      </c>
      <c r="G207" s="228">
        <v>-6.1999999999999998E-3</v>
      </c>
      <c r="H207" s="228">
        <f>YEAR(AVEU_Historical_Data__2[[#This Row],[Date]])</f>
        <v>2021</v>
      </c>
      <c r="I207" s="228">
        <f>ROUNDUP((MOD(MONTH(AVEU_Historical_Data__2[[#This Row],[Date]])+8,12)+1)/3,0)</f>
        <v>4</v>
      </c>
      <c r="J207" s="228">
        <f>MONTH(AVEU_Historical_Data__2[[#This Row],[Date]])</f>
        <v>1</v>
      </c>
      <c r="K207" s="228"/>
    </row>
    <row r="208" spans="1:11" x14ac:dyDescent="0.25">
      <c r="A208" s="227">
        <v>44225</v>
      </c>
      <c r="B208" s="228">
        <v>2651.5</v>
      </c>
      <c r="C208" s="228">
        <v>2825</v>
      </c>
      <c r="D208" s="228">
        <v>2836</v>
      </c>
      <c r="E208" s="228">
        <v>2610</v>
      </c>
      <c r="F208">
        <v>900890</v>
      </c>
      <c r="G208" s="228">
        <v>-5.1200000000000002E-2</v>
      </c>
      <c r="H208" s="228">
        <f>YEAR(AVEU_Historical_Data__2[[#This Row],[Date]])</f>
        <v>2021</v>
      </c>
      <c r="I208" s="228">
        <f>ROUNDUP((MOD(MONTH(AVEU_Historical_Data__2[[#This Row],[Date]])+8,12)+1)/3,0)</f>
        <v>4</v>
      </c>
      <c r="J208" s="228">
        <f>MONTH(AVEU_Historical_Data__2[[#This Row],[Date]])</f>
        <v>1</v>
      </c>
      <c r="K208" s="228"/>
    </row>
    <row r="209" spans="1:11" x14ac:dyDescent="0.25">
      <c r="A209" s="227">
        <v>44228</v>
      </c>
      <c r="B209" s="228">
        <v>2812</v>
      </c>
      <c r="C209" s="228">
        <v>2700</v>
      </c>
      <c r="D209" s="228">
        <v>2894</v>
      </c>
      <c r="E209" s="228">
        <v>2640</v>
      </c>
      <c r="F209">
        <v>1120000</v>
      </c>
      <c r="G209" s="228">
        <v>6.0499999999999998E-2</v>
      </c>
      <c r="H209" s="228">
        <f>YEAR(AVEU_Historical_Data__2[[#This Row],[Date]])</f>
        <v>2021</v>
      </c>
      <c r="I209" s="228">
        <f>ROUNDUP((MOD(MONTH(AVEU_Historical_Data__2[[#This Row],[Date]])+8,12)+1)/3,0)</f>
        <v>4</v>
      </c>
      <c r="J209" s="228">
        <f>MONTH(AVEU_Historical_Data__2[[#This Row],[Date]])</f>
        <v>2</v>
      </c>
      <c r="K209" s="228"/>
    </row>
    <row r="210" spans="1:11" x14ac:dyDescent="0.25">
      <c r="A210" s="227">
        <v>44229</v>
      </c>
      <c r="B210" s="228">
        <v>2869.1</v>
      </c>
      <c r="C210" s="228">
        <v>2820.5</v>
      </c>
      <c r="D210" s="228">
        <v>2907</v>
      </c>
      <c r="E210" s="228">
        <v>2781.7</v>
      </c>
      <c r="F210">
        <v>837630</v>
      </c>
      <c r="G210" s="228">
        <v>2.0299999999999999E-2</v>
      </c>
      <c r="H210" s="228">
        <f>YEAR(AVEU_Historical_Data__2[[#This Row],[Date]])</f>
        <v>2021</v>
      </c>
      <c r="I210" s="228">
        <f>ROUNDUP((MOD(MONTH(AVEU_Historical_Data__2[[#This Row],[Date]])+8,12)+1)/3,0)</f>
        <v>4</v>
      </c>
      <c r="J210" s="228">
        <f>MONTH(AVEU_Historical_Data__2[[#This Row],[Date]])</f>
        <v>2</v>
      </c>
      <c r="K210" s="228"/>
    </row>
    <row r="211" spans="1:11" x14ac:dyDescent="0.25">
      <c r="A211" s="227">
        <v>44230</v>
      </c>
      <c r="B211" s="228">
        <v>2877</v>
      </c>
      <c r="C211" s="228">
        <v>2864.8</v>
      </c>
      <c r="D211" s="228">
        <v>2945.75</v>
      </c>
      <c r="E211" s="228">
        <v>2825.2</v>
      </c>
      <c r="F211">
        <v>575810</v>
      </c>
      <c r="G211" s="228">
        <v>2.8E-3</v>
      </c>
      <c r="H211" s="228">
        <f>YEAR(AVEU_Historical_Data__2[[#This Row],[Date]])</f>
        <v>2021</v>
      </c>
      <c r="I211" s="228">
        <f>ROUNDUP((MOD(MONTH(AVEU_Historical_Data__2[[#This Row],[Date]])+8,12)+1)/3,0)</f>
        <v>4</v>
      </c>
      <c r="J211" s="228">
        <f>MONTH(AVEU_Historical_Data__2[[#This Row],[Date]])</f>
        <v>2</v>
      </c>
      <c r="K211" s="228"/>
    </row>
    <row r="212" spans="1:11" x14ac:dyDescent="0.25">
      <c r="A212" s="227">
        <v>44231</v>
      </c>
      <c r="B212" s="228">
        <v>2959.85</v>
      </c>
      <c r="C212" s="228">
        <v>2891.35</v>
      </c>
      <c r="D212" s="228">
        <v>2975</v>
      </c>
      <c r="E212" s="228">
        <v>2871</v>
      </c>
      <c r="F212">
        <v>592420</v>
      </c>
      <c r="G212" s="228">
        <v>2.8799999999999999E-2</v>
      </c>
      <c r="H212" s="228">
        <f>YEAR(AVEU_Historical_Data__2[[#This Row],[Date]])</f>
        <v>2021</v>
      </c>
      <c r="I212" s="228">
        <f>ROUNDUP((MOD(MONTH(AVEU_Historical_Data__2[[#This Row],[Date]])+8,12)+1)/3,0)</f>
        <v>4</v>
      </c>
      <c r="J212" s="228">
        <f>MONTH(AVEU_Historical_Data__2[[#This Row],[Date]])</f>
        <v>2</v>
      </c>
      <c r="K212" s="228"/>
    </row>
    <row r="213" spans="1:11" x14ac:dyDescent="0.25">
      <c r="A213" s="227">
        <v>44232</v>
      </c>
      <c r="B213" s="228">
        <v>2946.05</v>
      </c>
      <c r="C213" s="228">
        <v>2959.95</v>
      </c>
      <c r="D213" s="228">
        <v>2987</v>
      </c>
      <c r="E213" s="228">
        <v>2922.85</v>
      </c>
      <c r="F213">
        <v>349720</v>
      </c>
      <c r="G213" s="228">
        <v>-4.7000000000000002E-3</v>
      </c>
      <c r="H213" s="228">
        <f>YEAR(AVEU_Historical_Data__2[[#This Row],[Date]])</f>
        <v>2021</v>
      </c>
      <c r="I213" s="228">
        <f>ROUNDUP((MOD(MONTH(AVEU_Historical_Data__2[[#This Row],[Date]])+8,12)+1)/3,0)</f>
        <v>4</v>
      </c>
      <c r="J213" s="228">
        <f>MONTH(AVEU_Historical_Data__2[[#This Row],[Date]])</f>
        <v>2</v>
      </c>
      <c r="K213" s="228"/>
    </row>
    <row r="214" spans="1:11" x14ac:dyDescent="0.25">
      <c r="A214" s="227">
        <v>44235</v>
      </c>
      <c r="B214" s="228">
        <v>2984.4</v>
      </c>
      <c r="C214" s="228">
        <v>2948</v>
      </c>
      <c r="D214" s="228">
        <v>3009</v>
      </c>
      <c r="E214" s="228">
        <v>2910.5</v>
      </c>
      <c r="F214">
        <v>442780</v>
      </c>
      <c r="G214" s="228">
        <v>1.2999999999999999E-2</v>
      </c>
      <c r="H214" s="228">
        <f>YEAR(AVEU_Historical_Data__2[[#This Row],[Date]])</f>
        <v>2021</v>
      </c>
      <c r="I214" s="228">
        <f>ROUNDUP((MOD(MONTH(AVEU_Historical_Data__2[[#This Row],[Date]])+8,12)+1)/3,0)</f>
        <v>4</v>
      </c>
      <c r="J214" s="228">
        <f>MONTH(AVEU_Historical_Data__2[[#This Row],[Date]])</f>
        <v>2</v>
      </c>
      <c r="K214" s="228"/>
    </row>
    <row r="215" spans="1:11" x14ac:dyDescent="0.25">
      <c r="A215" s="227">
        <v>44236</v>
      </c>
      <c r="B215" s="228">
        <v>2925</v>
      </c>
      <c r="C215" s="228">
        <v>3005</v>
      </c>
      <c r="D215" s="228">
        <v>3007.9</v>
      </c>
      <c r="E215" s="228">
        <v>2900</v>
      </c>
      <c r="F215">
        <v>281240</v>
      </c>
      <c r="G215" s="228">
        <v>-1.9900000000000001E-2</v>
      </c>
      <c r="H215" s="228">
        <f>YEAR(AVEU_Historical_Data__2[[#This Row],[Date]])</f>
        <v>2021</v>
      </c>
      <c r="I215" s="228">
        <f>ROUNDUP((MOD(MONTH(AVEU_Historical_Data__2[[#This Row],[Date]])+8,12)+1)/3,0)</f>
        <v>4</v>
      </c>
      <c r="J215" s="228">
        <f>MONTH(AVEU_Historical_Data__2[[#This Row],[Date]])</f>
        <v>2</v>
      </c>
      <c r="K215" s="228"/>
    </row>
    <row r="216" spans="1:11" x14ac:dyDescent="0.25">
      <c r="A216" s="227">
        <v>44237</v>
      </c>
      <c r="B216" s="228">
        <v>2967.7</v>
      </c>
      <c r="C216" s="228">
        <v>2925</v>
      </c>
      <c r="D216" s="228">
        <v>2980</v>
      </c>
      <c r="E216" s="228">
        <v>2910.35</v>
      </c>
      <c r="F216">
        <v>326070</v>
      </c>
      <c r="G216" s="228">
        <v>1.46E-2</v>
      </c>
      <c r="H216" s="228">
        <f>YEAR(AVEU_Historical_Data__2[[#This Row],[Date]])</f>
        <v>2021</v>
      </c>
      <c r="I216" s="228">
        <f>ROUNDUP((MOD(MONTH(AVEU_Historical_Data__2[[#This Row],[Date]])+8,12)+1)/3,0)</f>
        <v>4</v>
      </c>
      <c r="J216" s="228">
        <f>MONTH(AVEU_Historical_Data__2[[#This Row],[Date]])</f>
        <v>2</v>
      </c>
      <c r="K216" s="228"/>
    </row>
    <row r="217" spans="1:11" x14ac:dyDescent="0.25">
      <c r="A217" s="227">
        <v>44238</v>
      </c>
      <c r="B217" s="228">
        <v>2951.9</v>
      </c>
      <c r="C217" s="228">
        <v>2975</v>
      </c>
      <c r="D217" s="228">
        <v>2998</v>
      </c>
      <c r="E217" s="228">
        <v>2924.15</v>
      </c>
      <c r="F217">
        <v>236560</v>
      </c>
      <c r="G217" s="228">
        <v>-5.3E-3</v>
      </c>
      <c r="H217" s="228">
        <f>YEAR(AVEU_Historical_Data__2[[#This Row],[Date]])</f>
        <v>2021</v>
      </c>
      <c r="I217" s="228">
        <f>ROUNDUP((MOD(MONTH(AVEU_Historical_Data__2[[#This Row],[Date]])+8,12)+1)/3,0)</f>
        <v>4</v>
      </c>
      <c r="J217" s="228">
        <f>MONTH(AVEU_Historical_Data__2[[#This Row],[Date]])</f>
        <v>2</v>
      </c>
      <c r="K217" s="228"/>
    </row>
    <row r="218" spans="1:11" x14ac:dyDescent="0.25">
      <c r="A218" s="227">
        <v>44239</v>
      </c>
      <c r="B218" s="228">
        <v>2928.9</v>
      </c>
      <c r="C218" s="228">
        <v>2960</v>
      </c>
      <c r="D218" s="228">
        <v>2963.55</v>
      </c>
      <c r="E218" s="228">
        <v>2915</v>
      </c>
      <c r="F218">
        <v>188890</v>
      </c>
      <c r="G218" s="228">
        <v>-7.7999999999999996E-3</v>
      </c>
      <c r="H218" s="228">
        <f>YEAR(AVEU_Historical_Data__2[[#This Row],[Date]])</f>
        <v>2021</v>
      </c>
      <c r="I218" s="228">
        <f>ROUNDUP((MOD(MONTH(AVEU_Historical_Data__2[[#This Row],[Date]])+8,12)+1)/3,0)</f>
        <v>4</v>
      </c>
      <c r="J218" s="228">
        <f>MONTH(AVEU_Historical_Data__2[[#This Row],[Date]])</f>
        <v>2</v>
      </c>
      <c r="K218" s="228"/>
    </row>
    <row r="219" spans="1:11" x14ac:dyDescent="0.25">
      <c r="A219" s="227">
        <v>44242</v>
      </c>
      <c r="B219" s="228">
        <v>3044.55</v>
      </c>
      <c r="C219" s="228">
        <v>2955</v>
      </c>
      <c r="D219" s="228">
        <v>3060</v>
      </c>
      <c r="E219" s="228">
        <v>2933</v>
      </c>
      <c r="F219">
        <v>868080</v>
      </c>
      <c r="G219" s="228">
        <v>3.95E-2</v>
      </c>
      <c r="H219" s="228">
        <f>YEAR(AVEU_Historical_Data__2[[#This Row],[Date]])</f>
        <v>2021</v>
      </c>
      <c r="I219" s="228">
        <f>ROUNDUP((MOD(MONTH(AVEU_Historical_Data__2[[#This Row],[Date]])+8,12)+1)/3,0)</f>
        <v>4</v>
      </c>
      <c r="J219" s="228">
        <f>MONTH(AVEU_Historical_Data__2[[#This Row],[Date]])</f>
        <v>2</v>
      </c>
      <c r="K219" s="228"/>
    </row>
    <row r="220" spans="1:11" x14ac:dyDescent="0.25">
      <c r="A220" s="227">
        <v>44243</v>
      </c>
      <c r="B220" s="228">
        <v>3130.85</v>
      </c>
      <c r="C220" s="228">
        <v>3054</v>
      </c>
      <c r="D220" s="228">
        <v>3155</v>
      </c>
      <c r="E220" s="228">
        <v>3045.95</v>
      </c>
      <c r="F220">
        <v>792800</v>
      </c>
      <c r="G220" s="228">
        <v>2.8299999999999999E-2</v>
      </c>
      <c r="H220" s="228">
        <f>YEAR(AVEU_Historical_Data__2[[#This Row],[Date]])</f>
        <v>2021</v>
      </c>
      <c r="I220" s="228">
        <f>ROUNDUP((MOD(MONTH(AVEU_Historical_Data__2[[#This Row],[Date]])+8,12)+1)/3,0)</f>
        <v>4</v>
      </c>
      <c r="J220" s="228">
        <f>MONTH(AVEU_Historical_Data__2[[#This Row],[Date]])</f>
        <v>2</v>
      </c>
      <c r="K220" s="228"/>
    </row>
    <row r="221" spans="1:11" x14ac:dyDescent="0.25">
      <c r="A221" s="227">
        <v>44244</v>
      </c>
      <c r="B221" s="228">
        <v>3190.25</v>
      </c>
      <c r="C221" s="228">
        <v>3120</v>
      </c>
      <c r="D221" s="228">
        <v>3242</v>
      </c>
      <c r="E221" s="228">
        <v>3090</v>
      </c>
      <c r="F221">
        <v>918190</v>
      </c>
      <c r="G221" s="228">
        <v>1.9E-2</v>
      </c>
      <c r="H221" s="228">
        <f>YEAR(AVEU_Historical_Data__2[[#This Row],[Date]])</f>
        <v>2021</v>
      </c>
      <c r="I221" s="228">
        <f>ROUNDUP((MOD(MONTH(AVEU_Historical_Data__2[[#This Row],[Date]])+8,12)+1)/3,0)</f>
        <v>4</v>
      </c>
      <c r="J221" s="228">
        <f>MONTH(AVEU_Historical_Data__2[[#This Row],[Date]])</f>
        <v>2</v>
      </c>
      <c r="K221" s="228"/>
    </row>
    <row r="222" spans="1:11" x14ac:dyDescent="0.25">
      <c r="A222" s="227">
        <v>44245</v>
      </c>
      <c r="B222" s="228">
        <v>3127.75</v>
      </c>
      <c r="C222" s="228">
        <v>3220.7</v>
      </c>
      <c r="D222" s="228">
        <v>3220.7</v>
      </c>
      <c r="E222" s="228">
        <v>3052.15</v>
      </c>
      <c r="F222">
        <v>697910</v>
      </c>
      <c r="G222" s="228">
        <v>-1.9599999999999999E-2</v>
      </c>
      <c r="H222" s="228">
        <f>YEAR(AVEU_Historical_Data__2[[#This Row],[Date]])</f>
        <v>2021</v>
      </c>
      <c r="I222" s="228">
        <f>ROUNDUP((MOD(MONTH(AVEU_Historical_Data__2[[#This Row],[Date]])+8,12)+1)/3,0)</f>
        <v>4</v>
      </c>
      <c r="J222" s="228">
        <f>MONTH(AVEU_Historical_Data__2[[#This Row],[Date]])</f>
        <v>2</v>
      </c>
      <c r="K222" s="228"/>
    </row>
    <row r="223" spans="1:11" x14ac:dyDescent="0.25">
      <c r="A223" s="227">
        <v>44246</v>
      </c>
      <c r="B223" s="228">
        <v>3101.65</v>
      </c>
      <c r="C223" s="228">
        <v>3127.65</v>
      </c>
      <c r="D223" s="228">
        <v>3166</v>
      </c>
      <c r="E223" s="228">
        <v>3058</v>
      </c>
      <c r="F223">
        <v>404440</v>
      </c>
      <c r="G223" s="228">
        <v>-8.3000000000000001E-3</v>
      </c>
      <c r="H223" s="228">
        <f>YEAR(AVEU_Historical_Data__2[[#This Row],[Date]])</f>
        <v>2021</v>
      </c>
      <c r="I223" s="228">
        <f>ROUNDUP((MOD(MONTH(AVEU_Historical_Data__2[[#This Row],[Date]])+8,12)+1)/3,0)</f>
        <v>4</v>
      </c>
      <c r="J223" s="228">
        <f>MONTH(AVEU_Historical_Data__2[[#This Row],[Date]])</f>
        <v>2</v>
      </c>
      <c r="K223" s="228"/>
    </row>
    <row r="224" spans="1:11" x14ac:dyDescent="0.25">
      <c r="A224" s="227">
        <v>44249</v>
      </c>
      <c r="B224" s="228">
        <v>2992.6</v>
      </c>
      <c r="C224" s="228">
        <v>3093.55</v>
      </c>
      <c r="D224" s="228">
        <v>3108.4</v>
      </c>
      <c r="E224" s="228">
        <v>2950</v>
      </c>
      <c r="F224">
        <v>293190</v>
      </c>
      <c r="G224" s="228">
        <v>-3.5200000000000002E-2</v>
      </c>
      <c r="H224" s="228">
        <f>YEAR(AVEU_Historical_Data__2[[#This Row],[Date]])</f>
        <v>2021</v>
      </c>
      <c r="I224" s="228">
        <f>ROUNDUP((MOD(MONTH(AVEU_Historical_Data__2[[#This Row],[Date]])+8,12)+1)/3,0)</f>
        <v>4</v>
      </c>
      <c r="J224" s="228">
        <f>MONTH(AVEU_Historical_Data__2[[#This Row],[Date]])</f>
        <v>2</v>
      </c>
      <c r="K224" s="228"/>
    </row>
    <row r="225" spans="1:11" x14ac:dyDescent="0.25">
      <c r="A225" s="227">
        <v>44250</v>
      </c>
      <c r="B225" s="228">
        <v>3151.95</v>
      </c>
      <c r="C225" s="228">
        <v>3000</v>
      </c>
      <c r="D225" s="228">
        <v>3174</v>
      </c>
      <c r="E225" s="228">
        <v>2987.3</v>
      </c>
      <c r="F225">
        <v>605900</v>
      </c>
      <c r="G225" s="228">
        <v>5.3199999999999997E-2</v>
      </c>
      <c r="H225" s="228">
        <f>YEAR(AVEU_Historical_Data__2[[#This Row],[Date]])</f>
        <v>2021</v>
      </c>
      <c r="I225" s="228">
        <f>ROUNDUP((MOD(MONTH(AVEU_Historical_Data__2[[#This Row],[Date]])+8,12)+1)/3,0)</f>
        <v>4</v>
      </c>
      <c r="J225" s="228">
        <f>MONTH(AVEU_Historical_Data__2[[#This Row],[Date]])</f>
        <v>2</v>
      </c>
      <c r="K225" s="228"/>
    </row>
    <row r="226" spans="1:11" x14ac:dyDescent="0.25">
      <c r="A226" s="227">
        <v>44251</v>
      </c>
      <c r="B226" s="228">
        <v>3139.7</v>
      </c>
      <c r="C226" s="228">
        <v>3143</v>
      </c>
      <c r="D226" s="228">
        <v>3164</v>
      </c>
      <c r="E226" s="228">
        <v>2900</v>
      </c>
      <c r="F226">
        <v>188720</v>
      </c>
      <c r="G226" s="228">
        <v>-3.8999999999999998E-3</v>
      </c>
      <c r="H226" s="228">
        <f>YEAR(AVEU_Historical_Data__2[[#This Row],[Date]])</f>
        <v>2021</v>
      </c>
      <c r="I226" s="228">
        <f>ROUNDUP((MOD(MONTH(AVEU_Historical_Data__2[[#This Row],[Date]])+8,12)+1)/3,0)</f>
        <v>4</v>
      </c>
      <c r="J226" s="228">
        <f>MONTH(AVEU_Historical_Data__2[[#This Row],[Date]])</f>
        <v>2</v>
      </c>
      <c r="K226" s="228"/>
    </row>
    <row r="227" spans="1:11" x14ac:dyDescent="0.25">
      <c r="A227" s="227">
        <v>44252</v>
      </c>
      <c r="B227" s="228">
        <v>3089.2</v>
      </c>
      <c r="C227" s="228">
        <v>3150</v>
      </c>
      <c r="D227" s="228">
        <v>3175.85</v>
      </c>
      <c r="E227" s="228">
        <v>3070</v>
      </c>
      <c r="F227">
        <v>405660</v>
      </c>
      <c r="G227" s="228">
        <v>-1.61E-2</v>
      </c>
      <c r="H227" s="228">
        <f>YEAR(AVEU_Historical_Data__2[[#This Row],[Date]])</f>
        <v>2021</v>
      </c>
      <c r="I227" s="228">
        <f>ROUNDUP((MOD(MONTH(AVEU_Historical_Data__2[[#This Row],[Date]])+8,12)+1)/3,0)</f>
        <v>4</v>
      </c>
      <c r="J227" s="228">
        <f>MONTH(AVEU_Historical_Data__2[[#This Row],[Date]])</f>
        <v>2</v>
      </c>
      <c r="K227" s="228"/>
    </row>
    <row r="228" spans="1:11" x14ac:dyDescent="0.25">
      <c r="A228" s="227">
        <v>44253</v>
      </c>
      <c r="B228" s="228">
        <v>2994.2</v>
      </c>
      <c r="C228" s="228">
        <v>3059.8</v>
      </c>
      <c r="D228" s="228">
        <v>3105</v>
      </c>
      <c r="E228" s="228">
        <v>2950</v>
      </c>
      <c r="F228">
        <v>1010000</v>
      </c>
      <c r="G228" s="228">
        <v>-3.0800000000000001E-2</v>
      </c>
      <c r="H228" s="228">
        <f>YEAR(AVEU_Historical_Data__2[[#This Row],[Date]])</f>
        <v>2021</v>
      </c>
      <c r="I228" s="228">
        <f>ROUNDUP((MOD(MONTH(AVEU_Historical_Data__2[[#This Row],[Date]])+8,12)+1)/3,0)</f>
        <v>4</v>
      </c>
      <c r="J228" s="228">
        <f>MONTH(AVEU_Historical_Data__2[[#This Row],[Date]])</f>
        <v>2</v>
      </c>
      <c r="K228" s="228"/>
    </row>
    <row r="229" spans="1:11" x14ac:dyDescent="0.25">
      <c r="A229" s="227">
        <v>44256</v>
      </c>
      <c r="B229" s="228">
        <v>2908.45</v>
      </c>
      <c r="C229" s="228">
        <v>3023.4</v>
      </c>
      <c r="D229" s="228">
        <v>3024.15</v>
      </c>
      <c r="E229" s="228">
        <v>2900</v>
      </c>
      <c r="F229">
        <v>439920</v>
      </c>
      <c r="G229" s="228">
        <v>-2.86E-2</v>
      </c>
      <c r="H229" s="228">
        <f>YEAR(AVEU_Historical_Data__2[[#This Row],[Date]])</f>
        <v>2021</v>
      </c>
      <c r="I229" s="228">
        <f>ROUNDUP((MOD(MONTH(AVEU_Historical_Data__2[[#This Row],[Date]])+8,12)+1)/3,0)</f>
        <v>4</v>
      </c>
      <c r="J229" s="228">
        <f>MONTH(AVEU_Historical_Data__2[[#This Row],[Date]])</f>
        <v>3</v>
      </c>
      <c r="K229" s="228"/>
    </row>
    <row r="230" spans="1:11" x14ac:dyDescent="0.25">
      <c r="A230" s="227">
        <v>44257</v>
      </c>
      <c r="B230" s="228">
        <v>3073.5</v>
      </c>
      <c r="C230" s="228">
        <v>2908.45</v>
      </c>
      <c r="D230" s="228">
        <v>3106</v>
      </c>
      <c r="E230" s="228">
        <v>2885.5</v>
      </c>
      <c r="F230">
        <v>721430</v>
      </c>
      <c r="G230" s="228">
        <v>5.67E-2</v>
      </c>
      <c r="H230" s="228">
        <f>YEAR(AVEU_Historical_Data__2[[#This Row],[Date]])</f>
        <v>2021</v>
      </c>
      <c r="I230" s="228">
        <f>ROUNDUP((MOD(MONTH(AVEU_Historical_Data__2[[#This Row],[Date]])+8,12)+1)/3,0)</f>
        <v>4</v>
      </c>
      <c r="J230" s="228">
        <f>MONTH(AVEU_Historical_Data__2[[#This Row],[Date]])</f>
        <v>3</v>
      </c>
      <c r="K230" s="228"/>
    </row>
    <row r="231" spans="1:11" x14ac:dyDescent="0.25">
      <c r="A231" s="227">
        <v>44258</v>
      </c>
      <c r="B231" s="228">
        <v>3167.7</v>
      </c>
      <c r="C231" s="228">
        <v>3100</v>
      </c>
      <c r="D231" s="228">
        <v>3179</v>
      </c>
      <c r="E231" s="228">
        <v>3085</v>
      </c>
      <c r="F231">
        <v>675750</v>
      </c>
      <c r="G231" s="228">
        <v>3.0599999999999999E-2</v>
      </c>
      <c r="H231" s="228">
        <f>YEAR(AVEU_Historical_Data__2[[#This Row],[Date]])</f>
        <v>2021</v>
      </c>
      <c r="I231" s="228">
        <f>ROUNDUP((MOD(MONTH(AVEU_Historical_Data__2[[#This Row],[Date]])+8,12)+1)/3,0)</f>
        <v>4</v>
      </c>
      <c r="J231" s="228">
        <f>MONTH(AVEU_Historical_Data__2[[#This Row],[Date]])</f>
        <v>3</v>
      </c>
      <c r="K231" s="228"/>
    </row>
    <row r="232" spans="1:11" x14ac:dyDescent="0.25">
      <c r="A232" s="227">
        <v>44259</v>
      </c>
      <c r="B232" s="228">
        <v>3178.7</v>
      </c>
      <c r="C232" s="228">
        <v>3129.9</v>
      </c>
      <c r="D232" s="228">
        <v>3213.85</v>
      </c>
      <c r="E232" s="228">
        <v>3115</v>
      </c>
      <c r="F232">
        <v>635420</v>
      </c>
      <c r="G232" s="228">
        <v>3.5000000000000001E-3</v>
      </c>
      <c r="H232" s="228">
        <f>YEAR(AVEU_Historical_Data__2[[#This Row],[Date]])</f>
        <v>2021</v>
      </c>
      <c r="I232" s="228">
        <f>ROUNDUP((MOD(MONTH(AVEU_Historical_Data__2[[#This Row],[Date]])+8,12)+1)/3,0)</f>
        <v>4</v>
      </c>
      <c r="J232" s="228">
        <f>MONTH(AVEU_Historical_Data__2[[#This Row],[Date]])</f>
        <v>3</v>
      </c>
      <c r="K232" s="228"/>
    </row>
    <row r="233" spans="1:11" x14ac:dyDescent="0.25">
      <c r="A233" s="227">
        <v>44260</v>
      </c>
      <c r="B233" s="228">
        <v>3286.1</v>
      </c>
      <c r="C233" s="228">
        <v>3130</v>
      </c>
      <c r="D233" s="228">
        <v>3330</v>
      </c>
      <c r="E233" s="228">
        <v>3120</v>
      </c>
      <c r="F233">
        <v>1540000</v>
      </c>
      <c r="G233" s="228">
        <v>3.3799999999999997E-2</v>
      </c>
      <c r="H233" s="228">
        <f>YEAR(AVEU_Historical_Data__2[[#This Row],[Date]])</f>
        <v>2021</v>
      </c>
      <c r="I233" s="228">
        <f>ROUNDUP((MOD(MONTH(AVEU_Historical_Data__2[[#This Row],[Date]])+8,12)+1)/3,0)</f>
        <v>4</v>
      </c>
      <c r="J233" s="228">
        <f>MONTH(AVEU_Historical_Data__2[[#This Row],[Date]])</f>
        <v>3</v>
      </c>
      <c r="K233" s="228"/>
    </row>
    <row r="234" spans="1:11" x14ac:dyDescent="0.25">
      <c r="A234" s="227">
        <v>44263</v>
      </c>
      <c r="B234" s="228">
        <v>3191.15</v>
      </c>
      <c r="C234" s="228">
        <v>3309</v>
      </c>
      <c r="D234" s="228">
        <v>3309</v>
      </c>
      <c r="E234" s="228">
        <v>3170</v>
      </c>
      <c r="F234">
        <v>406750</v>
      </c>
      <c r="G234" s="228">
        <v>-2.8899999999999999E-2</v>
      </c>
      <c r="H234" s="228">
        <f>YEAR(AVEU_Historical_Data__2[[#This Row],[Date]])</f>
        <v>2021</v>
      </c>
      <c r="I234" s="228">
        <f>ROUNDUP((MOD(MONTH(AVEU_Historical_Data__2[[#This Row],[Date]])+8,12)+1)/3,0)</f>
        <v>4</v>
      </c>
      <c r="J234" s="228">
        <f>MONTH(AVEU_Historical_Data__2[[#This Row],[Date]])</f>
        <v>3</v>
      </c>
      <c r="K234" s="228"/>
    </row>
    <row r="235" spans="1:11" x14ac:dyDescent="0.25">
      <c r="A235" s="227">
        <v>44264</v>
      </c>
      <c r="B235" s="228">
        <v>3151.85</v>
      </c>
      <c r="C235" s="228">
        <v>3196</v>
      </c>
      <c r="D235" s="228">
        <v>3254.25</v>
      </c>
      <c r="E235" s="228">
        <v>3120.15</v>
      </c>
      <c r="F235">
        <v>423690</v>
      </c>
      <c r="G235" s="228">
        <v>-1.23E-2</v>
      </c>
      <c r="H235" s="228">
        <f>YEAR(AVEU_Historical_Data__2[[#This Row],[Date]])</f>
        <v>2021</v>
      </c>
      <c r="I235" s="228">
        <f>ROUNDUP((MOD(MONTH(AVEU_Historical_Data__2[[#This Row],[Date]])+8,12)+1)/3,0)</f>
        <v>4</v>
      </c>
      <c r="J235" s="228">
        <f>MONTH(AVEU_Historical_Data__2[[#This Row],[Date]])</f>
        <v>3</v>
      </c>
      <c r="K235" s="228"/>
    </row>
    <row r="236" spans="1:11" x14ac:dyDescent="0.25">
      <c r="A236" s="227">
        <v>44265</v>
      </c>
      <c r="B236" s="228">
        <v>3155.2</v>
      </c>
      <c r="C236" s="228">
        <v>3164</v>
      </c>
      <c r="D236" s="228">
        <v>3179.9</v>
      </c>
      <c r="E236" s="228">
        <v>3113.45</v>
      </c>
      <c r="F236">
        <v>252900</v>
      </c>
      <c r="G236" s="228">
        <v>1.1000000000000001E-3</v>
      </c>
      <c r="H236" s="228">
        <f>YEAR(AVEU_Historical_Data__2[[#This Row],[Date]])</f>
        <v>2021</v>
      </c>
      <c r="I236" s="228">
        <f>ROUNDUP((MOD(MONTH(AVEU_Historical_Data__2[[#This Row],[Date]])+8,12)+1)/3,0)</f>
        <v>4</v>
      </c>
      <c r="J236" s="228">
        <f>MONTH(AVEU_Historical_Data__2[[#This Row],[Date]])</f>
        <v>3</v>
      </c>
      <c r="K236" s="228"/>
    </row>
    <row r="237" spans="1:11" x14ac:dyDescent="0.25">
      <c r="A237" s="227">
        <v>44267</v>
      </c>
      <c r="B237" s="228">
        <v>3129.35</v>
      </c>
      <c r="C237" s="228">
        <v>3183</v>
      </c>
      <c r="D237" s="228">
        <v>3228.9</v>
      </c>
      <c r="E237" s="228">
        <v>3113</v>
      </c>
      <c r="F237">
        <v>253800</v>
      </c>
      <c r="G237" s="228">
        <v>-8.2000000000000007E-3</v>
      </c>
      <c r="H237" s="228">
        <f>YEAR(AVEU_Historical_Data__2[[#This Row],[Date]])</f>
        <v>2021</v>
      </c>
      <c r="I237" s="228">
        <f>ROUNDUP((MOD(MONTH(AVEU_Historical_Data__2[[#This Row],[Date]])+8,12)+1)/3,0)</f>
        <v>4</v>
      </c>
      <c r="J237" s="228">
        <f>MONTH(AVEU_Historical_Data__2[[#This Row],[Date]])</f>
        <v>3</v>
      </c>
      <c r="K237" s="228"/>
    </row>
    <row r="238" spans="1:11" x14ac:dyDescent="0.25">
      <c r="A238" s="227">
        <v>44270</v>
      </c>
      <c r="B238" s="228">
        <v>3108.75</v>
      </c>
      <c r="C238" s="228">
        <v>3136</v>
      </c>
      <c r="D238" s="228">
        <v>3171.1</v>
      </c>
      <c r="E238" s="228">
        <v>3096</v>
      </c>
      <c r="F238">
        <v>162460</v>
      </c>
      <c r="G238" s="228">
        <v>-6.6E-3</v>
      </c>
      <c r="H238" s="228">
        <f>YEAR(AVEU_Historical_Data__2[[#This Row],[Date]])</f>
        <v>2021</v>
      </c>
      <c r="I238" s="228">
        <f>ROUNDUP((MOD(MONTH(AVEU_Historical_Data__2[[#This Row],[Date]])+8,12)+1)/3,0)</f>
        <v>4</v>
      </c>
      <c r="J238" s="228">
        <f>MONTH(AVEU_Historical_Data__2[[#This Row],[Date]])</f>
        <v>3</v>
      </c>
      <c r="K238" s="228"/>
    </row>
    <row r="239" spans="1:11" x14ac:dyDescent="0.25">
      <c r="A239" s="227">
        <v>44271</v>
      </c>
      <c r="B239" s="228">
        <v>3071</v>
      </c>
      <c r="C239" s="228">
        <v>3117</v>
      </c>
      <c r="D239" s="228">
        <v>3166</v>
      </c>
      <c r="E239" s="228">
        <v>3050</v>
      </c>
      <c r="F239">
        <v>298800</v>
      </c>
      <c r="G239" s="228">
        <v>-1.21E-2</v>
      </c>
      <c r="H239" s="228">
        <f>YEAR(AVEU_Historical_Data__2[[#This Row],[Date]])</f>
        <v>2021</v>
      </c>
      <c r="I239" s="228">
        <f>ROUNDUP((MOD(MONTH(AVEU_Historical_Data__2[[#This Row],[Date]])+8,12)+1)/3,0)</f>
        <v>4</v>
      </c>
      <c r="J239" s="228">
        <f>MONTH(AVEU_Historical_Data__2[[#This Row],[Date]])</f>
        <v>3</v>
      </c>
      <c r="K239" s="228"/>
    </row>
    <row r="240" spans="1:11" x14ac:dyDescent="0.25">
      <c r="A240" s="227">
        <v>44272</v>
      </c>
      <c r="B240" s="228">
        <v>3014.85</v>
      </c>
      <c r="C240" s="228">
        <v>3071</v>
      </c>
      <c r="D240" s="228">
        <v>3095</v>
      </c>
      <c r="E240" s="228">
        <v>2991.1</v>
      </c>
      <c r="F240">
        <v>304940</v>
      </c>
      <c r="G240" s="228">
        <v>-1.83E-2</v>
      </c>
      <c r="H240" s="228">
        <f>YEAR(AVEU_Historical_Data__2[[#This Row],[Date]])</f>
        <v>2021</v>
      </c>
      <c r="I240" s="228">
        <f>ROUNDUP((MOD(MONTH(AVEU_Historical_Data__2[[#This Row],[Date]])+8,12)+1)/3,0)</f>
        <v>4</v>
      </c>
      <c r="J240" s="228">
        <f>MONTH(AVEU_Historical_Data__2[[#This Row],[Date]])</f>
        <v>3</v>
      </c>
      <c r="K240" s="228"/>
    </row>
    <row r="241" spans="1:11" x14ac:dyDescent="0.25">
      <c r="A241" s="227">
        <v>44273</v>
      </c>
      <c r="B241" s="228">
        <v>3034.6</v>
      </c>
      <c r="C241" s="228">
        <v>3045</v>
      </c>
      <c r="D241" s="228">
        <v>3074.9</v>
      </c>
      <c r="E241" s="228">
        <v>2980</v>
      </c>
      <c r="F241">
        <v>354860</v>
      </c>
      <c r="G241" s="228">
        <v>6.6E-3</v>
      </c>
      <c r="H241" s="228">
        <f>YEAR(AVEU_Historical_Data__2[[#This Row],[Date]])</f>
        <v>2021</v>
      </c>
      <c r="I241" s="228">
        <f>ROUNDUP((MOD(MONTH(AVEU_Historical_Data__2[[#This Row],[Date]])+8,12)+1)/3,0)</f>
        <v>4</v>
      </c>
      <c r="J241" s="228">
        <f>MONTH(AVEU_Historical_Data__2[[#This Row],[Date]])</f>
        <v>3</v>
      </c>
      <c r="K241" s="228"/>
    </row>
    <row r="242" spans="1:11" x14ac:dyDescent="0.25">
      <c r="A242" s="227">
        <v>44274</v>
      </c>
      <c r="B242" s="228">
        <v>2960.3</v>
      </c>
      <c r="C242" s="228">
        <v>3021.5</v>
      </c>
      <c r="D242" s="228">
        <v>3021.5</v>
      </c>
      <c r="E242" s="228">
        <v>2925</v>
      </c>
      <c r="F242">
        <v>571000</v>
      </c>
      <c r="G242" s="228">
        <v>-2.4500000000000001E-2</v>
      </c>
      <c r="H242" s="228">
        <f>YEAR(AVEU_Historical_Data__2[[#This Row],[Date]])</f>
        <v>2021</v>
      </c>
      <c r="I242" s="228">
        <f>ROUNDUP((MOD(MONTH(AVEU_Historical_Data__2[[#This Row],[Date]])+8,12)+1)/3,0)</f>
        <v>4</v>
      </c>
      <c r="J242" s="228">
        <f>MONTH(AVEU_Historical_Data__2[[#This Row],[Date]])</f>
        <v>3</v>
      </c>
      <c r="K242" s="228"/>
    </row>
    <row r="243" spans="1:11" x14ac:dyDescent="0.25">
      <c r="A243" s="227">
        <v>44277</v>
      </c>
      <c r="B243" s="228">
        <v>2880.1</v>
      </c>
      <c r="C243" s="228">
        <v>2980</v>
      </c>
      <c r="D243" s="228">
        <v>2988</v>
      </c>
      <c r="E243" s="228">
        <v>2862</v>
      </c>
      <c r="F243">
        <v>652750</v>
      </c>
      <c r="G243" s="228">
        <v>-2.7099999999999999E-2</v>
      </c>
      <c r="H243" s="228">
        <f>YEAR(AVEU_Historical_Data__2[[#This Row],[Date]])</f>
        <v>2021</v>
      </c>
      <c r="I243" s="228">
        <f>ROUNDUP((MOD(MONTH(AVEU_Historical_Data__2[[#This Row],[Date]])+8,12)+1)/3,0)</f>
        <v>4</v>
      </c>
      <c r="J243" s="228">
        <f>MONTH(AVEU_Historical_Data__2[[#This Row],[Date]])</f>
        <v>3</v>
      </c>
      <c r="K243" s="228"/>
    </row>
    <row r="244" spans="1:11" x14ac:dyDescent="0.25">
      <c r="A244" s="227">
        <v>44278</v>
      </c>
      <c r="B244" s="228">
        <v>2933.65</v>
      </c>
      <c r="C244" s="228">
        <v>2908</v>
      </c>
      <c r="D244" s="228">
        <v>3000.8</v>
      </c>
      <c r="E244" s="228">
        <v>2905</v>
      </c>
      <c r="F244">
        <v>650770</v>
      </c>
      <c r="G244" s="228">
        <v>1.8599999999999998E-2</v>
      </c>
      <c r="H244" s="228">
        <f>YEAR(AVEU_Historical_Data__2[[#This Row],[Date]])</f>
        <v>2021</v>
      </c>
      <c r="I244" s="228">
        <f>ROUNDUP((MOD(MONTH(AVEU_Historical_Data__2[[#This Row],[Date]])+8,12)+1)/3,0)</f>
        <v>4</v>
      </c>
      <c r="J244" s="228">
        <f>MONTH(AVEU_Historical_Data__2[[#This Row],[Date]])</f>
        <v>3</v>
      </c>
      <c r="K244" s="228"/>
    </row>
    <row r="245" spans="1:11" x14ac:dyDescent="0.25">
      <c r="A245" s="227">
        <v>44279</v>
      </c>
      <c r="B245" s="228">
        <v>2855.6</v>
      </c>
      <c r="C245" s="228">
        <v>2933.65</v>
      </c>
      <c r="D245" s="228">
        <v>2947.7</v>
      </c>
      <c r="E245" s="228">
        <v>2840</v>
      </c>
      <c r="F245">
        <v>455900</v>
      </c>
      <c r="G245" s="228">
        <v>-2.6599999999999999E-2</v>
      </c>
      <c r="H245" s="228">
        <f>YEAR(AVEU_Historical_Data__2[[#This Row],[Date]])</f>
        <v>2021</v>
      </c>
      <c r="I245" s="228">
        <f>ROUNDUP((MOD(MONTH(AVEU_Historical_Data__2[[#This Row],[Date]])+8,12)+1)/3,0)</f>
        <v>4</v>
      </c>
      <c r="J245" s="228">
        <f>MONTH(AVEU_Historical_Data__2[[#This Row],[Date]])</f>
        <v>3</v>
      </c>
      <c r="K245" s="228"/>
    </row>
    <row r="246" spans="1:11" x14ac:dyDescent="0.25">
      <c r="A246" s="227">
        <v>44280</v>
      </c>
      <c r="B246" s="228">
        <v>2796</v>
      </c>
      <c r="C246" s="228">
        <v>2875</v>
      </c>
      <c r="D246" s="228">
        <v>2893</v>
      </c>
      <c r="E246" s="228">
        <v>2775</v>
      </c>
      <c r="F246">
        <v>621110</v>
      </c>
      <c r="G246" s="228">
        <v>-2.0899999999999998E-2</v>
      </c>
      <c r="H246" s="228">
        <f>YEAR(AVEU_Historical_Data__2[[#This Row],[Date]])</f>
        <v>2021</v>
      </c>
      <c r="I246" s="228">
        <f>ROUNDUP((MOD(MONTH(AVEU_Historical_Data__2[[#This Row],[Date]])+8,12)+1)/3,0)</f>
        <v>4</v>
      </c>
      <c r="J246" s="228">
        <f>MONTH(AVEU_Historical_Data__2[[#This Row],[Date]])</f>
        <v>3</v>
      </c>
      <c r="K246" s="228"/>
    </row>
    <row r="247" spans="1:11" x14ac:dyDescent="0.25">
      <c r="A247" s="227">
        <v>44281</v>
      </c>
      <c r="B247" s="228">
        <v>2855.2</v>
      </c>
      <c r="C247" s="228">
        <v>2829</v>
      </c>
      <c r="D247" s="228">
        <v>2898.8</v>
      </c>
      <c r="E247" s="228">
        <v>2805</v>
      </c>
      <c r="F247">
        <v>482760</v>
      </c>
      <c r="G247" s="228">
        <v>2.12E-2</v>
      </c>
      <c r="H247" s="228">
        <f>YEAR(AVEU_Historical_Data__2[[#This Row],[Date]])</f>
        <v>2021</v>
      </c>
      <c r="I247" s="228">
        <f>ROUNDUP((MOD(MONTH(AVEU_Historical_Data__2[[#This Row],[Date]])+8,12)+1)/3,0)</f>
        <v>4</v>
      </c>
      <c r="J247" s="228">
        <f>MONTH(AVEU_Historical_Data__2[[#This Row],[Date]])</f>
        <v>3</v>
      </c>
      <c r="K247" s="228"/>
    </row>
    <row r="248" spans="1:11" x14ac:dyDescent="0.25">
      <c r="A248" s="227">
        <v>44285</v>
      </c>
      <c r="B248" s="228">
        <v>2837.55</v>
      </c>
      <c r="C248" s="228">
        <v>2867</v>
      </c>
      <c r="D248" s="228">
        <v>2918</v>
      </c>
      <c r="E248" s="228">
        <v>2807</v>
      </c>
      <c r="F248">
        <v>696630</v>
      </c>
      <c r="G248" s="228">
        <v>-6.1999999999999998E-3</v>
      </c>
      <c r="H248" s="228">
        <f>YEAR(AVEU_Historical_Data__2[[#This Row],[Date]])</f>
        <v>2021</v>
      </c>
      <c r="I248" s="228">
        <f>ROUNDUP((MOD(MONTH(AVEU_Historical_Data__2[[#This Row],[Date]])+8,12)+1)/3,0)</f>
        <v>4</v>
      </c>
      <c r="J248" s="228">
        <f>MONTH(AVEU_Historical_Data__2[[#This Row],[Date]])</f>
        <v>3</v>
      </c>
      <c r="K248" s="228"/>
    </row>
    <row r="249" spans="1:11" x14ac:dyDescent="0.25">
      <c r="A249" s="227">
        <v>44286</v>
      </c>
      <c r="B249" s="228">
        <v>2859.05</v>
      </c>
      <c r="C249" s="228">
        <v>2869</v>
      </c>
      <c r="D249" s="228">
        <v>2890</v>
      </c>
      <c r="E249" s="228">
        <v>2830</v>
      </c>
      <c r="F249">
        <v>433040</v>
      </c>
      <c r="G249" s="228">
        <v>7.6E-3</v>
      </c>
      <c r="H249" s="228">
        <f>YEAR(AVEU_Historical_Data__2[[#This Row],[Date]])</f>
        <v>2021</v>
      </c>
      <c r="I249" s="228">
        <f>ROUNDUP((MOD(MONTH(AVEU_Historical_Data__2[[#This Row],[Date]])+8,12)+1)/3,0)</f>
        <v>4</v>
      </c>
      <c r="J249" s="228">
        <f>MONTH(AVEU_Historical_Data__2[[#This Row],[Date]])</f>
        <v>3</v>
      </c>
      <c r="K249" s="228"/>
    </row>
    <row r="250" spans="1:11" x14ac:dyDescent="0.25">
      <c r="A250" s="227">
        <v>44287</v>
      </c>
      <c r="B250" s="228">
        <v>2912.7</v>
      </c>
      <c r="C250" s="228">
        <v>2885</v>
      </c>
      <c r="D250" s="228">
        <v>2925</v>
      </c>
      <c r="E250" s="228">
        <v>2855.5</v>
      </c>
      <c r="F250">
        <v>416620</v>
      </c>
      <c r="G250" s="228">
        <v>1.8800000000000001E-2</v>
      </c>
      <c r="H250" s="228">
        <f>YEAR(AVEU_Historical_Data__2[[#This Row],[Date]])</f>
        <v>2021</v>
      </c>
      <c r="I250" s="228">
        <f>ROUNDUP((MOD(MONTH(AVEU_Historical_Data__2[[#This Row],[Date]])+8,12)+1)/3,0)</f>
        <v>1</v>
      </c>
      <c r="J250" s="228">
        <f>MONTH(AVEU_Historical_Data__2[[#This Row],[Date]])</f>
        <v>4</v>
      </c>
      <c r="K250" s="228"/>
    </row>
    <row r="251" spans="1:11" x14ac:dyDescent="0.25">
      <c r="A251" s="227">
        <v>44291</v>
      </c>
      <c r="B251" s="228">
        <v>2846.95</v>
      </c>
      <c r="C251" s="228">
        <v>2890</v>
      </c>
      <c r="D251" s="228">
        <v>2890</v>
      </c>
      <c r="E251" s="228">
        <v>2793</v>
      </c>
      <c r="F251">
        <v>460930</v>
      </c>
      <c r="G251" s="228">
        <v>-2.2599999999999999E-2</v>
      </c>
      <c r="H251" s="228">
        <f>YEAR(AVEU_Historical_Data__2[[#This Row],[Date]])</f>
        <v>2021</v>
      </c>
      <c r="I251" s="228">
        <f>ROUNDUP((MOD(MONTH(AVEU_Historical_Data__2[[#This Row],[Date]])+8,12)+1)/3,0)</f>
        <v>1</v>
      </c>
      <c r="J251" s="228">
        <f>MONTH(AVEU_Historical_Data__2[[#This Row],[Date]])</f>
        <v>4</v>
      </c>
      <c r="K251" s="228"/>
    </row>
    <row r="252" spans="1:11" x14ac:dyDescent="0.25">
      <c r="A252" s="227">
        <v>44292</v>
      </c>
      <c r="B252" s="228">
        <v>2843.65</v>
      </c>
      <c r="C252" s="228">
        <v>2873</v>
      </c>
      <c r="D252" s="228">
        <v>2878.1</v>
      </c>
      <c r="E252" s="228">
        <v>2826.1</v>
      </c>
      <c r="F252">
        <v>342980</v>
      </c>
      <c r="G252" s="228">
        <v>-1.1999999999999999E-3</v>
      </c>
      <c r="H252" s="228">
        <f>YEAR(AVEU_Historical_Data__2[[#This Row],[Date]])</f>
        <v>2021</v>
      </c>
      <c r="I252" s="228">
        <f>ROUNDUP((MOD(MONTH(AVEU_Historical_Data__2[[#This Row],[Date]])+8,12)+1)/3,0)</f>
        <v>1</v>
      </c>
      <c r="J252" s="228">
        <f>MONTH(AVEU_Historical_Data__2[[#This Row],[Date]])</f>
        <v>4</v>
      </c>
      <c r="K252" s="228"/>
    </row>
    <row r="253" spans="1:11" x14ac:dyDescent="0.25">
      <c r="A253" s="227">
        <v>44293</v>
      </c>
      <c r="B253" s="228">
        <v>2890.65</v>
      </c>
      <c r="C253" s="228">
        <v>2855</v>
      </c>
      <c r="D253" s="228">
        <v>2900</v>
      </c>
      <c r="E253" s="228">
        <v>2835</v>
      </c>
      <c r="F253">
        <v>334650</v>
      </c>
      <c r="G253" s="228">
        <v>1.6500000000000001E-2</v>
      </c>
      <c r="H253" s="228">
        <f>YEAR(AVEU_Historical_Data__2[[#This Row],[Date]])</f>
        <v>2021</v>
      </c>
      <c r="I253" s="228">
        <f>ROUNDUP((MOD(MONTH(AVEU_Historical_Data__2[[#This Row],[Date]])+8,12)+1)/3,0)</f>
        <v>1</v>
      </c>
      <c r="J253" s="228">
        <f>MONTH(AVEU_Historical_Data__2[[#This Row],[Date]])</f>
        <v>4</v>
      </c>
      <c r="K253" s="228"/>
    </row>
    <row r="254" spans="1:11" x14ac:dyDescent="0.25">
      <c r="A254" s="227">
        <v>44294</v>
      </c>
      <c r="B254" s="228">
        <v>2936.5</v>
      </c>
      <c r="C254" s="228">
        <v>2899.65</v>
      </c>
      <c r="D254" s="228">
        <v>2945</v>
      </c>
      <c r="E254" s="228">
        <v>2890.65</v>
      </c>
      <c r="F254">
        <v>478170</v>
      </c>
      <c r="G254" s="228">
        <v>1.5900000000000001E-2</v>
      </c>
      <c r="H254" s="228">
        <f>YEAR(AVEU_Historical_Data__2[[#This Row],[Date]])</f>
        <v>2021</v>
      </c>
      <c r="I254" s="228">
        <f>ROUNDUP((MOD(MONTH(AVEU_Historical_Data__2[[#This Row],[Date]])+8,12)+1)/3,0)</f>
        <v>1</v>
      </c>
      <c r="J254" s="228">
        <f>MONTH(AVEU_Historical_Data__2[[#This Row],[Date]])</f>
        <v>4</v>
      </c>
      <c r="K254" s="228"/>
    </row>
    <row r="255" spans="1:11" x14ac:dyDescent="0.25">
      <c r="A255" s="227">
        <v>44295</v>
      </c>
      <c r="B255" s="228">
        <v>2947.75</v>
      </c>
      <c r="C255" s="228">
        <v>2937.1</v>
      </c>
      <c r="D255" s="228">
        <v>2973.35</v>
      </c>
      <c r="E255" s="228">
        <v>2917.25</v>
      </c>
      <c r="F255">
        <v>808880</v>
      </c>
      <c r="G255" s="228">
        <v>3.8E-3</v>
      </c>
      <c r="H255" s="228">
        <f>YEAR(AVEU_Historical_Data__2[[#This Row],[Date]])</f>
        <v>2021</v>
      </c>
      <c r="I255" s="228">
        <f>ROUNDUP((MOD(MONTH(AVEU_Historical_Data__2[[#This Row],[Date]])+8,12)+1)/3,0)</f>
        <v>1</v>
      </c>
      <c r="J255" s="228">
        <f>MONTH(AVEU_Historical_Data__2[[#This Row],[Date]])</f>
        <v>4</v>
      </c>
      <c r="K255" s="228"/>
    </row>
    <row r="256" spans="1:11" x14ac:dyDescent="0.25">
      <c r="A256" s="227">
        <v>44298</v>
      </c>
      <c r="B256" s="228">
        <v>2814.9</v>
      </c>
      <c r="C256" s="228">
        <v>2861.1</v>
      </c>
      <c r="D256" s="228">
        <v>2889</v>
      </c>
      <c r="E256" s="228">
        <v>2790.1</v>
      </c>
      <c r="F256">
        <v>475660</v>
      </c>
      <c r="G256" s="228">
        <v>-4.5100000000000001E-2</v>
      </c>
      <c r="H256" s="228">
        <f>YEAR(AVEU_Historical_Data__2[[#This Row],[Date]])</f>
        <v>2021</v>
      </c>
      <c r="I256" s="228">
        <f>ROUNDUP((MOD(MONTH(AVEU_Historical_Data__2[[#This Row],[Date]])+8,12)+1)/3,0)</f>
        <v>1</v>
      </c>
      <c r="J256" s="228">
        <f>MONTH(AVEU_Historical_Data__2[[#This Row],[Date]])</f>
        <v>4</v>
      </c>
      <c r="K256" s="228"/>
    </row>
    <row r="257" spans="1:11" x14ac:dyDescent="0.25">
      <c r="A257" s="227">
        <v>44299</v>
      </c>
      <c r="B257" s="228">
        <v>2832.7</v>
      </c>
      <c r="C257" s="228">
        <v>2832.95</v>
      </c>
      <c r="D257" s="228">
        <v>2885</v>
      </c>
      <c r="E257" s="228">
        <v>2812</v>
      </c>
      <c r="F257">
        <v>267790</v>
      </c>
      <c r="G257" s="228">
        <v>6.3E-3</v>
      </c>
      <c r="H257" s="228">
        <f>YEAR(AVEU_Historical_Data__2[[#This Row],[Date]])</f>
        <v>2021</v>
      </c>
      <c r="I257" s="228">
        <f>ROUNDUP((MOD(MONTH(AVEU_Historical_Data__2[[#This Row],[Date]])+8,12)+1)/3,0)</f>
        <v>1</v>
      </c>
      <c r="J257" s="228">
        <f>MONTH(AVEU_Historical_Data__2[[#This Row],[Date]])</f>
        <v>4</v>
      </c>
      <c r="K257" s="228"/>
    </row>
    <row r="258" spans="1:11" x14ac:dyDescent="0.25">
      <c r="A258" s="227">
        <v>44301</v>
      </c>
      <c r="B258" s="228">
        <v>2928.9</v>
      </c>
      <c r="C258" s="228">
        <v>2844</v>
      </c>
      <c r="D258" s="228">
        <v>2952.95</v>
      </c>
      <c r="E258" s="228">
        <v>2828.1</v>
      </c>
      <c r="F258">
        <v>377540</v>
      </c>
      <c r="G258" s="228">
        <v>3.4000000000000002E-2</v>
      </c>
      <c r="H258" s="228">
        <f>YEAR(AVEU_Historical_Data__2[[#This Row],[Date]])</f>
        <v>2021</v>
      </c>
      <c r="I258" s="228">
        <f>ROUNDUP((MOD(MONTH(AVEU_Historical_Data__2[[#This Row],[Date]])+8,12)+1)/3,0)</f>
        <v>1</v>
      </c>
      <c r="J258" s="228">
        <f>MONTH(AVEU_Historical_Data__2[[#This Row],[Date]])</f>
        <v>4</v>
      </c>
      <c r="K258" s="228"/>
    </row>
    <row r="259" spans="1:11" x14ac:dyDescent="0.25">
      <c r="A259" s="227">
        <v>44302</v>
      </c>
      <c r="B259" s="228">
        <v>2919.9</v>
      </c>
      <c r="C259" s="228">
        <v>2947</v>
      </c>
      <c r="D259" s="228">
        <v>2980</v>
      </c>
      <c r="E259" s="228">
        <v>2902</v>
      </c>
      <c r="F259">
        <v>334480</v>
      </c>
      <c r="G259" s="228">
        <v>-3.0999999999999999E-3</v>
      </c>
      <c r="H259" s="228">
        <f>YEAR(AVEU_Historical_Data__2[[#This Row],[Date]])</f>
        <v>2021</v>
      </c>
      <c r="I259" s="228">
        <f>ROUNDUP((MOD(MONTH(AVEU_Historical_Data__2[[#This Row],[Date]])+8,12)+1)/3,0)</f>
        <v>1</v>
      </c>
      <c r="J259" s="228">
        <f>MONTH(AVEU_Historical_Data__2[[#This Row],[Date]])</f>
        <v>4</v>
      </c>
      <c r="K259" s="228"/>
    </row>
    <row r="260" spans="1:11" x14ac:dyDescent="0.25">
      <c r="A260" s="227">
        <v>44305</v>
      </c>
      <c r="B260" s="228">
        <v>2850.75</v>
      </c>
      <c r="C260" s="228">
        <v>2860.45</v>
      </c>
      <c r="D260" s="228">
        <v>2869.5</v>
      </c>
      <c r="E260" s="228">
        <v>2820.25</v>
      </c>
      <c r="F260">
        <v>267690</v>
      </c>
      <c r="G260" s="228">
        <v>-2.3699999999999999E-2</v>
      </c>
      <c r="H260" s="228">
        <f>YEAR(AVEU_Historical_Data__2[[#This Row],[Date]])</f>
        <v>2021</v>
      </c>
      <c r="I260" s="228">
        <f>ROUNDUP((MOD(MONTH(AVEU_Historical_Data__2[[#This Row],[Date]])+8,12)+1)/3,0)</f>
        <v>1</v>
      </c>
      <c r="J260" s="228">
        <f>MONTH(AVEU_Historical_Data__2[[#This Row],[Date]])</f>
        <v>4</v>
      </c>
      <c r="K260" s="228"/>
    </row>
    <row r="261" spans="1:11" x14ac:dyDescent="0.25">
      <c r="A261" s="227">
        <v>44306</v>
      </c>
      <c r="B261" s="228">
        <v>2778.25</v>
      </c>
      <c r="C261" s="228">
        <v>2880</v>
      </c>
      <c r="D261" s="228">
        <v>2889.8</v>
      </c>
      <c r="E261" s="228">
        <v>2756</v>
      </c>
      <c r="F261">
        <v>451850</v>
      </c>
      <c r="G261" s="228">
        <v>-2.5399999999999999E-2</v>
      </c>
      <c r="H261" s="228">
        <f>YEAR(AVEU_Historical_Data__2[[#This Row],[Date]])</f>
        <v>2021</v>
      </c>
      <c r="I261" s="228">
        <f>ROUNDUP((MOD(MONTH(AVEU_Historical_Data__2[[#This Row],[Date]])+8,12)+1)/3,0)</f>
        <v>1</v>
      </c>
      <c r="J261" s="228">
        <f>MONTH(AVEU_Historical_Data__2[[#This Row],[Date]])</f>
        <v>4</v>
      </c>
      <c r="K261" s="228"/>
    </row>
    <row r="262" spans="1:11" x14ac:dyDescent="0.25">
      <c r="A262" s="227">
        <v>44308</v>
      </c>
      <c r="B262" s="228">
        <v>2717.6</v>
      </c>
      <c r="C262" s="228">
        <v>2785</v>
      </c>
      <c r="D262" s="228">
        <v>2792.85</v>
      </c>
      <c r="E262" s="228">
        <v>2699</v>
      </c>
      <c r="F262">
        <v>913850</v>
      </c>
      <c r="G262" s="228">
        <v>-2.18E-2</v>
      </c>
      <c r="H262" s="228">
        <f>YEAR(AVEU_Historical_Data__2[[#This Row],[Date]])</f>
        <v>2021</v>
      </c>
      <c r="I262" s="228">
        <f>ROUNDUP((MOD(MONTH(AVEU_Historical_Data__2[[#This Row],[Date]])+8,12)+1)/3,0)</f>
        <v>1</v>
      </c>
      <c r="J262" s="228">
        <f>MONTH(AVEU_Historical_Data__2[[#This Row],[Date]])</f>
        <v>4</v>
      </c>
      <c r="K262" s="228"/>
    </row>
    <row r="263" spans="1:11" x14ac:dyDescent="0.25">
      <c r="A263" s="227">
        <v>44309</v>
      </c>
      <c r="B263" s="228">
        <v>2713.7</v>
      </c>
      <c r="C263" s="228">
        <v>2709</v>
      </c>
      <c r="D263" s="228">
        <v>2743.9</v>
      </c>
      <c r="E263" s="228">
        <v>2676.4</v>
      </c>
      <c r="F263">
        <v>436470</v>
      </c>
      <c r="G263" s="228">
        <v>-1.4E-3</v>
      </c>
      <c r="H263" s="228">
        <f>YEAR(AVEU_Historical_Data__2[[#This Row],[Date]])</f>
        <v>2021</v>
      </c>
      <c r="I263" s="228">
        <f>ROUNDUP((MOD(MONTH(AVEU_Historical_Data__2[[#This Row],[Date]])+8,12)+1)/3,0)</f>
        <v>1</v>
      </c>
      <c r="J263" s="228">
        <f>MONTH(AVEU_Historical_Data__2[[#This Row],[Date]])</f>
        <v>4</v>
      </c>
      <c r="K263" s="228"/>
    </row>
    <row r="264" spans="1:11" x14ac:dyDescent="0.25">
      <c r="A264" s="227">
        <v>44312</v>
      </c>
      <c r="B264" s="228">
        <v>2808.25</v>
      </c>
      <c r="C264" s="228">
        <v>2729.9</v>
      </c>
      <c r="D264" s="228">
        <v>2819.4</v>
      </c>
      <c r="E264" s="228">
        <v>2719.15</v>
      </c>
      <c r="F264">
        <v>476870</v>
      </c>
      <c r="G264" s="228">
        <v>3.4799999999999998E-2</v>
      </c>
      <c r="H264" s="228">
        <f>YEAR(AVEU_Historical_Data__2[[#This Row],[Date]])</f>
        <v>2021</v>
      </c>
      <c r="I264" s="228">
        <f>ROUNDUP((MOD(MONTH(AVEU_Historical_Data__2[[#This Row],[Date]])+8,12)+1)/3,0)</f>
        <v>1</v>
      </c>
      <c r="J264" s="228">
        <f>MONTH(AVEU_Historical_Data__2[[#This Row],[Date]])</f>
        <v>4</v>
      </c>
      <c r="K264" s="228"/>
    </row>
    <row r="265" spans="1:11" x14ac:dyDescent="0.25">
      <c r="A265" s="227">
        <v>44313</v>
      </c>
      <c r="B265" s="228">
        <v>2826.95</v>
      </c>
      <c r="C265" s="228">
        <v>2815</v>
      </c>
      <c r="D265" s="228">
        <v>2865</v>
      </c>
      <c r="E265" s="228">
        <v>2810</v>
      </c>
      <c r="F265">
        <v>394480</v>
      </c>
      <c r="G265" s="228">
        <v>6.7000000000000002E-3</v>
      </c>
      <c r="H265" s="228">
        <f>YEAR(AVEU_Historical_Data__2[[#This Row],[Date]])</f>
        <v>2021</v>
      </c>
      <c r="I265" s="228">
        <f>ROUNDUP((MOD(MONTH(AVEU_Historical_Data__2[[#This Row],[Date]])+8,12)+1)/3,0)</f>
        <v>1</v>
      </c>
      <c r="J265" s="228">
        <f>MONTH(AVEU_Historical_Data__2[[#This Row],[Date]])</f>
        <v>4</v>
      </c>
      <c r="K265" s="228"/>
    </row>
    <row r="266" spans="1:11" x14ac:dyDescent="0.25">
      <c r="A266" s="227">
        <v>44314</v>
      </c>
      <c r="B266" s="228">
        <v>2936.8</v>
      </c>
      <c r="C266" s="228">
        <v>2865</v>
      </c>
      <c r="D266" s="228">
        <v>2953.7</v>
      </c>
      <c r="E266" s="228">
        <v>2850.95</v>
      </c>
      <c r="F266">
        <v>542980</v>
      </c>
      <c r="G266" s="228">
        <v>3.8899999999999997E-2</v>
      </c>
      <c r="H266" s="228">
        <f>YEAR(AVEU_Historical_Data__2[[#This Row],[Date]])</f>
        <v>2021</v>
      </c>
      <c r="I266" s="228">
        <f>ROUNDUP((MOD(MONTH(AVEU_Historical_Data__2[[#This Row],[Date]])+8,12)+1)/3,0)</f>
        <v>1</v>
      </c>
      <c r="J266" s="228">
        <f>MONTH(AVEU_Historical_Data__2[[#This Row],[Date]])</f>
        <v>4</v>
      </c>
      <c r="K266" s="228"/>
    </row>
    <row r="267" spans="1:11" x14ac:dyDescent="0.25">
      <c r="A267" s="227">
        <v>44315</v>
      </c>
      <c r="B267" s="228">
        <v>2906.35</v>
      </c>
      <c r="C267" s="228">
        <v>2960</v>
      </c>
      <c r="D267" s="228">
        <v>2988</v>
      </c>
      <c r="E267" s="228">
        <v>2880</v>
      </c>
      <c r="F267">
        <v>296750</v>
      </c>
      <c r="G267" s="228">
        <v>-1.04E-2</v>
      </c>
      <c r="H267" s="228">
        <f>YEAR(AVEU_Historical_Data__2[[#This Row],[Date]])</f>
        <v>2021</v>
      </c>
      <c r="I267" s="228">
        <f>ROUNDUP((MOD(MONTH(AVEU_Historical_Data__2[[#This Row],[Date]])+8,12)+1)/3,0)</f>
        <v>1</v>
      </c>
      <c r="J267" s="228">
        <f>MONTH(AVEU_Historical_Data__2[[#This Row],[Date]])</f>
        <v>4</v>
      </c>
      <c r="K267" s="228"/>
    </row>
    <row r="268" spans="1:11" x14ac:dyDescent="0.25">
      <c r="A268" s="227">
        <v>44316</v>
      </c>
      <c r="B268" s="228">
        <v>2852.9</v>
      </c>
      <c r="C268" s="228">
        <v>2889.8</v>
      </c>
      <c r="D268" s="228">
        <v>2931.9</v>
      </c>
      <c r="E268" s="228">
        <v>2818.9</v>
      </c>
      <c r="F268">
        <v>322950</v>
      </c>
      <c r="G268" s="228">
        <v>-1.84E-2</v>
      </c>
      <c r="H268" s="228">
        <f>YEAR(AVEU_Historical_Data__2[[#This Row],[Date]])</f>
        <v>2021</v>
      </c>
      <c r="I268" s="228">
        <f>ROUNDUP((MOD(MONTH(AVEU_Historical_Data__2[[#This Row],[Date]])+8,12)+1)/3,0)</f>
        <v>1</v>
      </c>
      <c r="J268" s="228">
        <f>MONTH(AVEU_Historical_Data__2[[#This Row],[Date]])</f>
        <v>4</v>
      </c>
      <c r="K268" s="228"/>
    </row>
    <row r="269" spans="1:11" x14ac:dyDescent="0.25">
      <c r="A269" s="227">
        <v>44319</v>
      </c>
      <c r="B269" s="228">
        <v>2898.65</v>
      </c>
      <c r="C269" s="228">
        <v>2845</v>
      </c>
      <c r="D269" s="228">
        <v>2911</v>
      </c>
      <c r="E269" s="228">
        <v>2822.9</v>
      </c>
      <c r="F269">
        <v>232240</v>
      </c>
      <c r="G269" s="228">
        <v>1.6E-2</v>
      </c>
      <c r="H269" s="228">
        <f>YEAR(AVEU_Historical_Data__2[[#This Row],[Date]])</f>
        <v>2021</v>
      </c>
      <c r="I269" s="228">
        <f>ROUNDUP((MOD(MONTH(AVEU_Historical_Data__2[[#This Row],[Date]])+8,12)+1)/3,0)</f>
        <v>1</v>
      </c>
      <c r="J269" s="228">
        <f>MONTH(AVEU_Historical_Data__2[[#This Row],[Date]])</f>
        <v>5</v>
      </c>
      <c r="K269" s="228"/>
    </row>
    <row r="270" spans="1:11" x14ac:dyDescent="0.25">
      <c r="A270" s="227">
        <v>44320</v>
      </c>
      <c r="B270" s="228">
        <v>2858.4</v>
      </c>
      <c r="C270" s="228">
        <v>2908</v>
      </c>
      <c r="D270" s="228">
        <v>2934.75</v>
      </c>
      <c r="E270" s="228">
        <v>2845</v>
      </c>
      <c r="F270">
        <v>239280</v>
      </c>
      <c r="G270" s="228">
        <v>-1.3899999999999999E-2</v>
      </c>
      <c r="H270" s="228">
        <f>YEAR(AVEU_Historical_Data__2[[#This Row],[Date]])</f>
        <v>2021</v>
      </c>
      <c r="I270" s="228">
        <f>ROUNDUP((MOD(MONTH(AVEU_Historical_Data__2[[#This Row],[Date]])+8,12)+1)/3,0)</f>
        <v>1</v>
      </c>
      <c r="J270" s="228">
        <f>MONTH(AVEU_Historical_Data__2[[#This Row],[Date]])</f>
        <v>5</v>
      </c>
      <c r="K270" s="228"/>
    </row>
    <row r="271" spans="1:11" x14ac:dyDescent="0.25">
      <c r="A271" s="227">
        <v>44321</v>
      </c>
      <c r="B271" s="228">
        <v>2874.4</v>
      </c>
      <c r="C271" s="228">
        <v>2878.7</v>
      </c>
      <c r="D271" s="228">
        <v>2889.6</v>
      </c>
      <c r="E271" s="228">
        <v>2855</v>
      </c>
      <c r="F271">
        <v>136960</v>
      </c>
      <c r="G271" s="228">
        <v>5.5999999999999999E-3</v>
      </c>
      <c r="H271" s="228">
        <f>YEAR(AVEU_Historical_Data__2[[#This Row],[Date]])</f>
        <v>2021</v>
      </c>
      <c r="I271" s="228">
        <f>ROUNDUP((MOD(MONTH(AVEU_Historical_Data__2[[#This Row],[Date]])+8,12)+1)/3,0)</f>
        <v>1</v>
      </c>
      <c r="J271" s="228">
        <f>MONTH(AVEU_Historical_Data__2[[#This Row],[Date]])</f>
        <v>5</v>
      </c>
      <c r="K271" s="228"/>
    </row>
    <row r="272" spans="1:11" x14ac:dyDescent="0.25">
      <c r="A272" s="227">
        <v>44322</v>
      </c>
      <c r="B272" s="228">
        <v>2878.15</v>
      </c>
      <c r="C272" s="228">
        <v>2874.95</v>
      </c>
      <c r="D272" s="228">
        <v>2895</v>
      </c>
      <c r="E272" s="228">
        <v>2850.5</v>
      </c>
      <c r="F272">
        <v>158580</v>
      </c>
      <c r="G272" s="228">
        <v>1.2999999999999999E-3</v>
      </c>
      <c r="H272" s="228">
        <f>YEAR(AVEU_Historical_Data__2[[#This Row],[Date]])</f>
        <v>2021</v>
      </c>
      <c r="I272" s="228">
        <f>ROUNDUP((MOD(MONTH(AVEU_Historical_Data__2[[#This Row],[Date]])+8,12)+1)/3,0)</f>
        <v>1</v>
      </c>
      <c r="J272" s="228">
        <f>MONTH(AVEU_Historical_Data__2[[#This Row],[Date]])</f>
        <v>5</v>
      </c>
      <c r="K272" s="228"/>
    </row>
    <row r="273" spans="1:11" x14ac:dyDescent="0.25">
      <c r="A273" s="227">
        <v>44323</v>
      </c>
      <c r="B273" s="228">
        <v>2895.5</v>
      </c>
      <c r="C273" s="228">
        <v>2880</v>
      </c>
      <c r="D273" s="228">
        <v>2955</v>
      </c>
      <c r="E273" s="228">
        <v>2855.5</v>
      </c>
      <c r="F273">
        <v>365600</v>
      </c>
      <c r="G273" s="228">
        <v>6.0000000000000001E-3</v>
      </c>
      <c r="H273" s="228">
        <f>YEAR(AVEU_Historical_Data__2[[#This Row],[Date]])</f>
        <v>2021</v>
      </c>
      <c r="I273" s="228">
        <f>ROUNDUP((MOD(MONTH(AVEU_Historical_Data__2[[#This Row],[Date]])+8,12)+1)/3,0)</f>
        <v>1</v>
      </c>
      <c r="J273" s="228">
        <f>MONTH(AVEU_Historical_Data__2[[#This Row],[Date]])</f>
        <v>5</v>
      </c>
      <c r="K273" s="228"/>
    </row>
    <row r="274" spans="1:11" x14ac:dyDescent="0.25">
      <c r="A274" s="227">
        <v>44326</v>
      </c>
      <c r="B274" s="228">
        <v>2852.45</v>
      </c>
      <c r="C274" s="228">
        <v>2925</v>
      </c>
      <c r="D274" s="228">
        <v>2960</v>
      </c>
      <c r="E274" s="228">
        <v>2840</v>
      </c>
      <c r="F274">
        <v>771220</v>
      </c>
      <c r="G274" s="228">
        <v>-1.49E-2</v>
      </c>
      <c r="H274" s="228">
        <f>YEAR(AVEU_Historical_Data__2[[#This Row],[Date]])</f>
        <v>2021</v>
      </c>
      <c r="I274" s="228">
        <f>ROUNDUP((MOD(MONTH(AVEU_Historical_Data__2[[#This Row],[Date]])+8,12)+1)/3,0)</f>
        <v>1</v>
      </c>
      <c r="J274" s="228">
        <f>MONTH(AVEU_Historical_Data__2[[#This Row],[Date]])</f>
        <v>5</v>
      </c>
      <c r="K274" s="228"/>
    </row>
    <row r="275" spans="1:11" x14ac:dyDescent="0.25">
      <c r="A275" s="227">
        <v>44327</v>
      </c>
      <c r="B275" s="228">
        <v>2850.55</v>
      </c>
      <c r="C275" s="228">
        <v>2850</v>
      </c>
      <c r="D275" s="228">
        <v>2884.6</v>
      </c>
      <c r="E275" s="228">
        <v>2825</v>
      </c>
      <c r="F275">
        <v>323510</v>
      </c>
      <c r="G275" s="228">
        <v>-6.9999999999999999E-4</v>
      </c>
      <c r="H275" s="228">
        <f>YEAR(AVEU_Historical_Data__2[[#This Row],[Date]])</f>
        <v>2021</v>
      </c>
      <c r="I275" s="228">
        <f>ROUNDUP((MOD(MONTH(AVEU_Historical_Data__2[[#This Row],[Date]])+8,12)+1)/3,0)</f>
        <v>1</v>
      </c>
      <c r="J275" s="228">
        <f>MONTH(AVEU_Historical_Data__2[[#This Row],[Date]])</f>
        <v>5</v>
      </c>
      <c r="K275" s="228"/>
    </row>
    <row r="276" spans="1:11" x14ac:dyDescent="0.25">
      <c r="A276" s="227">
        <v>44328</v>
      </c>
      <c r="B276" s="228">
        <v>2856.15</v>
      </c>
      <c r="C276" s="228">
        <v>2850.55</v>
      </c>
      <c r="D276" s="228">
        <v>2869.95</v>
      </c>
      <c r="E276" s="228">
        <v>2827.5</v>
      </c>
      <c r="F276">
        <v>246320</v>
      </c>
      <c r="G276" s="228">
        <v>2E-3</v>
      </c>
      <c r="H276" s="228">
        <f>YEAR(AVEU_Historical_Data__2[[#This Row],[Date]])</f>
        <v>2021</v>
      </c>
      <c r="I276" s="228">
        <f>ROUNDUP((MOD(MONTH(AVEU_Historical_Data__2[[#This Row],[Date]])+8,12)+1)/3,0)</f>
        <v>1</v>
      </c>
      <c r="J276" s="228">
        <f>MONTH(AVEU_Historical_Data__2[[#This Row],[Date]])</f>
        <v>5</v>
      </c>
      <c r="K276" s="228"/>
    </row>
    <row r="277" spans="1:11" x14ac:dyDescent="0.25">
      <c r="A277" s="227">
        <v>44330</v>
      </c>
      <c r="B277" s="228">
        <v>2844.65</v>
      </c>
      <c r="C277" s="228">
        <v>2874</v>
      </c>
      <c r="D277" s="228">
        <v>2874</v>
      </c>
      <c r="E277" s="228">
        <v>2830</v>
      </c>
      <c r="F277">
        <v>227260</v>
      </c>
      <c r="G277" s="228">
        <v>-4.0000000000000001E-3</v>
      </c>
      <c r="H277" s="228">
        <f>YEAR(AVEU_Historical_Data__2[[#This Row],[Date]])</f>
        <v>2021</v>
      </c>
      <c r="I277" s="228">
        <f>ROUNDUP((MOD(MONTH(AVEU_Historical_Data__2[[#This Row],[Date]])+8,12)+1)/3,0)</f>
        <v>1</v>
      </c>
      <c r="J277" s="228">
        <f>MONTH(AVEU_Historical_Data__2[[#This Row],[Date]])</f>
        <v>5</v>
      </c>
      <c r="K277" s="228"/>
    </row>
    <row r="278" spans="1:11" x14ac:dyDescent="0.25">
      <c r="A278" s="227">
        <v>44333</v>
      </c>
      <c r="B278" s="228">
        <v>2898.7</v>
      </c>
      <c r="C278" s="228">
        <v>2864</v>
      </c>
      <c r="D278" s="228">
        <v>2907.9</v>
      </c>
      <c r="E278" s="228">
        <v>2840.3</v>
      </c>
      <c r="F278">
        <v>449530</v>
      </c>
      <c r="G278" s="228">
        <v>1.9E-2</v>
      </c>
      <c r="H278" s="228">
        <f>YEAR(AVEU_Historical_Data__2[[#This Row],[Date]])</f>
        <v>2021</v>
      </c>
      <c r="I278" s="228">
        <f>ROUNDUP((MOD(MONTH(AVEU_Historical_Data__2[[#This Row],[Date]])+8,12)+1)/3,0)</f>
        <v>1</v>
      </c>
      <c r="J278" s="228">
        <f>MONTH(AVEU_Historical_Data__2[[#This Row],[Date]])</f>
        <v>5</v>
      </c>
      <c r="K278" s="228"/>
    </row>
    <row r="279" spans="1:11" x14ac:dyDescent="0.25">
      <c r="A279" s="227">
        <v>44334</v>
      </c>
      <c r="B279" s="228">
        <v>3056.3</v>
      </c>
      <c r="C279" s="228">
        <v>2920</v>
      </c>
      <c r="D279" s="228">
        <v>3080</v>
      </c>
      <c r="E279" s="228">
        <v>2910.75</v>
      </c>
      <c r="F279">
        <v>1020000</v>
      </c>
      <c r="G279" s="228">
        <v>5.4399999999999997E-2</v>
      </c>
      <c r="H279" s="228">
        <f>YEAR(AVEU_Historical_Data__2[[#This Row],[Date]])</f>
        <v>2021</v>
      </c>
      <c r="I279" s="228">
        <f>ROUNDUP((MOD(MONTH(AVEU_Historical_Data__2[[#This Row],[Date]])+8,12)+1)/3,0)</f>
        <v>1</v>
      </c>
      <c r="J279" s="228">
        <f>MONTH(AVEU_Historical_Data__2[[#This Row],[Date]])</f>
        <v>5</v>
      </c>
      <c r="K279" s="228"/>
    </row>
    <row r="280" spans="1:11" x14ac:dyDescent="0.25">
      <c r="A280" s="227">
        <v>44335</v>
      </c>
      <c r="B280" s="228">
        <v>3027.9</v>
      </c>
      <c r="C280" s="228">
        <v>3069</v>
      </c>
      <c r="D280" s="228">
        <v>3090.95</v>
      </c>
      <c r="E280" s="228">
        <v>3010.1</v>
      </c>
      <c r="F280">
        <v>683430</v>
      </c>
      <c r="G280" s="228">
        <v>-9.2999999999999992E-3</v>
      </c>
      <c r="H280" s="228">
        <f>YEAR(AVEU_Historical_Data__2[[#This Row],[Date]])</f>
        <v>2021</v>
      </c>
      <c r="I280" s="228">
        <f>ROUNDUP((MOD(MONTH(AVEU_Historical_Data__2[[#This Row],[Date]])+8,12)+1)/3,0)</f>
        <v>1</v>
      </c>
      <c r="J280" s="228">
        <f>MONTH(AVEU_Historical_Data__2[[#This Row],[Date]])</f>
        <v>5</v>
      </c>
      <c r="K280" s="228"/>
    </row>
    <row r="281" spans="1:11" x14ac:dyDescent="0.25">
      <c r="A281" s="227">
        <v>44336</v>
      </c>
      <c r="B281" s="228">
        <v>3026.6</v>
      </c>
      <c r="C281" s="228">
        <v>3055</v>
      </c>
      <c r="D281" s="228">
        <v>3055</v>
      </c>
      <c r="E281" s="228">
        <v>3001</v>
      </c>
      <c r="F281">
        <v>352480</v>
      </c>
      <c r="G281" s="228">
        <v>-4.0000000000000002E-4</v>
      </c>
      <c r="H281" s="228">
        <f>YEAR(AVEU_Historical_Data__2[[#This Row],[Date]])</f>
        <v>2021</v>
      </c>
      <c r="I281" s="228">
        <f>ROUNDUP((MOD(MONTH(AVEU_Historical_Data__2[[#This Row],[Date]])+8,12)+1)/3,0)</f>
        <v>1</v>
      </c>
      <c r="J281" s="228">
        <f>MONTH(AVEU_Historical_Data__2[[#This Row],[Date]])</f>
        <v>5</v>
      </c>
      <c r="K281" s="228"/>
    </row>
    <row r="282" spans="1:11" x14ac:dyDescent="0.25">
      <c r="A282" s="227">
        <v>44337</v>
      </c>
      <c r="B282" s="228">
        <v>3034.15</v>
      </c>
      <c r="C282" s="228">
        <v>3041</v>
      </c>
      <c r="D282" s="228">
        <v>3070</v>
      </c>
      <c r="E282" s="228">
        <v>3013</v>
      </c>
      <c r="F282">
        <v>375400</v>
      </c>
      <c r="G282" s="228">
        <v>2.5000000000000001E-3</v>
      </c>
      <c r="H282" s="228">
        <f>YEAR(AVEU_Historical_Data__2[[#This Row],[Date]])</f>
        <v>2021</v>
      </c>
      <c r="I282" s="228">
        <f>ROUNDUP((MOD(MONTH(AVEU_Historical_Data__2[[#This Row],[Date]])+8,12)+1)/3,0)</f>
        <v>1</v>
      </c>
      <c r="J282" s="228">
        <f>MONTH(AVEU_Historical_Data__2[[#This Row],[Date]])</f>
        <v>5</v>
      </c>
      <c r="K282" s="228"/>
    </row>
    <row r="283" spans="1:11" x14ac:dyDescent="0.25">
      <c r="A283" s="227">
        <v>44340</v>
      </c>
      <c r="B283" s="228">
        <v>3040.45</v>
      </c>
      <c r="C283" s="228">
        <v>3046</v>
      </c>
      <c r="D283" s="228">
        <v>3064.7</v>
      </c>
      <c r="E283" s="228">
        <v>3020</v>
      </c>
      <c r="F283">
        <v>236830</v>
      </c>
      <c r="G283" s="228">
        <v>2.0999999999999999E-3</v>
      </c>
      <c r="H283" s="228">
        <f>YEAR(AVEU_Historical_Data__2[[#This Row],[Date]])</f>
        <v>2021</v>
      </c>
      <c r="I283" s="228">
        <f>ROUNDUP((MOD(MONTH(AVEU_Historical_Data__2[[#This Row],[Date]])+8,12)+1)/3,0)</f>
        <v>1</v>
      </c>
      <c r="J283" s="228">
        <f>MONTH(AVEU_Historical_Data__2[[#This Row],[Date]])</f>
        <v>5</v>
      </c>
      <c r="K283" s="228"/>
    </row>
    <row r="284" spans="1:11" x14ac:dyDescent="0.25">
      <c r="A284" s="227">
        <v>44341</v>
      </c>
      <c r="B284" s="228">
        <v>3103.85</v>
      </c>
      <c r="C284" s="228">
        <v>3055</v>
      </c>
      <c r="D284" s="228">
        <v>3123</v>
      </c>
      <c r="E284" s="228">
        <v>3053</v>
      </c>
      <c r="F284">
        <v>455040</v>
      </c>
      <c r="G284" s="228">
        <v>2.0899999999999998E-2</v>
      </c>
      <c r="H284" s="228">
        <f>YEAR(AVEU_Historical_Data__2[[#This Row],[Date]])</f>
        <v>2021</v>
      </c>
      <c r="I284" s="228">
        <f>ROUNDUP((MOD(MONTH(AVEU_Historical_Data__2[[#This Row],[Date]])+8,12)+1)/3,0)</f>
        <v>1</v>
      </c>
      <c r="J284" s="228">
        <f>MONTH(AVEU_Historical_Data__2[[#This Row],[Date]])</f>
        <v>5</v>
      </c>
      <c r="K284" s="228"/>
    </row>
    <row r="285" spans="1:11" x14ac:dyDescent="0.25">
      <c r="A285" s="227">
        <v>44342</v>
      </c>
      <c r="B285" s="228">
        <v>3096.2</v>
      </c>
      <c r="C285" s="228">
        <v>3125</v>
      </c>
      <c r="D285" s="228">
        <v>3135</v>
      </c>
      <c r="E285" s="228">
        <v>3070.45</v>
      </c>
      <c r="F285">
        <v>284200</v>
      </c>
      <c r="G285" s="228">
        <v>-2.5000000000000001E-3</v>
      </c>
      <c r="H285" s="228">
        <f>YEAR(AVEU_Historical_Data__2[[#This Row],[Date]])</f>
        <v>2021</v>
      </c>
      <c r="I285" s="228">
        <f>ROUNDUP((MOD(MONTH(AVEU_Historical_Data__2[[#This Row],[Date]])+8,12)+1)/3,0)</f>
        <v>1</v>
      </c>
      <c r="J285" s="228">
        <f>MONTH(AVEU_Historical_Data__2[[#This Row],[Date]])</f>
        <v>5</v>
      </c>
      <c r="K285" s="228"/>
    </row>
    <row r="286" spans="1:11" x14ac:dyDescent="0.25">
      <c r="A286" s="227">
        <v>44343</v>
      </c>
      <c r="B286" s="228">
        <v>3025.5</v>
      </c>
      <c r="C286" s="228">
        <v>3100</v>
      </c>
      <c r="D286" s="228">
        <v>3104.95</v>
      </c>
      <c r="E286" s="228">
        <v>3008.1</v>
      </c>
      <c r="F286">
        <v>433630</v>
      </c>
      <c r="G286" s="228">
        <v>-2.2800000000000001E-2</v>
      </c>
      <c r="H286" s="228">
        <f>YEAR(AVEU_Historical_Data__2[[#This Row],[Date]])</f>
        <v>2021</v>
      </c>
      <c r="I286" s="228">
        <f>ROUNDUP((MOD(MONTH(AVEU_Historical_Data__2[[#This Row],[Date]])+8,12)+1)/3,0)</f>
        <v>1</v>
      </c>
      <c r="J286" s="228">
        <f>MONTH(AVEU_Historical_Data__2[[#This Row],[Date]])</f>
        <v>5</v>
      </c>
      <c r="K286" s="228"/>
    </row>
    <row r="287" spans="1:11" x14ac:dyDescent="0.25">
      <c r="A287" s="227">
        <v>44344</v>
      </c>
      <c r="B287" s="228">
        <v>3022.1</v>
      </c>
      <c r="C287" s="228">
        <v>3052</v>
      </c>
      <c r="D287" s="228">
        <v>3105.5</v>
      </c>
      <c r="E287" s="228">
        <v>3000</v>
      </c>
      <c r="F287">
        <v>345900</v>
      </c>
      <c r="G287" s="228">
        <v>-1.1000000000000001E-3</v>
      </c>
      <c r="H287" s="228">
        <f>YEAR(AVEU_Historical_Data__2[[#This Row],[Date]])</f>
        <v>2021</v>
      </c>
      <c r="I287" s="228">
        <f>ROUNDUP((MOD(MONTH(AVEU_Historical_Data__2[[#This Row],[Date]])+8,12)+1)/3,0)</f>
        <v>1</v>
      </c>
      <c r="J287" s="228">
        <f>MONTH(AVEU_Historical_Data__2[[#This Row],[Date]])</f>
        <v>5</v>
      </c>
      <c r="K287" s="228"/>
    </row>
    <row r="288" spans="1:11" x14ac:dyDescent="0.25">
      <c r="A288" s="227">
        <v>44347</v>
      </c>
      <c r="B288" s="228">
        <v>3069.4</v>
      </c>
      <c r="C288" s="228">
        <v>3042.5</v>
      </c>
      <c r="D288" s="228">
        <v>3085</v>
      </c>
      <c r="E288" s="228">
        <v>3025</v>
      </c>
      <c r="F288">
        <v>318680</v>
      </c>
      <c r="G288" s="228">
        <v>1.5699999999999999E-2</v>
      </c>
      <c r="H288" s="228">
        <f>YEAR(AVEU_Historical_Data__2[[#This Row],[Date]])</f>
        <v>2021</v>
      </c>
      <c r="I288" s="228">
        <f>ROUNDUP((MOD(MONTH(AVEU_Historical_Data__2[[#This Row],[Date]])+8,12)+1)/3,0)</f>
        <v>1</v>
      </c>
      <c r="J288" s="228">
        <f>MONTH(AVEU_Historical_Data__2[[#This Row],[Date]])</f>
        <v>5</v>
      </c>
      <c r="K288" s="228"/>
    </row>
    <row r="289" spans="1:11" x14ac:dyDescent="0.25">
      <c r="A289" s="227">
        <v>44348</v>
      </c>
      <c r="B289" s="228">
        <v>3044.8</v>
      </c>
      <c r="C289" s="228">
        <v>3071.05</v>
      </c>
      <c r="D289" s="228">
        <v>3087.95</v>
      </c>
      <c r="E289" s="228">
        <v>3030.8</v>
      </c>
      <c r="F289">
        <v>180500</v>
      </c>
      <c r="G289" s="228">
        <v>-8.0000000000000002E-3</v>
      </c>
      <c r="H289" s="228">
        <f>YEAR(AVEU_Historical_Data__2[[#This Row],[Date]])</f>
        <v>2021</v>
      </c>
      <c r="I289" s="228">
        <f>ROUNDUP((MOD(MONTH(AVEU_Historical_Data__2[[#This Row],[Date]])+8,12)+1)/3,0)</f>
        <v>1</v>
      </c>
      <c r="J289" s="228">
        <f>MONTH(AVEU_Historical_Data__2[[#This Row],[Date]])</f>
        <v>6</v>
      </c>
      <c r="K289" s="228"/>
    </row>
    <row r="290" spans="1:11" x14ac:dyDescent="0.25">
      <c r="A290" s="227">
        <v>44349</v>
      </c>
      <c r="B290" s="228">
        <v>3066.2</v>
      </c>
      <c r="C290" s="228">
        <v>3050</v>
      </c>
      <c r="D290" s="228">
        <v>3093.3</v>
      </c>
      <c r="E290" s="228">
        <v>3050</v>
      </c>
      <c r="F290">
        <v>236970</v>
      </c>
      <c r="G290" s="228">
        <v>7.0000000000000001E-3</v>
      </c>
      <c r="H290" s="228">
        <f>YEAR(AVEU_Historical_Data__2[[#This Row],[Date]])</f>
        <v>2021</v>
      </c>
      <c r="I290" s="228">
        <f>ROUNDUP((MOD(MONTH(AVEU_Historical_Data__2[[#This Row],[Date]])+8,12)+1)/3,0)</f>
        <v>1</v>
      </c>
      <c r="J290" s="228">
        <f>MONTH(AVEU_Historical_Data__2[[#This Row],[Date]])</f>
        <v>6</v>
      </c>
      <c r="K290" s="228"/>
    </row>
    <row r="291" spans="1:11" x14ac:dyDescent="0.25">
      <c r="A291" s="227">
        <v>44350</v>
      </c>
      <c r="B291" s="228">
        <v>3192.7</v>
      </c>
      <c r="C291" s="228">
        <v>3080</v>
      </c>
      <c r="D291" s="228">
        <v>3200</v>
      </c>
      <c r="E291" s="228">
        <v>3075.3</v>
      </c>
      <c r="F291">
        <v>820810</v>
      </c>
      <c r="G291" s="228">
        <v>4.1300000000000003E-2</v>
      </c>
      <c r="H291" s="228">
        <f>YEAR(AVEU_Historical_Data__2[[#This Row],[Date]])</f>
        <v>2021</v>
      </c>
      <c r="I291" s="228">
        <f>ROUNDUP((MOD(MONTH(AVEU_Historical_Data__2[[#This Row],[Date]])+8,12)+1)/3,0)</f>
        <v>1</v>
      </c>
      <c r="J291" s="228">
        <f>MONTH(AVEU_Historical_Data__2[[#This Row],[Date]])</f>
        <v>6</v>
      </c>
      <c r="K291" s="228"/>
    </row>
    <row r="292" spans="1:11" x14ac:dyDescent="0.25">
      <c r="A292" s="227">
        <v>44351</v>
      </c>
      <c r="B292" s="228">
        <v>3197</v>
      </c>
      <c r="C292" s="228">
        <v>3222</v>
      </c>
      <c r="D292" s="228">
        <v>3257</v>
      </c>
      <c r="E292" s="228">
        <v>3170</v>
      </c>
      <c r="F292">
        <v>393040</v>
      </c>
      <c r="G292" s="228">
        <v>1.2999999999999999E-3</v>
      </c>
      <c r="H292" s="228">
        <f>YEAR(AVEU_Historical_Data__2[[#This Row],[Date]])</f>
        <v>2021</v>
      </c>
      <c r="I292" s="228">
        <f>ROUNDUP((MOD(MONTH(AVEU_Historical_Data__2[[#This Row],[Date]])+8,12)+1)/3,0)</f>
        <v>1</v>
      </c>
      <c r="J292" s="228">
        <f>MONTH(AVEU_Historical_Data__2[[#This Row],[Date]])</f>
        <v>6</v>
      </c>
      <c r="K292" s="228"/>
    </row>
    <row r="293" spans="1:11" x14ac:dyDescent="0.25">
      <c r="A293" s="227">
        <v>44354</v>
      </c>
      <c r="B293" s="228">
        <v>3188.95</v>
      </c>
      <c r="C293" s="228">
        <v>3219.95</v>
      </c>
      <c r="D293" s="228">
        <v>3221.6</v>
      </c>
      <c r="E293" s="228">
        <v>3175.05</v>
      </c>
      <c r="F293">
        <v>196760</v>
      </c>
      <c r="G293" s="228">
        <v>-2.5000000000000001E-3</v>
      </c>
      <c r="H293" s="228">
        <f>YEAR(AVEU_Historical_Data__2[[#This Row],[Date]])</f>
        <v>2021</v>
      </c>
      <c r="I293" s="228">
        <f>ROUNDUP((MOD(MONTH(AVEU_Historical_Data__2[[#This Row],[Date]])+8,12)+1)/3,0)</f>
        <v>1</v>
      </c>
      <c r="J293" s="228">
        <f>MONTH(AVEU_Historical_Data__2[[#This Row],[Date]])</f>
        <v>6</v>
      </c>
      <c r="K293" s="228"/>
    </row>
    <row r="294" spans="1:11" x14ac:dyDescent="0.25">
      <c r="A294" s="227">
        <v>44355</v>
      </c>
      <c r="B294" s="228">
        <v>3179.8</v>
      </c>
      <c r="C294" s="228">
        <v>3200</v>
      </c>
      <c r="D294" s="228">
        <v>3210</v>
      </c>
      <c r="E294" s="228">
        <v>3165</v>
      </c>
      <c r="F294">
        <v>171580</v>
      </c>
      <c r="G294" s="228">
        <v>-2.8999999999999998E-3</v>
      </c>
      <c r="H294" s="228">
        <f>YEAR(AVEU_Historical_Data__2[[#This Row],[Date]])</f>
        <v>2021</v>
      </c>
      <c r="I294" s="228">
        <f>ROUNDUP((MOD(MONTH(AVEU_Historical_Data__2[[#This Row],[Date]])+8,12)+1)/3,0)</f>
        <v>1</v>
      </c>
      <c r="J294" s="228">
        <f>MONTH(AVEU_Historical_Data__2[[#This Row],[Date]])</f>
        <v>6</v>
      </c>
      <c r="K294" s="228"/>
    </row>
    <row r="295" spans="1:11" x14ac:dyDescent="0.25">
      <c r="A295" s="227">
        <v>44356</v>
      </c>
      <c r="B295" s="228">
        <v>3194.7</v>
      </c>
      <c r="C295" s="228">
        <v>3198</v>
      </c>
      <c r="D295" s="228">
        <v>3254.4</v>
      </c>
      <c r="E295" s="228">
        <v>3160</v>
      </c>
      <c r="F295">
        <v>397350</v>
      </c>
      <c r="G295" s="228">
        <v>4.7000000000000002E-3</v>
      </c>
      <c r="H295" s="228">
        <f>YEAR(AVEU_Historical_Data__2[[#This Row],[Date]])</f>
        <v>2021</v>
      </c>
      <c r="I295" s="228">
        <f>ROUNDUP((MOD(MONTH(AVEU_Historical_Data__2[[#This Row],[Date]])+8,12)+1)/3,0)</f>
        <v>1</v>
      </c>
      <c r="J295" s="228">
        <f>MONTH(AVEU_Historical_Data__2[[#This Row],[Date]])</f>
        <v>6</v>
      </c>
      <c r="K295" s="228"/>
    </row>
    <row r="296" spans="1:11" x14ac:dyDescent="0.25">
      <c r="A296" s="227">
        <v>44357</v>
      </c>
      <c r="B296" s="228">
        <v>3194.5</v>
      </c>
      <c r="C296" s="228">
        <v>3206.85</v>
      </c>
      <c r="D296" s="228">
        <v>3240</v>
      </c>
      <c r="E296" s="228">
        <v>3181.05</v>
      </c>
      <c r="F296">
        <v>236410</v>
      </c>
      <c r="G296" s="228">
        <v>-1E-4</v>
      </c>
      <c r="H296" s="228">
        <f>YEAR(AVEU_Historical_Data__2[[#This Row],[Date]])</f>
        <v>2021</v>
      </c>
      <c r="I296" s="228">
        <f>ROUNDUP((MOD(MONTH(AVEU_Historical_Data__2[[#This Row],[Date]])+8,12)+1)/3,0)</f>
        <v>1</v>
      </c>
      <c r="J296" s="228">
        <f>MONTH(AVEU_Historical_Data__2[[#This Row],[Date]])</f>
        <v>6</v>
      </c>
      <c r="K296" s="228"/>
    </row>
    <row r="297" spans="1:11" x14ac:dyDescent="0.25">
      <c r="A297" s="227">
        <v>44358</v>
      </c>
      <c r="B297" s="228">
        <v>3175.55</v>
      </c>
      <c r="C297" s="228">
        <v>3215</v>
      </c>
      <c r="D297" s="228">
        <v>3224.1</v>
      </c>
      <c r="E297" s="228">
        <v>3161</v>
      </c>
      <c r="F297">
        <v>158640</v>
      </c>
      <c r="G297" s="228">
        <v>-5.8999999999999999E-3</v>
      </c>
      <c r="H297" s="228">
        <f>YEAR(AVEU_Historical_Data__2[[#This Row],[Date]])</f>
        <v>2021</v>
      </c>
      <c r="I297" s="228">
        <f>ROUNDUP((MOD(MONTH(AVEU_Historical_Data__2[[#This Row],[Date]])+8,12)+1)/3,0)</f>
        <v>1</v>
      </c>
      <c r="J297" s="228">
        <f>MONTH(AVEU_Historical_Data__2[[#This Row],[Date]])</f>
        <v>6</v>
      </c>
      <c r="K297" s="228"/>
    </row>
    <row r="298" spans="1:11" x14ac:dyDescent="0.25">
      <c r="A298" s="227">
        <v>44361</v>
      </c>
      <c r="B298" s="228">
        <v>3274.1</v>
      </c>
      <c r="C298" s="228">
        <v>3180</v>
      </c>
      <c r="D298" s="228">
        <v>3294</v>
      </c>
      <c r="E298" s="228">
        <v>3108.05</v>
      </c>
      <c r="F298">
        <v>735980</v>
      </c>
      <c r="G298" s="228">
        <v>3.1E-2</v>
      </c>
      <c r="H298" s="228">
        <f>YEAR(AVEU_Historical_Data__2[[#This Row],[Date]])</f>
        <v>2021</v>
      </c>
      <c r="I298" s="228">
        <f>ROUNDUP((MOD(MONTH(AVEU_Historical_Data__2[[#This Row],[Date]])+8,12)+1)/3,0)</f>
        <v>1</v>
      </c>
      <c r="J298" s="228">
        <f>MONTH(AVEU_Historical_Data__2[[#This Row],[Date]])</f>
        <v>6</v>
      </c>
      <c r="K298" s="228"/>
    </row>
    <row r="299" spans="1:11" x14ac:dyDescent="0.25">
      <c r="A299" s="227">
        <v>44362</v>
      </c>
      <c r="B299" s="228">
        <v>3359.5</v>
      </c>
      <c r="C299" s="228">
        <v>3300</v>
      </c>
      <c r="D299" s="228">
        <v>3394.45</v>
      </c>
      <c r="E299" s="228">
        <v>3294</v>
      </c>
      <c r="F299">
        <v>884870</v>
      </c>
      <c r="G299" s="228">
        <v>2.6100000000000002E-2</v>
      </c>
      <c r="H299" s="228">
        <f>YEAR(AVEU_Historical_Data__2[[#This Row],[Date]])</f>
        <v>2021</v>
      </c>
      <c r="I299" s="228">
        <f>ROUNDUP((MOD(MONTH(AVEU_Historical_Data__2[[#This Row],[Date]])+8,12)+1)/3,0)</f>
        <v>1</v>
      </c>
      <c r="J299" s="228">
        <f>MONTH(AVEU_Historical_Data__2[[#This Row],[Date]])</f>
        <v>6</v>
      </c>
      <c r="K299" s="228"/>
    </row>
    <row r="300" spans="1:11" x14ac:dyDescent="0.25">
      <c r="A300" s="227">
        <v>44363</v>
      </c>
      <c r="B300" s="228">
        <v>3310.4</v>
      </c>
      <c r="C300" s="228">
        <v>3359.5</v>
      </c>
      <c r="D300" s="228">
        <v>3396.9</v>
      </c>
      <c r="E300" s="228">
        <v>3275.65</v>
      </c>
      <c r="F300">
        <v>441190</v>
      </c>
      <c r="G300" s="228">
        <v>-1.46E-2</v>
      </c>
      <c r="H300" s="228">
        <f>YEAR(AVEU_Historical_Data__2[[#This Row],[Date]])</f>
        <v>2021</v>
      </c>
      <c r="I300" s="228">
        <f>ROUNDUP((MOD(MONTH(AVEU_Historical_Data__2[[#This Row],[Date]])+8,12)+1)/3,0)</f>
        <v>1</v>
      </c>
      <c r="J300" s="228">
        <f>MONTH(AVEU_Historical_Data__2[[#This Row],[Date]])</f>
        <v>6</v>
      </c>
      <c r="K300" s="228"/>
    </row>
    <row r="301" spans="1:11" x14ac:dyDescent="0.25">
      <c r="A301" s="227">
        <v>44364</v>
      </c>
      <c r="B301" s="228">
        <v>3285.55</v>
      </c>
      <c r="C301" s="228">
        <v>3283.95</v>
      </c>
      <c r="D301" s="228">
        <v>3306.6</v>
      </c>
      <c r="E301" s="228">
        <v>3260</v>
      </c>
      <c r="F301">
        <v>290180</v>
      </c>
      <c r="G301" s="228">
        <v>-7.4999999999999997E-3</v>
      </c>
      <c r="H301" s="228">
        <f>YEAR(AVEU_Historical_Data__2[[#This Row],[Date]])</f>
        <v>2021</v>
      </c>
      <c r="I301" s="228">
        <f>ROUNDUP((MOD(MONTH(AVEU_Historical_Data__2[[#This Row],[Date]])+8,12)+1)/3,0)</f>
        <v>1</v>
      </c>
      <c r="J301" s="228">
        <f>MONTH(AVEU_Historical_Data__2[[#This Row],[Date]])</f>
        <v>6</v>
      </c>
      <c r="K301" s="228"/>
    </row>
    <row r="302" spans="1:11" x14ac:dyDescent="0.25">
      <c r="A302" s="227">
        <v>44365</v>
      </c>
      <c r="B302" s="228">
        <v>3317.7</v>
      </c>
      <c r="C302" s="228">
        <v>3317.5</v>
      </c>
      <c r="D302" s="228">
        <v>3372.35</v>
      </c>
      <c r="E302" s="228">
        <v>3252.2</v>
      </c>
      <c r="F302">
        <v>765940</v>
      </c>
      <c r="G302" s="228">
        <v>9.7999999999999997E-3</v>
      </c>
      <c r="H302" s="228">
        <f>YEAR(AVEU_Historical_Data__2[[#This Row],[Date]])</f>
        <v>2021</v>
      </c>
      <c r="I302" s="228">
        <f>ROUNDUP((MOD(MONTH(AVEU_Historical_Data__2[[#This Row],[Date]])+8,12)+1)/3,0)</f>
        <v>1</v>
      </c>
      <c r="J302" s="228">
        <f>MONTH(AVEU_Historical_Data__2[[#This Row],[Date]])</f>
        <v>6</v>
      </c>
      <c r="K302" s="228"/>
    </row>
    <row r="303" spans="1:11" x14ac:dyDescent="0.25">
      <c r="A303" s="227">
        <v>44368</v>
      </c>
      <c r="B303" s="228">
        <v>3311</v>
      </c>
      <c r="C303" s="228">
        <v>3319.7</v>
      </c>
      <c r="D303" s="228">
        <v>3319.7</v>
      </c>
      <c r="E303" s="228">
        <v>3274</v>
      </c>
      <c r="F303">
        <v>164980</v>
      </c>
      <c r="G303" s="228">
        <v>-2E-3</v>
      </c>
      <c r="H303" s="228">
        <f>YEAR(AVEU_Historical_Data__2[[#This Row],[Date]])</f>
        <v>2021</v>
      </c>
      <c r="I303" s="228">
        <f>ROUNDUP((MOD(MONTH(AVEU_Historical_Data__2[[#This Row],[Date]])+8,12)+1)/3,0)</f>
        <v>1</v>
      </c>
      <c r="J303" s="228">
        <f>MONTH(AVEU_Historical_Data__2[[#This Row],[Date]])</f>
        <v>6</v>
      </c>
      <c r="K303" s="228"/>
    </row>
    <row r="304" spans="1:11" x14ac:dyDescent="0.25">
      <c r="A304" s="227">
        <v>44369</v>
      </c>
      <c r="B304" s="228">
        <v>3373.8</v>
      </c>
      <c r="C304" s="228">
        <v>3328</v>
      </c>
      <c r="D304" s="228">
        <v>3408.45</v>
      </c>
      <c r="E304" s="228">
        <v>3320</v>
      </c>
      <c r="F304">
        <v>518270</v>
      </c>
      <c r="G304" s="228">
        <v>1.9E-2</v>
      </c>
      <c r="H304" s="228">
        <f>YEAR(AVEU_Historical_Data__2[[#This Row],[Date]])</f>
        <v>2021</v>
      </c>
      <c r="I304" s="228">
        <f>ROUNDUP((MOD(MONTH(AVEU_Historical_Data__2[[#This Row],[Date]])+8,12)+1)/3,0)</f>
        <v>1</v>
      </c>
      <c r="J304" s="228">
        <f>MONTH(AVEU_Historical_Data__2[[#This Row],[Date]])</f>
        <v>6</v>
      </c>
      <c r="K304" s="228"/>
    </row>
    <row r="305" spans="1:11" x14ac:dyDescent="0.25">
      <c r="A305" s="227">
        <v>44370</v>
      </c>
      <c r="B305" s="228">
        <v>3310.9</v>
      </c>
      <c r="C305" s="228">
        <v>3400</v>
      </c>
      <c r="D305" s="228">
        <v>3400</v>
      </c>
      <c r="E305" s="228">
        <v>3300.95</v>
      </c>
      <c r="F305">
        <v>244160</v>
      </c>
      <c r="G305" s="228">
        <v>-1.8599999999999998E-2</v>
      </c>
      <c r="H305" s="228">
        <f>YEAR(AVEU_Historical_Data__2[[#This Row],[Date]])</f>
        <v>2021</v>
      </c>
      <c r="I305" s="228">
        <f>ROUNDUP((MOD(MONTH(AVEU_Historical_Data__2[[#This Row],[Date]])+8,12)+1)/3,0)</f>
        <v>1</v>
      </c>
      <c r="J305" s="228">
        <f>MONTH(AVEU_Historical_Data__2[[#This Row],[Date]])</f>
        <v>6</v>
      </c>
      <c r="K305" s="228"/>
    </row>
    <row r="306" spans="1:11" x14ac:dyDescent="0.25">
      <c r="A306" s="227">
        <v>44371</v>
      </c>
      <c r="B306" s="228">
        <v>3323.8</v>
      </c>
      <c r="C306" s="228">
        <v>3345</v>
      </c>
      <c r="D306" s="228">
        <v>3352</v>
      </c>
      <c r="E306" s="228">
        <v>3304</v>
      </c>
      <c r="F306">
        <v>157650</v>
      </c>
      <c r="G306" s="228">
        <v>3.8999999999999998E-3</v>
      </c>
      <c r="H306" s="228">
        <f>YEAR(AVEU_Historical_Data__2[[#This Row],[Date]])</f>
        <v>2021</v>
      </c>
      <c r="I306" s="228">
        <f>ROUNDUP((MOD(MONTH(AVEU_Historical_Data__2[[#This Row],[Date]])+8,12)+1)/3,0)</f>
        <v>1</v>
      </c>
      <c r="J306" s="228">
        <f>MONTH(AVEU_Historical_Data__2[[#This Row],[Date]])</f>
        <v>6</v>
      </c>
      <c r="K306" s="228"/>
    </row>
    <row r="307" spans="1:11" x14ac:dyDescent="0.25">
      <c r="A307" s="227">
        <v>44372</v>
      </c>
      <c r="B307" s="228">
        <v>3315.35</v>
      </c>
      <c r="C307" s="228">
        <v>3325</v>
      </c>
      <c r="D307" s="228">
        <v>3347.85</v>
      </c>
      <c r="E307" s="228">
        <v>3307</v>
      </c>
      <c r="F307">
        <v>107600</v>
      </c>
      <c r="G307" s="228">
        <v>-2.5000000000000001E-3</v>
      </c>
      <c r="H307" s="228">
        <f>YEAR(AVEU_Historical_Data__2[[#This Row],[Date]])</f>
        <v>2021</v>
      </c>
      <c r="I307" s="228">
        <f>ROUNDUP((MOD(MONTH(AVEU_Historical_Data__2[[#This Row],[Date]])+8,12)+1)/3,0)</f>
        <v>1</v>
      </c>
      <c r="J307" s="228">
        <f>MONTH(AVEU_Historical_Data__2[[#This Row],[Date]])</f>
        <v>6</v>
      </c>
      <c r="K307" s="228"/>
    </row>
    <row r="308" spans="1:11" x14ac:dyDescent="0.25">
      <c r="A308" s="227">
        <v>44375</v>
      </c>
      <c r="B308" s="228">
        <v>3332.2</v>
      </c>
      <c r="C308" s="228">
        <v>3315</v>
      </c>
      <c r="D308" s="228">
        <v>3350</v>
      </c>
      <c r="E308" s="228">
        <v>3277</v>
      </c>
      <c r="F308">
        <v>184380</v>
      </c>
      <c r="G308" s="228">
        <v>5.1000000000000004E-3</v>
      </c>
      <c r="H308" s="228">
        <f>YEAR(AVEU_Historical_Data__2[[#This Row],[Date]])</f>
        <v>2021</v>
      </c>
      <c r="I308" s="228">
        <f>ROUNDUP((MOD(MONTH(AVEU_Historical_Data__2[[#This Row],[Date]])+8,12)+1)/3,0)</f>
        <v>1</v>
      </c>
      <c r="J308" s="228">
        <f>MONTH(AVEU_Historical_Data__2[[#This Row],[Date]])</f>
        <v>6</v>
      </c>
      <c r="K308" s="228"/>
    </row>
    <row r="309" spans="1:11" x14ac:dyDescent="0.25">
      <c r="A309" s="227">
        <v>44376</v>
      </c>
      <c r="B309" s="228">
        <v>3270.85</v>
      </c>
      <c r="C309" s="228">
        <v>3338</v>
      </c>
      <c r="D309" s="228">
        <v>3349.7</v>
      </c>
      <c r="E309" s="228">
        <v>3251</v>
      </c>
      <c r="F309">
        <v>310350</v>
      </c>
      <c r="G309" s="228">
        <v>-1.84E-2</v>
      </c>
      <c r="H309" s="228">
        <f>YEAR(AVEU_Historical_Data__2[[#This Row],[Date]])</f>
        <v>2021</v>
      </c>
      <c r="I309" s="228">
        <f>ROUNDUP((MOD(MONTH(AVEU_Historical_Data__2[[#This Row],[Date]])+8,12)+1)/3,0)</f>
        <v>1</v>
      </c>
      <c r="J309" s="228">
        <f>MONTH(AVEU_Historical_Data__2[[#This Row],[Date]])</f>
        <v>6</v>
      </c>
      <c r="K309" s="228"/>
    </row>
    <row r="310" spans="1:11" x14ac:dyDescent="0.25">
      <c r="A310" s="227">
        <v>44377</v>
      </c>
      <c r="B310" s="228">
        <v>3344.1</v>
      </c>
      <c r="C310" s="228">
        <v>3278</v>
      </c>
      <c r="D310" s="228">
        <v>3358</v>
      </c>
      <c r="E310" s="228">
        <v>3278</v>
      </c>
      <c r="F310">
        <v>502700</v>
      </c>
      <c r="G310" s="228">
        <v>2.24E-2</v>
      </c>
      <c r="H310" s="228">
        <f>YEAR(AVEU_Historical_Data__2[[#This Row],[Date]])</f>
        <v>2021</v>
      </c>
      <c r="I310" s="228">
        <f>ROUNDUP((MOD(MONTH(AVEU_Historical_Data__2[[#This Row],[Date]])+8,12)+1)/3,0)</f>
        <v>1</v>
      </c>
      <c r="J310" s="228">
        <f>MONTH(AVEU_Historical_Data__2[[#This Row],[Date]])</f>
        <v>6</v>
      </c>
      <c r="K310" s="228"/>
    </row>
    <row r="311" spans="1:11" x14ac:dyDescent="0.25">
      <c r="A311" s="227">
        <v>44378</v>
      </c>
      <c r="B311" s="228">
        <v>3315.65</v>
      </c>
      <c r="C311" s="228">
        <v>3373.7</v>
      </c>
      <c r="D311" s="228">
        <v>3373.7</v>
      </c>
      <c r="E311" s="228">
        <v>3305</v>
      </c>
      <c r="F311">
        <v>155970</v>
      </c>
      <c r="G311" s="228">
        <v>-8.5000000000000006E-3</v>
      </c>
      <c r="H311" s="228">
        <f>YEAR(AVEU_Historical_Data__2[[#This Row],[Date]])</f>
        <v>2021</v>
      </c>
      <c r="I311" s="228">
        <f>ROUNDUP((MOD(MONTH(AVEU_Historical_Data__2[[#This Row],[Date]])+8,12)+1)/3,0)</f>
        <v>2</v>
      </c>
      <c r="J311" s="228">
        <f>MONTH(AVEU_Historical_Data__2[[#This Row],[Date]])</f>
        <v>7</v>
      </c>
      <c r="K311" s="228"/>
    </row>
    <row r="312" spans="1:11" x14ac:dyDescent="0.25">
      <c r="A312" s="227">
        <v>44379</v>
      </c>
      <c r="B312" s="228">
        <v>3314.3</v>
      </c>
      <c r="C312" s="228">
        <v>3340</v>
      </c>
      <c r="D312" s="228">
        <v>3342.75</v>
      </c>
      <c r="E312" s="228">
        <v>3305</v>
      </c>
      <c r="F312">
        <v>262660</v>
      </c>
      <c r="G312" s="228">
        <v>-4.0000000000000002E-4</v>
      </c>
      <c r="H312" s="228">
        <f>YEAR(AVEU_Historical_Data__2[[#This Row],[Date]])</f>
        <v>2021</v>
      </c>
      <c r="I312" s="228">
        <f>ROUNDUP((MOD(MONTH(AVEU_Historical_Data__2[[#This Row],[Date]])+8,12)+1)/3,0)</f>
        <v>2</v>
      </c>
      <c r="J312" s="228">
        <f>MONTH(AVEU_Historical_Data__2[[#This Row],[Date]])</f>
        <v>7</v>
      </c>
      <c r="K312" s="228"/>
    </row>
    <row r="313" spans="1:11" x14ac:dyDescent="0.25">
      <c r="A313" s="227">
        <v>44382</v>
      </c>
      <c r="B313" s="228">
        <v>3360.65</v>
      </c>
      <c r="C313" s="228">
        <v>3375</v>
      </c>
      <c r="D313" s="228">
        <v>3395</v>
      </c>
      <c r="E313" s="228">
        <v>3341.3</v>
      </c>
      <c r="F313">
        <v>379870</v>
      </c>
      <c r="G313" s="228">
        <v>1.4E-2</v>
      </c>
      <c r="H313" s="228">
        <f>YEAR(AVEU_Historical_Data__2[[#This Row],[Date]])</f>
        <v>2021</v>
      </c>
      <c r="I313" s="228">
        <f>ROUNDUP((MOD(MONTH(AVEU_Historical_Data__2[[#This Row],[Date]])+8,12)+1)/3,0)</f>
        <v>2</v>
      </c>
      <c r="J313" s="228">
        <f>MONTH(AVEU_Historical_Data__2[[#This Row],[Date]])</f>
        <v>7</v>
      </c>
      <c r="K313" s="228"/>
    </row>
    <row r="314" spans="1:11" x14ac:dyDescent="0.25">
      <c r="A314" s="227">
        <v>44383</v>
      </c>
      <c r="B314" s="228">
        <v>3364.6</v>
      </c>
      <c r="C314" s="228">
        <v>3366</v>
      </c>
      <c r="D314" s="228">
        <v>3425</v>
      </c>
      <c r="E314" s="228">
        <v>3332</v>
      </c>
      <c r="F314">
        <v>336460</v>
      </c>
      <c r="G314" s="228">
        <v>1.1999999999999999E-3</v>
      </c>
      <c r="H314" s="228">
        <f>YEAR(AVEU_Historical_Data__2[[#This Row],[Date]])</f>
        <v>2021</v>
      </c>
      <c r="I314" s="228">
        <f>ROUNDUP((MOD(MONTH(AVEU_Historical_Data__2[[#This Row],[Date]])+8,12)+1)/3,0)</f>
        <v>2</v>
      </c>
      <c r="J314" s="228">
        <f>MONTH(AVEU_Historical_Data__2[[#This Row],[Date]])</f>
        <v>7</v>
      </c>
      <c r="K314" s="228"/>
    </row>
    <row r="315" spans="1:11" x14ac:dyDescent="0.25">
      <c r="A315" s="227">
        <v>44384</v>
      </c>
      <c r="B315" s="228">
        <v>3396.4</v>
      </c>
      <c r="C315" s="228">
        <v>3366</v>
      </c>
      <c r="D315" s="228">
        <v>3402</v>
      </c>
      <c r="E315" s="228">
        <v>3326</v>
      </c>
      <c r="F315">
        <v>276020</v>
      </c>
      <c r="G315" s="228">
        <v>9.4999999999999998E-3</v>
      </c>
      <c r="H315" s="228">
        <f>YEAR(AVEU_Historical_Data__2[[#This Row],[Date]])</f>
        <v>2021</v>
      </c>
      <c r="I315" s="228">
        <f>ROUNDUP((MOD(MONTH(AVEU_Historical_Data__2[[#This Row],[Date]])+8,12)+1)/3,0)</f>
        <v>2</v>
      </c>
      <c r="J315" s="228">
        <f>MONTH(AVEU_Historical_Data__2[[#This Row],[Date]])</f>
        <v>7</v>
      </c>
      <c r="K315" s="228"/>
    </row>
    <row r="316" spans="1:11" x14ac:dyDescent="0.25">
      <c r="A316" s="227">
        <v>44385</v>
      </c>
      <c r="B316" s="228">
        <v>3389.2</v>
      </c>
      <c r="C316" s="228">
        <v>3400</v>
      </c>
      <c r="D316" s="228">
        <v>3420</v>
      </c>
      <c r="E316" s="228">
        <v>3368</v>
      </c>
      <c r="F316">
        <v>184900</v>
      </c>
      <c r="G316" s="228">
        <v>-2.0999999999999999E-3</v>
      </c>
      <c r="H316" s="228">
        <f>YEAR(AVEU_Historical_Data__2[[#This Row],[Date]])</f>
        <v>2021</v>
      </c>
      <c r="I316" s="228">
        <f>ROUNDUP((MOD(MONTH(AVEU_Historical_Data__2[[#This Row],[Date]])+8,12)+1)/3,0)</f>
        <v>2</v>
      </c>
      <c r="J316" s="228">
        <f>MONTH(AVEU_Historical_Data__2[[#This Row],[Date]])</f>
        <v>7</v>
      </c>
      <c r="K316" s="228"/>
    </row>
    <row r="317" spans="1:11" x14ac:dyDescent="0.25">
      <c r="A317" s="227">
        <v>44386</v>
      </c>
      <c r="B317" s="228">
        <v>3377.6</v>
      </c>
      <c r="C317" s="228">
        <v>3390</v>
      </c>
      <c r="D317" s="228">
        <v>3398</v>
      </c>
      <c r="E317" s="228">
        <v>3361.1</v>
      </c>
      <c r="F317">
        <v>146420</v>
      </c>
      <c r="G317" s="228">
        <v>-3.3999999999999998E-3</v>
      </c>
      <c r="H317" s="228">
        <f>YEAR(AVEU_Historical_Data__2[[#This Row],[Date]])</f>
        <v>2021</v>
      </c>
      <c r="I317" s="228">
        <f>ROUNDUP((MOD(MONTH(AVEU_Historical_Data__2[[#This Row],[Date]])+8,12)+1)/3,0)</f>
        <v>2</v>
      </c>
      <c r="J317" s="228">
        <f>MONTH(AVEU_Historical_Data__2[[#This Row],[Date]])</f>
        <v>7</v>
      </c>
      <c r="K317" s="228"/>
    </row>
    <row r="318" spans="1:11" x14ac:dyDescent="0.25">
      <c r="A318" s="227">
        <v>44389</v>
      </c>
      <c r="B318" s="228">
        <v>3349.05</v>
      </c>
      <c r="C318" s="228">
        <v>3369.6</v>
      </c>
      <c r="D318" s="228">
        <v>3378</v>
      </c>
      <c r="E318" s="228">
        <v>3310.2</v>
      </c>
      <c r="F318">
        <v>639200</v>
      </c>
      <c r="G318" s="228">
        <v>-8.5000000000000006E-3</v>
      </c>
      <c r="H318" s="228">
        <f>YEAR(AVEU_Historical_Data__2[[#This Row],[Date]])</f>
        <v>2021</v>
      </c>
      <c r="I318" s="228">
        <f>ROUNDUP((MOD(MONTH(AVEU_Historical_Data__2[[#This Row],[Date]])+8,12)+1)/3,0)</f>
        <v>2</v>
      </c>
      <c r="J318" s="228">
        <f>MONTH(AVEU_Historical_Data__2[[#This Row],[Date]])</f>
        <v>7</v>
      </c>
      <c r="K318" s="228"/>
    </row>
    <row r="319" spans="1:11" x14ac:dyDescent="0.25">
      <c r="A319" s="227">
        <v>44390</v>
      </c>
      <c r="B319" s="228">
        <v>3355</v>
      </c>
      <c r="C319" s="228">
        <v>3330</v>
      </c>
      <c r="D319" s="228">
        <v>3370</v>
      </c>
      <c r="E319" s="228">
        <v>3307.55</v>
      </c>
      <c r="F319">
        <v>264070</v>
      </c>
      <c r="G319" s="228">
        <v>1.8E-3</v>
      </c>
      <c r="H319" s="228">
        <f>YEAR(AVEU_Historical_Data__2[[#This Row],[Date]])</f>
        <v>2021</v>
      </c>
      <c r="I319" s="228">
        <f>ROUNDUP((MOD(MONTH(AVEU_Historical_Data__2[[#This Row],[Date]])+8,12)+1)/3,0)</f>
        <v>2</v>
      </c>
      <c r="J319" s="228">
        <f>MONTH(AVEU_Historical_Data__2[[#This Row],[Date]])</f>
        <v>7</v>
      </c>
      <c r="K319" s="228"/>
    </row>
    <row r="320" spans="1:11" x14ac:dyDescent="0.25">
      <c r="A320" s="227">
        <v>44391</v>
      </c>
      <c r="B320" s="228">
        <v>3330.05</v>
      </c>
      <c r="C320" s="228">
        <v>3349.95</v>
      </c>
      <c r="D320" s="228">
        <v>3350.1</v>
      </c>
      <c r="E320" s="228">
        <v>3319</v>
      </c>
      <c r="F320">
        <v>253370</v>
      </c>
      <c r="G320" s="228">
        <v>-7.4000000000000003E-3</v>
      </c>
      <c r="H320" s="228">
        <f>YEAR(AVEU_Historical_Data__2[[#This Row],[Date]])</f>
        <v>2021</v>
      </c>
      <c r="I320" s="228">
        <f>ROUNDUP((MOD(MONTH(AVEU_Historical_Data__2[[#This Row],[Date]])+8,12)+1)/3,0)</f>
        <v>2</v>
      </c>
      <c r="J320" s="228">
        <f>MONTH(AVEU_Historical_Data__2[[#This Row],[Date]])</f>
        <v>7</v>
      </c>
      <c r="K320" s="228"/>
    </row>
    <row r="321" spans="1:11" x14ac:dyDescent="0.25">
      <c r="A321" s="227">
        <v>44392</v>
      </c>
      <c r="B321" s="228">
        <v>3328.5</v>
      </c>
      <c r="C321" s="228">
        <v>3319</v>
      </c>
      <c r="D321" s="228">
        <v>3363</v>
      </c>
      <c r="E321" s="228">
        <v>3300</v>
      </c>
      <c r="F321">
        <v>188080</v>
      </c>
      <c r="G321" s="228">
        <v>-5.0000000000000001E-4</v>
      </c>
      <c r="H321" s="228">
        <f>YEAR(AVEU_Historical_Data__2[[#This Row],[Date]])</f>
        <v>2021</v>
      </c>
      <c r="I321" s="228">
        <f>ROUNDUP((MOD(MONTH(AVEU_Historical_Data__2[[#This Row],[Date]])+8,12)+1)/3,0)</f>
        <v>2</v>
      </c>
      <c r="J321" s="228">
        <f>MONTH(AVEU_Historical_Data__2[[#This Row],[Date]])</f>
        <v>7</v>
      </c>
      <c r="K321" s="228"/>
    </row>
    <row r="322" spans="1:11" x14ac:dyDescent="0.25">
      <c r="A322" s="227">
        <v>44393</v>
      </c>
      <c r="B322" s="228">
        <v>3349.2</v>
      </c>
      <c r="C322" s="228">
        <v>3332.95</v>
      </c>
      <c r="D322" s="228">
        <v>3365</v>
      </c>
      <c r="E322" s="228">
        <v>3327</v>
      </c>
      <c r="F322">
        <v>316990</v>
      </c>
      <c r="G322" s="228">
        <v>6.1999999999999998E-3</v>
      </c>
      <c r="H322" s="228">
        <f>YEAR(AVEU_Historical_Data__2[[#This Row],[Date]])</f>
        <v>2021</v>
      </c>
      <c r="I322" s="228">
        <f>ROUNDUP((MOD(MONTH(AVEU_Historical_Data__2[[#This Row],[Date]])+8,12)+1)/3,0)</f>
        <v>2</v>
      </c>
      <c r="J322" s="228">
        <f>MONTH(AVEU_Historical_Data__2[[#This Row],[Date]])</f>
        <v>7</v>
      </c>
      <c r="K322" s="228"/>
    </row>
    <row r="323" spans="1:11" x14ac:dyDescent="0.25">
      <c r="A323" s="227">
        <v>44396</v>
      </c>
      <c r="B323" s="228">
        <v>3331.6</v>
      </c>
      <c r="C323" s="228">
        <v>3320</v>
      </c>
      <c r="D323" s="228">
        <v>3348.9</v>
      </c>
      <c r="E323" s="228">
        <v>3315.15</v>
      </c>
      <c r="F323">
        <v>143630</v>
      </c>
      <c r="G323" s="228">
        <v>-5.3E-3</v>
      </c>
      <c r="H323" s="228">
        <f>YEAR(AVEU_Historical_Data__2[[#This Row],[Date]])</f>
        <v>2021</v>
      </c>
      <c r="I323" s="228">
        <f>ROUNDUP((MOD(MONTH(AVEU_Historical_Data__2[[#This Row],[Date]])+8,12)+1)/3,0)</f>
        <v>2</v>
      </c>
      <c r="J323" s="228">
        <f>MONTH(AVEU_Historical_Data__2[[#This Row],[Date]])</f>
        <v>7</v>
      </c>
      <c r="K323" s="228"/>
    </row>
    <row r="324" spans="1:11" x14ac:dyDescent="0.25">
      <c r="A324" s="227">
        <v>44397</v>
      </c>
      <c r="B324" s="228">
        <v>3397.3</v>
      </c>
      <c r="C324" s="228">
        <v>3347</v>
      </c>
      <c r="D324" s="228">
        <v>3419</v>
      </c>
      <c r="E324" s="228">
        <v>3334</v>
      </c>
      <c r="F324">
        <v>553490</v>
      </c>
      <c r="G324" s="228">
        <v>1.9699999999999999E-2</v>
      </c>
      <c r="H324" s="228">
        <f>YEAR(AVEU_Historical_Data__2[[#This Row],[Date]])</f>
        <v>2021</v>
      </c>
      <c r="I324" s="228">
        <f>ROUNDUP((MOD(MONTH(AVEU_Historical_Data__2[[#This Row],[Date]])+8,12)+1)/3,0)</f>
        <v>2</v>
      </c>
      <c r="J324" s="228">
        <f>MONTH(AVEU_Historical_Data__2[[#This Row],[Date]])</f>
        <v>7</v>
      </c>
      <c r="K324" s="228"/>
    </row>
    <row r="325" spans="1:11" x14ac:dyDescent="0.25">
      <c r="A325" s="227">
        <v>44399</v>
      </c>
      <c r="B325" s="228">
        <v>3397.35</v>
      </c>
      <c r="C325" s="228">
        <v>3434</v>
      </c>
      <c r="D325" s="228">
        <v>3449</v>
      </c>
      <c r="E325" s="228">
        <v>3383</v>
      </c>
      <c r="F325">
        <v>216220</v>
      </c>
      <c r="G325" s="228">
        <v>0</v>
      </c>
      <c r="H325" s="228">
        <f>YEAR(AVEU_Historical_Data__2[[#This Row],[Date]])</f>
        <v>2021</v>
      </c>
      <c r="I325" s="228">
        <f>ROUNDUP((MOD(MONTH(AVEU_Historical_Data__2[[#This Row],[Date]])+8,12)+1)/3,0)</f>
        <v>2</v>
      </c>
      <c r="J325" s="228">
        <f>MONTH(AVEU_Historical_Data__2[[#This Row],[Date]])</f>
        <v>7</v>
      </c>
      <c r="K325" s="228"/>
    </row>
    <row r="326" spans="1:11" x14ac:dyDescent="0.25">
      <c r="A326" s="227">
        <v>44400</v>
      </c>
      <c r="B326" s="228">
        <v>3413.2</v>
      </c>
      <c r="C326" s="228">
        <v>3417.85</v>
      </c>
      <c r="D326" s="228">
        <v>3425</v>
      </c>
      <c r="E326" s="228">
        <v>3393.05</v>
      </c>
      <c r="F326">
        <v>155190</v>
      </c>
      <c r="G326" s="228">
        <v>4.7000000000000002E-3</v>
      </c>
      <c r="H326" s="228">
        <f>YEAR(AVEU_Historical_Data__2[[#This Row],[Date]])</f>
        <v>2021</v>
      </c>
      <c r="I326" s="228">
        <f>ROUNDUP((MOD(MONTH(AVEU_Historical_Data__2[[#This Row],[Date]])+8,12)+1)/3,0)</f>
        <v>2</v>
      </c>
      <c r="J326" s="228">
        <f>MONTH(AVEU_Historical_Data__2[[#This Row],[Date]])</f>
        <v>7</v>
      </c>
      <c r="K326" s="228"/>
    </row>
    <row r="327" spans="1:11" x14ac:dyDescent="0.25">
      <c r="A327" s="227">
        <v>44403</v>
      </c>
      <c r="B327" s="228">
        <v>3483.55</v>
      </c>
      <c r="C327" s="228">
        <v>3410</v>
      </c>
      <c r="D327" s="228">
        <v>3499.5</v>
      </c>
      <c r="E327" s="228">
        <v>3398.3</v>
      </c>
      <c r="F327">
        <v>319730</v>
      </c>
      <c r="G327" s="228">
        <v>2.06E-2</v>
      </c>
      <c r="H327" s="228">
        <f>YEAR(AVEU_Historical_Data__2[[#This Row],[Date]])</f>
        <v>2021</v>
      </c>
      <c r="I327" s="228">
        <f>ROUNDUP((MOD(MONTH(AVEU_Historical_Data__2[[#This Row],[Date]])+8,12)+1)/3,0)</f>
        <v>2</v>
      </c>
      <c r="J327" s="228">
        <f>MONTH(AVEU_Historical_Data__2[[#This Row],[Date]])</f>
        <v>7</v>
      </c>
      <c r="K327" s="228"/>
    </row>
    <row r="328" spans="1:11" x14ac:dyDescent="0.25">
      <c r="A328" s="227">
        <v>44404</v>
      </c>
      <c r="B328" s="228">
        <v>3499.4</v>
      </c>
      <c r="C328" s="228">
        <v>3499</v>
      </c>
      <c r="D328" s="228">
        <v>3533.4</v>
      </c>
      <c r="E328" s="228">
        <v>3465.25</v>
      </c>
      <c r="F328">
        <v>286350</v>
      </c>
      <c r="G328" s="228">
        <v>4.4999999999999997E-3</v>
      </c>
      <c r="H328" s="228">
        <f>YEAR(AVEU_Historical_Data__2[[#This Row],[Date]])</f>
        <v>2021</v>
      </c>
      <c r="I328" s="228">
        <f>ROUNDUP((MOD(MONTH(AVEU_Historical_Data__2[[#This Row],[Date]])+8,12)+1)/3,0)</f>
        <v>2</v>
      </c>
      <c r="J328" s="228">
        <f>MONTH(AVEU_Historical_Data__2[[#This Row],[Date]])</f>
        <v>7</v>
      </c>
      <c r="K328" s="228"/>
    </row>
    <row r="329" spans="1:11" x14ac:dyDescent="0.25">
      <c r="A329" s="227">
        <v>44405</v>
      </c>
      <c r="B329" s="228">
        <v>3488.5</v>
      </c>
      <c r="C329" s="228">
        <v>3499</v>
      </c>
      <c r="D329" s="228">
        <v>3518.2</v>
      </c>
      <c r="E329" s="228">
        <v>3441.1</v>
      </c>
      <c r="F329">
        <v>172830</v>
      </c>
      <c r="G329" s="228">
        <v>-3.0999999999999999E-3</v>
      </c>
      <c r="H329" s="228">
        <f>YEAR(AVEU_Historical_Data__2[[#This Row],[Date]])</f>
        <v>2021</v>
      </c>
      <c r="I329" s="228">
        <f>ROUNDUP((MOD(MONTH(AVEU_Historical_Data__2[[#This Row],[Date]])+8,12)+1)/3,0)</f>
        <v>2</v>
      </c>
      <c r="J329" s="228">
        <f>MONTH(AVEU_Historical_Data__2[[#This Row],[Date]])</f>
        <v>7</v>
      </c>
      <c r="K329" s="228"/>
    </row>
    <row r="330" spans="1:11" x14ac:dyDescent="0.25">
      <c r="A330" s="227">
        <v>44406</v>
      </c>
      <c r="B330" s="228">
        <v>3502.6</v>
      </c>
      <c r="C330" s="228">
        <v>3500</v>
      </c>
      <c r="D330" s="228">
        <v>3524</v>
      </c>
      <c r="E330" s="228">
        <v>3492.25</v>
      </c>
      <c r="F330">
        <v>131750</v>
      </c>
      <c r="G330" s="228">
        <v>4.0000000000000001E-3</v>
      </c>
      <c r="H330" s="228">
        <f>YEAR(AVEU_Historical_Data__2[[#This Row],[Date]])</f>
        <v>2021</v>
      </c>
      <c r="I330" s="228">
        <f>ROUNDUP((MOD(MONTH(AVEU_Historical_Data__2[[#This Row],[Date]])+8,12)+1)/3,0)</f>
        <v>2</v>
      </c>
      <c r="J330" s="228">
        <f>MONTH(AVEU_Historical_Data__2[[#This Row],[Date]])</f>
        <v>7</v>
      </c>
      <c r="K330" s="228"/>
    </row>
    <row r="331" spans="1:11" x14ac:dyDescent="0.25">
      <c r="A331" s="227">
        <v>44407</v>
      </c>
      <c r="B331" s="228">
        <v>3500.8</v>
      </c>
      <c r="C331" s="228">
        <v>3524</v>
      </c>
      <c r="D331" s="228">
        <v>3524</v>
      </c>
      <c r="E331" s="228">
        <v>3475.25</v>
      </c>
      <c r="F331">
        <v>270550</v>
      </c>
      <c r="G331" s="228">
        <v>-5.0000000000000001E-4</v>
      </c>
      <c r="H331" s="228">
        <f>YEAR(AVEU_Historical_Data__2[[#This Row],[Date]])</f>
        <v>2021</v>
      </c>
      <c r="I331" s="228">
        <f>ROUNDUP((MOD(MONTH(AVEU_Historical_Data__2[[#This Row],[Date]])+8,12)+1)/3,0)</f>
        <v>2</v>
      </c>
      <c r="J331" s="228">
        <f>MONTH(AVEU_Historical_Data__2[[#This Row],[Date]])</f>
        <v>7</v>
      </c>
      <c r="K331" s="228"/>
    </row>
    <row r="332" spans="1:11" x14ac:dyDescent="0.25">
      <c r="A332" s="227">
        <v>44410</v>
      </c>
      <c r="B332" s="228">
        <v>3502.4</v>
      </c>
      <c r="C332" s="228">
        <v>3524.8</v>
      </c>
      <c r="D332" s="228">
        <v>3524.8</v>
      </c>
      <c r="E332" s="228">
        <v>3486</v>
      </c>
      <c r="F332">
        <v>147600</v>
      </c>
      <c r="G332" s="228">
        <v>5.0000000000000001E-4</v>
      </c>
      <c r="H332" s="228">
        <f>YEAR(AVEU_Historical_Data__2[[#This Row],[Date]])</f>
        <v>2021</v>
      </c>
      <c r="I332" s="228">
        <f>ROUNDUP((MOD(MONTH(AVEU_Historical_Data__2[[#This Row],[Date]])+8,12)+1)/3,0)</f>
        <v>2</v>
      </c>
      <c r="J332" s="228">
        <f>MONTH(AVEU_Historical_Data__2[[#This Row],[Date]])</f>
        <v>8</v>
      </c>
      <c r="K332" s="228"/>
    </row>
    <row r="333" spans="1:11" x14ac:dyDescent="0.25">
      <c r="A333" s="227">
        <v>44411</v>
      </c>
      <c r="B333" s="228">
        <v>3566.25</v>
      </c>
      <c r="C333" s="228">
        <v>3508</v>
      </c>
      <c r="D333" s="228">
        <v>3579</v>
      </c>
      <c r="E333" s="228">
        <v>3504</v>
      </c>
      <c r="F333">
        <v>224340</v>
      </c>
      <c r="G333" s="228">
        <v>1.8200000000000001E-2</v>
      </c>
      <c r="H333" s="228">
        <f>YEAR(AVEU_Historical_Data__2[[#This Row],[Date]])</f>
        <v>2021</v>
      </c>
      <c r="I333" s="228">
        <f>ROUNDUP((MOD(MONTH(AVEU_Historical_Data__2[[#This Row],[Date]])+8,12)+1)/3,0)</f>
        <v>2</v>
      </c>
      <c r="J333" s="228">
        <f>MONTH(AVEU_Historical_Data__2[[#This Row],[Date]])</f>
        <v>8</v>
      </c>
      <c r="K333" s="228"/>
    </row>
    <row r="334" spans="1:11" x14ac:dyDescent="0.25">
      <c r="A334" s="227">
        <v>44412</v>
      </c>
      <c r="B334" s="228">
        <v>3593.05</v>
      </c>
      <c r="C334" s="228">
        <v>3575</v>
      </c>
      <c r="D334" s="228">
        <v>3609</v>
      </c>
      <c r="E334" s="228">
        <v>3535.85</v>
      </c>
      <c r="F334">
        <v>197380</v>
      </c>
      <c r="G334" s="228">
        <v>7.4999999999999997E-3</v>
      </c>
      <c r="H334" s="228">
        <f>YEAR(AVEU_Historical_Data__2[[#This Row],[Date]])</f>
        <v>2021</v>
      </c>
      <c r="I334" s="228">
        <f>ROUNDUP((MOD(MONTH(AVEU_Historical_Data__2[[#This Row],[Date]])+8,12)+1)/3,0)</f>
        <v>2</v>
      </c>
      <c r="J334" s="228">
        <f>MONTH(AVEU_Historical_Data__2[[#This Row],[Date]])</f>
        <v>8</v>
      </c>
      <c r="K334" s="228"/>
    </row>
    <row r="335" spans="1:11" x14ac:dyDescent="0.25">
      <c r="A335" s="227">
        <v>44413</v>
      </c>
      <c r="B335" s="228">
        <v>3564.15</v>
      </c>
      <c r="C335" s="228">
        <v>3600</v>
      </c>
      <c r="D335" s="228">
        <v>3624.45</v>
      </c>
      <c r="E335" s="228">
        <v>3551</v>
      </c>
      <c r="F335">
        <v>117490</v>
      </c>
      <c r="G335" s="228">
        <v>-8.0000000000000002E-3</v>
      </c>
      <c r="H335" s="228">
        <f>YEAR(AVEU_Historical_Data__2[[#This Row],[Date]])</f>
        <v>2021</v>
      </c>
      <c r="I335" s="228">
        <f>ROUNDUP((MOD(MONTH(AVEU_Historical_Data__2[[#This Row],[Date]])+8,12)+1)/3,0)</f>
        <v>2</v>
      </c>
      <c r="J335" s="228">
        <f>MONTH(AVEU_Historical_Data__2[[#This Row],[Date]])</f>
        <v>8</v>
      </c>
      <c r="K335" s="228"/>
    </row>
    <row r="336" spans="1:11" x14ac:dyDescent="0.25">
      <c r="A336" s="227">
        <v>44414</v>
      </c>
      <c r="B336" s="228">
        <v>3529.2</v>
      </c>
      <c r="C336" s="228">
        <v>3569</v>
      </c>
      <c r="D336" s="228">
        <v>3593</v>
      </c>
      <c r="E336" s="228">
        <v>3520</v>
      </c>
      <c r="F336">
        <v>128770.00000000001</v>
      </c>
      <c r="G336" s="228">
        <v>-9.7999999999999997E-3</v>
      </c>
      <c r="H336" s="228">
        <f>YEAR(AVEU_Historical_Data__2[[#This Row],[Date]])</f>
        <v>2021</v>
      </c>
      <c r="I336" s="228">
        <f>ROUNDUP((MOD(MONTH(AVEU_Historical_Data__2[[#This Row],[Date]])+8,12)+1)/3,0)</f>
        <v>2</v>
      </c>
      <c r="J336" s="228">
        <f>MONTH(AVEU_Historical_Data__2[[#This Row],[Date]])</f>
        <v>8</v>
      </c>
      <c r="K336" s="228"/>
    </row>
    <row r="337" spans="1:11" x14ac:dyDescent="0.25">
      <c r="A337" s="227">
        <v>44417</v>
      </c>
      <c r="B337" s="228">
        <v>3523</v>
      </c>
      <c r="C337" s="228">
        <v>3549</v>
      </c>
      <c r="D337" s="228">
        <v>3577.65</v>
      </c>
      <c r="E337" s="228">
        <v>3501</v>
      </c>
      <c r="F337">
        <v>254760</v>
      </c>
      <c r="G337" s="228">
        <v>-1.8E-3</v>
      </c>
      <c r="H337" s="228">
        <f>YEAR(AVEU_Historical_Data__2[[#This Row],[Date]])</f>
        <v>2021</v>
      </c>
      <c r="I337" s="228">
        <f>ROUNDUP((MOD(MONTH(AVEU_Historical_Data__2[[#This Row],[Date]])+8,12)+1)/3,0)</f>
        <v>2</v>
      </c>
      <c r="J337" s="228">
        <f>MONTH(AVEU_Historical_Data__2[[#This Row],[Date]])</f>
        <v>8</v>
      </c>
      <c r="K337" s="228"/>
    </row>
    <row r="338" spans="1:11" x14ac:dyDescent="0.25">
      <c r="A338" s="227">
        <v>44418</v>
      </c>
      <c r="B338" s="228">
        <v>3551.65</v>
      </c>
      <c r="C338" s="228">
        <v>3541</v>
      </c>
      <c r="D338" s="228">
        <v>3586.55</v>
      </c>
      <c r="E338" s="228">
        <v>3515</v>
      </c>
      <c r="F338">
        <v>162580</v>
      </c>
      <c r="G338" s="228">
        <v>8.0999999999999996E-3</v>
      </c>
      <c r="H338" s="228">
        <f>YEAR(AVEU_Historical_Data__2[[#This Row],[Date]])</f>
        <v>2021</v>
      </c>
      <c r="I338" s="228">
        <f>ROUNDUP((MOD(MONTH(AVEU_Historical_Data__2[[#This Row],[Date]])+8,12)+1)/3,0)</f>
        <v>2</v>
      </c>
      <c r="J338" s="228">
        <f>MONTH(AVEU_Historical_Data__2[[#This Row],[Date]])</f>
        <v>8</v>
      </c>
      <c r="K338" s="228"/>
    </row>
    <row r="339" spans="1:11" x14ac:dyDescent="0.25">
      <c r="A339" s="227">
        <v>44419</v>
      </c>
      <c r="B339" s="228">
        <v>3563.95</v>
      </c>
      <c r="C339" s="228">
        <v>3551.65</v>
      </c>
      <c r="D339" s="228">
        <v>3575</v>
      </c>
      <c r="E339" s="228">
        <v>3465</v>
      </c>
      <c r="F339">
        <v>167990</v>
      </c>
      <c r="G339" s="228">
        <v>3.5000000000000001E-3</v>
      </c>
      <c r="H339" s="228">
        <f>YEAR(AVEU_Historical_Data__2[[#This Row],[Date]])</f>
        <v>2021</v>
      </c>
      <c r="I339" s="228">
        <f>ROUNDUP((MOD(MONTH(AVEU_Historical_Data__2[[#This Row],[Date]])+8,12)+1)/3,0)</f>
        <v>2</v>
      </c>
      <c r="J339" s="228">
        <f>MONTH(AVEU_Historical_Data__2[[#This Row],[Date]])</f>
        <v>8</v>
      </c>
      <c r="K339" s="228"/>
    </row>
    <row r="340" spans="1:11" x14ac:dyDescent="0.25">
      <c r="A340" s="227">
        <v>44420</v>
      </c>
      <c r="B340" s="228">
        <v>3561</v>
      </c>
      <c r="C340" s="228">
        <v>3573.8</v>
      </c>
      <c r="D340" s="228">
        <v>3589</v>
      </c>
      <c r="E340" s="228">
        <v>3546.6</v>
      </c>
      <c r="F340">
        <v>114740</v>
      </c>
      <c r="G340" s="228">
        <v>-8.0000000000000004E-4</v>
      </c>
      <c r="H340" s="228">
        <f>YEAR(AVEU_Historical_Data__2[[#This Row],[Date]])</f>
        <v>2021</v>
      </c>
      <c r="I340" s="228">
        <f>ROUNDUP((MOD(MONTH(AVEU_Historical_Data__2[[#This Row],[Date]])+8,12)+1)/3,0)</f>
        <v>2</v>
      </c>
      <c r="J340" s="228">
        <f>MONTH(AVEU_Historical_Data__2[[#This Row],[Date]])</f>
        <v>8</v>
      </c>
      <c r="K340" s="228"/>
    </row>
    <row r="341" spans="1:11" x14ac:dyDescent="0.25">
      <c r="A341" s="227">
        <v>44421</v>
      </c>
      <c r="B341" s="228">
        <v>3594.55</v>
      </c>
      <c r="C341" s="228">
        <v>3584</v>
      </c>
      <c r="D341" s="228">
        <v>3634.45</v>
      </c>
      <c r="E341" s="228">
        <v>3518</v>
      </c>
      <c r="F341">
        <v>292710</v>
      </c>
      <c r="G341" s="228">
        <v>9.4000000000000004E-3</v>
      </c>
      <c r="H341" s="228">
        <f>YEAR(AVEU_Historical_Data__2[[#This Row],[Date]])</f>
        <v>2021</v>
      </c>
      <c r="I341" s="228">
        <f>ROUNDUP((MOD(MONTH(AVEU_Historical_Data__2[[#This Row],[Date]])+8,12)+1)/3,0)</f>
        <v>2</v>
      </c>
      <c r="J341" s="228">
        <f>MONTH(AVEU_Historical_Data__2[[#This Row],[Date]])</f>
        <v>8</v>
      </c>
      <c r="K341" s="228"/>
    </row>
    <row r="342" spans="1:11" x14ac:dyDescent="0.25">
      <c r="A342" s="227">
        <v>44424</v>
      </c>
      <c r="B342" s="228">
        <v>3633.5</v>
      </c>
      <c r="C342" s="228">
        <v>3594</v>
      </c>
      <c r="D342" s="228">
        <v>3659</v>
      </c>
      <c r="E342" s="228">
        <v>3566.3</v>
      </c>
      <c r="F342">
        <v>180470</v>
      </c>
      <c r="G342" s="228">
        <v>1.0800000000000001E-2</v>
      </c>
      <c r="H342" s="228">
        <f>YEAR(AVEU_Historical_Data__2[[#This Row],[Date]])</f>
        <v>2021</v>
      </c>
      <c r="I342" s="228">
        <f>ROUNDUP((MOD(MONTH(AVEU_Historical_Data__2[[#This Row],[Date]])+8,12)+1)/3,0)</f>
        <v>2</v>
      </c>
      <c r="J342" s="228">
        <f>MONTH(AVEU_Historical_Data__2[[#This Row],[Date]])</f>
        <v>8</v>
      </c>
      <c r="K342" s="228"/>
    </row>
    <row r="343" spans="1:11" x14ac:dyDescent="0.25">
      <c r="A343" s="227">
        <v>44425</v>
      </c>
      <c r="B343" s="228">
        <v>3634.35</v>
      </c>
      <c r="C343" s="228">
        <v>3655</v>
      </c>
      <c r="D343" s="228">
        <v>3655</v>
      </c>
      <c r="E343" s="228">
        <v>3604</v>
      </c>
      <c r="F343">
        <v>201360</v>
      </c>
      <c r="G343" s="228">
        <v>2.0000000000000001E-4</v>
      </c>
      <c r="H343" s="228">
        <f>YEAR(AVEU_Historical_Data__2[[#This Row],[Date]])</f>
        <v>2021</v>
      </c>
      <c r="I343" s="228">
        <f>ROUNDUP((MOD(MONTH(AVEU_Historical_Data__2[[#This Row],[Date]])+8,12)+1)/3,0)</f>
        <v>2</v>
      </c>
      <c r="J343" s="228">
        <f>MONTH(AVEU_Historical_Data__2[[#This Row],[Date]])</f>
        <v>8</v>
      </c>
      <c r="K343" s="228"/>
    </row>
    <row r="344" spans="1:11" x14ac:dyDescent="0.25">
      <c r="A344" s="227">
        <v>44426</v>
      </c>
      <c r="B344" s="228">
        <v>3650.6</v>
      </c>
      <c r="C344" s="228">
        <v>3640</v>
      </c>
      <c r="D344" s="228">
        <v>3668.25</v>
      </c>
      <c r="E344" s="228">
        <v>3626.15</v>
      </c>
      <c r="F344">
        <v>147890</v>
      </c>
      <c r="G344" s="228">
        <v>4.4999999999999997E-3</v>
      </c>
      <c r="H344" s="228">
        <f>YEAR(AVEU_Historical_Data__2[[#This Row],[Date]])</f>
        <v>2021</v>
      </c>
      <c r="I344" s="228">
        <f>ROUNDUP((MOD(MONTH(AVEU_Historical_Data__2[[#This Row],[Date]])+8,12)+1)/3,0)</f>
        <v>2</v>
      </c>
      <c r="J344" s="228">
        <f>MONTH(AVEU_Historical_Data__2[[#This Row],[Date]])</f>
        <v>8</v>
      </c>
      <c r="K344" s="228"/>
    </row>
    <row r="345" spans="1:11" x14ac:dyDescent="0.25">
      <c r="A345" s="227">
        <v>44428</v>
      </c>
      <c r="B345" s="228">
        <v>3643.1</v>
      </c>
      <c r="C345" s="228">
        <v>3650</v>
      </c>
      <c r="D345" s="228">
        <v>3707.15</v>
      </c>
      <c r="E345" s="228">
        <v>3618</v>
      </c>
      <c r="F345">
        <v>232760</v>
      </c>
      <c r="G345" s="228">
        <v>-2.0999999999999999E-3</v>
      </c>
      <c r="H345" s="228">
        <f>YEAR(AVEU_Historical_Data__2[[#This Row],[Date]])</f>
        <v>2021</v>
      </c>
      <c r="I345" s="228">
        <f>ROUNDUP((MOD(MONTH(AVEU_Historical_Data__2[[#This Row],[Date]])+8,12)+1)/3,0)</f>
        <v>2</v>
      </c>
      <c r="J345" s="228">
        <f>MONTH(AVEU_Historical_Data__2[[#This Row],[Date]])</f>
        <v>8</v>
      </c>
      <c r="K345" s="228"/>
    </row>
    <row r="346" spans="1:11" x14ac:dyDescent="0.25">
      <c r="A346" s="227">
        <v>44431</v>
      </c>
      <c r="B346" s="228">
        <v>3673.75</v>
      </c>
      <c r="C346" s="228">
        <v>3663</v>
      </c>
      <c r="D346" s="228">
        <v>3700</v>
      </c>
      <c r="E346" s="228">
        <v>3644</v>
      </c>
      <c r="F346">
        <v>163350</v>
      </c>
      <c r="G346" s="228">
        <v>8.3999999999999995E-3</v>
      </c>
      <c r="H346" s="228">
        <f>YEAR(AVEU_Historical_Data__2[[#This Row],[Date]])</f>
        <v>2021</v>
      </c>
      <c r="I346" s="228">
        <f>ROUNDUP((MOD(MONTH(AVEU_Historical_Data__2[[#This Row],[Date]])+8,12)+1)/3,0)</f>
        <v>2</v>
      </c>
      <c r="J346" s="228">
        <f>MONTH(AVEU_Historical_Data__2[[#This Row],[Date]])</f>
        <v>8</v>
      </c>
      <c r="K346" s="228"/>
    </row>
    <row r="347" spans="1:11" x14ac:dyDescent="0.25">
      <c r="A347" s="227">
        <v>44432</v>
      </c>
      <c r="B347" s="228">
        <v>3708.55</v>
      </c>
      <c r="C347" s="228">
        <v>3700</v>
      </c>
      <c r="D347" s="228">
        <v>3770</v>
      </c>
      <c r="E347" s="228">
        <v>3680</v>
      </c>
      <c r="F347">
        <v>343940</v>
      </c>
      <c r="G347" s="228">
        <v>9.4999999999999998E-3</v>
      </c>
      <c r="H347" s="228">
        <f>YEAR(AVEU_Historical_Data__2[[#This Row],[Date]])</f>
        <v>2021</v>
      </c>
      <c r="I347" s="228">
        <f>ROUNDUP((MOD(MONTH(AVEU_Historical_Data__2[[#This Row],[Date]])+8,12)+1)/3,0)</f>
        <v>2</v>
      </c>
      <c r="J347" s="228">
        <f>MONTH(AVEU_Historical_Data__2[[#This Row],[Date]])</f>
        <v>8</v>
      </c>
      <c r="K347" s="228"/>
    </row>
    <row r="348" spans="1:11" x14ac:dyDescent="0.25">
      <c r="A348" s="227">
        <v>44433</v>
      </c>
      <c r="B348" s="228">
        <v>3789.7</v>
      </c>
      <c r="C348" s="228">
        <v>3749.95</v>
      </c>
      <c r="D348" s="228">
        <v>3847.45</v>
      </c>
      <c r="E348" s="228">
        <v>3716.15</v>
      </c>
      <c r="F348">
        <v>332200</v>
      </c>
      <c r="G348" s="228">
        <v>2.1899999999999999E-2</v>
      </c>
      <c r="H348" s="228">
        <f>YEAR(AVEU_Historical_Data__2[[#This Row],[Date]])</f>
        <v>2021</v>
      </c>
      <c r="I348" s="228">
        <f>ROUNDUP((MOD(MONTH(AVEU_Historical_Data__2[[#This Row],[Date]])+8,12)+1)/3,0)</f>
        <v>2</v>
      </c>
      <c r="J348" s="228">
        <f>MONTH(AVEU_Historical_Data__2[[#This Row],[Date]])</f>
        <v>8</v>
      </c>
      <c r="K348" s="228"/>
    </row>
    <row r="349" spans="1:11" x14ac:dyDescent="0.25">
      <c r="A349" s="227">
        <v>44434</v>
      </c>
      <c r="B349" s="228">
        <v>3847.8</v>
      </c>
      <c r="C349" s="228">
        <v>3814</v>
      </c>
      <c r="D349" s="228">
        <v>3889.8</v>
      </c>
      <c r="E349" s="228">
        <v>3800.05</v>
      </c>
      <c r="F349">
        <v>532720</v>
      </c>
      <c r="G349" s="228">
        <v>1.5299999999999999E-2</v>
      </c>
      <c r="H349" s="228">
        <f>YEAR(AVEU_Historical_Data__2[[#This Row],[Date]])</f>
        <v>2021</v>
      </c>
      <c r="I349" s="228">
        <f>ROUNDUP((MOD(MONTH(AVEU_Historical_Data__2[[#This Row],[Date]])+8,12)+1)/3,0)</f>
        <v>2</v>
      </c>
      <c r="J349" s="228">
        <f>MONTH(AVEU_Historical_Data__2[[#This Row],[Date]])</f>
        <v>8</v>
      </c>
      <c r="K349" s="228"/>
    </row>
    <row r="350" spans="1:11" x14ac:dyDescent="0.25">
      <c r="A350" s="227">
        <v>44435</v>
      </c>
      <c r="B350" s="228">
        <v>3833.05</v>
      </c>
      <c r="C350" s="228">
        <v>3887</v>
      </c>
      <c r="D350" s="228">
        <v>3898</v>
      </c>
      <c r="E350" s="228">
        <v>3815</v>
      </c>
      <c r="F350">
        <v>349700</v>
      </c>
      <c r="G350" s="228">
        <v>-3.8E-3</v>
      </c>
      <c r="H350" s="228">
        <f>YEAR(AVEU_Historical_Data__2[[#This Row],[Date]])</f>
        <v>2021</v>
      </c>
      <c r="I350" s="228">
        <f>ROUNDUP((MOD(MONTH(AVEU_Historical_Data__2[[#This Row],[Date]])+8,12)+1)/3,0)</f>
        <v>2</v>
      </c>
      <c r="J350" s="228">
        <f>MONTH(AVEU_Historical_Data__2[[#This Row],[Date]])</f>
        <v>8</v>
      </c>
      <c r="K350" s="228"/>
    </row>
    <row r="351" spans="1:11" x14ac:dyDescent="0.25">
      <c r="A351" s="227">
        <v>44438</v>
      </c>
      <c r="B351" s="228">
        <v>3888.35</v>
      </c>
      <c r="C351" s="228">
        <v>3862</v>
      </c>
      <c r="D351" s="228">
        <v>3899</v>
      </c>
      <c r="E351" s="228">
        <v>3835.3</v>
      </c>
      <c r="F351">
        <v>267920</v>
      </c>
      <c r="G351" s="228">
        <v>1.44E-2</v>
      </c>
      <c r="H351" s="228">
        <f>YEAR(AVEU_Historical_Data__2[[#This Row],[Date]])</f>
        <v>2021</v>
      </c>
      <c r="I351" s="228">
        <f>ROUNDUP((MOD(MONTH(AVEU_Historical_Data__2[[#This Row],[Date]])+8,12)+1)/3,0)</f>
        <v>2</v>
      </c>
      <c r="J351" s="228">
        <f>MONTH(AVEU_Historical_Data__2[[#This Row],[Date]])</f>
        <v>8</v>
      </c>
      <c r="K351" s="228"/>
    </row>
    <row r="352" spans="1:11" x14ac:dyDescent="0.25">
      <c r="A352" s="227">
        <v>44439</v>
      </c>
      <c r="B352" s="228">
        <v>3954.8</v>
      </c>
      <c r="C352" s="228">
        <v>3899</v>
      </c>
      <c r="D352" s="228">
        <v>3979.75</v>
      </c>
      <c r="E352" s="228">
        <v>3871.15</v>
      </c>
      <c r="F352">
        <v>378860</v>
      </c>
      <c r="G352" s="228">
        <v>1.7100000000000001E-2</v>
      </c>
      <c r="H352" s="228">
        <f>YEAR(AVEU_Historical_Data__2[[#This Row],[Date]])</f>
        <v>2021</v>
      </c>
      <c r="I352" s="228">
        <f>ROUNDUP((MOD(MONTH(AVEU_Historical_Data__2[[#This Row],[Date]])+8,12)+1)/3,0)</f>
        <v>2</v>
      </c>
      <c r="J352" s="228">
        <f>MONTH(AVEU_Historical_Data__2[[#This Row],[Date]])</f>
        <v>8</v>
      </c>
      <c r="K352" s="228"/>
    </row>
    <row r="353" spans="1:11" x14ac:dyDescent="0.25">
      <c r="A353" s="227">
        <v>44440</v>
      </c>
      <c r="B353" s="228">
        <v>3968.6</v>
      </c>
      <c r="C353" s="228">
        <v>3978</v>
      </c>
      <c r="D353" s="228">
        <v>4015</v>
      </c>
      <c r="E353" s="228">
        <v>3960.05</v>
      </c>
      <c r="F353">
        <v>249490</v>
      </c>
      <c r="G353" s="228">
        <v>3.5000000000000001E-3</v>
      </c>
      <c r="H353" s="228">
        <f>YEAR(AVEU_Historical_Data__2[[#This Row],[Date]])</f>
        <v>2021</v>
      </c>
      <c r="I353" s="228">
        <f>ROUNDUP((MOD(MONTH(AVEU_Historical_Data__2[[#This Row],[Date]])+8,12)+1)/3,0)</f>
        <v>2</v>
      </c>
      <c r="J353" s="228">
        <f>MONTH(AVEU_Historical_Data__2[[#This Row],[Date]])</f>
        <v>9</v>
      </c>
      <c r="K353" s="228"/>
    </row>
    <row r="354" spans="1:11" x14ac:dyDescent="0.25">
      <c r="A354" s="227">
        <v>44441</v>
      </c>
      <c r="B354" s="228">
        <v>3917.65</v>
      </c>
      <c r="C354" s="228">
        <v>3979</v>
      </c>
      <c r="D354" s="228">
        <v>3984.45</v>
      </c>
      <c r="E354" s="228">
        <v>3911</v>
      </c>
      <c r="F354">
        <v>206220</v>
      </c>
      <c r="G354" s="228">
        <v>-1.2800000000000001E-2</v>
      </c>
      <c r="H354" s="228">
        <f>YEAR(AVEU_Historical_Data__2[[#This Row],[Date]])</f>
        <v>2021</v>
      </c>
      <c r="I354" s="228">
        <f>ROUNDUP((MOD(MONTH(AVEU_Historical_Data__2[[#This Row],[Date]])+8,12)+1)/3,0)</f>
        <v>2</v>
      </c>
      <c r="J354" s="228">
        <f>MONTH(AVEU_Historical_Data__2[[#This Row],[Date]])</f>
        <v>9</v>
      </c>
      <c r="K354" s="228"/>
    </row>
    <row r="355" spans="1:11" x14ac:dyDescent="0.25">
      <c r="A355" s="227">
        <v>44442</v>
      </c>
      <c r="B355" s="228">
        <v>3938.9</v>
      </c>
      <c r="C355" s="228">
        <v>3940</v>
      </c>
      <c r="D355" s="228">
        <v>3961.7</v>
      </c>
      <c r="E355" s="228">
        <v>3925.05</v>
      </c>
      <c r="F355">
        <v>262990</v>
      </c>
      <c r="G355" s="228">
        <v>5.4000000000000003E-3</v>
      </c>
      <c r="H355" s="228">
        <f>YEAR(AVEU_Historical_Data__2[[#This Row],[Date]])</f>
        <v>2021</v>
      </c>
      <c r="I355" s="228">
        <f>ROUNDUP((MOD(MONTH(AVEU_Historical_Data__2[[#This Row],[Date]])+8,12)+1)/3,0)</f>
        <v>2</v>
      </c>
      <c r="J355" s="228">
        <f>MONTH(AVEU_Historical_Data__2[[#This Row],[Date]])</f>
        <v>9</v>
      </c>
      <c r="K355" s="228"/>
    </row>
    <row r="356" spans="1:11" x14ac:dyDescent="0.25">
      <c r="A356" s="227">
        <v>44445</v>
      </c>
      <c r="B356" s="228">
        <v>3921.3</v>
      </c>
      <c r="C356" s="228">
        <v>3959.9</v>
      </c>
      <c r="D356" s="228">
        <v>3960</v>
      </c>
      <c r="E356" s="228">
        <v>3902.2</v>
      </c>
      <c r="F356">
        <v>227170</v>
      </c>
      <c r="G356" s="228">
        <v>-4.4999999999999997E-3</v>
      </c>
      <c r="H356" s="228">
        <f>YEAR(AVEU_Historical_Data__2[[#This Row],[Date]])</f>
        <v>2021</v>
      </c>
      <c r="I356" s="228">
        <f>ROUNDUP((MOD(MONTH(AVEU_Historical_Data__2[[#This Row],[Date]])+8,12)+1)/3,0)</f>
        <v>2</v>
      </c>
      <c r="J356" s="228">
        <f>MONTH(AVEU_Historical_Data__2[[#This Row],[Date]])</f>
        <v>9</v>
      </c>
      <c r="K356" s="228"/>
    </row>
    <row r="357" spans="1:11" x14ac:dyDescent="0.25">
      <c r="A357" s="227">
        <v>44446</v>
      </c>
      <c r="B357" s="228">
        <v>3937.55</v>
      </c>
      <c r="C357" s="228">
        <v>3938</v>
      </c>
      <c r="D357" s="228">
        <v>3963.7</v>
      </c>
      <c r="E357" s="228">
        <v>3875.1</v>
      </c>
      <c r="F357">
        <v>357260</v>
      </c>
      <c r="G357" s="228">
        <v>4.1000000000000003E-3</v>
      </c>
      <c r="H357" s="228">
        <f>YEAR(AVEU_Historical_Data__2[[#This Row],[Date]])</f>
        <v>2021</v>
      </c>
      <c r="I357" s="228">
        <f>ROUNDUP((MOD(MONTH(AVEU_Historical_Data__2[[#This Row],[Date]])+8,12)+1)/3,0)</f>
        <v>2</v>
      </c>
      <c r="J357" s="228">
        <f>MONTH(AVEU_Historical_Data__2[[#This Row],[Date]])</f>
        <v>9</v>
      </c>
      <c r="K357" s="228"/>
    </row>
    <row r="358" spans="1:11" x14ac:dyDescent="0.25">
      <c r="A358" s="227">
        <v>44447</v>
      </c>
      <c r="B358" s="228">
        <v>3932.95</v>
      </c>
      <c r="C358" s="228">
        <v>3945</v>
      </c>
      <c r="D358" s="228">
        <v>3977</v>
      </c>
      <c r="E358" s="228">
        <v>3921.1</v>
      </c>
      <c r="F358">
        <v>462530</v>
      </c>
      <c r="G358" s="228">
        <v>-1.1999999999999999E-3</v>
      </c>
      <c r="H358" s="228">
        <f>YEAR(AVEU_Historical_Data__2[[#This Row],[Date]])</f>
        <v>2021</v>
      </c>
      <c r="I358" s="228">
        <f>ROUNDUP((MOD(MONTH(AVEU_Historical_Data__2[[#This Row],[Date]])+8,12)+1)/3,0)</f>
        <v>2</v>
      </c>
      <c r="J358" s="228">
        <f>MONTH(AVEU_Historical_Data__2[[#This Row],[Date]])</f>
        <v>9</v>
      </c>
      <c r="K358" s="228"/>
    </row>
    <row r="359" spans="1:11" x14ac:dyDescent="0.25">
      <c r="A359" s="227">
        <v>44448</v>
      </c>
      <c r="B359" s="228">
        <v>3950.5</v>
      </c>
      <c r="C359" s="228">
        <v>3934</v>
      </c>
      <c r="D359" s="228">
        <v>3964</v>
      </c>
      <c r="E359" s="228">
        <v>3908</v>
      </c>
      <c r="F359">
        <v>154860</v>
      </c>
      <c r="G359" s="228">
        <v>4.4999999999999997E-3</v>
      </c>
      <c r="H359" s="228">
        <f>YEAR(AVEU_Historical_Data__2[[#This Row],[Date]])</f>
        <v>2021</v>
      </c>
      <c r="I359" s="228">
        <f>ROUNDUP((MOD(MONTH(AVEU_Historical_Data__2[[#This Row],[Date]])+8,12)+1)/3,0)</f>
        <v>2</v>
      </c>
      <c r="J359" s="228">
        <f>MONTH(AVEU_Historical_Data__2[[#This Row],[Date]])</f>
        <v>9</v>
      </c>
      <c r="K359" s="228"/>
    </row>
    <row r="360" spans="1:11" x14ac:dyDescent="0.25">
      <c r="A360" s="227">
        <v>44452</v>
      </c>
      <c r="B360" s="228">
        <v>3961.85</v>
      </c>
      <c r="C360" s="228">
        <v>3951</v>
      </c>
      <c r="D360" s="228">
        <v>3986.15</v>
      </c>
      <c r="E360" s="228">
        <v>3948.1</v>
      </c>
      <c r="F360">
        <v>145930</v>
      </c>
      <c r="G360" s="228">
        <v>2.8999999999999998E-3</v>
      </c>
      <c r="H360" s="228">
        <f>YEAR(AVEU_Historical_Data__2[[#This Row],[Date]])</f>
        <v>2021</v>
      </c>
      <c r="I360" s="228">
        <f>ROUNDUP((MOD(MONTH(AVEU_Historical_Data__2[[#This Row],[Date]])+8,12)+1)/3,0)</f>
        <v>2</v>
      </c>
      <c r="J360" s="228">
        <f>MONTH(AVEU_Historical_Data__2[[#This Row],[Date]])</f>
        <v>9</v>
      </c>
      <c r="K360" s="228"/>
    </row>
    <row r="361" spans="1:11" x14ac:dyDescent="0.25">
      <c r="A361" s="227">
        <v>44453</v>
      </c>
      <c r="B361" s="228">
        <v>3979.7</v>
      </c>
      <c r="C361" s="228">
        <v>3970</v>
      </c>
      <c r="D361" s="228">
        <v>4000</v>
      </c>
      <c r="E361" s="228">
        <v>3964.9</v>
      </c>
      <c r="F361">
        <v>203690</v>
      </c>
      <c r="G361" s="228">
        <v>4.4999999999999997E-3</v>
      </c>
      <c r="H361" s="228">
        <f>YEAR(AVEU_Historical_Data__2[[#This Row],[Date]])</f>
        <v>2021</v>
      </c>
      <c r="I361" s="228">
        <f>ROUNDUP((MOD(MONTH(AVEU_Historical_Data__2[[#This Row],[Date]])+8,12)+1)/3,0)</f>
        <v>2</v>
      </c>
      <c r="J361" s="228">
        <f>MONTH(AVEU_Historical_Data__2[[#This Row],[Date]])</f>
        <v>9</v>
      </c>
      <c r="K361" s="228"/>
    </row>
    <row r="362" spans="1:11" x14ac:dyDescent="0.25">
      <c r="A362" s="227">
        <v>44454</v>
      </c>
      <c r="B362" s="228">
        <v>3982.6</v>
      </c>
      <c r="C362" s="228">
        <v>3979.9</v>
      </c>
      <c r="D362" s="228">
        <v>3992.2</v>
      </c>
      <c r="E362" s="228">
        <v>3961</v>
      </c>
      <c r="F362">
        <v>339800</v>
      </c>
      <c r="G362" s="228">
        <v>6.9999999999999999E-4</v>
      </c>
      <c r="H362" s="228">
        <f>YEAR(AVEU_Historical_Data__2[[#This Row],[Date]])</f>
        <v>2021</v>
      </c>
      <c r="I362" s="228">
        <f>ROUNDUP((MOD(MONTH(AVEU_Historical_Data__2[[#This Row],[Date]])+8,12)+1)/3,0)</f>
        <v>2</v>
      </c>
      <c r="J362" s="228">
        <f>MONTH(AVEU_Historical_Data__2[[#This Row],[Date]])</f>
        <v>9</v>
      </c>
      <c r="K362" s="228"/>
    </row>
    <row r="363" spans="1:11" x14ac:dyDescent="0.25">
      <c r="A363" s="227">
        <v>44455</v>
      </c>
      <c r="B363" s="228">
        <v>4084.5</v>
      </c>
      <c r="C363" s="228">
        <v>3982.6</v>
      </c>
      <c r="D363" s="228">
        <v>4100</v>
      </c>
      <c r="E363" s="228">
        <v>3981.05</v>
      </c>
      <c r="F363">
        <v>486430</v>
      </c>
      <c r="G363" s="228">
        <v>2.5600000000000001E-2</v>
      </c>
      <c r="H363" s="228">
        <f>YEAR(AVEU_Historical_Data__2[[#This Row],[Date]])</f>
        <v>2021</v>
      </c>
      <c r="I363" s="228">
        <f>ROUNDUP((MOD(MONTH(AVEU_Historical_Data__2[[#This Row],[Date]])+8,12)+1)/3,0)</f>
        <v>2</v>
      </c>
      <c r="J363" s="228">
        <f>MONTH(AVEU_Historical_Data__2[[#This Row],[Date]])</f>
        <v>9</v>
      </c>
      <c r="K363" s="228"/>
    </row>
    <row r="364" spans="1:11" x14ac:dyDescent="0.25">
      <c r="A364" s="227">
        <v>44456</v>
      </c>
      <c r="B364" s="228">
        <v>4239.6499999999996</v>
      </c>
      <c r="C364" s="228">
        <v>4124</v>
      </c>
      <c r="D364" s="228">
        <v>4294.6499999999996</v>
      </c>
      <c r="E364" s="228">
        <v>4120</v>
      </c>
      <c r="F364">
        <v>767510</v>
      </c>
      <c r="G364" s="228">
        <v>3.7999999999999999E-2</v>
      </c>
      <c r="H364" s="228">
        <f>YEAR(AVEU_Historical_Data__2[[#This Row],[Date]])</f>
        <v>2021</v>
      </c>
      <c r="I364" s="228">
        <f>ROUNDUP((MOD(MONTH(AVEU_Historical_Data__2[[#This Row],[Date]])+8,12)+1)/3,0)</f>
        <v>2</v>
      </c>
      <c r="J364" s="228">
        <f>MONTH(AVEU_Historical_Data__2[[#This Row],[Date]])</f>
        <v>9</v>
      </c>
      <c r="K364" s="228"/>
    </row>
    <row r="365" spans="1:11" x14ac:dyDescent="0.25">
      <c r="A365" s="227">
        <v>44459</v>
      </c>
      <c r="B365" s="228">
        <v>4355.8999999999996</v>
      </c>
      <c r="C365" s="228">
        <v>4208</v>
      </c>
      <c r="D365" s="228">
        <v>4430</v>
      </c>
      <c r="E365" s="228">
        <v>4151</v>
      </c>
      <c r="F365">
        <v>438430</v>
      </c>
      <c r="G365" s="228">
        <v>2.7400000000000001E-2</v>
      </c>
      <c r="H365" s="228">
        <f>YEAR(AVEU_Historical_Data__2[[#This Row],[Date]])</f>
        <v>2021</v>
      </c>
      <c r="I365" s="228">
        <f>ROUNDUP((MOD(MONTH(AVEU_Historical_Data__2[[#This Row],[Date]])+8,12)+1)/3,0)</f>
        <v>2</v>
      </c>
      <c r="J365" s="228">
        <f>MONTH(AVEU_Historical_Data__2[[#This Row],[Date]])</f>
        <v>9</v>
      </c>
      <c r="K365" s="228"/>
    </row>
    <row r="366" spans="1:11" x14ac:dyDescent="0.25">
      <c r="A366" s="227">
        <v>44460</v>
      </c>
      <c r="B366" s="228">
        <v>4361.95</v>
      </c>
      <c r="C366" s="228">
        <v>4415.1000000000004</v>
      </c>
      <c r="D366" s="228">
        <v>4450</v>
      </c>
      <c r="E366" s="228">
        <v>4305.05</v>
      </c>
      <c r="F366">
        <v>437840</v>
      </c>
      <c r="G366" s="228">
        <v>1.4E-3</v>
      </c>
      <c r="H366" s="228">
        <f>YEAR(AVEU_Historical_Data__2[[#This Row],[Date]])</f>
        <v>2021</v>
      </c>
      <c r="I366" s="228">
        <f>ROUNDUP((MOD(MONTH(AVEU_Historical_Data__2[[#This Row],[Date]])+8,12)+1)/3,0)</f>
        <v>2</v>
      </c>
      <c r="J366" s="228">
        <f>MONTH(AVEU_Historical_Data__2[[#This Row],[Date]])</f>
        <v>9</v>
      </c>
      <c r="K366" s="228"/>
    </row>
    <row r="367" spans="1:11" x14ac:dyDescent="0.25">
      <c r="A367" s="227">
        <v>44461</v>
      </c>
      <c r="B367" s="228">
        <v>4378.6499999999996</v>
      </c>
      <c r="C367" s="228">
        <v>4373</v>
      </c>
      <c r="D367" s="228">
        <v>4420</v>
      </c>
      <c r="E367" s="228">
        <v>4331.2</v>
      </c>
      <c r="F367">
        <v>244000</v>
      </c>
      <c r="G367" s="228">
        <v>3.8E-3</v>
      </c>
      <c r="H367" s="228">
        <f>YEAR(AVEU_Historical_Data__2[[#This Row],[Date]])</f>
        <v>2021</v>
      </c>
      <c r="I367" s="228">
        <f>ROUNDUP((MOD(MONTH(AVEU_Historical_Data__2[[#This Row],[Date]])+8,12)+1)/3,0)</f>
        <v>2</v>
      </c>
      <c r="J367" s="228">
        <f>MONTH(AVEU_Historical_Data__2[[#This Row],[Date]])</f>
        <v>9</v>
      </c>
      <c r="K367" s="228"/>
    </row>
    <row r="368" spans="1:11" x14ac:dyDescent="0.25">
      <c r="A368" s="227">
        <v>44462</v>
      </c>
      <c r="B368" s="228">
        <v>4409.8999999999996</v>
      </c>
      <c r="C368" s="228">
        <v>4408.95</v>
      </c>
      <c r="D368" s="228">
        <v>4500</v>
      </c>
      <c r="E368" s="228">
        <v>4372.3500000000004</v>
      </c>
      <c r="F368">
        <v>325050</v>
      </c>
      <c r="G368" s="228">
        <v>7.1000000000000004E-3</v>
      </c>
      <c r="H368" s="228">
        <f>YEAR(AVEU_Historical_Data__2[[#This Row],[Date]])</f>
        <v>2021</v>
      </c>
      <c r="I368" s="228">
        <f>ROUNDUP((MOD(MONTH(AVEU_Historical_Data__2[[#This Row],[Date]])+8,12)+1)/3,0)</f>
        <v>2</v>
      </c>
      <c r="J368" s="228">
        <f>MONTH(AVEU_Historical_Data__2[[#This Row],[Date]])</f>
        <v>9</v>
      </c>
      <c r="K368" s="228"/>
    </row>
    <row r="369" spans="1:11" x14ac:dyDescent="0.25">
      <c r="A369" s="227">
        <v>44463</v>
      </c>
      <c r="B369" s="228">
        <v>4422.3500000000004</v>
      </c>
      <c r="C369" s="228">
        <v>4440</v>
      </c>
      <c r="D369" s="228">
        <v>4461</v>
      </c>
      <c r="E369" s="228">
        <v>4405</v>
      </c>
      <c r="F369">
        <v>198740</v>
      </c>
      <c r="G369" s="228">
        <v>2.8E-3</v>
      </c>
      <c r="H369" s="228">
        <f>YEAR(AVEU_Historical_Data__2[[#This Row],[Date]])</f>
        <v>2021</v>
      </c>
      <c r="I369" s="228">
        <f>ROUNDUP((MOD(MONTH(AVEU_Historical_Data__2[[#This Row],[Date]])+8,12)+1)/3,0)</f>
        <v>2</v>
      </c>
      <c r="J369" s="228">
        <f>MONTH(AVEU_Historical_Data__2[[#This Row],[Date]])</f>
        <v>9</v>
      </c>
      <c r="K369" s="228"/>
    </row>
    <row r="370" spans="1:11" x14ac:dyDescent="0.25">
      <c r="A370" s="227">
        <v>44466</v>
      </c>
      <c r="B370" s="228">
        <v>4385.75</v>
      </c>
      <c r="C370" s="228">
        <v>4435</v>
      </c>
      <c r="D370" s="228">
        <v>4448.95</v>
      </c>
      <c r="E370" s="228">
        <v>4292.5</v>
      </c>
      <c r="F370">
        <v>555190</v>
      </c>
      <c r="G370" s="228">
        <v>-8.3000000000000001E-3</v>
      </c>
      <c r="H370" s="228">
        <f>YEAR(AVEU_Historical_Data__2[[#This Row],[Date]])</f>
        <v>2021</v>
      </c>
      <c r="I370" s="228">
        <f>ROUNDUP((MOD(MONTH(AVEU_Historical_Data__2[[#This Row],[Date]])+8,12)+1)/3,0)</f>
        <v>2</v>
      </c>
      <c r="J370" s="228">
        <f>MONTH(AVEU_Historical_Data__2[[#This Row],[Date]])</f>
        <v>9</v>
      </c>
      <c r="K370" s="228"/>
    </row>
    <row r="371" spans="1:11" x14ac:dyDescent="0.25">
      <c r="A371" s="227">
        <v>44467</v>
      </c>
      <c r="B371" s="228">
        <v>4315.75</v>
      </c>
      <c r="C371" s="228">
        <v>4397</v>
      </c>
      <c r="D371" s="228">
        <v>4421.8999999999996</v>
      </c>
      <c r="E371" s="228">
        <v>4294.95</v>
      </c>
      <c r="F371">
        <v>305670</v>
      </c>
      <c r="G371" s="228">
        <v>-1.6E-2</v>
      </c>
      <c r="H371" s="228">
        <f>YEAR(AVEU_Historical_Data__2[[#This Row],[Date]])</f>
        <v>2021</v>
      </c>
      <c r="I371" s="228">
        <f>ROUNDUP((MOD(MONTH(AVEU_Historical_Data__2[[#This Row],[Date]])+8,12)+1)/3,0)</f>
        <v>2</v>
      </c>
      <c r="J371" s="228">
        <f>MONTH(AVEU_Historical_Data__2[[#This Row],[Date]])</f>
        <v>9</v>
      </c>
      <c r="K371" s="228"/>
    </row>
    <row r="372" spans="1:11" x14ac:dyDescent="0.25">
      <c r="A372" s="227">
        <v>44468</v>
      </c>
      <c r="B372" s="228">
        <v>4251.2</v>
      </c>
      <c r="C372" s="228">
        <v>4316</v>
      </c>
      <c r="D372" s="228">
        <v>4395.95</v>
      </c>
      <c r="E372" s="228">
        <v>4202</v>
      </c>
      <c r="F372">
        <v>377250</v>
      </c>
      <c r="G372" s="228">
        <v>-1.4999999999999999E-2</v>
      </c>
      <c r="H372" s="228">
        <f>YEAR(AVEU_Historical_Data__2[[#This Row],[Date]])</f>
        <v>2021</v>
      </c>
      <c r="I372" s="228">
        <f>ROUNDUP((MOD(MONTH(AVEU_Historical_Data__2[[#This Row],[Date]])+8,12)+1)/3,0)</f>
        <v>2</v>
      </c>
      <c r="J372" s="228">
        <f>MONTH(AVEU_Historical_Data__2[[#This Row],[Date]])</f>
        <v>9</v>
      </c>
      <c r="K372" s="228"/>
    </row>
    <row r="373" spans="1:11" x14ac:dyDescent="0.25">
      <c r="A373" s="227">
        <v>44469</v>
      </c>
      <c r="B373" s="228">
        <v>4250.2</v>
      </c>
      <c r="C373" s="228">
        <v>4259.75</v>
      </c>
      <c r="D373" s="228">
        <v>4310</v>
      </c>
      <c r="E373" s="228">
        <v>4205.25</v>
      </c>
      <c r="F373">
        <v>339960</v>
      </c>
      <c r="G373" s="228">
        <v>-2.0000000000000001E-4</v>
      </c>
      <c r="H373" s="228">
        <f>YEAR(AVEU_Historical_Data__2[[#This Row],[Date]])</f>
        <v>2021</v>
      </c>
      <c r="I373" s="228">
        <f>ROUNDUP((MOD(MONTH(AVEU_Historical_Data__2[[#This Row],[Date]])+8,12)+1)/3,0)</f>
        <v>2</v>
      </c>
      <c r="J373" s="228">
        <f>MONTH(AVEU_Historical_Data__2[[#This Row],[Date]])</f>
        <v>9</v>
      </c>
      <c r="K373" s="228"/>
    </row>
    <row r="374" spans="1:11" x14ac:dyDescent="0.25">
      <c r="A374" s="227">
        <v>44470</v>
      </c>
      <c r="B374" s="228">
        <v>4235.6000000000004</v>
      </c>
      <c r="C374" s="228">
        <v>4250</v>
      </c>
      <c r="D374" s="228">
        <v>4284.2</v>
      </c>
      <c r="E374" s="228">
        <v>4220.1000000000004</v>
      </c>
      <c r="F374">
        <v>203930</v>
      </c>
      <c r="G374" s="228">
        <v>-3.3999999999999998E-3</v>
      </c>
      <c r="H374" s="228">
        <f>YEAR(AVEU_Historical_Data__2[[#This Row],[Date]])</f>
        <v>2021</v>
      </c>
      <c r="I374" s="228">
        <f>ROUNDUP((MOD(MONTH(AVEU_Historical_Data__2[[#This Row],[Date]])+8,12)+1)/3,0)</f>
        <v>3</v>
      </c>
      <c r="J374" s="228">
        <f>MONTH(AVEU_Historical_Data__2[[#This Row],[Date]])</f>
        <v>10</v>
      </c>
      <c r="K374" s="228"/>
    </row>
    <row r="375" spans="1:11" x14ac:dyDescent="0.25">
      <c r="A375" s="227">
        <v>44473</v>
      </c>
      <c r="B375" s="228">
        <v>4257.3500000000004</v>
      </c>
      <c r="C375" s="228">
        <v>4393.95</v>
      </c>
      <c r="D375" s="228">
        <v>4464.3500000000004</v>
      </c>
      <c r="E375" s="228">
        <v>4232.2</v>
      </c>
      <c r="F375">
        <v>906260</v>
      </c>
      <c r="G375" s="228">
        <v>5.1000000000000004E-3</v>
      </c>
      <c r="H375" s="228">
        <f>YEAR(AVEU_Historical_Data__2[[#This Row],[Date]])</f>
        <v>2021</v>
      </c>
      <c r="I375" s="228">
        <f>ROUNDUP((MOD(MONTH(AVEU_Historical_Data__2[[#This Row],[Date]])+8,12)+1)/3,0)</f>
        <v>3</v>
      </c>
      <c r="J375" s="228">
        <f>MONTH(AVEU_Historical_Data__2[[#This Row],[Date]])</f>
        <v>10</v>
      </c>
      <c r="K375" s="228"/>
    </row>
    <row r="376" spans="1:11" x14ac:dyDescent="0.25">
      <c r="A376" s="227">
        <v>44474</v>
      </c>
      <c r="B376" s="228">
        <v>4257.3</v>
      </c>
      <c r="C376" s="228">
        <v>4284</v>
      </c>
      <c r="D376" s="228">
        <v>4284</v>
      </c>
      <c r="E376" s="228">
        <v>4246.8500000000004</v>
      </c>
      <c r="F376">
        <v>242570</v>
      </c>
      <c r="G376" s="228">
        <v>0</v>
      </c>
      <c r="H376" s="228">
        <f>YEAR(AVEU_Historical_Data__2[[#This Row],[Date]])</f>
        <v>2021</v>
      </c>
      <c r="I376" s="228">
        <f>ROUNDUP((MOD(MONTH(AVEU_Historical_Data__2[[#This Row],[Date]])+8,12)+1)/3,0)</f>
        <v>3</v>
      </c>
      <c r="J376" s="228">
        <f>MONTH(AVEU_Historical_Data__2[[#This Row],[Date]])</f>
        <v>10</v>
      </c>
      <c r="K376" s="228"/>
    </row>
    <row r="377" spans="1:11" x14ac:dyDescent="0.25">
      <c r="A377" s="227">
        <v>44475</v>
      </c>
      <c r="B377" s="228">
        <v>4218.55</v>
      </c>
      <c r="C377" s="228">
        <v>4292.1499999999996</v>
      </c>
      <c r="D377" s="228">
        <v>4295</v>
      </c>
      <c r="E377" s="228">
        <v>4205</v>
      </c>
      <c r="F377">
        <v>301390</v>
      </c>
      <c r="G377" s="228">
        <v>-9.1000000000000004E-3</v>
      </c>
      <c r="H377" s="228">
        <f>YEAR(AVEU_Historical_Data__2[[#This Row],[Date]])</f>
        <v>2021</v>
      </c>
      <c r="I377" s="228">
        <f>ROUNDUP((MOD(MONTH(AVEU_Historical_Data__2[[#This Row],[Date]])+8,12)+1)/3,0)</f>
        <v>3</v>
      </c>
      <c r="J377" s="228">
        <f>MONTH(AVEU_Historical_Data__2[[#This Row],[Date]])</f>
        <v>10</v>
      </c>
      <c r="K377" s="228"/>
    </row>
    <row r="378" spans="1:11" x14ac:dyDescent="0.25">
      <c r="A378" s="227">
        <v>44476</v>
      </c>
      <c r="B378" s="228">
        <v>4311.7</v>
      </c>
      <c r="C378" s="228">
        <v>4254.95</v>
      </c>
      <c r="D378" s="228">
        <v>4337</v>
      </c>
      <c r="E378" s="228">
        <v>4251</v>
      </c>
      <c r="F378">
        <v>570320</v>
      </c>
      <c r="G378" s="228">
        <v>2.2100000000000002E-2</v>
      </c>
      <c r="H378" s="228">
        <f>YEAR(AVEU_Historical_Data__2[[#This Row],[Date]])</f>
        <v>2021</v>
      </c>
      <c r="I378" s="228">
        <f>ROUNDUP((MOD(MONTH(AVEU_Historical_Data__2[[#This Row],[Date]])+8,12)+1)/3,0)</f>
        <v>3</v>
      </c>
      <c r="J378" s="228">
        <f>MONTH(AVEU_Historical_Data__2[[#This Row],[Date]])</f>
        <v>10</v>
      </c>
      <c r="K378" s="228"/>
    </row>
    <row r="379" spans="1:11" x14ac:dyDescent="0.25">
      <c r="A379" s="227">
        <v>44477</v>
      </c>
      <c r="B379" s="228">
        <v>4407.95</v>
      </c>
      <c r="C379" s="228">
        <v>4326.3999999999996</v>
      </c>
      <c r="D379" s="228">
        <v>4421.95</v>
      </c>
      <c r="E379" s="228">
        <v>4299.05</v>
      </c>
      <c r="F379">
        <v>314760</v>
      </c>
      <c r="G379" s="228">
        <v>2.23E-2</v>
      </c>
      <c r="H379" s="228">
        <f>YEAR(AVEU_Historical_Data__2[[#This Row],[Date]])</f>
        <v>2021</v>
      </c>
      <c r="I379" s="228">
        <f>ROUNDUP((MOD(MONTH(AVEU_Historical_Data__2[[#This Row],[Date]])+8,12)+1)/3,0)</f>
        <v>3</v>
      </c>
      <c r="J379" s="228">
        <f>MONTH(AVEU_Historical_Data__2[[#This Row],[Date]])</f>
        <v>10</v>
      </c>
      <c r="K379" s="228"/>
    </row>
    <row r="380" spans="1:11" x14ac:dyDescent="0.25">
      <c r="A380" s="227">
        <v>44480</v>
      </c>
      <c r="B380" s="228">
        <v>4719.45</v>
      </c>
      <c r="C380" s="228">
        <v>4438</v>
      </c>
      <c r="D380" s="228">
        <v>4840</v>
      </c>
      <c r="E380" s="228">
        <v>4407</v>
      </c>
      <c r="F380">
        <v>1020000</v>
      </c>
      <c r="G380" s="228">
        <v>7.0699999999999999E-2</v>
      </c>
      <c r="H380" s="228">
        <f>YEAR(AVEU_Historical_Data__2[[#This Row],[Date]])</f>
        <v>2021</v>
      </c>
      <c r="I380" s="228">
        <f>ROUNDUP((MOD(MONTH(AVEU_Historical_Data__2[[#This Row],[Date]])+8,12)+1)/3,0)</f>
        <v>3</v>
      </c>
      <c r="J380" s="228">
        <f>MONTH(AVEU_Historical_Data__2[[#This Row],[Date]])</f>
        <v>10</v>
      </c>
      <c r="K380" s="228"/>
    </row>
    <row r="381" spans="1:11" x14ac:dyDescent="0.25">
      <c r="A381" s="227">
        <v>44481</v>
      </c>
      <c r="B381" s="228">
        <v>4739</v>
      </c>
      <c r="C381" s="228">
        <v>4780</v>
      </c>
      <c r="D381" s="228">
        <v>4895</v>
      </c>
      <c r="E381" s="228">
        <v>4718.8500000000004</v>
      </c>
      <c r="F381">
        <v>817030</v>
      </c>
      <c r="G381" s="228">
        <v>4.1000000000000003E-3</v>
      </c>
      <c r="H381" s="228">
        <f>YEAR(AVEU_Historical_Data__2[[#This Row],[Date]])</f>
        <v>2021</v>
      </c>
      <c r="I381" s="228">
        <f>ROUNDUP((MOD(MONTH(AVEU_Historical_Data__2[[#This Row],[Date]])+8,12)+1)/3,0)</f>
        <v>3</v>
      </c>
      <c r="J381" s="228">
        <f>MONTH(AVEU_Historical_Data__2[[#This Row],[Date]])</f>
        <v>10</v>
      </c>
      <c r="K381" s="228"/>
    </row>
    <row r="382" spans="1:11" x14ac:dyDescent="0.25">
      <c r="A382" s="227">
        <v>44482</v>
      </c>
      <c r="B382" s="228">
        <v>5117.1499999999996</v>
      </c>
      <c r="C382" s="228">
        <v>4777</v>
      </c>
      <c r="D382" s="228">
        <v>5595</v>
      </c>
      <c r="E382" s="228">
        <v>4760.25</v>
      </c>
      <c r="F382">
        <v>2590000</v>
      </c>
      <c r="G382" s="228">
        <v>7.9799999999999996E-2</v>
      </c>
      <c r="H382" s="228">
        <f>YEAR(AVEU_Historical_Data__2[[#This Row],[Date]])</f>
        <v>2021</v>
      </c>
      <c r="I382" s="228">
        <f>ROUNDUP((MOD(MONTH(AVEU_Historical_Data__2[[#This Row],[Date]])+8,12)+1)/3,0)</f>
        <v>3</v>
      </c>
      <c r="J382" s="228">
        <f>MONTH(AVEU_Historical_Data__2[[#This Row],[Date]])</f>
        <v>10</v>
      </c>
      <c r="K382" s="228"/>
    </row>
    <row r="383" spans="1:11" x14ac:dyDescent="0.25">
      <c r="A383" s="227">
        <v>44483</v>
      </c>
      <c r="B383" s="228">
        <v>5323.75</v>
      </c>
      <c r="C383" s="228">
        <v>5194</v>
      </c>
      <c r="D383" s="228">
        <v>5420</v>
      </c>
      <c r="E383" s="228">
        <v>5180.05</v>
      </c>
      <c r="F383">
        <v>1190000</v>
      </c>
      <c r="G383" s="228">
        <v>4.0399999999999998E-2</v>
      </c>
      <c r="H383" s="228">
        <f>YEAR(AVEU_Historical_Data__2[[#This Row],[Date]])</f>
        <v>2021</v>
      </c>
      <c r="I383" s="228">
        <f>ROUNDUP((MOD(MONTH(AVEU_Historical_Data__2[[#This Row],[Date]])+8,12)+1)/3,0)</f>
        <v>3</v>
      </c>
      <c r="J383" s="228">
        <f>MONTH(AVEU_Historical_Data__2[[#This Row],[Date]])</f>
        <v>10</v>
      </c>
      <c r="K383" s="228"/>
    </row>
    <row r="384" spans="1:11" x14ac:dyDescent="0.25">
      <c r="A384" s="227">
        <v>44487</v>
      </c>
      <c r="B384" s="228">
        <v>4897.8</v>
      </c>
      <c r="C384" s="228">
        <v>5599</v>
      </c>
      <c r="D384" s="228">
        <v>5900</v>
      </c>
      <c r="E384" s="228">
        <v>4851.1000000000004</v>
      </c>
      <c r="F384">
        <v>4750000</v>
      </c>
      <c r="G384" s="228">
        <v>-0.08</v>
      </c>
      <c r="H384" s="228">
        <f>YEAR(AVEU_Historical_Data__2[[#This Row],[Date]])</f>
        <v>2021</v>
      </c>
      <c r="I384" s="228">
        <f>ROUNDUP((MOD(MONTH(AVEU_Historical_Data__2[[#This Row],[Date]])+8,12)+1)/3,0)</f>
        <v>3</v>
      </c>
      <c r="J384" s="228">
        <f>MONTH(AVEU_Historical_Data__2[[#This Row],[Date]])</f>
        <v>10</v>
      </c>
      <c r="K384" s="228"/>
    </row>
    <row r="385" spans="1:11" x14ac:dyDescent="0.25">
      <c r="A385" s="227">
        <v>44488</v>
      </c>
      <c r="B385" s="228">
        <v>4754.55</v>
      </c>
      <c r="C385" s="228">
        <v>5000</v>
      </c>
      <c r="D385" s="228">
        <v>5100</v>
      </c>
      <c r="E385" s="228">
        <v>4725</v>
      </c>
      <c r="F385">
        <v>1800000</v>
      </c>
      <c r="G385" s="228">
        <v>-2.92E-2</v>
      </c>
      <c r="H385" s="228">
        <f>YEAR(AVEU_Historical_Data__2[[#This Row],[Date]])</f>
        <v>2021</v>
      </c>
      <c r="I385" s="228">
        <f>ROUNDUP((MOD(MONTH(AVEU_Historical_Data__2[[#This Row],[Date]])+8,12)+1)/3,0)</f>
        <v>3</v>
      </c>
      <c r="J385" s="228">
        <f>MONTH(AVEU_Historical_Data__2[[#This Row],[Date]])</f>
        <v>10</v>
      </c>
      <c r="K385" s="228"/>
    </row>
    <row r="386" spans="1:11" x14ac:dyDescent="0.25">
      <c r="A386" s="227">
        <v>44489</v>
      </c>
      <c r="B386" s="228">
        <v>4596.3999999999996</v>
      </c>
      <c r="C386" s="228">
        <v>4789</v>
      </c>
      <c r="D386" s="228">
        <v>4860</v>
      </c>
      <c r="E386" s="228">
        <v>4470.25</v>
      </c>
      <c r="F386">
        <v>1680000</v>
      </c>
      <c r="G386" s="228">
        <v>-3.3300000000000003E-2</v>
      </c>
      <c r="H386" s="228">
        <f>YEAR(AVEU_Historical_Data__2[[#This Row],[Date]])</f>
        <v>2021</v>
      </c>
      <c r="I386" s="228">
        <f>ROUNDUP((MOD(MONTH(AVEU_Historical_Data__2[[#This Row],[Date]])+8,12)+1)/3,0)</f>
        <v>3</v>
      </c>
      <c r="J386" s="228">
        <f>MONTH(AVEU_Historical_Data__2[[#This Row],[Date]])</f>
        <v>10</v>
      </c>
      <c r="K386" s="228"/>
    </row>
    <row r="387" spans="1:11" x14ac:dyDescent="0.25">
      <c r="A387" s="227">
        <v>44490</v>
      </c>
      <c r="B387" s="228">
        <v>4521.25</v>
      </c>
      <c r="C387" s="228">
        <v>4650</v>
      </c>
      <c r="D387" s="228">
        <v>4699.5</v>
      </c>
      <c r="E387" s="228">
        <v>4500</v>
      </c>
      <c r="F387">
        <v>1030000</v>
      </c>
      <c r="G387" s="228">
        <v>-1.6299999999999999E-2</v>
      </c>
      <c r="H387" s="228">
        <f>YEAR(AVEU_Historical_Data__2[[#This Row],[Date]])</f>
        <v>2021</v>
      </c>
      <c r="I387" s="228">
        <f>ROUNDUP((MOD(MONTH(AVEU_Historical_Data__2[[#This Row],[Date]])+8,12)+1)/3,0)</f>
        <v>3</v>
      </c>
      <c r="J387" s="228">
        <f>MONTH(AVEU_Historical_Data__2[[#This Row],[Date]])</f>
        <v>10</v>
      </c>
      <c r="K387" s="228"/>
    </row>
    <row r="388" spans="1:11" x14ac:dyDescent="0.25">
      <c r="A388" s="227">
        <v>44491</v>
      </c>
      <c r="B388" s="228">
        <v>4521.45</v>
      </c>
      <c r="C388" s="228">
        <v>4559</v>
      </c>
      <c r="D388" s="228">
        <v>4560</v>
      </c>
      <c r="E388" s="228">
        <v>4482</v>
      </c>
      <c r="F388">
        <v>739600</v>
      </c>
      <c r="G388" s="228">
        <v>0</v>
      </c>
      <c r="H388" s="228">
        <f>YEAR(AVEU_Historical_Data__2[[#This Row],[Date]])</f>
        <v>2021</v>
      </c>
      <c r="I388" s="228">
        <f>ROUNDUP((MOD(MONTH(AVEU_Historical_Data__2[[#This Row],[Date]])+8,12)+1)/3,0)</f>
        <v>3</v>
      </c>
      <c r="J388" s="228">
        <f>MONTH(AVEU_Historical_Data__2[[#This Row],[Date]])</f>
        <v>10</v>
      </c>
      <c r="K388" s="228"/>
    </row>
    <row r="389" spans="1:11" x14ac:dyDescent="0.25">
      <c r="A389" s="227">
        <v>44494</v>
      </c>
      <c r="B389" s="228">
        <v>4400.6000000000004</v>
      </c>
      <c r="C389" s="228">
        <v>4534.3</v>
      </c>
      <c r="D389" s="228">
        <v>4550</v>
      </c>
      <c r="E389" s="228">
        <v>4351</v>
      </c>
      <c r="F389">
        <v>591420</v>
      </c>
      <c r="G389" s="228">
        <v>-2.6700000000000002E-2</v>
      </c>
      <c r="H389" s="228">
        <f>YEAR(AVEU_Historical_Data__2[[#This Row],[Date]])</f>
        <v>2021</v>
      </c>
      <c r="I389" s="228">
        <f>ROUNDUP((MOD(MONTH(AVEU_Historical_Data__2[[#This Row],[Date]])+8,12)+1)/3,0)</f>
        <v>3</v>
      </c>
      <c r="J389" s="228">
        <f>MONTH(AVEU_Historical_Data__2[[#This Row],[Date]])</f>
        <v>10</v>
      </c>
      <c r="K389" s="228"/>
    </row>
    <row r="390" spans="1:11" x14ac:dyDescent="0.25">
      <c r="A390" s="227">
        <v>44495</v>
      </c>
      <c r="B390" s="228">
        <v>4568.5</v>
      </c>
      <c r="C390" s="228">
        <v>4419</v>
      </c>
      <c r="D390" s="228">
        <v>4599</v>
      </c>
      <c r="E390" s="228">
        <v>4365</v>
      </c>
      <c r="F390">
        <v>637830</v>
      </c>
      <c r="G390" s="228">
        <v>3.8199999999999998E-2</v>
      </c>
      <c r="H390" s="228">
        <f>YEAR(AVEU_Historical_Data__2[[#This Row],[Date]])</f>
        <v>2021</v>
      </c>
      <c r="I390" s="228">
        <f>ROUNDUP((MOD(MONTH(AVEU_Historical_Data__2[[#This Row],[Date]])+8,12)+1)/3,0)</f>
        <v>3</v>
      </c>
      <c r="J390" s="228">
        <f>MONTH(AVEU_Historical_Data__2[[#This Row],[Date]])</f>
        <v>10</v>
      </c>
      <c r="K390" s="228"/>
    </row>
    <row r="391" spans="1:11" x14ac:dyDescent="0.25">
      <c r="A391" s="227">
        <v>44496</v>
      </c>
      <c r="B391" s="228">
        <v>4733</v>
      </c>
      <c r="C391" s="228">
        <v>4600</v>
      </c>
      <c r="D391" s="228">
        <v>4770</v>
      </c>
      <c r="E391" s="228">
        <v>4591.55</v>
      </c>
      <c r="F391">
        <v>762610</v>
      </c>
      <c r="G391" s="228">
        <v>3.5999999999999997E-2</v>
      </c>
      <c r="H391" s="228">
        <f>YEAR(AVEU_Historical_Data__2[[#This Row],[Date]])</f>
        <v>2021</v>
      </c>
      <c r="I391" s="228">
        <f>ROUNDUP((MOD(MONTH(AVEU_Historical_Data__2[[#This Row],[Date]])+8,12)+1)/3,0)</f>
        <v>3</v>
      </c>
      <c r="J391" s="228">
        <f>MONTH(AVEU_Historical_Data__2[[#This Row],[Date]])</f>
        <v>10</v>
      </c>
      <c r="K391" s="228"/>
    </row>
    <row r="392" spans="1:11" x14ac:dyDescent="0.25">
      <c r="A392" s="227">
        <v>44497</v>
      </c>
      <c r="B392" s="228">
        <v>4675.6499999999996</v>
      </c>
      <c r="C392" s="228">
        <v>4748</v>
      </c>
      <c r="D392" s="228">
        <v>4776.8500000000004</v>
      </c>
      <c r="E392" s="228">
        <v>4620</v>
      </c>
      <c r="F392">
        <v>375070</v>
      </c>
      <c r="G392" s="228">
        <v>-1.21E-2</v>
      </c>
      <c r="H392" s="228">
        <f>YEAR(AVEU_Historical_Data__2[[#This Row],[Date]])</f>
        <v>2021</v>
      </c>
      <c r="I392" s="228">
        <f>ROUNDUP((MOD(MONTH(AVEU_Historical_Data__2[[#This Row],[Date]])+8,12)+1)/3,0)</f>
        <v>3</v>
      </c>
      <c r="J392" s="228">
        <f>MONTH(AVEU_Historical_Data__2[[#This Row],[Date]])</f>
        <v>10</v>
      </c>
      <c r="K392" s="228"/>
    </row>
    <row r="393" spans="1:11" x14ac:dyDescent="0.25">
      <c r="A393" s="227">
        <v>44498</v>
      </c>
      <c r="B393" s="228">
        <v>4635.45</v>
      </c>
      <c r="C393" s="228">
        <v>4669</v>
      </c>
      <c r="D393" s="228">
        <v>4725</v>
      </c>
      <c r="E393" s="228">
        <v>4561.1499999999996</v>
      </c>
      <c r="F393">
        <v>437820</v>
      </c>
      <c r="G393" s="228">
        <v>-8.6E-3</v>
      </c>
      <c r="H393" s="228">
        <f>YEAR(AVEU_Historical_Data__2[[#This Row],[Date]])</f>
        <v>2021</v>
      </c>
      <c r="I393" s="228">
        <f>ROUNDUP((MOD(MONTH(AVEU_Historical_Data__2[[#This Row],[Date]])+8,12)+1)/3,0)</f>
        <v>3</v>
      </c>
      <c r="J393" s="228">
        <f>MONTH(AVEU_Historical_Data__2[[#This Row],[Date]])</f>
        <v>10</v>
      </c>
      <c r="K393" s="228"/>
    </row>
    <row r="394" spans="1:11" x14ac:dyDescent="0.25">
      <c r="A394" s="227">
        <v>44501</v>
      </c>
      <c r="B394" s="228">
        <v>4564.75</v>
      </c>
      <c r="C394" s="228">
        <v>4670</v>
      </c>
      <c r="D394" s="228">
        <v>4708</v>
      </c>
      <c r="E394" s="228">
        <v>4550</v>
      </c>
      <c r="F394">
        <v>392450</v>
      </c>
      <c r="G394" s="228">
        <v>-1.5299999999999999E-2</v>
      </c>
      <c r="H394" s="228">
        <f>YEAR(AVEU_Historical_Data__2[[#This Row],[Date]])</f>
        <v>2021</v>
      </c>
      <c r="I394" s="228">
        <f>ROUNDUP((MOD(MONTH(AVEU_Historical_Data__2[[#This Row],[Date]])+8,12)+1)/3,0)</f>
        <v>3</v>
      </c>
      <c r="J394" s="228">
        <f>MONTH(AVEU_Historical_Data__2[[#This Row],[Date]])</f>
        <v>11</v>
      </c>
      <c r="K394" s="228"/>
    </row>
    <row r="395" spans="1:11" x14ac:dyDescent="0.25">
      <c r="A395" s="227">
        <v>44502</v>
      </c>
      <c r="B395" s="228">
        <v>4597.05</v>
      </c>
      <c r="C395" s="228">
        <v>4596.7</v>
      </c>
      <c r="D395" s="228">
        <v>4666.8</v>
      </c>
      <c r="E395" s="228">
        <v>4580</v>
      </c>
      <c r="F395">
        <v>304770</v>
      </c>
      <c r="G395" s="228">
        <v>7.1000000000000004E-3</v>
      </c>
      <c r="H395" s="228">
        <f>YEAR(AVEU_Historical_Data__2[[#This Row],[Date]])</f>
        <v>2021</v>
      </c>
      <c r="I395" s="228">
        <f>ROUNDUP((MOD(MONTH(AVEU_Historical_Data__2[[#This Row],[Date]])+8,12)+1)/3,0)</f>
        <v>3</v>
      </c>
      <c r="J395" s="228">
        <f>MONTH(AVEU_Historical_Data__2[[#This Row],[Date]])</f>
        <v>11</v>
      </c>
      <c r="K395" s="228"/>
    </row>
    <row r="396" spans="1:11" x14ac:dyDescent="0.25">
      <c r="A396" s="227">
        <v>44503</v>
      </c>
      <c r="B396" s="228">
        <v>4741.3</v>
      </c>
      <c r="C396" s="228">
        <v>4644</v>
      </c>
      <c r="D396" s="228">
        <v>4790</v>
      </c>
      <c r="E396" s="228">
        <v>4600</v>
      </c>
      <c r="F396">
        <v>462220</v>
      </c>
      <c r="G396" s="228">
        <v>3.1399999999999997E-2</v>
      </c>
      <c r="H396" s="228">
        <f>YEAR(AVEU_Historical_Data__2[[#This Row],[Date]])</f>
        <v>2021</v>
      </c>
      <c r="I396" s="228">
        <f>ROUNDUP((MOD(MONTH(AVEU_Historical_Data__2[[#This Row],[Date]])+8,12)+1)/3,0)</f>
        <v>3</v>
      </c>
      <c r="J396" s="228">
        <f>MONTH(AVEU_Historical_Data__2[[#This Row],[Date]])</f>
        <v>11</v>
      </c>
      <c r="K396" s="228"/>
    </row>
    <row r="397" spans="1:11" x14ac:dyDescent="0.25">
      <c r="A397" s="227">
        <v>44504</v>
      </c>
      <c r="B397" s="228">
        <v>4783.7</v>
      </c>
      <c r="C397" s="228">
        <v>4780</v>
      </c>
      <c r="D397" s="228">
        <v>4824.8</v>
      </c>
      <c r="E397" s="228">
        <v>4760.05</v>
      </c>
      <c r="F397">
        <v>136780</v>
      </c>
      <c r="G397" s="228">
        <v>8.8999999999999999E-3</v>
      </c>
      <c r="H397" s="228">
        <f>YEAR(AVEU_Historical_Data__2[[#This Row],[Date]])</f>
        <v>2021</v>
      </c>
      <c r="I397" s="228">
        <f>ROUNDUP((MOD(MONTH(AVEU_Historical_Data__2[[#This Row],[Date]])+8,12)+1)/3,0)</f>
        <v>3</v>
      </c>
      <c r="J397" s="228">
        <f>MONTH(AVEU_Historical_Data__2[[#This Row],[Date]])</f>
        <v>11</v>
      </c>
      <c r="K397" s="228"/>
    </row>
    <row r="398" spans="1:11" x14ac:dyDescent="0.25">
      <c r="A398" s="227">
        <v>44508</v>
      </c>
      <c r="B398" s="228">
        <v>4748.5</v>
      </c>
      <c r="C398" s="228">
        <v>4783</v>
      </c>
      <c r="D398" s="228">
        <v>4867.3</v>
      </c>
      <c r="E398" s="228">
        <v>4720</v>
      </c>
      <c r="F398">
        <v>340160</v>
      </c>
      <c r="G398" s="228">
        <v>-7.4000000000000003E-3</v>
      </c>
      <c r="H398" s="228">
        <f>YEAR(AVEU_Historical_Data__2[[#This Row],[Date]])</f>
        <v>2021</v>
      </c>
      <c r="I398" s="228">
        <f>ROUNDUP((MOD(MONTH(AVEU_Historical_Data__2[[#This Row],[Date]])+8,12)+1)/3,0)</f>
        <v>3</v>
      </c>
      <c r="J398" s="228">
        <f>MONTH(AVEU_Historical_Data__2[[#This Row],[Date]])</f>
        <v>11</v>
      </c>
      <c r="K398" s="228"/>
    </row>
    <row r="399" spans="1:11" x14ac:dyDescent="0.25">
      <c r="A399" s="227">
        <v>44509</v>
      </c>
      <c r="B399" s="228">
        <v>4757.1499999999996</v>
      </c>
      <c r="C399" s="228">
        <v>4748</v>
      </c>
      <c r="D399" s="228">
        <v>4774.3</v>
      </c>
      <c r="E399" s="228">
        <v>4723.7</v>
      </c>
      <c r="F399">
        <v>180360</v>
      </c>
      <c r="G399" s="228">
        <v>1.8E-3</v>
      </c>
      <c r="H399" s="228">
        <f>YEAR(AVEU_Historical_Data__2[[#This Row],[Date]])</f>
        <v>2021</v>
      </c>
      <c r="I399" s="228">
        <f>ROUNDUP((MOD(MONTH(AVEU_Historical_Data__2[[#This Row],[Date]])+8,12)+1)/3,0)</f>
        <v>3</v>
      </c>
      <c r="J399" s="228">
        <f>MONTH(AVEU_Historical_Data__2[[#This Row],[Date]])</f>
        <v>11</v>
      </c>
      <c r="K399" s="228"/>
    </row>
    <row r="400" spans="1:11" x14ac:dyDescent="0.25">
      <c r="A400" s="227">
        <v>44510</v>
      </c>
      <c r="B400" s="228">
        <v>4960.3</v>
      </c>
      <c r="C400" s="228">
        <v>4745</v>
      </c>
      <c r="D400" s="228">
        <v>5000</v>
      </c>
      <c r="E400" s="228">
        <v>4726</v>
      </c>
      <c r="F400">
        <v>1130000</v>
      </c>
      <c r="G400" s="228">
        <v>4.2700000000000002E-2</v>
      </c>
      <c r="H400" s="228">
        <f>YEAR(AVEU_Historical_Data__2[[#This Row],[Date]])</f>
        <v>2021</v>
      </c>
      <c r="I400" s="228">
        <f>ROUNDUP((MOD(MONTH(AVEU_Historical_Data__2[[#This Row],[Date]])+8,12)+1)/3,0)</f>
        <v>3</v>
      </c>
      <c r="J400" s="228">
        <f>MONTH(AVEU_Historical_Data__2[[#This Row],[Date]])</f>
        <v>11</v>
      </c>
      <c r="K400" s="228"/>
    </row>
    <row r="401" spans="1:11" x14ac:dyDescent="0.25">
      <c r="A401" s="227">
        <v>44511</v>
      </c>
      <c r="B401" s="228">
        <v>4997.75</v>
      </c>
      <c r="C401" s="228">
        <v>4960.3</v>
      </c>
      <c r="D401" s="228">
        <v>5040</v>
      </c>
      <c r="E401" s="228">
        <v>4901.1499999999996</v>
      </c>
      <c r="F401">
        <v>735030</v>
      </c>
      <c r="G401" s="228">
        <v>7.4999999999999997E-3</v>
      </c>
      <c r="H401" s="228">
        <f>YEAR(AVEU_Historical_Data__2[[#This Row],[Date]])</f>
        <v>2021</v>
      </c>
      <c r="I401" s="228">
        <f>ROUNDUP((MOD(MONTH(AVEU_Historical_Data__2[[#This Row],[Date]])+8,12)+1)/3,0)</f>
        <v>3</v>
      </c>
      <c r="J401" s="228">
        <f>MONTH(AVEU_Historical_Data__2[[#This Row],[Date]])</f>
        <v>11</v>
      </c>
      <c r="K401" s="228"/>
    </row>
    <row r="402" spans="1:11" x14ac:dyDescent="0.25">
      <c r="A402" s="227">
        <v>44512</v>
      </c>
      <c r="B402" s="228">
        <v>5078.55</v>
      </c>
      <c r="C402" s="228">
        <v>5044.95</v>
      </c>
      <c r="D402" s="228">
        <v>5097.6499999999996</v>
      </c>
      <c r="E402" s="228">
        <v>5026.95</v>
      </c>
      <c r="F402">
        <v>487060</v>
      </c>
      <c r="G402" s="228">
        <v>1.6199999999999999E-2</v>
      </c>
      <c r="H402" s="228">
        <f>YEAR(AVEU_Historical_Data__2[[#This Row],[Date]])</f>
        <v>2021</v>
      </c>
      <c r="I402" s="228">
        <f>ROUNDUP((MOD(MONTH(AVEU_Historical_Data__2[[#This Row],[Date]])+8,12)+1)/3,0)</f>
        <v>3</v>
      </c>
      <c r="J402" s="228">
        <f>MONTH(AVEU_Historical_Data__2[[#This Row],[Date]])</f>
        <v>11</v>
      </c>
      <c r="K402" s="228"/>
    </row>
    <row r="403" spans="1:11" x14ac:dyDescent="0.25">
      <c r="A403" s="227">
        <v>44515</v>
      </c>
      <c r="B403" s="228">
        <v>5023.3</v>
      </c>
      <c r="C403" s="228">
        <v>5075</v>
      </c>
      <c r="D403" s="228">
        <v>5075</v>
      </c>
      <c r="E403" s="228">
        <v>4980</v>
      </c>
      <c r="F403">
        <v>324400</v>
      </c>
      <c r="G403" s="228">
        <v>-1.09E-2</v>
      </c>
      <c r="H403" s="228">
        <f>YEAR(AVEU_Historical_Data__2[[#This Row],[Date]])</f>
        <v>2021</v>
      </c>
      <c r="I403" s="228">
        <f>ROUNDUP((MOD(MONTH(AVEU_Historical_Data__2[[#This Row],[Date]])+8,12)+1)/3,0)</f>
        <v>3</v>
      </c>
      <c r="J403" s="228">
        <f>MONTH(AVEU_Historical_Data__2[[#This Row],[Date]])</f>
        <v>11</v>
      </c>
      <c r="K403" s="228"/>
    </row>
    <row r="404" spans="1:11" x14ac:dyDescent="0.25">
      <c r="A404" s="227">
        <v>44516</v>
      </c>
      <c r="B404" s="228">
        <v>5081.5</v>
      </c>
      <c r="C404" s="228">
        <v>5025</v>
      </c>
      <c r="D404" s="228">
        <v>5100</v>
      </c>
      <c r="E404" s="228">
        <v>4982</v>
      </c>
      <c r="F404">
        <v>538840</v>
      </c>
      <c r="G404" s="228">
        <v>1.1599999999999999E-2</v>
      </c>
      <c r="H404" s="228">
        <f>YEAR(AVEU_Historical_Data__2[[#This Row],[Date]])</f>
        <v>2021</v>
      </c>
      <c r="I404" s="228">
        <f>ROUNDUP((MOD(MONTH(AVEU_Historical_Data__2[[#This Row],[Date]])+8,12)+1)/3,0)</f>
        <v>3</v>
      </c>
      <c r="J404" s="228">
        <f>MONTH(AVEU_Historical_Data__2[[#This Row],[Date]])</f>
        <v>11</v>
      </c>
      <c r="K404" s="228"/>
    </row>
    <row r="405" spans="1:11" x14ac:dyDescent="0.25">
      <c r="A405" s="227">
        <v>44517</v>
      </c>
      <c r="B405" s="228">
        <v>5126.3999999999996</v>
      </c>
      <c r="C405" s="228">
        <v>5080</v>
      </c>
      <c r="D405" s="228">
        <v>5180</v>
      </c>
      <c r="E405" s="228">
        <v>5079.75</v>
      </c>
      <c r="F405">
        <v>447910</v>
      </c>
      <c r="G405" s="228">
        <v>8.8000000000000005E-3</v>
      </c>
      <c r="H405" s="228">
        <f>YEAR(AVEU_Historical_Data__2[[#This Row],[Date]])</f>
        <v>2021</v>
      </c>
      <c r="I405" s="228">
        <f>ROUNDUP((MOD(MONTH(AVEU_Historical_Data__2[[#This Row],[Date]])+8,12)+1)/3,0)</f>
        <v>3</v>
      </c>
      <c r="J405" s="228">
        <f>MONTH(AVEU_Historical_Data__2[[#This Row],[Date]])</f>
        <v>11</v>
      </c>
      <c r="K405" s="228"/>
    </row>
    <row r="406" spans="1:11" x14ac:dyDescent="0.25">
      <c r="A406" s="227">
        <v>44518</v>
      </c>
      <c r="B406" s="228">
        <v>5080.8999999999996</v>
      </c>
      <c r="C406" s="228">
        <v>5130</v>
      </c>
      <c r="D406" s="228">
        <v>5180</v>
      </c>
      <c r="E406" s="228">
        <v>5037</v>
      </c>
      <c r="F406">
        <v>428370</v>
      </c>
      <c r="G406" s="228">
        <v>-8.8999999999999999E-3</v>
      </c>
      <c r="H406" s="228">
        <f>YEAR(AVEU_Historical_Data__2[[#This Row],[Date]])</f>
        <v>2021</v>
      </c>
      <c r="I406" s="228">
        <f>ROUNDUP((MOD(MONTH(AVEU_Historical_Data__2[[#This Row],[Date]])+8,12)+1)/3,0)</f>
        <v>3</v>
      </c>
      <c r="J406" s="228">
        <f>MONTH(AVEU_Historical_Data__2[[#This Row],[Date]])</f>
        <v>11</v>
      </c>
      <c r="K406" s="228"/>
    </row>
    <row r="407" spans="1:11" x14ac:dyDescent="0.25">
      <c r="A407" s="227">
        <v>44522</v>
      </c>
      <c r="B407" s="228">
        <v>4828.3</v>
      </c>
      <c r="C407" s="228">
        <v>5100</v>
      </c>
      <c r="D407" s="228">
        <v>5100</v>
      </c>
      <c r="E407" s="228">
        <v>4782</v>
      </c>
      <c r="F407">
        <v>650660</v>
      </c>
      <c r="G407" s="228">
        <v>-4.9700000000000001E-2</v>
      </c>
      <c r="H407" s="228">
        <f>YEAR(AVEU_Historical_Data__2[[#This Row],[Date]])</f>
        <v>2021</v>
      </c>
      <c r="I407" s="228">
        <f>ROUNDUP((MOD(MONTH(AVEU_Historical_Data__2[[#This Row],[Date]])+8,12)+1)/3,0)</f>
        <v>3</v>
      </c>
      <c r="J407" s="228">
        <f>MONTH(AVEU_Historical_Data__2[[#This Row],[Date]])</f>
        <v>11</v>
      </c>
      <c r="K407" s="228"/>
    </row>
    <row r="408" spans="1:11" x14ac:dyDescent="0.25">
      <c r="A408" s="227">
        <v>44523</v>
      </c>
      <c r="B408" s="228">
        <v>4843.3</v>
      </c>
      <c r="C408" s="228">
        <v>4829</v>
      </c>
      <c r="D408" s="228">
        <v>4920</v>
      </c>
      <c r="E408" s="228">
        <v>4758.1499999999996</v>
      </c>
      <c r="F408">
        <v>580930</v>
      </c>
      <c r="G408" s="228">
        <v>3.0999999999999999E-3</v>
      </c>
      <c r="H408" s="228">
        <f>YEAR(AVEU_Historical_Data__2[[#This Row],[Date]])</f>
        <v>2021</v>
      </c>
      <c r="I408" s="228">
        <f>ROUNDUP((MOD(MONTH(AVEU_Historical_Data__2[[#This Row],[Date]])+8,12)+1)/3,0)</f>
        <v>3</v>
      </c>
      <c r="J408" s="228">
        <f>MONTH(AVEU_Historical_Data__2[[#This Row],[Date]])</f>
        <v>11</v>
      </c>
      <c r="K408" s="228"/>
    </row>
    <row r="409" spans="1:11" x14ac:dyDescent="0.25">
      <c r="A409" s="227">
        <v>44524</v>
      </c>
      <c r="B409" s="228">
        <v>4882.6000000000004</v>
      </c>
      <c r="C409" s="228">
        <v>4876</v>
      </c>
      <c r="D409" s="228">
        <v>4958.95</v>
      </c>
      <c r="E409" s="228">
        <v>4850.05</v>
      </c>
      <c r="F409">
        <v>483900</v>
      </c>
      <c r="G409" s="228">
        <v>8.0999999999999996E-3</v>
      </c>
      <c r="H409" s="228">
        <f>YEAR(AVEU_Historical_Data__2[[#This Row],[Date]])</f>
        <v>2021</v>
      </c>
      <c r="I409" s="228">
        <f>ROUNDUP((MOD(MONTH(AVEU_Historical_Data__2[[#This Row],[Date]])+8,12)+1)/3,0)</f>
        <v>3</v>
      </c>
      <c r="J409" s="228">
        <f>MONTH(AVEU_Historical_Data__2[[#This Row],[Date]])</f>
        <v>11</v>
      </c>
      <c r="K409" s="228"/>
    </row>
    <row r="410" spans="1:11" x14ac:dyDescent="0.25">
      <c r="A410" s="227">
        <v>44525</v>
      </c>
      <c r="B410" s="228">
        <v>4894.5</v>
      </c>
      <c r="C410" s="228">
        <v>4930</v>
      </c>
      <c r="D410" s="228">
        <v>4930</v>
      </c>
      <c r="E410" s="228">
        <v>4854.6499999999996</v>
      </c>
      <c r="F410">
        <v>364380</v>
      </c>
      <c r="G410" s="228">
        <v>2.3999999999999998E-3</v>
      </c>
      <c r="H410" s="228">
        <f>YEAR(AVEU_Historical_Data__2[[#This Row],[Date]])</f>
        <v>2021</v>
      </c>
      <c r="I410" s="228">
        <f>ROUNDUP((MOD(MONTH(AVEU_Historical_Data__2[[#This Row],[Date]])+8,12)+1)/3,0)</f>
        <v>3</v>
      </c>
      <c r="J410" s="228">
        <f>MONTH(AVEU_Historical_Data__2[[#This Row],[Date]])</f>
        <v>11</v>
      </c>
      <c r="K410" s="228"/>
    </row>
    <row r="411" spans="1:11" x14ac:dyDescent="0.25">
      <c r="A411" s="227">
        <v>44526</v>
      </c>
      <c r="B411" s="228">
        <v>4718.75</v>
      </c>
      <c r="C411" s="228">
        <v>4860</v>
      </c>
      <c r="D411" s="228">
        <v>4860</v>
      </c>
      <c r="E411" s="228">
        <v>4700.1000000000004</v>
      </c>
      <c r="F411">
        <v>518549.99999999994</v>
      </c>
      <c r="G411" s="228">
        <v>-3.5900000000000001E-2</v>
      </c>
      <c r="H411" s="228">
        <f>YEAR(AVEU_Historical_Data__2[[#This Row],[Date]])</f>
        <v>2021</v>
      </c>
      <c r="I411" s="228">
        <f>ROUNDUP((MOD(MONTH(AVEU_Historical_Data__2[[#This Row],[Date]])+8,12)+1)/3,0)</f>
        <v>3</v>
      </c>
      <c r="J411" s="228">
        <f>MONTH(AVEU_Historical_Data__2[[#This Row],[Date]])</f>
        <v>11</v>
      </c>
      <c r="K411" s="228"/>
    </row>
    <row r="412" spans="1:11" x14ac:dyDescent="0.25">
      <c r="A412" s="227">
        <v>44529</v>
      </c>
      <c r="B412" s="228">
        <v>4673.3500000000004</v>
      </c>
      <c r="C412" s="228">
        <v>4687</v>
      </c>
      <c r="D412" s="228">
        <v>4721</v>
      </c>
      <c r="E412" s="228">
        <v>4455</v>
      </c>
      <c r="F412">
        <v>609710</v>
      </c>
      <c r="G412" s="228">
        <v>-9.5999999999999992E-3</v>
      </c>
      <c r="H412" s="228">
        <f>YEAR(AVEU_Historical_Data__2[[#This Row],[Date]])</f>
        <v>2021</v>
      </c>
      <c r="I412" s="228">
        <f>ROUNDUP((MOD(MONTH(AVEU_Historical_Data__2[[#This Row],[Date]])+8,12)+1)/3,0)</f>
        <v>3</v>
      </c>
      <c r="J412" s="228">
        <f>MONTH(AVEU_Historical_Data__2[[#This Row],[Date]])</f>
        <v>11</v>
      </c>
      <c r="K412" s="228"/>
    </row>
    <row r="413" spans="1:11" x14ac:dyDescent="0.25">
      <c r="A413" s="227">
        <v>44530</v>
      </c>
      <c r="B413" s="228">
        <v>4710.8999999999996</v>
      </c>
      <c r="C413" s="228">
        <v>4673.3999999999996</v>
      </c>
      <c r="D413" s="228">
        <v>4800</v>
      </c>
      <c r="E413" s="228">
        <v>4661</v>
      </c>
      <c r="F413">
        <v>790480</v>
      </c>
      <c r="G413" s="228">
        <v>8.0000000000000002E-3</v>
      </c>
      <c r="H413" s="228">
        <f>YEAR(AVEU_Historical_Data__2[[#This Row],[Date]])</f>
        <v>2021</v>
      </c>
      <c r="I413" s="228">
        <f>ROUNDUP((MOD(MONTH(AVEU_Historical_Data__2[[#This Row],[Date]])+8,12)+1)/3,0)</f>
        <v>3</v>
      </c>
      <c r="J413" s="228">
        <f>MONTH(AVEU_Historical_Data__2[[#This Row],[Date]])</f>
        <v>11</v>
      </c>
      <c r="K413" s="228"/>
    </row>
    <row r="414" spans="1:11" x14ac:dyDescent="0.25">
      <c r="A414" s="227">
        <v>44531</v>
      </c>
      <c r="B414" s="228">
        <v>4693.7</v>
      </c>
      <c r="C414" s="228">
        <v>4750</v>
      </c>
      <c r="D414" s="228">
        <v>4848</v>
      </c>
      <c r="E414" s="228">
        <v>4666</v>
      </c>
      <c r="F414">
        <v>374830</v>
      </c>
      <c r="G414" s="228">
        <v>-3.7000000000000002E-3</v>
      </c>
      <c r="H414" s="228">
        <f>YEAR(AVEU_Historical_Data__2[[#This Row],[Date]])</f>
        <v>2021</v>
      </c>
      <c r="I414" s="228">
        <f>ROUNDUP((MOD(MONTH(AVEU_Historical_Data__2[[#This Row],[Date]])+8,12)+1)/3,0)</f>
        <v>3</v>
      </c>
      <c r="J414" s="228">
        <f>MONTH(AVEU_Historical_Data__2[[#This Row],[Date]])</f>
        <v>12</v>
      </c>
      <c r="K414" s="228"/>
    </row>
    <row r="415" spans="1:11" x14ac:dyDescent="0.25">
      <c r="A415" s="227">
        <v>44532</v>
      </c>
      <c r="B415" s="228">
        <v>4782.95</v>
      </c>
      <c r="C415" s="228">
        <v>4750</v>
      </c>
      <c r="D415" s="228">
        <v>4794.55</v>
      </c>
      <c r="E415" s="228">
        <v>4718.45</v>
      </c>
      <c r="F415">
        <v>351340</v>
      </c>
      <c r="G415" s="228">
        <v>1.9E-2</v>
      </c>
      <c r="H415" s="228">
        <f>YEAR(AVEU_Historical_Data__2[[#This Row],[Date]])</f>
        <v>2021</v>
      </c>
      <c r="I415" s="228">
        <f>ROUNDUP((MOD(MONTH(AVEU_Historical_Data__2[[#This Row],[Date]])+8,12)+1)/3,0)</f>
        <v>3</v>
      </c>
      <c r="J415" s="228">
        <f>MONTH(AVEU_Historical_Data__2[[#This Row],[Date]])</f>
        <v>12</v>
      </c>
      <c r="K415" s="228"/>
    </row>
    <row r="416" spans="1:11" x14ac:dyDescent="0.25">
      <c r="A416" s="227">
        <v>44533</v>
      </c>
      <c r="B416" s="228">
        <v>4799.05</v>
      </c>
      <c r="C416" s="228">
        <v>4799</v>
      </c>
      <c r="D416" s="228">
        <v>4850</v>
      </c>
      <c r="E416" s="228">
        <v>4775</v>
      </c>
      <c r="F416">
        <v>287730</v>
      </c>
      <c r="G416" s="228">
        <v>3.3999999999999998E-3</v>
      </c>
      <c r="H416" s="228">
        <f>YEAR(AVEU_Historical_Data__2[[#This Row],[Date]])</f>
        <v>2021</v>
      </c>
      <c r="I416" s="228">
        <f>ROUNDUP((MOD(MONTH(AVEU_Historical_Data__2[[#This Row],[Date]])+8,12)+1)/3,0)</f>
        <v>3</v>
      </c>
      <c r="J416" s="228">
        <f>MONTH(AVEU_Historical_Data__2[[#This Row],[Date]])</f>
        <v>12</v>
      </c>
      <c r="K416" s="228"/>
    </row>
    <row r="417" spans="1:11" x14ac:dyDescent="0.25">
      <c r="A417" s="227">
        <v>44536</v>
      </c>
      <c r="B417" s="228">
        <v>4593.45</v>
      </c>
      <c r="C417" s="228">
        <v>4820</v>
      </c>
      <c r="D417" s="228">
        <v>4821.95</v>
      </c>
      <c r="E417" s="228">
        <v>4580</v>
      </c>
      <c r="F417">
        <v>466600</v>
      </c>
      <c r="G417" s="228">
        <v>-4.2799999999999998E-2</v>
      </c>
      <c r="H417" s="228">
        <f>YEAR(AVEU_Historical_Data__2[[#This Row],[Date]])</f>
        <v>2021</v>
      </c>
      <c r="I417" s="228">
        <f>ROUNDUP((MOD(MONTH(AVEU_Historical_Data__2[[#This Row],[Date]])+8,12)+1)/3,0)</f>
        <v>3</v>
      </c>
      <c r="J417" s="228">
        <f>MONTH(AVEU_Historical_Data__2[[#This Row],[Date]])</f>
        <v>12</v>
      </c>
      <c r="K417" s="228"/>
    </row>
    <row r="418" spans="1:11" x14ac:dyDescent="0.25">
      <c r="A418" s="227">
        <v>44537</v>
      </c>
      <c r="B418" s="228">
        <v>4660.6499999999996</v>
      </c>
      <c r="C418" s="228">
        <v>4674.7</v>
      </c>
      <c r="D418" s="228">
        <v>4719</v>
      </c>
      <c r="E418" s="228">
        <v>4611</v>
      </c>
      <c r="F418">
        <v>435520</v>
      </c>
      <c r="G418" s="228">
        <v>1.46E-2</v>
      </c>
      <c r="H418" s="228">
        <f>YEAR(AVEU_Historical_Data__2[[#This Row],[Date]])</f>
        <v>2021</v>
      </c>
      <c r="I418" s="228">
        <f>ROUNDUP((MOD(MONTH(AVEU_Historical_Data__2[[#This Row],[Date]])+8,12)+1)/3,0)</f>
        <v>3</v>
      </c>
      <c r="J418" s="228">
        <f>MONTH(AVEU_Historical_Data__2[[#This Row],[Date]])</f>
        <v>12</v>
      </c>
      <c r="K418" s="228"/>
    </row>
    <row r="419" spans="1:11" x14ac:dyDescent="0.25">
      <c r="A419" s="227">
        <v>44538</v>
      </c>
      <c r="B419" s="228">
        <v>4814.6000000000004</v>
      </c>
      <c r="C419" s="228">
        <v>4708.2</v>
      </c>
      <c r="D419" s="228">
        <v>4842</v>
      </c>
      <c r="E419" s="228">
        <v>4708.2</v>
      </c>
      <c r="F419">
        <v>763280</v>
      </c>
      <c r="G419" s="228">
        <v>3.3000000000000002E-2</v>
      </c>
      <c r="H419" s="228">
        <f>YEAR(AVEU_Historical_Data__2[[#This Row],[Date]])</f>
        <v>2021</v>
      </c>
      <c r="I419" s="228">
        <f>ROUNDUP((MOD(MONTH(AVEU_Historical_Data__2[[#This Row],[Date]])+8,12)+1)/3,0)</f>
        <v>3</v>
      </c>
      <c r="J419" s="228">
        <f>MONTH(AVEU_Historical_Data__2[[#This Row],[Date]])</f>
        <v>12</v>
      </c>
      <c r="K419" s="228"/>
    </row>
    <row r="420" spans="1:11" x14ac:dyDescent="0.25">
      <c r="A420" s="227">
        <v>44539</v>
      </c>
      <c r="B420" s="228">
        <v>4821.2</v>
      </c>
      <c r="C420" s="228">
        <v>4822</v>
      </c>
      <c r="D420" s="228">
        <v>4878.3999999999996</v>
      </c>
      <c r="E420" s="228">
        <v>4777</v>
      </c>
      <c r="F420">
        <v>316690</v>
      </c>
      <c r="G420" s="228">
        <v>1.4E-3</v>
      </c>
      <c r="H420" s="228">
        <f>YEAR(AVEU_Historical_Data__2[[#This Row],[Date]])</f>
        <v>2021</v>
      </c>
      <c r="I420" s="228">
        <f>ROUNDUP((MOD(MONTH(AVEU_Historical_Data__2[[#This Row],[Date]])+8,12)+1)/3,0)</f>
        <v>3</v>
      </c>
      <c r="J420" s="228">
        <f>MONTH(AVEU_Historical_Data__2[[#This Row],[Date]])</f>
        <v>12</v>
      </c>
      <c r="K420" s="228"/>
    </row>
    <row r="421" spans="1:11" x14ac:dyDescent="0.25">
      <c r="A421" s="227">
        <v>44540</v>
      </c>
      <c r="B421" s="228">
        <v>4796.6000000000004</v>
      </c>
      <c r="C421" s="228">
        <v>4798</v>
      </c>
      <c r="D421" s="228">
        <v>4809.7</v>
      </c>
      <c r="E421" s="228">
        <v>4775.5</v>
      </c>
      <c r="F421">
        <v>173570</v>
      </c>
      <c r="G421" s="228">
        <v>-5.1000000000000004E-3</v>
      </c>
      <c r="H421" s="228">
        <f>YEAR(AVEU_Historical_Data__2[[#This Row],[Date]])</f>
        <v>2021</v>
      </c>
      <c r="I421" s="228">
        <f>ROUNDUP((MOD(MONTH(AVEU_Historical_Data__2[[#This Row],[Date]])+8,12)+1)/3,0)</f>
        <v>3</v>
      </c>
      <c r="J421" s="228">
        <f>MONTH(AVEU_Historical_Data__2[[#This Row],[Date]])</f>
        <v>12</v>
      </c>
      <c r="K421" s="228"/>
    </row>
    <row r="422" spans="1:11" x14ac:dyDescent="0.25">
      <c r="A422" s="227">
        <v>44543</v>
      </c>
      <c r="B422" s="228">
        <v>4765.8</v>
      </c>
      <c r="C422" s="228">
        <v>4830</v>
      </c>
      <c r="D422" s="228">
        <v>4870</v>
      </c>
      <c r="E422" s="228">
        <v>4750</v>
      </c>
      <c r="F422">
        <v>283320</v>
      </c>
      <c r="G422" s="228">
        <v>-6.4000000000000003E-3</v>
      </c>
      <c r="H422" s="228">
        <f>YEAR(AVEU_Historical_Data__2[[#This Row],[Date]])</f>
        <v>2021</v>
      </c>
      <c r="I422" s="228">
        <f>ROUNDUP((MOD(MONTH(AVEU_Historical_Data__2[[#This Row],[Date]])+8,12)+1)/3,0)</f>
        <v>3</v>
      </c>
      <c r="J422" s="228">
        <f>MONTH(AVEU_Historical_Data__2[[#This Row],[Date]])</f>
        <v>12</v>
      </c>
      <c r="K422" s="228"/>
    </row>
    <row r="423" spans="1:11" x14ac:dyDescent="0.25">
      <c r="A423" s="227">
        <v>44544</v>
      </c>
      <c r="B423" s="228">
        <v>4814.3999999999996</v>
      </c>
      <c r="C423" s="228">
        <v>4764.75</v>
      </c>
      <c r="D423" s="228">
        <v>4840</v>
      </c>
      <c r="E423" s="228">
        <v>4714.1000000000004</v>
      </c>
      <c r="F423">
        <v>352400</v>
      </c>
      <c r="G423" s="228">
        <v>1.0200000000000001E-2</v>
      </c>
      <c r="H423" s="228">
        <f>YEAR(AVEU_Historical_Data__2[[#This Row],[Date]])</f>
        <v>2021</v>
      </c>
      <c r="I423" s="228">
        <f>ROUNDUP((MOD(MONTH(AVEU_Historical_Data__2[[#This Row],[Date]])+8,12)+1)/3,0)</f>
        <v>3</v>
      </c>
      <c r="J423" s="228">
        <f>MONTH(AVEU_Historical_Data__2[[#This Row],[Date]])</f>
        <v>12</v>
      </c>
      <c r="K423" s="228"/>
    </row>
    <row r="424" spans="1:11" x14ac:dyDescent="0.25">
      <c r="A424" s="227">
        <v>44545</v>
      </c>
      <c r="B424" s="228">
        <v>4749.45</v>
      </c>
      <c r="C424" s="228">
        <v>4799.8999999999996</v>
      </c>
      <c r="D424" s="228">
        <v>4814.25</v>
      </c>
      <c r="E424" s="228">
        <v>4740</v>
      </c>
      <c r="F424">
        <v>410080</v>
      </c>
      <c r="G424" s="228">
        <v>-1.35E-2</v>
      </c>
      <c r="H424" s="228">
        <f>YEAR(AVEU_Historical_Data__2[[#This Row],[Date]])</f>
        <v>2021</v>
      </c>
      <c r="I424" s="228">
        <f>ROUNDUP((MOD(MONTH(AVEU_Historical_Data__2[[#This Row],[Date]])+8,12)+1)/3,0)</f>
        <v>3</v>
      </c>
      <c r="J424" s="228">
        <f>MONTH(AVEU_Historical_Data__2[[#This Row],[Date]])</f>
        <v>12</v>
      </c>
      <c r="K424" s="228"/>
    </row>
    <row r="425" spans="1:11" x14ac:dyDescent="0.25">
      <c r="A425" s="227">
        <v>44546</v>
      </c>
      <c r="B425" s="228">
        <v>4742.1000000000004</v>
      </c>
      <c r="C425" s="228">
        <v>4801</v>
      </c>
      <c r="D425" s="228">
        <v>4815.1499999999996</v>
      </c>
      <c r="E425" s="228">
        <v>4726.1499999999996</v>
      </c>
      <c r="F425">
        <v>243570</v>
      </c>
      <c r="G425" s="228">
        <v>-1.5E-3</v>
      </c>
      <c r="H425" s="228">
        <f>YEAR(AVEU_Historical_Data__2[[#This Row],[Date]])</f>
        <v>2021</v>
      </c>
      <c r="I425" s="228">
        <f>ROUNDUP((MOD(MONTH(AVEU_Historical_Data__2[[#This Row],[Date]])+8,12)+1)/3,0)</f>
        <v>3</v>
      </c>
      <c r="J425" s="228">
        <f>MONTH(AVEU_Historical_Data__2[[#This Row],[Date]])</f>
        <v>12</v>
      </c>
      <c r="K425" s="228"/>
    </row>
    <row r="426" spans="1:11" x14ac:dyDescent="0.25">
      <c r="A426" s="227">
        <v>44547</v>
      </c>
      <c r="B426" s="228">
        <v>4697.8</v>
      </c>
      <c r="C426" s="228">
        <v>4771</v>
      </c>
      <c r="D426" s="228">
        <v>4791.25</v>
      </c>
      <c r="E426" s="228">
        <v>4672.1499999999996</v>
      </c>
      <c r="F426">
        <v>454820</v>
      </c>
      <c r="G426" s="228">
        <v>-9.2999999999999992E-3</v>
      </c>
      <c r="H426" s="228">
        <f>YEAR(AVEU_Historical_Data__2[[#This Row],[Date]])</f>
        <v>2021</v>
      </c>
      <c r="I426" s="228">
        <f>ROUNDUP((MOD(MONTH(AVEU_Historical_Data__2[[#This Row],[Date]])+8,12)+1)/3,0)</f>
        <v>3</v>
      </c>
      <c r="J426" s="228">
        <f>MONTH(AVEU_Historical_Data__2[[#This Row],[Date]])</f>
        <v>12</v>
      </c>
      <c r="K426" s="228"/>
    </row>
    <row r="427" spans="1:11" x14ac:dyDescent="0.25">
      <c r="A427" s="227">
        <v>44550</v>
      </c>
      <c r="B427" s="228">
        <v>4618.95</v>
      </c>
      <c r="C427" s="228">
        <v>4669</v>
      </c>
      <c r="D427" s="228">
        <v>4690</v>
      </c>
      <c r="E427" s="228">
        <v>4552.25</v>
      </c>
      <c r="F427">
        <v>310440</v>
      </c>
      <c r="G427" s="228">
        <v>-1.6799999999999999E-2</v>
      </c>
      <c r="H427" s="228">
        <f>YEAR(AVEU_Historical_Data__2[[#This Row],[Date]])</f>
        <v>2021</v>
      </c>
      <c r="I427" s="228">
        <f>ROUNDUP((MOD(MONTH(AVEU_Historical_Data__2[[#This Row],[Date]])+8,12)+1)/3,0)</f>
        <v>3</v>
      </c>
      <c r="J427" s="228">
        <f>MONTH(AVEU_Historical_Data__2[[#This Row],[Date]])</f>
        <v>12</v>
      </c>
      <c r="K427" s="228"/>
    </row>
    <row r="428" spans="1:11" x14ac:dyDescent="0.25">
      <c r="A428" s="227">
        <v>44551</v>
      </c>
      <c r="B428" s="228">
        <v>4587.3999999999996</v>
      </c>
      <c r="C428" s="228">
        <v>4612.5</v>
      </c>
      <c r="D428" s="228">
        <v>4677</v>
      </c>
      <c r="E428" s="228">
        <v>4571.05</v>
      </c>
      <c r="F428">
        <v>312540</v>
      </c>
      <c r="G428" s="228">
        <v>-6.7999999999999996E-3</v>
      </c>
      <c r="H428" s="228">
        <f>YEAR(AVEU_Historical_Data__2[[#This Row],[Date]])</f>
        <v>2021</v>
      </c>
      <c r="I428" s="228">
        <f>ROUNDUP((MOD(MONTH(AVEU_Historical_Data__2[[#This Row],[Date]])+8,12)+1)/3,0)</f>
        <v>3</v>
      </c>
      <c r="J428" s="228">
        <f>MONTH(AVEU_Historical_Data__2[[#This Row],[Date]])</f>
        <v>12</v>
      </c>
      <c r="K428" s="228"/>
    </row>
    <row r="429" spans="1:11" x14ac:dyDescent="0.25">
      <c r="A429" s="227">
        <v>44552</v>
      </c>
      <c r="B429" s="228">
        <v>4655.8500000000004</v>
      </c>
      <c r="C429" s="228">
        <v>4627.95</v>
      </c>
      <c r="D429" s="228">
        <v>4695.5</v>
      </c>
      <c r="E429" s="228">
        <v>4587.3999999999996</v>
      </c>
      <c r="F429">
        <v>338380</v>
      </c>
      <c r="G429" s="228">
        <v>1.49E-2</v>
      </c>
      <c r="H429" s="228">
        <f>YEAR(AVEU_Historical_Data__2[[#This Row],[Date]])</f>
        <v>2021</v>
      </c>
      <c r="I429" s="228">
        <f>ROUNDUP((MOD(MONTH(AVEU_Historical_Data__2[[#This Row],[Date]])+8,12)+1)/3,0)</f>
        <v>3</v>
      </c>
      <c r="J429" s="228">
        <f>MONTH(AVEU_Historical_Data__2[[#This Row],[Date]])</f>
        <v>12</v>
      </c>
      <c r="K429" s="228"/>
    </row>
    <row r="430" spans="1:11" x14ac:dyDescent="0.25">
      <c r="A430" s="227">
        <v>44553</v>
      </c>
      <c r="B430" s="228">
        <v>4647.8999999999996</v>
      </c>
      <c r="C430" s="228">
        <v>4711.25</v>
      </c>
      <c r="D430" s="228">
        <v>4711.25</v>
      </c>
      <c r="E430" s="228">
        <v>4631.3999999999996</v>
      </c>
      <c r="F430">
        <v>204210</v>
      </c>
      <c r="G430" s="228">
        <v>-1.6999999999999999E-3</v>
      </c>
      <c r="H430" s="228">
        <f>YEAR(AVEU_Historical_Data__2[[#This Row],[Date]])</f>
        <v>2021</v>
      </c>
      <c r="I430" s="228">
        <f>ROUNDUP((MOD(MONTH(AVEU_Historical_Data__2[[#This Row],[Date]])+8,12)+1)/3,0)</f>
        <v>3</v>
      </c>
      <c r="J430" s="228">
        <f>MONTH(AVEU_Historical_Data__2[[#This Row],[Date]])</f>
        <v>12</v>
      </c>
      <c r="K430" s="228"/>
    </row>
    <row r="431" spans="1:11" x14ac:dyDescent="0.25">
      <c r="A431" s="227">
        <v>44554</v>
      </c>
      <c r="B431" s="228">
        <v>4628.8999999999996</v>
      </c>
      <c r="C431" s="228">
        <v>4674</v>
      </c>
      <c r="D431" s="228">
        <v>4674</v>
      </c>
      <c r="E431" s="228">
        <v>4615</v>
      </c>
      <c r="F431">
        <v>122080</v>
      </c>
      <c r="G431" s="228">
        <v>-4.1000000000000003E-3</v>
      </c>
      <c r="H431" s="228">
        <f>YEAR(AVEU_Historical_Data__2[[#This Row],[Date]])</f>
        <v>2021</v>
      </c>
      <c r="I431" s="228">
        <f>ROUNDUP((MOD(MONTH(AVEU_Historical_Data__2[[#This Row],[Date]])+8,12)+1)/3,0)</f>
        <v>3</v>
      </c>
      <c r="J431" s="228">
        <f>MONTH(AVEU_Historical_Data__2[[#This Row],[Date]])</f>
        <v>12</v>
      </c>
      <c r="K431" s="228"/>
    </row>
    <row r="432" spans="1:11" x14ac:dyDescent="0.25">
      <c r="A432" s="227">
        <v>44557</v>
      </c>
      <c r="B432" s="228">
        <v>4668.6499999999996</v>
      </c>
      <c r="C432" s="228">
        <v>4599</v>
      </c>
      <c r="D432" s="228">
        <v>4680</v>
      </c>
      <c r="E432" s="228">
        <v>4555.25</v>
      </c>
      <c r="F432">
        <v>294370</v>
      </c>
      <c r="G432" s="228">
        <v>8.6E-3</v>
      </c>
      <c r="H432" s="228">
        <f>YEAR(AVEU_Historical_Data__2[[#This Row],[Date]])</f>
        <v>2021</v>
      </c>
      <c r="I432" s="228">
        <f>ROUNDUP((MOD(MONTH(AVEU_Historical_Data__2[[#This Row],[Date]])+8,12)+1)/3,0)</f>
        <v>3</v>
      </c>
      <c r="J432" s="228">
        <f>MONTH(AVEU_Historical_Data__2[[#This Row],[Date]])</f>
        <v>12</v>
      </c>
      <c r="K432" s="228"/>
    </row>
    <row r="433" spans="1:11" x14ac:dyDescent="0.25">
      <c r="A433" s="227">
        <v>44558</v>
      </c>
      <c r="B433" s="228">
        <v>4721.95</v>
      </c>
      <c r="C433" s="228">
        <v>4680</v>
      </c>
      <c r="D433" s="228">
        <v>4760.95</v>
      </c>
      <c r="E433" s="228">
        <v>4645</v>
      </c>
      <c r="F433">
        <v>320960</v>
      </c>
      <c r="G433" s="228">
        <v>1.14E-2</v>
      </c>
      <c r="H433" s="228">
        <f>YEAR(AVEU_Historical_Data__2[[#This Row],[Date]])</f>
        <v>2021</v>
      </c>
      <c r="I433" s="228">
        <f>ROUNDUP((MOD(MONTH(AVEU_Historical_Data__2[[#This Row],[Date]])+8,12)+1)/3,0)</f>
        <v>3</v>
      </c>
      <c r="J433" s="228">
        <f>MONTH(AVEU_Historical_Data__2[[#This Row],[Date]])</f>
        <v>12</v>
      </c>
      <c r="K433" s="228"/>
    </row>
    <row r="434" spans="1:11" x14ac:dyDescent="0.25">
      <c r="A434" s="227">
        <v>44559</v>
      </c>
      <c r="B434" s="228">
        <v>4683.95</v>
      </c>
      <c r="C434" s="228">
        <v>4739</v>
      </c>
      <c r="D434" s="228">
        <v>4748.7</v>
      </c>
      <c r="E434" s="228">
        <v>4675</v>
      </c>
      <c r="F434">
        <v>176720</v>
      </c>
      <c r="G434" s="228">
        <v>-8.0000000000000002E-3</v>
      </c>
      <c r="H434" s="228">
        <f>YEAR(AVEU_Historical_Data__2[[#This Row],[Date]])</f>
        <v>2021</v>
      </c>
      <c r="I434" s="228">
        <f>ROUNDUP((MOD(MONTH(AVEU_Historical_Data__2[[#This Row],[Date]])+8,12)+1)/3,0)</f>
        <v>3</v>
      </c>
      <c r="J434" s="228">
        <f>MONTH(AVEU_Historical_Data__2[[#This Row],[Date]])</f>
        <v>12</v>
      </c>
      <c r="K434" s="228"/>
    </row>
    <row r="435" spans="1:11" x14ac:dyDescent="0.25">
      <c r="A435" s="227">
        <v>44560</v>
      </c>
      <c r="B435" s="228">
        <v>4639.3500000000004</v>
      </c>
      <c r="C435" s="228">
        <v>4677.5</v>
      </c>
      <c r="D435" s="228">
        <v>4699</v>
      </c>
      <c r="E435" s="228">
        <v>4625</v>
      </c>
      <c r="F435">
        <v>195750</v>
      </c>
      <c r="G435" s="228">
        <v>-9.4999999999999998E-3</v>
      </c>
      <c r="H435" s="228">
        <f>YEAR(AVEU_Historical_Data__2[[#This Row],[Date]])</f>
        <v>2021</v>
      </c>
      <c r="I435" s="228">
        <f>ROUNDUP((MOD(MONTH(AVEU_Historical_Data__2[[#This Row],[Date]])+8,12)+1)/3,0)</f>
        <v>3</v>
      </c>
      <c r="J435" s="228">
        <f>MONTH(AVEU_Historical_Data__2[[#This Row],[Date]])</f>
        <v>12</v>
      </c>
      <c r="K435" s="228"/>
    </row>
    <row r="436" spans="1:11" x14ac:dyDescent="0.25">
      <c r="A436" s="227">
        <v>44561</v>
      </c>
      <c r="B436" s="228">
        <v>4671.45</v>
      </c>
      <c r="C436" s="228">
        <v>4641</v>
      </c>
      <c r="D436" s="228">
        <v>4692.75</v>
      </c>
      <c r="E436" s="228">
        <v>4636</v>
      </c>
      <c r="F436">
        <v>172790</v>
      </c>
      <c r="G436" s="228">
        <v>6.8999999999999999E-3</v>
      </c>
      <c r="H436" s="228">
        <f>YEAR(AVEU_Historical_Data__2[[#This Row],[Date]])</f>
        <v>2021</v>
      </c>
      <c r="I436" s="228">
        <f>ROUNDUP((MOD(MONTH(AVEU_Historical_Data__2[[#This Row],[Date]])+8,12)+1)/3,0)</f>
        <v>3</v>
      </c>
      <c r="J436" s="228">
        <f>MONTH(AVEU_Historical_Data__2[[#This Row],[Date]])</f>
        <v>12</v>
      </c>
      <c r="K436" s="228"/>
    </row>
    <row r="437" spans="1:11" x14ac:dyDescent="0.25">
      <c r="A437" s="227">
        <v>44564</v>
      </c>
      <c r="B437" s="228">
        <v>4711.5</v>
      </c>
      <c r="C437" s="228">
        <v>4770</v>
      </c>
      <c r="D437" s="228">
        <v>4799</v>
      </c>
      <c r="E437" s="228">
        <v>4701.2</v>
      </c>
      <c r="F437">
        <v>534380</v>
      </c>
      <c r="G437" s="228">
        <v>8.6E-3</v>
      </c>
      <c r="H437" s="228">
        <f>YEAR(AVEU_Historical_Data__2[[#This Row],[Date]])</f>
        <v>2022</v>
      </c>
      <c r="I437" s="228">
        <f>ROUNDUP((MOD(MONTH(AVEU_Historical_Data__2[[#This Row],[Date]])+8,12)+1)/3,0)</f>
        <v>4</v>
      </c>
      <c r="J437" s="228">
        <f>MONTH(AVEU_Historical_Data__2[[#This Row],[Date]])</f>
        <v>1</v>
      </c>
      <c r="K437" s="228"/>
    </row>
    <row r="438" spans="1:11" x14ac:dyDescent="0.25">
      <c r="A438" s="227">
        <v>44565</v>
      </c>
      <c r="B438" s="228">
        <v>4726.95</v>
      </c>
      <c r="C438" s="228">
        <v>4758.8999999999996</v>
      </c>
      <c r="D438" s="228">
        <v>4758.8999999999996</v>
      </c>
      <c r="E438" s="228">
        <v>4685</v>
      </c>
      <c r="F438">
        <v>242290</v>
      </c>
      <c r="G438" s="228">
        <v>3.3E-3</v>
      </c>
      <c r="H438" s="228">
        <f>YEAR(AVEU_Historical_Data__2[[#This Row],[Date]])</f>
        <v>2022</v>
      </c>
      <c r="I438" s="228">
        <f>ROUNDUP((MOD(MONTH(AVEU_Historical_Data__2[[#This Row],[Date]])+8,12)+1)/3,0)</f>
        <v>4</v>
      </c>
      <c r="J438" s="228">
        <f>MONTH(AVEU_Historical_Data__2[[#This Row],[Date]])</f>
        <v>1</v>
      </c>
      <c r="K438" s="228"/>
    </row>
    <row r="439" spans="1:11" x14ac:dyDescent="0.25">
      <c r="A439" s="227">
        <v>44566</v>
      </c>
      <c r="B439" s="228">
        <v>4687.3999999999996</v>
      </c>
      <c r="C439" s="228">
        <v>4725</v>
      </c>
      <c r="D439" s="228">
        <v>4725</v>
      </c>
      <c r="E439" s="228">
        <v>4646</v>
      </c>
      <c r="F439">
        <v>287950</v>
      </c>
      <c r="G439" s="228">
        <v>-8.3999999999999995E-3</v>
      </c>
      <c r="H439" s="228">
        <f>YEAR(AVEU_Historical_Data__2[[#This Row],[Date]])</f>
        <v>2022</v>
      </c>
      <c r="I439" s="228">
        <f>ROUNDUP((MOD(MONTH(AVEU_Historical_Data__2[[#This Row],[Date]])+8,12)+1)/3,0)</f>
        <v>4</v>
      </c>
      <c r="J439" s="228">
        <f>MONTH(AVEU_Historical_Data__2[[#This Row],[Date]])</f>
        <v>1</v>
      </c>
      <c r="K439" s="228"/>
    </row>
    <row r="440" spans="1:11" x14ac:dyDescent="0.25">
      <c r="A440" s="227">
        <v>44567</v>
      </c>
      <c r="B440" s="228">
        <v>4705.6499999999996</v>
      </c>
      <c r="C440" s="228">
        <v>4669.1000000000004</v>
      </c>
      <c r="D440" s="228">
        <v>4716</v>
      </c>
      <c r="E440" s="228">
        <v>4642.6499999999996</v>
      </c>
      <c r="F440">
        <v>361510</v>
      </c>
      <c r="G440" s="228">
        <v>3.8999999999999998E-3</v>
      </c>
      <c r="H440" s="228">
        <f>YEAR(AVEU_Historical_Data__2[[#This Row],[Date]])</f>
        <v>2022</v>
      </c>
      <c r="I440" s="228">
        <f>ROUNDUP((MOD(MONTH(AVEU_Historical_Data__2[[#This Row],[Date]])+8,12)+1)/3,0)</f>
        <v>4</v>
      </c>
      <c r="J440" s="228">
        <f>MONTH(AVEU_Historical_Data__2[[#This Row],[Date]])</f>
        <v>1</v>
      </c>
      <c r="K440" s="228"/>
    </row>
    <row r="441" spans="1:11" x14ac:dyDescent="0.25">
      <c r="A441" s="227">
        <v>44568</v>
      </c>
      <c r="B441" s="228">
        <v>4731.3500000000004</v>
      </c>
      <c r="C441" s="228">
        <v>4715</v>
      </c>
      <c r="D441" s="228">
        <v>4748</v>
      </c>
      <c r="E441" s="228">
        <v>4696.1499999999996</v>
      </c>
      <c r="F441">
        <v>301520</v>
      </c>
      <c r="G441" s="228">
        <v>5.4999999999999997E-3</v>
      </c>
      <c r="H441" s="228">
        <f>YEAR(AVEU_Historical_Data__2[[#This Row],[Date]])</f>
        <v>2022</v>
      </c>
      <c r="I441" s="228">
        <f>ROUNDUP((MOD(MONTH(AVEU_Historical_Data__2[[#This Row],[Date]])+8,12)+1)/3,0)</f>
        <v>4</v>
      </c>
      <c r="J441" s="228">
        <f>MONTH(AVEU_Historical_Data__2[[#This Row],[Date]])</f>
        <v>1</v>
      </c>
      <c r="K441" s="228"/>
    </row>
    <row r="442" spans="1:11" x14ac:dyDescent="0.25">
      <c r="A442" s="227">
        <v>44571</v>
      </c>
      <c r="B442" s="228">
        <v>4633.55</v>
      </c>
      <c r="C442" s="228">
        <v>4784.8999999999996</v>
      </c>
      <c r="D442" s="228">
        <v>4784.8999999999996</v>
      </c>
      <c r="E442" s="228">
        <v>4620</v>
      </c>
      <c r="F442">
        <v>1040000</v>
      </c>
      <c r="G442" s="228">
        <v>-2.07E-2</v>
      </c>
      <c r="H442" s="228">
        <f>YEAR(AVEU_Historical_Data__2[[#This Row],[Date]])</f>
        <v>2022</v>
      </c>
      <c r="I442" s="228">
        <f>ROUNDUP((MOD(MONTH(AVEU_Historical_Data__2[[#This Row],[Date]])+8,12)+1)/3,0)</f>
        <v>4</v>
      </c>
      <c r="J442" s="228">
        <f>MONTH(AVEU_Historical_Data__2[[#This Row],[Date]])</f>
        <v>1</v>
      </c>
      <c r="K442" s="228"/>
    </row>
    <row r="443" spans="1:11" x14ac:dyDescent="0.25">
      <c r="A443" s="227">
        <v>44572</v>
      </c>
      <c r="B443" s="228">
        <v>4504.8999999999996</v>
      </c>
      <c r="C443" s="228">
        <v>4649</v>
      </c>
      <c r="D443" s="228">
        <v>4654.8999999999996</v>
      </c>
      <c r="E443" s="228">
        <v>4499</v>
      </c>
      <c r="F443">
        <v>791420</v>
      </c>
      <c r="G443" s="228">
        <v>-2.7799999999999998E-2</v>
      </c>
      <c r="H443" s="228">
        <f>YEAR(AVEU_Historical_Data__2[[#This Row],[Date]])</f>
        <v>2022</v>
      </c>
      <c r="I443" s="228">
        <f>ROUNDUP((MOD(MONTH(AVEU_Historical_Data__2[[#This Row],[Date]])+8,12)+1)/3,0)</f>
        <v>4</v>
      </c>
      <c r="J443" s="228">
        <f>MONTH(AVEU_Historical_Data__2[[#This Row],[Date]])</f>
        <v>1</v>
      </c>
      <c r="K443" s="228"/>
    </row>
    <row r="444" spans="1:11" x14ac:dyDescent="0.25">
      <c r="A444" s="227">
        <v>44573</v>
      </c>
      <c r="B444" s="228">
        <v>4276.1000000000004</v>
      </c>
      <c r="C444" s="228">
        <v>4500</v>
      </c>
      <c r="D444" s="228">
        <v>4500</v>
      </c>
      <c r="E444" s="228">
        <v>4165.3</v>
      </c>
      <c r="F444">
        <v>2520000</v>
      </c>
      <c r="G444" s="228">
        <v>-5.0799999999999998E-2</v>
      </c>
      <c r="H444" s="228">
        <f>YEAR(AVEU_Historical_Data__2[[#This Row],[Date]])</f>
        <v>2022</v>
      </c>
      <c r="I444" s="228">
        <f>ROUNDUP((MOD(MONTH(AVEU_Historical_Data__2[[#This Row],[Date]])+8,12)+1)/3,0)</f>
        <v>4</v>
      </c>
      <c r="J444" s="228">
        <f>MONTH(AVEU_Historical_Data__2[[#This Row],[Date]])</f>
        <v>1</v>
      </c>
      <c r="K444" s="228"/>
    </row>
    <row r="445" spans="1:11" x14ac:dyDescent="0.25">
      <c r="A445" s="227">
        <v>44574</v>
      </c>
      <c r="B445" s="228">
        <v>4254.6000000000004</v>
      </c>
      <c r="C445" s="228">
        <v>4276</v>
      </c>
      <c r="D445" s="228">
        <v>4354.45</v>
      </c>
      <c r="E445" s="228">
        <v>4221.6000000000004</v>
      </c>
      <c r="F445">
        <v>1090000</v>
      </c>
      <c r="G445" s="228">
        <v>-5.0000000000000001E-3</v>
      </c>
      <c r="H445" s="228">
        <f>YEAR(AVEU_Historical_Data__2[[#This Row],[Date]])</f>
        <v>2022</v>
      </c>
      <c r="I445" s="228">
        <f>ROUNDUP((MOD(MONTH(AVEU_Historical_Data__2[[#This Row],[Date]])+8,12)+1)/3,0)</f>
        <v>4</v>
      </c>
      <c r="J445" s="228">
        <f>MONTH(AVEU_Historical_Data__2[[#This Row],[Date]])</f>
        <v>1</v>
      </c>
      <c r="K445" s="228"/>
    </row>
    <row r="446" spans="1:11" x14ac:dyDescent="0.25">
      <c r="A446" s="227">
        <v>44575</v>
      </c>
      <c r="B446" s="228">
        <v>4322.7</v>
      </c>
      <c r="C446" s="228">
        <v>4266</v>
      </c>
      <c r="D446" s="228">
        <v>4344.45</v>
      </c>
      <c r="E446" s="228">
        <v>4256.1499999999996</v>
      </c>
      <c r="F446">
        <v>896930</v>
      </c>
      <c r="G446" s="228">
        <v>1.6E-2</v>
      </c>
      <c r="H446" s="228">
        <f>YEAR(AVEU_Historical_Data__2[[#This Row],[Date]])</f>
        <v>2022</v>
      </c>
      <c r="I446" s="228">
        <f>ROUNDUP((MOD(MONTH(AVEU_Historical_Data__2[[#This Row],[Date]])+8,12)+1)/3,0)</f>
        <v>4</v>
      </c>
      <c r="J446" s="228">
        <f>MONTH(AVEU_Historical_Data__2[[#This Row],[Date]])</f>
        <v>1</v>
      </c>
      <c r="K446" s="228"/>
    </row>
    <row r="447" spans="1:11" x14ac:dyDescent="0.25">
      <c r="A447" s="227">
        <v>44578</v>
      </c>
      <c r="B447" s="228">
        <v>4400.5</v>
      </c>
      <c r="C447" s="228">
        <v>4365</v>
      </c>
      <c r="D447" s="228">
        <v>4414</v>
      </c>
      <c r="E447" s="228">
        <v>4290.45</v>
      </c>
      <c r="F447">
        <v>870340</v>
      </c>
      <c r="G447" s="228">
        <v>1.7999999999999999E-2</v>
      </c>
      <c r="H447" s="228">
        <f>YEAR(AVEU_Historical_Data__2[[#This Row],[Date]])</f>
        <v>2022</v>
      </c>
      <c r="I447" s="228">
        <f>ROUNDUP((MOD(MONTH(AVEU_Historical_Data__2[[#This Row],[Date]])+8,12)+1)/3,0)</f>
        <v>4</v>
      </c>
      <c r="J447" s="228">
        <f>MONTH(AVEU_Historical_Data__2[[#This Row],[Date]])</f>
        <v>1</v>
      </c>
      <c r="K447" s="228"/>
    </row>
    <row r="448" spans="1:11" x14ac:dyDescent="0.25">
      <c r="A448" s="227">
        <v>44579</v>
      </c>
      <c r="B448" s="228">
        <v>4441.1499999999996</v>
      </c>
      <c r="C448" s="228">
        <v>4425</v>
      </c>
      <c r="D448" s="228">
        <v>4500</v>
      </c>
      <c r="E448" s="228">
        <v>4381</v>
      </c>
      <c r="F448">
        <v>940890</v>
      </c>
      <c r="G448" s="228">
        <v>9.1999999999999998E-3</v>
      </c>
      <c r="H448" s="228">
        <f>YEAR(AVEU_Historical_Data__2[[#This Row],[Date]])</f>
        <v>2022</v>
      </c>
      <c r="I448" s="228">
        <f>ROUNDUP((MOD(MONTH(AVEU_Historical_Data__2[[#This Row],[Date]])+8,12)+1)/3,0)</f>
        <v>4</v>
      </c>
      <c r="J448" s="228">
        <f>MONTH(AVEU_Historical_Data__2[[#This Row],[Date]])</f>
        <v>1</v>
      </c>
      <c r="K448" s="228"/>
    </row>
    <row r="449" spans="1:11" x14ac:dyDescent="0.25">
      <c r="A449" s="227">
        <v>44580</v>
      </c>
      <c r="B449" s="228">
        <v>4483.3999999999996</v>
      </c>
      <c r="C449" s="228">
        <v>4459</v>
      </c>
      <c r="D449" s="228">
        <v>4505</v>
      </c>
      <c r="E449" s="228">
        <v>4365</v>
      </c>
      <c r="F449">
        <v>579890</v>
      </c>
      <c r="G449" s="228">
        <v>9.4999999999999998E-3</v>
      </c>
      <c r="H449" s="228">
        <f>YEAR(AVEU_Historical_Data__2[[#This Row],[Date]])</f>
        <v>2022</v>
      </c>
      <c r="I449" s="228">
        <f>ROUNDUP((MOD(MONTH(AVEU_Historical_Data__2[[#This Row],[Date]])+8,12)+1)/3,0)</f>
        <v>4</v>
      </c>
      <c r="J449" s="228">
        <f>MONTH(AVEU_Historical_Data__2[[#This Row],[Date]])</f>
        <v>1</v>
      </c>
      <c r="K449" s="228"/>
    </row>
    <row r="450" spans="1:11" x14ac:dyDescent="0.25">
      <c r="A450" s="227">
        <v>44581</v>
      </c>
      <c r="B450" s="228">
        <v>4483.55</v>
      </c>
      <c r="C450" s="228">
        <v>4517</v>
      </c>
      <c r="D450" s="228">
        <v>4517</v>
      </c>
      <c r="E450" s="228">
        <v>4462.3500000000004</v>
      </c>
      <c r="F450">
        <v>350120</v>
      </c>
      <c r="G450" s="228">
        <v>0</v>
      </c>
      <c r="H450" s="228">
        <f>YEAR(AVEU_Historical_Data__2[[#This Row],[Date]])</f>
        <v>2022</v>
      </c>
      <c r="I450" s="228">
        <f>ROUNDUP((MOD(MONTH(AVEU_Historical_Data__2[[#This Row],[Date]])+8,12)+1)/3,0)</f>
        <v>4</v>
      </c>
      <c r="J450" s="228">
        <f>MONTH(AVEU_Historical_Data__2[[#This Row],[Date]])</f>
        <v>1</v>
      </c>
      <c r="K450" s="228"/>
    </row>
    <row r="451" spans="1:11" x14ac:dyDescent="0.25">
      <c r="A451" s="227">
        <v>44582</v>
      </c>
      <c r="B451" s="228">
        <v>4299.8</v>
      </c>
      <c r="C451" s="228">
        <v>4410</v>
      </c>
      <c r="D451" s="228">
        <v>4435.45</v>
      </c>
      <c r="E451" s="228">
        <v>4281</v>
      </c>
      <c r="F451">
        <v>606580</v>
      </c>
      <c r="G451" s="228">
        <v>-4.1000000000000002E-2</v>
      </c>
      <c r="H451" s="228">
        <f>YEAR(AVEU_Historical_Data__2[[#This Row],[Date]])</f>
        <v>2022</v>
      </c>
      <c r="I451" s="228">
        <f>ROUNDUP((MOD(MONTH(AVEU_Historical_Data__2[[#This Row],[Date]])+8,12)+1)/3,0)</f>
        <v>4</v>
      </c>
      <c r="J451" s="228">
        <f>MONTH(AVEU_Historical_Data__2[[#This Row],[Date]])</f>
        <v>1</v>
      </c>
      <c r="K451" s="228"/>
    </row>
    <row r="452" spans="1:11" x14ac:dyDescent="0.25">
      <c r="A452" s="227">
        <v>44585</v>
      </c>
      <c r="B452" s="228">
        <v>4035.3</v>
      </c>
      <c r="C452" s="228">
        <v>4300</v>
      </c>
      <c r="D452" s="228">
        <v>4316.8999999999996</v>
      </c>
      <c r="E452" s="228">
        <v>3978</v>
      </c>
      <c r="F452">
        <v>1130000</v>
      </c>
      <c r="G452" s="228">
        <v>-6.1499999999999999E-2</v>
      </c>
      <c r="H452" s="228">
        <f>YEAR(AVEU_Historical_Data__2[[#This Row],[Date]])</f>
        <v>2022</v>
      </c>
      <c r="I452" s="228">
        <f>ROUNDUP((MOD(MONTH(AVEU_Historical_Data__2[[#This Row],[Date]])+8,12)+1)/3,0)</f>
        <v>4</v>
      </c>
      <c r="J452" s="228">
        <f>MONTH(AVEU_Historical_Data__2[[#This Row],[Date]])</f>
        <v>1</v>
      </c>
      <c r="K452" s="228"/>
    </row>
    <row r="453" spans="1:11" x14ac:dyDescent="0.25">
      <c r="A453" s="227">
        <v>44586</v>
      </c>
      <c r="B453" s="228">
        <v>4095.45</v>
      </c>
      <c r="C453" s="228">
        <v>4025</v>
      </c>
      <c r="D453" s="228">
        <v>4120</v>
      </c>
      <c r="E453" s="228">
        <v>3881.25</v>
      </c>
      <c r="F453">
        <v>810520</v>
      </c>
      <c r="G453" s="228">
        <v>1.49E-2</v>
      </c>
      <c r="H453" s="228">
        <f>YEAR(AVEU_Historical_Data__2[[#This Row],[Date]])</f>
        <v>2022</v>
      </c>
      <c r="I453" s="228">
        <f>ROUNDUP((MOD(MONTH(AVEU_Historical_Data__2[[#This Row],[Date]])+8,12)+1)/3,0)</f>
        <v>4</v>
      </c>
      <c r="J453" s="228">
        <f>MONTH(AVEU_Historical_Data__2[[#This Row],[Date]])</f>
        <v>1</v>
      </c>
      <c r="K453" s="228"/>
    </row>
    <row r="454" spans="1:11" x14ac:dyDescent="0.25">
      <c r="A454" s="227">
        <v>44588</v>
      </c>
      <c r="B454" s="228">
        <v>4063.3</v>
      </c>
      <c r="C454" s="228">
        <v>4040</v>
      </c>
      <c r="D454" s="228">
        <v>4144.1000000000004</v>
      </c>
      <c r="E454" s="228">
        <v>3994.95</v>
      </c>
      <c r="F454">
        <v>675650</v>
      </c>
      <c r="G454" s="228">
        <v>-7.9000000000000008E-3</v>
      </c>
      <c r="H454" s="228">
        <f>YEAR(AVEU_Historical_Data__2[[#This Row],[Date]])</f>
        <v>2022</v>
      </c>
      <c r="I454" s="228">
        <f>ROUNDUP((MOD(MONTH(AVEU_Historical_Data__2[[#This Row],[Date]])+8,12)+1)/3,0)</f>
        <v>4</v>
      </c>
      <c r="J454" s="228">
        <f>MONTH(AVEU_Historical_Data__2[[#This Row],[Date]])</f>
        <v>1</v>
      </c>
      <c r="K454" s="228"/>
    </row>
    <row r="455" spans="1:11" x14ac:dyDescent="0.25">
      <c r="A455" s="227">
        <v>44589</v>
      </c>
      <c r="B455" s="228">
        <v>4076</v>
      </c>
      <c r="C455" s="228">
        <v>4130</v>
      </c>
      <c r="D455" s="228">
        <v>4150.8999999999996</v>
      </c>
      <c r="E455" s="228">
        <v>4046</v>
      </c>
      <c r="F455">
        <v>582480</v>
      </c>
      <c r="G455" s="228">
        <v>3.0999999999999999E-3</v>
      </c>
      <c r="H455" s="228">
        <f>YEAR(AVEU_Historical_Data__2[[#This Row],[Date]])</f>
        <v>2022</v>
      </c>
      <c r="I455" s="228">
        <f>ROUNDUP((MOD(MONTH(AVEU_Historical_Data__2[[#This Row],[Date]])+8,12)+1)/3,0)</f>
        <v>4</v>
      </c>
      <c r="J455" s="228">
        <f>MONTH(AVEU_Historical_Data__2[[#This Row],[Date]])</f>
        <v>1</v>
      </c>
      <c r="K455" s="228"/>
    </row>
    <row r="456" spans="1:11" x14ac:dyDescent="0.25">
      <c r="A456" s="227">
        <v>44592</v>
      </c>
      <c r="B456" s="228">
        <v>4114.3500000000004</v>
      </c>
      <c r="C456" s="228">
        <v>4140</v>
      </c>
      <c r="D456" s="228">
        <v>4171</v>
      </c>
      <c r="E456" s="228">
        <v>4092</v>
      </c>
      <c r="F456">
        <v>478100</v>
      </c>
      <c r="G456" s="228">
        <v>9.4000000000000004E-3</v>
      </c>
      <c r="H456" s="228">
        <f>YEAR(AVEU_Historical_Data__2[[#This Row],[Date]])</f>
        <v>2022</v>
      </c>
      <c r="I456" s="228">
        <f>ROUNDUP((MOD(MONTH(AVEU_Historical_Data__2[[#This Row],[Date]])+8,12)+1)/3,0)</f>
        <v>4</v>
      </c>
      <c r="J456" s="228">
        <f>MONTH(AVEU_Historical_Data__2[[#This Row],[Date]])</f>
        <v>1</v>
      </c>
      <c r="K456" s="228"/>
    </row>
    <row r="457" spans="1:11" x14ac:dyDescent="0.25">
      <c r="A457" s="227">
        <v>44593</v>
      </c>
      <c r="B457" s="228">
        <v>4225.6000000000004</v>
      </c>
      <c r="C457" s="228">
        <v>4133.2</v>
      </c>
      <c r="D457" s="228">
        <v>4278</v>
      </c>
      <c r="E457" s="228">
        <v>4092</v>
      </c>
      <c r="F457">
        <v>321740</v>
      </c>
      <c r="G457" s="228">
        <v>2.7E-2</v>
      </c>
      <c r="H457" s="228">
        <f>YEAR(AVEU_Historical_Data__2[[#This Row],[Date]])</f>
        <v>2022</v>
      </c>
      <c r="I457" s="228">
        <f>ROUNDUP((MOD(MONTH(AVEU_Historical_Data__2[[#This Row],[Date]])+8,12)+1)/3,0)</f>
        <v>4</v>
      </c>
      <c r="J457" s="228">
        <f>MONTH(AVEU_Historical_Data__2[[#This Row],[Date]])</f>
        <v>2</v>
      </c>
      <c r="K457" s="228"/>
    </row>
    <row r="458" spans="1:11" x14ac:dyDescent="0.25">
      <c r="A458" s="227">
        <v>44594</v>
      </c>
      <c r="B458" s="228">
        <v>4236.6499999999996</v>
      </c>
      <c r="C458" s="228">
        <v>4274.3</v>
      </c>
      <c r="D458" s="228">
        <v>4275</v>
      </c>
      <c r="E458" s="228">
        <v>4211</v>
      </c>
      <c r="F458">
        <v>249200</v>
      </c>
      <c r="G458" s="228">
        <v>2.5999999999999999E-3</v>
      </c>
      <c r="H458" s="228">
        <f>YEAR(AVEU_Historical_Data__2[[#This Row],[Date]])</f>
        <v>2022</v>
      </c>
      <c r="I458" s="228">
        <f>ROUNDUP((MOD(MONTH(AVEU_Historical_Data__2[[#This Row],[Date]])+8,12)+1)/3,0)</f>
        <v>4</v>
      </c>
      <c r="J458" s="228">
        <f>MONTH(AVEU_Historical_Data__2[[#This Row],[Date]])</f>
        <v>2</v>
      </c>
      <c r="K458" s="228"/>
    </row>
    <row r="459" spans="1:11" x14ac:dyDescent="0.25">
      <c r="A459" s="227">
        <v>44595</v>
      </c>
      <c r="B459" s="228">
        <v>4140</v>
      </c>
      <c r="C459" s="228">
        <v>4231.05</v>
      </c>
      <c r="D459" s="228">
        <v>4235</v>
      </c>
      <c r="E459" s="228">
        <v>4122.3500000000004</v>
      </c>
      <c r="F459">
        <v>337720</v>
      </c>
      <c r="G459" s="228">
        <v>-2.2800000000000001E-2</v>
      </c>
      <c r="H459" s="228">
        <f>YEAR(AVEU_Historical_Data__2[[#This Row],[Date]])</f>
        <v>2022</v>
      </c>
      <c r="I459" s="228">
        <f>ROUNDUP((MOD(MONTH(AVEU_Historical_Data__2[[#This Row],[Date]])+8,12)+1)/3,0)</f>
        <v>4</v>
      </c>
      <c r="J459" s="228">
        <f>MONTH(AVEU_Historical_Data__2[[#This Row],[Date]])</f>
        <v>2</v>
      </c>
      <c r="K459" s="228"/>
    </row>
    <row r="460" spans="1:11" x14ac:dyDescent="0.25">
      <c r="A460" s="227">
        <v>44596</v>
      </c>
      <c r="B460" s="228">
        <v>4081.9</v>
      </c>
      <c r="C460" s="228">
        <v>4140</v>
      </c>
      <c r="D460" s="228">
        <v>4140.2</v>
      </c>
      <c r="E460" s="228">
        <v>4075</v>
      </c>
      <c r="F460">
        <v>299980</v>
      </c>
      <c r="G460" s="228">
        <v>-1.4E-2</v>
      </c>
      <c r="H460" s="228">
        <f>YEAR(AVEU_Historical_Data__2[[#This Row],[Date]])</f>
        <v>2022</v>
      </c>
      <c r="I460" s="228">
        <f>ROUNDUP((MOD(MONTH(AVEU_Historical_Data__2[[#This Row],[Date]])+8,12)+1)/3,0)</f>
        <v>4</v>
      </c>
      <c r="J460" s="228">
        <f>MONTH(AVEU_Historical_Data__2[[#This Row],[Date]])</f>
        <v>2</v>
      </c>
      <c r="K460" s="228"/>
    </row>
    <row r="461" spans="1:11" x14ac:dyDescent="0.25">
      <c r="A461" s="227">
        <v>44599</v>
      </c>
      <c r="B461" s="228">
        <v>4073.55</v>
      </c>
      <c r="C461" s="228">
        <v>4090</v>
      </c>
      <c r="D461" s="228">
        <v>4146.8</v>
      </c>
      <c r="E461" s="228">
        <v>4045.2</v>
      </c>
      <c r="F461">
        <v>288090</v>
      </c>
      <c r="G461" s="228">
        <v>-2E-3</v>
      </c>
      <c r="H461" s="228">
        <f>YEAR(AVEU_Historical_Data__2[[#This Row],[Date]])</f>
        <v>2022</v>
      </c>
      <c r="I461" s="228">
        <f>ROUNDUP((MOD(MONTH(AVEU_Historical_Data__2[[#This Row],[Date]])+8,12)+1)/3,0)</f>
        <v>4</v>
      </c>
      <c r="J461" s="228">
        <f>MONTH(AVEU_Historical_Data__2[[#This Row],[Date]])</f>
        <v>2</v>
      </c>
      <c r="K461" s="228"/>
    </row>
    <row r="462" spans="1:11" x14ac:dyDescent="0.25">
      <c r="A462" s="227">
        <v>44600</v>
      </c>
      <c r="B462" s="228">
        <v>4015</v>
      </c>
      <c r="C462" s="228">
        <v>4098.8999999999996</v>
      </c>
      <c r="D462" s="228">
        <v>4128.95</v>
      </c>
      <c r="E462" s="228">
        <v>3995</v>
      </c>
      <c r="F462">
        <v>456870</v>
      </c>
      <c r="G462" s="228">
        <v>-1.44E-2</v>
      </c>
      <c r="H462" s="228">
        <f>YEAR(AVEU_Historical_Data__2[[#This Row],[Date]])</f>
        <v>2022</v>
      </c>
      <c r="I462" s="228">
        <f>ROUNDUP((MOD(MONTH(AVEU_Historical_Data__2[[#This Row],[Date]])+8,12)+1)/3,0)</f>
        <v>4</v>
      </c>
      <c r="J462" s="228">
        <f>MONTH(AVEU_Historical_Data__2[[#This Row],[Date]])</f>
        <v>2</v>
      </c>
      <c r="K462" s="228"/>
    </row>
    <row r="463" spans="1:11" x14ac:dyDescent="0.25">
      <c r="A463" s="227">
        <v>44601</v>
      </c>
      <c r="B463" s="228">
        <v>4002.1</v>
      </c>
      <c r="C463" s="228">
        <v>4078.7</v>
      </c>
      <c r="D463" s="228">
        <v>4078.7</v>
      </c>
      <c r="E463" s="228">
        <v>3983</v>
      </c>
      <c r="F463">
        <v>380360</v>
      </c>
      <c r="G463" s="228">
        <v>-3.2000000000000002E-3</v>
      </c>
      <c r="H463" s="228">
        <f>YEAR(AVEU_Historical_Data__2[[#This Row],[Date]])</f>
        <v>2022</v>
      </c>
      <c r="I463" s="228">
        <f>ROUNDUP((MOD(MONTH(AVEU_Historical_Data__2[[#This Row],[Date]])+8,12)+1)/3,0)</f>
        <v>4</v>
      </c>
      <c r="J463" s="228">
        <f>MONTH(AVEU_Historical_Data__2[[#This Row],[Date]])</f>
        <v>2</v>
      </c>
      <c r="K463" s="228"/>
    </row>
    <row r="464" spans="1:11" x14ac:dyDescent="0.25">
      <c r="A464" s="227">
        <v>44602</v>
      </c>
      <c r="B464" s="228">
        <v>4162.7</v>
      </c>
      <c r="C464" s="228">
        <v>4034.1</v>
      </c>
      <c r="D464" s="228">
        <v>4182</v>
      </c>
      <c r="E464" s="228">
        <v>4001</v>
      </c>
      <c r="F464">
        <v>699250</v>
      </c>
      <c r="G464" s="228">
        <v>4.0099999999999997E-2</v>
      </c>
      <c r="H464" s="228">
        <f>YEAR(AVEU_Historical_Data__2[[#This Row],[Date]])</f>
        <v>2022</v>
      </c>
      <c r="I464" s="228">
        <f>ROUNDUP((MOD(MONTH(AVEU_Historical_Data__2[[#This Row],[Date]])+8,12)+1)/3,0)</f>
        <v>4</v>
      </c>
      <c r="J464" s="228">
        <f>MONTH(AVEU_Historical_Data__2[[#This Row],[Date]])</f>
        <v>2</v>
      </c>
      <c r="K464" s="228"/>
    </row>
    <row r="465" spans="1:11" x14ac:dyDescent="0.25">
      <c r="A465" s="227">
        <v>44603</v>
      </c>
      <c r="B465" s="228">
        <v>4142.25</v>
      </c>
      <c r="C465" s="228">
        <v>4138</v>
      </c>
      <c r="D465" s="228">
        <v>4157</v>
      </c>
      <c r="E465" s="228">
        <v>4080.1</v>
      </c>
      <c r="F465">
        <v>336880</v>
      </c>
      <c r="G465" s="228">
        <v>-4.8999999999999998E-3</v>
      </c>
      <c r="H465" s="228">
        <f>YEAR(AVEU_Historical_Data__2[[#This Row],[Date]])</f>
        <v>2022</v>
      </c>
      <c r="I465" s="228">
        <f>ROUNDUP((MOD(MONTH(AVEU_Historical_Data__2[[#This Row],[Date]])+8,12)+1)/3,0)</f>
        <v>4</v>
      </c>
      <c r="J465" s="228">
        <f>MONTH(AVEU_Historical_Data__2[[#This Row],[Date]])</f>
        <v>2</v>
      </c>
      <c r="K465" s="228"/>
    </row>
    <row r="466" spans="1:11" x14ac:dyDescent="0.25">
      <c r="A466" s="227">
        <v>44606</v>
      </c>
      <c r="B466" s="228">
        <v>3979.75</v>
      </c>
      <c r="C466" s="228">
        <v>4015</v>
      </c>
      <c r="D466" s="228">
        <v>4125</v>
      </c>
      <c r="E466" s="228">
        <v>3958.05</v>
      </c>
      <c r="F466">
        <v>466100</v>
      </c>
      <c r="G466" s="228">
        <v>-3.9199999999999999E-2</v>
      </c>
      <c r="H466" s="228">
        <f>YEAR(AVEU_Historical_Data__2[[#This Row],[Date]])</f>
        <v>2022</v>
      </c>
      <c r="I466" s="228">
        <f>ROUNDUP((MOD(MONTH(AVEU_Historical_Data__2[[#This Row],[Date]])+8,12)+1)/3,0)</f>
        <v>4</v>
      </c>
      <c r="J466" s="228">
        <f>MONTH(AVEU_Historical_Data__2[[#This Row],[Date]])</f>
        <v>2</v>
      </c>
      <c r="K466" s="228"/>
    </row>
    <row r="467" spans="1:11" x14ac:dyDescent="0.25">
      <c r="A467" s="227">
        <v>44607</v>
      </c>
      <c r="B467" s="228">
        <v>4081.75</v>
      </c>
      <c r="C467" s="228">
        <v>4015</v>
      </c>
      <c r="D467" s="228">
        <v>4128.8999999999996</v>
      </c>
      <c r="E467" s="228">
        <v>3980</v>
      </c>
      <c r="F467">
        <v>377210</v>
      </c>
      <c r="G467" s="228">
        <v>2.5600000000000001E-2</v>
      </c>
      <c r="H467" s="228">
        <f>YEAR(AVEU_Historical_Data__2[[#This Row],[Date]])</f>
        <v>2022</v>
      </c>
      <c r="I467" s="228">
        <f>ROUNDUP((MOD(MONTH(AVEU_Historical_Data__2[[#This Row],[Date]])+8,12)+1)/3,0)</f>
        <v>4</v>
      </c>
      <c r="J467" s="228">
        <f>MONTH(AVEU_Historical_Data__2[[#This Row],[Date]])</f>
        <v>2</v>
      </c>
      <c r="K467" s="228"/>
    </row>
    <row r="468" spans="1:11" x14ac:dyDescent="0.25">
      <c r="A468" s="227">
        <v>44608</v>
      </c>
      <c r="B468" s="228">
        <v>4051.15</v>
      </c>
      <c r="C468" s="228">
        <v>4139.8999999999996</v>
      </c>
      <c r="D468" s="228">
        <v>4155</v>
      </c>
      <c r="E468" s="228">
        <v>4035</v>
      </c>
      <c r="F468">
        <v>313240</v>
      </c>
      <c r="G468" s="228">
        <v>-7.4999999999999997E-3</v>
      </c>
      <c r="H468" s="228">
        <f>YEAR(AVEU_Historical_Data__2[[#This Row],[Date]])</f>
        <v>2022</v>
      </c>
      <c r="I468" s="228">
        <f>ROUNDUP((MOD(MONTH(AVEU_Historical_Data__2[[#This Row],[Date]])+8,12)+1)/3,0)</f>
        <v>4</v>
      </c>
      <c r="J468" s="228">
        <f>MONTH(AVEU_Historical_Data__2[[#This Row],[Date]])</f>
        <v>2</v>
      </c>
      <c r="K468" s="228"/>
    </row>
    <row r="469" spans="1:11" x14ac:dyDescent="0.25">
      <c r="A469" s="227">
        <v>44609</v>
      </c>
      <c r="B469" s="228">
        <v>4115.3999999999996</v>
      </c>
      <c r="C469" s="228">
        <v>4095.6</v>
      </c>
      <c r="D469" s="228">
        <v>4152</v>
      </c>
      <c r="E469" s="228">
        <v>4080</v>
      </c>
      <c r="F469">
        <v>357260</v>
      </c>
      <c r="G469" s="228">
        <v>1.5900000000000001E-2</v>
      </c>
      <c r="H469" s="228">
        <f>YEAR(AVEU_Historical_Data__2[[#This Row],[Date]])</f>
        <v>2022</v>
      </c>
      <c r="I469" s="228">
        <f>ROUNDUP((MOD(MONTH(AVEU_Historical_Data__2[[#This Row],[Date]])+8,12)+1)/3,0)</f>
        <v>4</v>
      </c>
      <c r="J469" s="228">
        <f>MONTH(AVEU_Historical_Data__2[[#This Row],[Date]])</f>
        <v>2</v>
      </c>
      <c r="K469" s="228"/>
    </row>
    <row r="470" spans="1:11" x14ac:dyDescent="0.25">
      <c r="A470" s="227">
        <v>44610</v>
      </c>
      <c r="B470" s="228">
        <v>4073.1</v>
      </c>
      <c r="C470" s="228">
        <v>4098</v>
      </c>
      <c r="D470" s="228">
        <v>4121</v>
      </c>
      <c r="E470" s="228">
        <v>4056.05</v>
      </c>
      <c r="F470">
        <v>169500</v>
      </c>
      <c r="G470" s="228">
        <v>-1.03E-2</v>
      </c>
      <c r="H470" s="228">
        <f>YEAR(AVEU_Historical_Data__2[[#This Row],[Date]])</f>
        <v>2022</v>
      </c>
      <c r="I470" s="228">
        <f>ROUNDUP((MOD(MONTH(AVEU_Historical_Data__2[[#This Row],[Date]])+8,12)+1)/3,0)</f>
        <v>4</v>
      </c>
      <c r="J470" s="228">
        <f>MONTH(AVEU_Historical_Data__2[[#This Row],[Date]])</f>
        <v>2</v>
      </c>
      <c r="K470" s="228"/>
    </row>
    <row r="471" spans="1:11" x14ac:dyDescent="0.25">
      <c r="A471" s="227">
        <v>44613</v>
      </c>
      <c r="B471" s="228">
        <v>4096.6000000000004</v>
      </c>
      <c r="C471" s="228">
        <v>4048</v>
      </c>
      <c r="D471" s="228">
        <v>4170</v>
      </c>
      <c r="E471" s="228">
        <v>3990</v>
      </c>
      <c r="F471">
        <v>480540</v>
      </c>
      <c r="G471" s="228">
        <v>5.7999999999999996E-3</v>
      </c>
      <c r="H471" s="228">
        <f>YEAR(AVEU_Historical_Data__2[[#This Row],[Date]])</f>
        <v>2022</v>
      </c>
      <c r="I471" s="228">
        <f>ROUNDUP((MOD(MONTH(AVEU_Historical_Data__2[[#This Row],[Date]])+8,12)+1)/3,0)</f>
        <v>4</v>
      </c>
      <c r="J471" s="228">
        <f>MONTH(AVEU_Historical_Data__2[[#This Row],[Date]])</f>
        <v>2</v>
      </c>
      <c r="K471" s="228"/>
    </row>
    <row r="472" spans="1:11" x14ac:dyDescent="0.25">
      <c r="A472" s="227">
        <v>44614</v>
      </c>
      <c r="B472" s="228">
        <v>4157.1000000000004</v>
      </c>
      <c r="C472" s="228">
        <v>4001</v>
      </c>
      <c r="D472" s="228">
        <v>4179</v>
      </c>
      <c r="E472" s="228">
        <v>3990</v>
      </c>
      <c r="F472">
        <v>484780</v>
      </c>
      <c r="G472" s="228">
        <v>1.4800000000000001E-2</v>
      </c>
      <c r="H472" s="228">
        <f>YEAR(AVEU_Historical_Data__2[[#This Row],[Date]])</f>
        <v>2022</v>
      </c>
      <c r="I472" s="228">
        <f>ROUNDUP((MOD(MONTH(AVEU_Historical_Data__2[[#This Row],[Date]])+8,12)+1)/3,0)</f>
        <v>4</v>
      </c>
      <c r="J472" s="228">
        <f>MONTH(AVEU_Historical_Data__2[[#This Row],[Date]])</f>
        <v>2</v>
      </c>
      <c r="K472" s="228"/>
    </row>
    <row r="473" spans="1:11" x14ac:dyDescent="0.25">
      <c r="A473" s="227">
        <v>44615</v>
      </c>
      <c r="B473" s="228">
        <v>4193.45</v>
      </c>
      <c r="C473" s="228">
        <v>4165</v>
      </c>
      <c r="D473" s="228">
        <v>4217.7</v>
      </c>
      <c r="E473" s="228">
        <v>4135</v>
      </c>
      <c r="F473">
        <v>360450</v>
      </c>
      <c r="G473" s="228">
        <v>8.6999999999999994E-3</v>
      </c>
      <c r="H473" s="228">
        <f>YEAR(AVEU_Historical_Data__2[[#This Row],[Date]])</f>
        <v>2022</v>
      </c>
      <c r="I473" s="228">
        <f>ROUNDUP((MOD(MONTH(AVEU_Historical_Data__2[[#This Row],[Date]])+8,12)+1)/3,0)</f>
        <v>4</v>
      </c>
      <c r="J473" s="228">
        <f>MONTH(AVEU_Historical_Data__2[[#This Row],[Date]])</f>
        <v>2</v>
      </c>
      <c r="K473" s="228"/>
    </row>
    <row r="474" spans="1:11" x14ac:dyDescent="0.25">
      <c r="A474" s="227">
        <v>44616</v>
      </c>
      <c r="B474" s="228">
        <v>4014.65</v>
      </c>
      <c r="C474" s="228">
        <v>3993.85</v>
      </c>
      <c r="D474" s="228">
        <v>4131.95</v>
      </c>
      <c r="E474" s="228">
        <v>3947.85</v>
      </c>
      <c r="F474">
        <v>552290</v>
      </c>
      <c r="G474" s="228">
        <v>-4.2599999999999999E-2</v>
      </c>
      <c r="H474" s="228">
        <f>YEAR(AVEU_Historical_Data__2[[#This Row],[Date]])</f>
        <v>2022</v>
      </c>
      <c r="I474" s="228">
        <f>ROUNDUP((MOD(MONTH(AVEU_Historical_Data__2[[#This Row],[Date]])+8,12)+1)/3,0)</f>
        <v>4</v>
      </c>
      <c r="J474" s="228">
        <f>MONTH(AVEU_Historical_Data__2[[#This Row],[Date]])</f>
        <v>2</v>
      </c>
      <c r="K474" s="228"/>
    </row>
    <row r="475" spans="1:11" x14ac:dyDescent="0.25">
      <c r="A475" s="227">
        <v>44617</v>
      </c>
      <c r="B475" s="228">
        <v>4190.75</v>
      </c>
      <c r="C475" s="228">
        <v>4080</v>
      </c>
      <c r="D475" s="228">
        <v>4210</v>
      </c>
      <c r="E475" s="228">
        <v>4037.65</v>
      </c>
      <c r="F475">
        <v>425230</v>
      </c>
      <c r="G475" s="228">
        <v>4.3900000000000002E-2</v>
      </c>
      <c r="H475" s="228">
        <f>YEAR(AVEU_Historical_Data__2[[#This Row],[Date]])</f>
        <v>2022</v>
      </c>
      <c r="I475" s="228">
        <f>ROUNDUP((MOD(MONTH(AVEU_Historical_Data__2[[#This Row],[Date]])+8,12)+1)/3,0)</f>
        <v>4</v>
      </c>
      <c r="J475" s="228">
        <f>MONTH(AVEU_Historical_Data__2[[#This Row],[Date]])</f>
        <v>2</v>
      </c>
      <c r="K475" s="228"/>
    </row>
    <row r="476" spans="1:11" x14ac:dyDescent="0.25">
      <c r="A476" s="227">
        <v>44620</v>
      </c>
      <c r="B476" s="228">
        <v>4340.3500000000004</v>
      </c>
      <c r="C476" s="228">
        <v>4155</v>
      </c>
      <c r="D476" s="228">
        <v>4355</v>
      </c>
      <c r="E476" s="228">
        <v>4062.1</v>
      </c>
      <c r="F476">
        <v>647570</v>
      </c>
      <c r="G476" s="228">
        <v>3.5700000000000003E-2</v>
      </c>
      <c r="H476" s="228">
        <f>YEAR(AVEU_Historical_Data__2[[#This Row],[Date]])</f>
        <v>2022</v>
      </c>
      <c r="I476" s="228">
        <f>ROUNDUP((MOD(MONTH(AVEU_Historical_Data__2[[#This Row],[Date]])+8,12)+1)/3,0)</f>
        <v>4</v>
      </c>
      <c r="J476" s="228">
        <f>MONTH(AVEU_Historical_Data__2[[#This Row],[Date]])</f>
        <v>2</v>
      </c>
      <c r="K476" s="228"/>
    </row>
    <row r="477" spans="1:11" x14ac:dyDescent="0.25">
      <c r="A477" s="227">
        <v>44622</v>
      </c>
      <c r="B477" s="228">
        <v>4295.1499999999996</v>
      </c>
      <c r="C477" s="228">
        <v>4299.95</v>
      </c>
      <c r="D477" s="228">
        <v>4446.95</v>
      </c>
      <c r="E477" s="228">
        <v>4270</v>
      </c>
      <c r="F477">
        <v>479510</v>
      </c>
      <c r="G477" s="228">
        <v>-1.04E-2</v>
      </c>
      <c r="H477" s="228">
        <f>YEAR(AVEU_Historical_Data__2[[#This Row],[Date]])</f>
        <v>2022</v>
      </c>
      <c r="I477" s="228">
        <f>ROUNDUP((MOD(MONTH(AVEU_Historical_Data__2[[#This Row],[Date]])+8,12)+1)/3,0)</f>
        <v>4</v>
      </c>
      <c r="J477" s="228">
        <f>MONTH(AVEU_Historical_Data__2[[#This Row],[Date]])</f>
        <v>3</v>
      </c>
      <c r="K477" s="228"/>
    </row>
    <row r="478" spans="1:11" x14ac:dyDescent="0.25">
      <c r="A478" s="227">
        <v>44623</v>
      </c>
      <c r="B478" s="228">
        <v>4276.5</v>
      </c>
      <c r="C478" s="228">
        <v>4370</v>
      </c>
      <c r="D478" s="228">
        <v>4395</v>
      </c>
      <c r="E478" s="228">
        <v>4253.8999999999996</v>
      </c>
      <c r="F478">
        <v>303430</v>
      </c>
      <c r="G478" s="228">
        <v>-4.3E-3</v>
      </c>
      <c r="H478" s="228">
        <f>YEAR(AVEU_Historical_Data__2[[#This Row],[Date]])</f>
        <v>2022</v>
      </c>
      <c r="I478" s="228">
        <f>ROUNDUP((MOD(MONTH(AVEU_Historical_Data__2[[#This Row],[Date]])+8,12)+1)/3,0)</f>
        <v>4</v>
      </c>
      <c r="J478" s="228">
        <f>MONTH(AVEU_Historical_Data__2[[#This Row],[Date]])</f>
        <v>3</v>
      </c>
      <c r="K478" s="228"/>
    </row>
    <row r="479" spans="1:11" x14ac:dyDescent="0.25">
      <c r="A479" s="227">
        <v>44624</v>
      </c>
      <c r="B479" s="228">
        <v>4110.2</v>
      </c>
      <c r="C479" s="228">
        <v>4260.2</v>
      </c>
      <c r="D479" s="228">
        <v>4260.2</v>
      </c>
      <c r="E479" s="228">
        <v>4075.05</v>
      </c>
      <c r="F479">
        <v>437690</v>
      </c>
      <c r="G479" s="228">
        <v>-3.8899999999999997E-2</v>
      </c>
      <c r="H479" s="228">
        <f>YEAR(AVEU_Historical_Data__2[[#This Row],[Date]])</f>
        <v>2022</v>
      </c>
      <c r="I479" s="228">
        <f>ROUNDUP((MOD(MONTH(AVEU_Historical_Data__2[[#This Row],[Date]])+8,12)+1)/3,0)</f>
        <v>4</v>
      </c>
      <c r="J479" s="228">
        <f>MONTH(AVEU_Historical_Data__2[[#This Row],[Date]])</f>
        <v>3</v>
      </c>
      <c r="K479" s="228"/>
    </row>
    <row r="480" spans="1:11" x14ac:dyDescent="0.25">
      <c r="A480" s="227">
        <v>44627</v>
      </c>
      <c r="B480" s="228">
        <v>3991.65</v>
      </c>
      <c r="C480" s="228">
        <v>4001</v>
      </c>
      <c r="D480" s="228">
        <v>4175</v>
      </c>
      <c r="E480" s="228">
        <v>3970.8</v>
      </c>
      <c r="F480">
        <v>694630</v>
      </c>
      <c r="G480" s="228">
        <v>-2.8799999999999999E-2</v>
      </c>
      <c r="H480" s="228">
        <f>YEAR(AVEU_Historical_Data__2[[#This Row],[Date]])</f>
        <v>2022</v>
      </c>
      <c r="I480" s="228">
        <f>ROUNDUP((MOD(MONTH(AVEU_Historical_Data__2[[#This Row],[Date]])+8,12)+1)/3,0)</f>
        <v>4</v>
      </c>
      <c r="J480" s="228">
        <f>MONTH(AVEU_Historical_Data__2[[#This Row],[Date]])</f>
        <v>3</v>
      </c>
      <c r="K480" s="228"/>
    </row>
    <row r="481" spans="1:11" x14ac:dyDescent="0.25">
      <c r="A481" s="227">
        <v>44628</v>
      </c>
      <c r="B481" s="228">
        <v>4124</v>
      </c>
      <c r="C481" s="228">
        <v>4016</v>
      </c>
      <c r="D481" s="228">
        <v>4160</v>
      </c>
      <c r="E481" s="228">
        <v>3992.4</v>
      </c>
      <c r="F481">
        <v>713000</v>
      </c>
      <c r="G481" s="228">
        <v>3.32E-2</v>
      </c>
      <c r="H481" s="228">
        <f>YEAR(AVEU_Historical_Data__2[[#This Row],[Date]])</f>
        <v>2022</v>
      </c>
      <c r="I481" s="228">
        <f>ROUNDUP((MOD(MONTH(AVEU_Historical_Data__2[[#This Row],[Date]])+8,12)+1)/3,0)</f>
        <v>4</v>
      </c>
      <c r="J481" s="228">
        <f>MONTH(AVEU_Historical_Data__2[[#This Row],[Date]])</f>
        <v>3</v>
      </c>
      <c r="K481" s="228"/>
    </row>
    <row r="482" spans="1:11" x14ac:dyDescent="0.25">
      <c r="A482" s="227">
        <v>44629</v>
      </c>
      <c r="B482" s="228">
        <v>4096.7</v>
      </c>
      <c r="C482" s="228">
        <v>4155</v>
      </c>
      <c r="D482" s="228">
        <v>4172.8999999999996</v>
      </c>
      <c r="E482" s="228">
        <v>4071.1</v>
      </c>
      <c r="F482">
        <v>395070</v>
      </c>
      <c r="G482" s="228">
        <v>-6.6E-3</v>
      </c>
      <c r="H482" s="228">
        <f>YEAR(AVEU_Historical_Data__2[[#This Row],[Date]])</f>
        <v>2022</v>
      </c>
      <c r="I482" s="228">
        <f>ROUNDUP((MOD(MONTH(AVEU_Historical_Data__2[[#This Row],[Date]])+8,12)+1)/3,0)</f>
        <v>4</v>
      </c>
      <c r="J482" s="228">
        <f>MONTH(AVEU_Historical_Data__2[[#This Row],[Date]])</f>
        <v>3</v>
      </c>
      <c r="K482" s="228"/>
    </row>
    <row r="483" spans="1:11" x14ac:dyDescent="0.25">
      <c r="A483" s="227">
        <v>44630</v>
      </c>
      <c r="B483" s="228">
        <v>4168.6000000000004</v>
      </c>
      <c r="C483" s="228">
        <v>4210</v>
      </c>
      <c r="D483" s="228">
        <v>4239.8999999999996</v>
      </c>
      <c r="E483" s="228">
        <v>4142.3</v>
      </c>
      <c r="F483">
        <v>439780</v>
      </c>
      <c r="G483" s="228">
        <v>1.7600000000000001E-2</v>
      </c>
      <c r="H483" s="228">
        <f>YEAR(AVEU_Historical_Data__2[[#This Row],[Date]])</f>
        <v>2022</v>
      </c>
      <c r="I483" s="228">
        <f>ROUNDUP((MOD(MONTH(AVEU_Historical_Data__2[[#This Row],[Date]])+8,12)+1)/3,0)</f>
        <v>4</v>
      </c>
      <c r="J483" s="228">
        <f>MONTH(AVEU_Historical_Data__2[[#This Row],[Date]])</f>
        <v>3</v>
      </c>
      <c r="K483" s="228"/>
    </row>
    <row r="484" spans="1:11" x14ac:dyDescent="0.25">
      <c r="A484" s="227">
        <v>44631</v>
      </c>
      <c r="B484" s="228">
        <v>4198.95</v>
      </c>
      <c r="C484" s="228">
        <v>4167</v>
      </c>
      <c r="D484" s="228">
        <v>4210</v>
      </c>
      <c r="E484" s="228">
        <v>4109.25</v>
      </c>
      <c r="F484">
        <v>387530</v>
      </c>
      <c r="G484" s="228">
        <v>7.3000000000000001E-3</v>
      </c>
      <c r="H484" s="228">
        <f>YEAR(AVEU_Historical_Data__2[[#This Row],[Date]])</f>
        <v>2022</v>
      </c>
      <c r="I484" s="228">
        <f>ROUNDUP((MOD(MONTH(AVEU_Historical_Data__2[[#This Row],[Date]])+8,12)+1)/3,0)</f>
        <v>4</v>
      </c>
      <c r="J484" s="228">
        <f>MONTH(AVEU_Historical_Data__2[[#This Row],[Date]])</f>
        <v>3</v>
      </c>
      <c r="K484" s="228"/>
    </row>
    <row r="485" spans="1:11" x14ac:dyDescent="0.25">
      <c r="A485" s="227">
        <v>44634</v>
      </c>
      <c r="B485" s="228">
        <v>4168.25</v>
      </c>
      <c r="C485" s="228">
        <v>4190</v>
      </c>
      <c r="D485" s="228">
        <v>4218</v>
      </c>
      <c r="E485" s="228">
        <v>4150</v>
      </c>
      <c r="F485">
        <v>305330</v>
      </c>
      <c r="G485" s="228">
        <v>-7.3000000000000001E-3</v>
      </c>
      <c r="H485" s="228">
        <f>YEAR(AVEU_Historical_Data__2[[#This Row],[Date]])</f>
        <v>2022</v>
      </c>
      <c r="I485" s="228">
        <f>ROUNDUP((MOD(MONTH(AVEU_Historical_Data__2[[#This Row],[Date]])+8,12)+1)/3,0)</f>
        <v>4</v>
      </c>
      <c r="J485" s="228">
        <f>MONTH(AVEU_Historical_Data__2[[#This Row],[Date]])</f>
        <v>3</v>
      </c>
      <c r="K485" s="228"/>
    </row>
    <row r="486" spans="1:11" x14ac:dyDescent="0.25">
      <c r="A486" s="227">
        <v>44635</v>
      </c>
      <c r="B486" s="228">
        <v>4231.05</v>
      </c>
      <c r="C486" s="228">
        <v>4191</v>
      </c>
      <c r="D486" s="228">
        <v>4251</v>
      </c>
      <c r="E486" s="228">
        <v>4171.75</v>
      </c>
      <c r="F486">
        <v>560820</v>
      </c>
      <c r="G486" s="228">
        <v>1.5100000000000001E-2</v>
      </c>
      <c r="H486" s="228">
        <f>YEAR(AVEU_Historical_Data__2[[#This Row],[Date]])</f>
        <v>2022</v>
      </c>
      <c r="I486" s="228">
        <f>ROUNDUP((MOD(MONTH(AVEU_Historical_Data__2[[#This Row],[Date]])+8,12)+1)/3,0)</f>
        <v>4</v>
      </c>
      <c r="J486" s="228">
        <f>MONTH(AVEU_Historical_Data__2[[#This Row],[Date]])</f>
        <v>3</v>
      </c>
      <c r="K486" s="228"/>
    </row>
    <row r="487" spans="1:11" x14ac:dyDescent="0.25">
      <c r="A487" s="227">
        <v>44636</v>
      </c>
      <c r="B487" s="228">
        <v>4169.55</v>
      </c>
      <c r="C487" s="228">
        <v>4229.75</v>
      </c>
      <c r="D487" s="228">
        <v>4243.6000000000004</v>
      </c>
      <c r="E487" s="228">
        <v>4153</v>
      </c>
      <c r="F487">
        <v>470360</v>
      </c>
      <c r="G487" s="228">
        <v>-1.4500000000000001E-2</v>
      </c>
      <c r="H487" s="228">
        <f>YEAR(AVEU_Historical_Data__2[[#This Row],[Date]])</f>
        <v>2022</v>
      </c>
      <c r="I487" s="228">
        <f>ROUNDUP((MOD(MONTH(AVEU_Historical_Data__2[[#This Row],[Date]])+8,12)+1)/3,0)</f>
        <v>4</v>
      </c>
      <c r="J487" s="228">
        <f>MONTH(AVEU_Historical_Data__2[[#This Row],[Date]])</f>
        <v>3</v>
      </c>
      <c r="K487" s="228"/>
    </row>
    <row r="488" spans="1:11" x14ac:dyDescent="0.25">
      <c r="A488" s="227">
        <v>44637</v>
      </c>
      <c r="B488" s="228">
        <v>4192.75</v>
      </c>
      <c r="C488" s="228">
        <v>4218</v>
      </c>
      <c r="D488" s="228">
        <v>4239</v>
      </c>
      <c r="E488" s="228">
        <v>4166.1000000000004</v>
      </c>
      <c r="F488">
        <v>608020</v>
      </c>
      <c r="G488" s="228">
        <v>5.5999999999999999E-3</v>
      </c>
      <c r="H488" s="228">
        <f>YEAR(AVEU_Historical_Data__2[[#This Row],[Date]])</f>
        <v>2022</v>
      </c>
      <c r="I488" s="228">
        <f>ROUNDUP((MOD(MONTH(AVEU_Historical_Data__2[[#This Row],[Date]])+8,12)+1)/3,0)</f>
        <v>4</v>
      </c>
      <c r="J488" s="228">
        <f>MONTH(AVEU_Historical_Data__2[[#This Row],[Date]])</f>
        <v>3</v>
      </c>
      <c r="K488" s="228"/>
    </row>
    <row r="489" spans="1:11" x14ac:dyDescent="0.25">
      <c r="A489" s="227">
        <v>44641</v>
      </c>
      <c r="B489" s="228">
        <v>4095.2</v>
      </c>
      <c r="C489" s="228">
        <v>4217</v>
      </c>
      <c r="D489" s="228">
        <v>4217</v>
      </c>
      <c r="E489" s="228">
        <v>4080.6</v>
      </c>
      <c r="F489">
        <v>370640</v>
      </c>
      <c r="G489" s="228">
        <v>-2.3300000000000001E-2</v>
      </c>
      <c r="H489" s="228">
        <f>YEAR(AVEU_Historical_Data__2[[#This Row],[Date]])</f>
        <v>2022</v>
      </c>
      <c r="I489" s="228">
        <f>ROUNDUP((MOD(MONTH(AVEU_Historical_Data__2[[#This Row],[Date]])+8,12)+1)/3,0)</f>
        <v>4</v>
      </c>
      <c r="J489" s="228">
        <f>MONTH(AVEU_Historical_Data__2[[#This Row],[Date]])</f>
        <v>3</v>
      </c>
      <c r="K489" s="228"/>
    </row>
    <row r="490" spans="1:11" x14ac:dyDescent="0.25">
      <c r="A490" s="227">
        <v>44642</v>
      </c>
      <c r="B490" s="228">
        <v>4054</v>
      </c>
      <c r="C490" s="228">
        <v>4129</v>
      </c>
      <c r="D490" s="228">
        <v>4129</v>
      </c>
      <c r="E490" s="228">
        <v>4031</v>
      </c>
      <c r="F490">
        <v>396900</v>
      </c>
      <c r="G490" s="228">
        <v>-1.01E-2</v>
      </c>
      <c r="H490" s="228">
        <f>YEAR(AVEU_Historical_Data__2[[#This Row],[Date]])</f>
        <v>2022</v>
      </c>
      <c r="I490" s="228">
        <f>ROUNDUP((MOD(MONTH(AVEU_Historical_Data__2[[#This Row],[Date]])+8,12)+1)/3,0)</f>
        <v>4</v>
      </c>
      <c r="J490" s="228">
        <f>MONTH(AVEU_Historical_Data__2[[#This Row],[Date]])</f>
        <v>3</v>
      </c>
      <c r="K490" s="228"/>
    </row>
    <row r="491" spans="1:11" x14ac:dyDescent="0.25">
      <c r="A491" s="227">
        <v>44643</v>
      </c>
      <c r="B491" s="228">
        <v>4091.35</v>
      </c>
      <c r="C491" s="228">
        <v>4085.7</v>
      </c>
      <c r="D491" s="228">
        <v>4119</v>
      </c>
      <c r="E491" s="228">
        <v>4064.6</v>
      </c>
      <c r="F491">
        <v>285640</v>
      </c>
      <c r="G491" s="228">
        <v>9.1999999999999998E-3</v>
      </c>
      <c r="H491" s="228">
        <f>YEAR(AVEU_Historical_Data__2[[#This Row],[Date]])</f>
        <v>2022</v>
      </c>
      <c r="I491" s="228">
        <f>ROUNDUP((MOD(MONTH(AVEU_Historical_Data__2[[#This Row],[Date]])+8,12)+1)/3,0)</f>
        <v>4</v>
      </c>
      <c r="J491" s="228">
        <f>MONTH(AVEU_Historical_Data__2[[#This Row],[Date]])</f>
        <v>3</v>
      </c>
      <c r="K491" s="228"/>
    </row>
    <row r="492" spans="1:11" x14ac:dyDescent="0.25">
      <c r="A492" s="227">
        <v>44644</v>
      </c>
      <c r="B492" s="228">
        <v>4042.85</v>
      </c>
      <c r="C492" s="228">
        <v>4086.25</v>
      </c>
      <c r="D492" s="228">
        <v>4086.25</v>
      </c>
      <c r="E492" s="228">
        <v>4031.55</v>
      </c>
      <c r="F492">
        <v>374570</v>
      </c>
      <c r="G492" s="228">
        <v>-1.1900000000000001E-2</v>
      </c>
      <c r="H492" s="228">
        <f>YEAR(AVEU_Historical_Data__2[[#This Row],[Date]])</f>
        <v>2022</v>
      </c>
      <c r="I492" s="228">
        <f>ROUNDUP((MOD(MONTH(AVEU_Historical_Data__2[[#This Row],[Date]])+8,12)+1)/3,0)</f>
        <v>4</v>
      </c>
      <c r="J492" s="228">
        <f>MONTH(AVEU_Historical_Data__2[[#This Row],[Date]])</f>
        <v>3</v>
      </c>
      <c r="K492" s="228"/>
    </row>
    <row r="493" spans="1:11" x14ac:dyDescent="0.25">
      <c r="A493" s="227">
        <v>44645</v>
      </c>
      <c r="B493" s="228">
        <v>4001.3</v>
      </c>
      <c r="C493" s="228">
        <v>4069</v>
      </c>
      <c r="D493" s="228">
        <v>4069</v>
      </c>
      <c r="E493" s="228">
        <v>3995</v>
      </c>
      <c r="F493">
        <v>440560</v>
      </c>
      <c r="G493" s="228">
        <v>-1.03E-2</v>
      </c>
      <c r="H493" s="228">
        <f>YEAR(AVEU_Historical_Data__2[[#This Row],[Date]])</f>
        <v>2022</v>
      </c>
      <c r="I493" s="228">
        <f>ROUNDUP((MOD(MONTH(AVEU_Historical_Data__2[[#This Row],[Date]])+8,12)+1)/3,0)</f>
        <v>4</v>
      </c>
      <c r="J493" s="228">
        <f>MONTH(AVEU_Historical_Data__2[[#This Row],[Date]])</f>
        <v>3</v>
      </c>
      <c r="K493" s="228"/>
    </row>
    <row r="494" spans="1:11" x14ac:dyDescent="0.25">
      <c r="A494" s="227">
        <v>44648</v>
      </c>
      <c r="B494" s="228">
        <v>4010.05</v>
      </c>
      <c r="C494" s="228">
        <v>4005.15</v>
      </c>
      <c r="D494" s="228">
        <v>4021</v>
      </c>
      <c r="E494" s="228">
        <v>3975.05</v>
      </c>
      <c r="F494">
        <v>428030</v>
      </c>
      <c r="G494" s="228">
        <v>2.2000000000000001E-3</v>
      </c>
      <c r="H494" s="228">
        <f>YEAR(AVEU_Historical_Data__2[[#This Row],[Date]])</f>
        <v>2022</v>
      </c>
      <c r="I494" s="228">
        <f>ROUNDUP((MOD(MONTH(AVEU_Historical_Data__2[[#This Row],[Date]])+8,12)+1)/3,0)</f>
        <v>4</v>
      </c>
      <c r="J494" s="228">
        <f>MONTH(AVEU_Historical_Data__2[[#This Row],[Date]])</f>
        <v>3</v>
      </c>
      <c r="K494" s="228"/>
    </row>
    <row r="495" spans="1:11" x14ac:dyDescent="0.25">
      <c r="A495" s="227">
        <v>44649</v>
      </c>
      <c r="B495" s="228">
        <v>4006.1</v>
      </c>
      <c r="C495" s="228">
        <v>4010.05</v>
      </c>
      <c r="D495" s="228">
        <v>4037.8</v>
      </c>
      <c r="E495" s="228">
        <v>3985</v>
      </c>
      <c r="F495">
        <v>397610</v>
      </c>
      <c r="G495" s="228">
        <v>-1E-3</v>
      </c>
      <c r="H495" s="228">
        <f>YEAR(AVEU_Historical_Data__2[[#This Row],[Date]])</f>
        <v>2022</v>
      </c>
      <c r="I495" s="228">
        <f>ROUNDUP((MOD(MONTH(AVEU_Historical_Data__2[[#This Row],[Date]])+8,12)+1)/3,0)</f>
        <v>4</v>
      </c>
      <c r="J495" s="228">
        <f>MONTH(AVEU_Historical_Data__2[[#This Row],[Date]])</f>
        <v>3</v>
      </c>
      <c r="K495" s="228"/>
    </row>
    <row r="496" spans="1:11" x14ac:dyDescent="0.25">
      <c r="A496" s="227">
        <v>44650</v>
      </c>
      <c r="B496" s="228">
        <v>3973.4</v>
      </c>
      <c r="C496" s="228">
        <v>4025</v>
      </c>
      <c r="D496" s="228">
        <v>4084</v>
      </c>
      <c r="E496" s="228">
        <v>3945</v>
      </c>
      <c r="F496">
        <v>580730</v>
      </c>
      <c r="G496" s="228">
        <v>-8.2000000000000007E-3</v>
      </c>
      <c r="H496" s="228">
        <f>YEAR(AVEU_Historical_Data__2[[#This Row],[Date]])</f>
        <v>2022</v>
      </c>
      <c r="I496" s="228">
        <f>ROUNDUP((MOD(MONTH(AVEU_Historical_Data__2[[#This Row],[Date]])+8,12)+1)/3,0)</f>
        <v>4</v>
      </c>
      <c r="J496" s="228">
        <f>MONTH(AVEU_Historical_Data__2[[#This Row],[Date]])</f>
        <v>3</v>
      </c>
      <c r="K496" s="228"/>
    </row>
    <row r="497" spans="1:11" x14ac:dyDescent="0.25">
      <c r="A497" s="227">
        <v>44651</v>
      </c>
      <c r="B497" s="228">
        <v>4003.35</v>
      </c>
      <c r="C497" s="228">
        <v>4028</v>
      </c>
      <c r="D497" s="228">
        <v>4040</v>
      </c>
      <c r="E497" s="228">
        <v>3983.05</v>
      </c>
      <c r="F497">
        <v>492440</v>
      </c>
      <c r="G497" s="228">
        <v>7.4999999999999997E-3</v>
      </c>
      <c r="H497" s="228">
        <f>YEAR(AVEU_Historical_Data__2[[#This Row],[Date]])</f>
        <v>2022</v>
      </c>
      <c r="I497" s="228">
        <f>ROUNDUP((MOD(MONTH(AVEU_Historical_Data__2[[#This Row],[Date]])+8,12)+1)/3,0)</f>
        <v>4</v>
      </c>
      <c r="J497" s="228">
        <f>MONTH(AVEU_Historical_Data__2[[#This Row],[Date]])</f>
        <v>3</v>
      </c>
      <c r="K497" s="228"/>
    </row>
    <row r="498" spans="1:11" x14ac:dyDescent="0.25">
      <c r="A498" s="227">
        <v>44652</v>
      </c>
      <c r="B498" s="228">
        <v>4082.2</v>
      </c>
      <c r="C498" s="228">
        <v>4013</v>
      </c>
      <c r="D498" s="228">
        <v>4093</v>
      </c>
      <c r="E498" s="228">
        <v>4000</v>
      </c>
      <c r="F498">
        <v>416600</v>
      </c>
      <c r="G498" s="228">
        <v>1.9699999999999999E-2</v>
      </c>
      <c r="H498" s="228">
        <f>YEAR(AVEU_Historical_Data__2[[#This Row],[Date]])</f>
        <v>2022</v>
      </c>
      <c r="I498" s="228">
        <f>ROUNDUP((MOD(MONTH(AVEU_Historical_Data__2[[#This Row],[Date]])+8,12)+1)/3,0)</f>
        <v>1</v>
      </c>
      <c r="J498" s="228">
        <f>MONTH(AVEU_Historical_Data__2[[#This Row],[Date]])</f>
        <v>4</v>
      </c>
      <c r="K498" s="228"/>
    </row>
    <row r="499" spans="1:11" x14ac:dyDescent="0.25">
      <c r="A499" s="227">
        <v>44655</v>
      </c>
      <c r="B499" s="228">
        <v>4106.6499999999996</v>
      </c>
      <c r="C499" s="228">
        <v>4120</v>
      </c>
      <c r="D499" s="228">
        <v>4150</v>
      </c>
      <c r="E499" s="228">
        <v>4076.15</v>
      </c>
      <c r="F499">
        <v>438580</v>
      </c>
      <c r="G499" s="228">
        <v>6.0000000000000001E-3</v>
      </c>
      <c r="H499" s="228">
        <f>YEAR(AVEU_Historical_Data__2[[#This Row],[Date]])</f>
        <v>2022</v>
      </c>
      <c r="I499" s="228">
        <f>ROUNDUP((MOD(MONTH(AVEU_Historical_Data__2[[#This Row],[Date]])+8,12)+1)/3,0)</f>
        <v>1</v>
      </c>
      <c r="J499" s="228">
        <f>MONTH(AVEU_Historical_Data__2[[#This Row],[Date]])</f>
        <v>4</v>
      </c>
      <c r="K499" s="228"/>
    </row>
    <row r="500" spans="1:11" x14ac:dyDescent="0.25">
      <c r="A500" s="227">
        <v>44656</v>
      </c>
      <c r="B500" s="228">
        <v>4109.7</v>
      </c>
      <c r="C500" s="228">
        <v>4138.75</v>
      </c>
      <c r="D500" s="228">
        <v>4148</v>
      </c>
      <c r="E500" s="228">
        <v>4100</v>
      </c>
      <c r="F500">
        <v>277250</v>
      </c>
      <c r="G500" s="228">
        <v>6.9999999999999999E-4</v>
      </c>
      <c r="H500" s="228">
        <f>YEAR(AVEU_Historical_Data__2[[#This Row],[Date]])</f>
        <v>2022</v>
      </c>
      <c r="I500" s="228">
        <f>ROUNDUP((MOD(MONTH(AVEU_Historical_Data__2[[#This Row],[Date]])+8,12)+1)/3,0)</f>
        <v>1</v>
      </c>
      <c r="J500" s="228">
        <f>MONTH(AVEU_Historical_Data__2[[#This Row],[Date]])</f>
        <v>4</v>
      </c>
      <c r="K500" s="228"/>
    </row>
    <row r="501" spans="1:11" x14ac:dyDescent="0.25">
      <c r="A501" s="227">
        <v>44657</v>
      </c>
      <c r="B501" s="228">
        <v>4101.8999999999996</v>
      </c>
      <c r="C501" s="228">
        <v>4090</v>
      </c>
      <c r="D501" s="228">
        <v>4139.8</v>
      </c>
      <c r="E501" s="228">
        <v>4085.6</v>
      </c>
      <c r="F501">
        <v>218180</v>
      </c>
      <c r="G501" s="228">
        <v>-1.9E-3</v>
      </c>
      <c r="H501" s="228">
        <f>YEAR(AVEU_Historical_Data__2[[#This Row],[Date]])</f>
        <v>2022</v>
      </c>
      <c r="I501" s="228">
        <f>ROUNDUP((MOD(MONTH(AVEU_Historical_Data__2[[#This Row],[Date]])+8,12)+1)/3,0)</f>
        <v>1</v>
      </c>
      <c r="J501" s="228">
        <f>MONTH(AVEU_Historical_Data__2[[#This Row],[Date]])</f>
        <v>4</v>
      </c>
      <c r="K501" s="228"/>
    </row>
    <row r="502" spans="1:11" x14ac:dyDescent="0.25">
      <c r="A502" s="227">
        <v>44658</v>
      </c>
      <c r="B502" s="228">
        <v>4159.7</v>
      </c>
      <c r="C502" s="228">
        <v>4099.8999999999996</v>
      </c>
      <c r="D502" s="228">
        <v>4244</v>
      </c>
      <c r="E502" s="228">
        <v>4092</v>
      </c>
      <c r="F502">
        <v>979780</v>
      </c>
      <c r="G502" s="228">
        <v>1.41E-2</v>
      </c>
      <c r="H502" s="228">
        <f>YEAR(AVEU_Historical_Data__2[[#This Row],[Date]])</f>
        <v>2022</v>
      </c>
      <c r="I502" s="228">
        <f>ROUNDUP((MOD(MONTH(AVEU_Historical_Data__2[[#This Row],[Date]])+8,12)+1)/3,0)</f>
        <v>1</v>
      </c>
      <c r="J502" s="228">
        <f>MONTH(AVEU_Historical_Data__2[[#This Row],[Date]])</f>
        <v>4</v>
      </c>
      <c r="K502" s="228"/>
    </row>
    <row r="503" spans="1:11" x14ac:dyDescent="0.25">
      <c r="A503" s="227">
        <v>44659</v>
      </c>
      <c r="B503" s="228">
        <v>4146.25</v>
      </c>
      <c r="C503" s="228">
        <v>4165</v>
      </c>
      <c r="D503" s="228">
        <v>4208</v>
      </c>
      <c r="E503" s="228">
        <v>4118</v>
      </c>
      <c r="F503">
        <v>358040</v>
      </c>
      <c r="G503" s="228">
        <v>-3.2000000000000002E-3</v>
      </c>
      <c r="H503" s="228">
        <f>YEAR(AVEU_Historical_Data__2[[#This Row],[Date]])</f>
        <v>2022</v>
      </c>
      <c r="I503" s="228">
        <f>ROUNDUP((MOD(MONTH(AVEU_Historical_Data__2[[#This Row],[Date]])+8,12)+1)/3,0)</f>
        <v>1</v>
      </c>
      <c r="J503" s="228">
        <f>MONTH(AVEU_Historical_Data__2[[#This Row],[Date]])</f>
        <v>4</v>
      </c>
      <c r="K503" s="228"/>
    </row>
    <row r="504" spans="1:11" x14ac:dyDescent="0.25">
      <c r="A504" s="227">
        <v>44662</v>
      </c>
      <c r="B504" s="228">
        <v>4171.6000000000004</v>
      </c>
      <c r="C504" s="228">
        <v>4136.8</v>
      </c>
      <c r="D504" s="228">
        <v>4200</v>
      </c>
      <c r="E504" s="228">
        <v>4130.05</v>
      </c>
      <c r="F504">
        <v>202940</v>
      </c>
      <c r="G504" s="228">
        <v>6.1000000000000004E-3</v>
      </c>
      <c r="H504" s="228">
        <f>YEAR(AVEU_Historical_Data__2[[#This Row],[Date]])</f>
        <v>2022</v>
      </c>
      <c r="I504" s="228">
        <f>ROUNDUP((MOD(MONTH(AVEU_Historical_Data__2[[#This Row],[Date]])+8,12)+1)/3,0)</f>
        <v>1</v>
      </c>
      <c r="J504" s="228">
        <f>MONTH(AVEU_Historical_Data__2[[#This Row],[Date]])</f>
        <v>4</v>
      </c>
      <c r="K504" s="228"/>
    </row>
    <row r="505" spans="1:11" x14ac:dyDescent="0.25">
      <c r="A505" s="227">
        <v>44663</v>
      </c>
      <c r="B505" s="228">
        <v>4088.7</v>
      </c>
      <c r="C505" s="228">
        <v>4174.95</v>
      </c>
      <c r="D505" s="228">
        <v>4174.95</v>
      </c>
      <c r="E505" s="228">
        <v>4075</v>
      </c>
      <c r="F505">
        <v>228550</v>
      </c>
      <c r="G505" s="228">
        <v>-1.9900000000000001E-2</v>
      </c>
      <c r="H505" s="228">
        <f>YEAR(AVEU_Historical_Data__2[[#This Row],[Date]])</f>
        <v>2022</v>
      </c>
      <c r="I505" s="228">
        <f>ROUNDUP((MOD(MONTH(AVEU_Historical_Data__2[[#This Row],[Date]])+8,12)+1)/3,0)</f>
        <v>1</v>
      </c>
      <c r="J505" s="228">
        <f>MONTH(AVEU_Historical_Data__2[[#This Row],[Date]])</f>
        <v>4</v>
      </c>
      <c r="K505" s="228"/>
    </row>
    <row r="506" spans="1:11" x14ac:dyDescent="0.25">
      <c r="A506" s="227">
        <v>44664</v>
      </c>
      <c r="B506" s="228">
        <v>4090.9</v>
      </c>
      <c r="C506" s="228">
        <v>4101</v>
      </c>
      <c r="D506" s="228">
        <v>4117.95</v>
      </c>
      <c r="E506" s="228">
        <v>4081.7</v>
      </c>
      <c r="F506">
        <v>157520</v>
      </c>
      <c r="G506" s="228">
        <v>5.0000000000000001E-4</v>
      </c>
      <c r="H506" s="228">
        <f>YEAR(AVEU_Historical_Data__2[[#This Row],[Date]])</f>
        <v>2022</v>
      </c>
      <c r="I506" s="228">
        <f>ROUNDUP((MOD(MONTH(AVEU_Historical_Data__2[[#This Row],[Date]])+8,12)+1)/3,0)</f>
        <v>1</v>
      </c>
      <c r="J506" s="228">
        <f>MONTH(AVEU_Historical_Data__2[[#This Row],[Date]])</f>
        <v>4</v>
      </c>
      <c r="K506" s="228"/>
    </row>
    <row r="507" spans="1:11" x14ac:dyDescent="0.25">
      <c r="A507" s="227">
        <v>44669</v>
      </c>
      <c r="B507" s="228">
        <v>4056</v>
      </c>
      <c r="C507" s="228">
        <v>4065</v>
      </c>
      <c r="D507" s="228">
        <v>4079</v>
      </c>
      <c r="E507" s="228">
        <v>4009</v>
      </c>
      <c r="F507">
        <v>193900</v>
      </c>
      <c r="G507" s="228">
        <v>-8.5000000000000006E-3</v>
      </c>
      <c r="H507" s="228">
        <f>YEAR(AVEU_Historical_Data__2[[#This Row],[Date]])</f>
        <v>2022</v>
      </c>
      <c r="I507" s="228">
        <f>ROUNDUP((MOD(MONTH(AVEU_Historical_Data__2[[#This Row],[Date]])+8,12)+1)/3,0)</f>
        <v>1</v>
      </c>
      <c r="J507" s="228">
        <f>MONTH(AVEU_Historical_Data__2[[#This Row],[Date]])</f>
        <v>4</v>
      </c>
      <c r="K507" s="228"/>
    </row>
    <row r="508" spans="1:11" x14ac:dyDescent="0.25">
      <c r="A508" s="227">
        <v>44670</v>
      </c>
      <c r="B508" s="228">
        <v>4008.9</v>
      </c>
      <c r="C508" s="228">
        <v>4089.9</v>
      </c>
      <c r="D508" s="228">
        <v>4131.8999999999996</v>
      </c>
      <c r="E508" s="228">
        <v>3975</v>
      </c>
      <c r="F508">
        <v>222200</v>
      </c>
      <c r="G508" s="228">
        <v>-1.1599999999999999E-2</v>
      </c>
      <c r="H508" s="228">
        <f>YEAR(AVEU_Historical_Data__2[[#This Row],[Date]])</f>
        <v>2022</v>
      </c>
      <c r="I508" s="228">
        <f>ROUNDUP((MOD(MONTH(AVEU_Historical_Data__2[[#This Row],[Date]])+8,12)+1)/3,0)</f>
        <v>1</v>
      </c>
      <c r="J508" s="228">
        <f>MONTH(AVEU_Historical_Data__2[[#This Row],[Date]])</f>
        <v>4</v>
      </c>
      <c r="K508" s="228"/>
    </row>
    <row r="509" spans="1:11" x14ac:dyDescent="0.25">
      <c r="A509" s="227">
        <v>44671</v>
      </c>
      <c r="B509" s="228">
        <v>4054.8</v>
      </c>
      <c r="C509" s="228">
        <v>4026</v>
      </c>
      <c r="D509" s="228">
        <v>4065</v>
      </c>
      <c r="E509" s="228">
        <v>4000</v>
      </c>
      <c r="F509">
        <v>222820</v>
      </c>
      <c r="G509" s="228">
        <v>1.14E-2</v>
      </c>
      <c r="H509" s="228">
        <f>YEAR(AVEU_Historical_Data__2[[#This Row],[Date]])</f>
        <v>2022</v>
      </c>
      <c r="I509" s="228">
        <f>ROUNDUP((MOD(MONTH(AVEU_Historical_Data__2[[#This Row],[Date]])+8,12)+1)/3,0)</f>
        <v>1</v>
      </c>
      <c r="J509" s="228">
        <f>MONTH(AVEU_Historical_Data__2[[#This Row],[Date]])</f>
        <v>4</v>
      </c>
      <c r="K509" s="228"/>
    </row>
    <row r="510" spans="1:11" x14ac:dyDescent="0.25">
      <c r="A510" s="227">
        <v>44672</v>
      </c>
      <c r="B510" s="228">
        <v>4030.25</v>
      </c>
      <c r="C510" s="228">
        <v>4075</v>
      </c>
      <c r="D510" s="228">
        <v>4080</v>
      </c>
      <c r="E510" s="228">
        <v>4015</v>
      </c>
      <c r="F510">
        <v>209200</v>
      </c>
      <c r="G510" s="228">
        <v>-6.1000000000000004E-3</v>
      </c>
      <c r="H510" s="228">
        <f>YEAR(AVEU_Historical_Data__2[[#This Row],[Date]])</f>
        <v>2022</v>
      </c>
      <c r="I510" s="228">
        <f>ROUNDUP((MOD(MONTH(AVEU_Historical_Data__2[[#This Row],[Date]])+8,12)+1)/3,0)</f>
        <v>1</v>
      </c>
      <c r="J510" s="228">
        <f>MONTH(AVEU_Historical_Data__2[[#This Row],[Date]])</f>
        <v>4</v>
      </c>
      <c r="K510" s="228"/>
    </row>
    <row r="511" spans="1:11" x14ac:dyDescent="0.25">
      <c r="A511" s="227">
        <v>44673</v>
      </c>
      <c r="B511" s="228">
        <v>4028.85</v>
      </c>
      <c r="C511" s="228">
        <v>4028.65</v>
      </c>
      <c r="D511" s="228">
        <v>4060.05</v>
      </c>
      <c r="E511" s="228">
        <v>3995.75</v>
      </c>
      <c r="F511">
        <v>210640</v>
      </c>
      <c r="G511" s="228">
        <v>-2.9999999999999997E-4</v>
      </c>
      <c r="H511" s="228">
        <f>YEAR(AVEU_Historical_Data__2[[#This Row],[Date]])</f>
        <v>2022</v>
      </c>
      <c r="I511" s="228">
        <f>ROUNDUP((MOD(MONTH(AVEU_Historical_Data__2[[#This Row],[Date]])+8,12)+1)/3,0)</f>
        <v>1</v>
      </c>
      <c r="J511" s="228">
        <f>MONTH(AVEU_Historical_Data__2[[#This Row],[Date]])</f>
        <v>4</v>
      </c>
      <c r="K511" s="228"/>
    </row>
    <row r="512" spans="1:11" x14ac:dyDescent="0.25">
      <c r="A512" s="227">
        <v>44676</v>
      </c>
      <c r="B512" s="228">
        <v>3989.2</v>
      </c>
      <c r="C512" s="228">
        <v>4000</v>
      </c>
      <c r="D512" s="228">
        <v>4022.35</v>
      </c>
      <c r="E512" s="228">
        <v>3975.05</v>
      </c>
      <c r="F512">
        <v>204730</v>
      </c>
      <c r="G512" s="228">
        <v>-9.7999999999999997E-3</v>
      </c>
      <c r="H512" s="228">
        <f>YEAR(AVEU_Historical_Data__2[[#This Row],[Date]])</f>
        <v>2022</v>
      </c>
      <c r="I512" s="228">
        <f>ROUNDUP((MOD(MONTH(AVEU_Historical_Data__2[[#This Row],[Date]])+8,12)+1)/3,0)</f>
        <v>1</v>
      </c>
      <c r="J512" s="228">
        <f>MONTH(AVEU_Historical_Data__2[[#This Row],[Date]])</f>
        <v>4</v>
      </c>
      <c r="K512" s="228"/>
    </row>
    <row r="513" spans="1:11" x14ac:dyDescent="0.25">
      <c r="A513" s="227">
        <v>44677</v>
      </c>
      <c r="B513" s="228">
        <v>4044.25</v>
      </c>
      <c r="C513" s="228">
        <v>4009.8</v>
      </c>
      <c r="D513" s="228">
        <v>4050</v>
      </c>
      <c r="E513" s="228">
        <v>3994.4</v>
      </c>
      <c r="F513">
        <v>198100</v>
      </c>
      <c r="G513" s="228">
        <v>1.38E-2</v>
      </c>
      <c r="H513" s="228">
        <f>YEAR(AVEU_Historical_Data__2[[#This Row],[Date]])</f>
        <v>2022</v>
      </c>
      <c r="I513" s="228">
        <f>ROUNDUP((MOD(MONTH(AVEU_Historical_Data__2[[#This Row],[Date]])+8,12)+1)/3,0)</f>
        <v>1</v>
      </c>
      <c r="J513" s="228">
        <f>MONTH(AVEU_Historical_Data__2[[#This Row],[Date]])</f>
        <v>4</v>
      </c>
      <c r="K513" s="228"/>
    </row>
    <row r="514" spans="1:11" x14ac:dyDescent="0.25">
      <c r="A514" s="227">
        <v>44678</v>
      </c>
      <c r="B514" s="228">
        <v>3977.7</v>
      </c>
      <c r="C514" s="228">
        <v>4006.1</v>
      </c>
      <c r="D514" s="228">
        <v>4024.35</v>
      </c>
      <c r="E514" s="228">
        <v>3960</v>
      </c>
      <c r="F514">
        <v>169920</v>
      </c>
      <c r="G514" s="228">
        <v>-1.6500000000000001E-2</v>
      </c>
      <c r="H514" s="228">
        <f>YEAR(AVEU_Historical_Data__2[[#This Row],[Date]])</f>
        <v>2022</v>
      </c>
      <c r="I514" s="228">
        <f>ROUNDUP((MOD(MONTH(AVEU_Historical_Data__2[[#This Row],[Date]])+8,12)+1)/3,0)</f>
        <v>1</v>
      </c>
      <c r="J514" s="228">
        <f>MONTH(AVEU_Historical_Data__2[[#This Row],[Date]])</f>
        <v>4</v>
      </c>
      <c r="K514" s="228"/>
    </row>
    <row r="515" spans="1:11" x14ac:dyDescent="0.25">
      <c r="A515" s="227">
        <v>44679</v>
      </c>
      <c r="B515" s="228">
        <v>4024.55</v>
      </c>
      <c r="C515" s="228">
        <v>4023.9</v>
      </c>
      <c r="D515" s="228">
        <v>4054</v>
      </c>
      <c r="E515" s="228">
        <v>3995.55</v>
      </c>
      <c r="F515">
        <v>247750</v>
      </c>
      <c r="G515" s="228">
        <v>1.18E-2</v>
      </c>
      <c r="H515" s="228">
        <f>YEAR(AVEU_Historical_Data__2[[#This Row],[Date]])</f>
        <v>2022</v>
      </c>
      <c r="I515" s="228">
        <f>ROUNDUP((MOD(MONTH(AVEU_Historical_Data__2[[#This Row],[Date]])+8,12)+1)/3,0)</f>
        <v>1</v>
      </c>
      <c r="J515" s="228">
        <f>MONTH(AVEU_Historical_Data__2[[#This Row],[Date]])</f>
        <v>4</v>
      </c>
      <c r="K515" s="228"/>
    </row>
    <row r="516" spans="1:11" x14ac:dyDescent="0.25">
      <c r="A516" s="227">
        <v>44680</v>
      </c>
      <c r="B516" s="228">
        <v>3944.25</v>
      </c>
      <c r="C516" s="228">
        <v>4048.9</v>
      </c>
      <c r="D516" s="228">
        <v>4085</v>
      </c>
      <c r="E516" s="228">
        <v>3906</v>
      </c>
      <c r="F516">
        <v>238650</v>
      </c>
      <c r="G516" s="228">
        <v>-0.02</v>
      </c>
      <c r="H516" s="228">
        <f>YEAR(AVEU_Historical_Data__2[[#This Row],[Date]])</f>
        <v>2022</v>
      </c>
      <c r="I516" s="228">
        <f>ROUNDUP((MOD(MONTH(AVEU_Historical_Data__2[[#This Row],[Date]])+8,12)+1)/3,0)</f>
        <v>1</v>
      </c>
      <c r="J516" s="228">
        <f>MONTH(AVEU_Historical_Data__2[[#This Row],[Date]])</f>
        <v>4</v>
      </c>
      <c r="K516" s="228"/>
    </row>
    <row r="517" spans="1:11" x14ac:dyDescent="0.25">
      <c r="A517" s="227">
        <v>44683</v>
      </c>
      <c r="B517" s="228">
        <v>3983.35</v>
      </c>
      <c r="C517" s="228">
        <v>3939.6</v>
      </c>
      <c r="D517" s="228">
        <v>3997.8</v>
      </c>
      <c r="E517" s="228">
        <v>3889</v>
      </c>
      <c r="F517">
        <v>265830</v>
      </c>
      <c r="G517" s="228">
        <v>9.9000000000000008E-3</v>
      </c>
      <c r="H517" s="228">
        <f>YEAR(AVEU_Historical_Data__2[[#This Row],[Date]])</f>
        <v>2022</v>
      </c>
      <c r="I517" s="228">
        <f>ROUNDUP((MOD(MONTH(AVEU_Historical_Data__2[[#This Row],[Date]])+8,12)+1)/3,0)</f>
        <v>1</v>
      </c>
      <c r="J517" s="228">
        <f>MONTH(AVEU_Historical_Data__2[[#This Row],[Date]])</f>
        <v>5</v>
      </c>
      <c r="K517" s="228"/>
    </row>
    <row r="518" spans="1:11" x14ac:dyDescent="0.25">
      <c r="A518" s="227">
        <v>44685</v>
      </c>
      <c r="B518" s="228">
        <v>3867.15</v>
      </c>
      <c r="C518" s="228">
        <v>4000</v>
      </c>
      <c r="D518" s="228">
        <v>4023.95</v>
      </c>
      <c r="E518" s="228">
        <v>3850.2</v>
      </c>
      <c r="F518">
        <v>270400</v>
      </c>
      <c r="G518" s="228">
        <v>-2.92E-2</v>
      </c>
      <c r="H518" s="228">
        <f>YEAR(AVEU_Historical_Data__2[[#This Row],[Date]])</f>
        <v>2022</v>
      </c>
      <c r="I518" s="228">
        <f>ROUNDUP((MOD(MONTH(AVEU_Historical_Data__2[[#This Row],[Date]])+8,12)+1)/3,0)</f>
        <v>1</v>
      </c>
      <c r="J518" s="228">
        <f>MONTH(AVEU_Historical_Data__2[[#This Row],[Date]])</f>
        <v>5</v>
      </c>
      <c r="K518" s="228"/>
    </row>
    <row r="519" spans="1:11" x14ac:dyDescent="0.25">
      <c r="A519" s="227">
        <v>44686</v>
      </c>
      <c r="B519" s="228">
        <v>3943.8</v>
      </c>
      <c r="C519" s="228">
        <v>3920</v>
      </c>
      <c r="D519" s="228">
        <v>3980</v>
      </c>
      <c r="E519" s="228">
        <v>3775</v>
      </c>
      <c r="F519">
        <v>457770</v>
      </c>
      <c r="G519" s="228">
        <v>1.9800000000000002E-2</v>
      </c>
      <c r="H519" s="228">
        <f>YEAR(AVEU_Historical_Data__2[[#This Row],[Date]])</f>
        <v>2022</v>
      </c>
      <c r="I519" s="228">
        <f>ROUNDUP((MOD(MONTH(AVEU_Historical_Data__2[[#This Row],[Date]])+8,12)+1)/3,0)</f>
        <v>1</v>
      </c>
      <c r="J519" s="228">
        <f>MONTH(AVEU_Historical_Data__2[[#This Row],[Date]])</f>
        <v>5</v>
      </c>
      <c r="K519" s="228"/>
    </row>
    <row r="520" spans="1:11" x14ac:dyDescent="0.25">
      <c r="A520" s="227">
        <v>44687</v>
      </c>
      <c r="B520" s="228">
        <v>3666.2</v>
      </c>
      <c r="C520" s="228">
        <v>3866</v>
      </c>
      <c r="D520" s="228">
        <v>3889.65</v>
      </c>
      <c r="E520" s="228">
        <v>3602.15</v>
      </c>
      <c r="F520">
        <v>858790</v>
      </c>
      <c r="G520" s="228">
        <v>-7.0400000000000004E-2</v>
      </c>
      <c r="H520" s="228">
        <f>YEAR(AVEU_Historical_Data__2[[#This Row],[Date]])</f>
        <v>2022</v>
      </c>
      <c r="I520" s="228">
        <f>ROUNDUP((MOD(MONTH(AVEU_Historical_Data__2[[#This Row],[Date]])+8,12)+1)/3,0)</f>
        <v>1</v>
      </c>
      <c r="J520" s="228">
        <f>MONTH(AVEU_Historical_Data__2[[#This Row],[Date]])</f>
        <v>5</v>
      </c>
      <c r="K520" s="228"/>
    </row>
    <row r="521" spans="1:11" x14ac:dyDescent="0.25">
      <c r="A521" s="227">
        <v>44690</v>
      </c>
      <c r="B521" s="228">
        <v>3520.3</v>
      </c>
      <c r="C521" s="228">
        <v>3655</v>
      </c>
      <c r="D521" s="228">
        <v>3655</v>
      </c>
      <c r="E521" s="228">
        <v>3486</v>
      </c>
      <c r="F521">
        <v>732790</v>
      </c>
      <c r="G521" s="228">
        <v>-3.9800000000000002E-2</v>
      </c>
      <c r="H521" s="228">
        <f>YEAR(AVEU_Historical_Data__2[[#This Row],[Date]])</f>
        <v>2022</v>
      </c>
      <c r="I521" s="228">
        <f>ROUNDUP((MOD(MONTH(AVEU_Historical_Data__2[[#This Row],[Date]])+8,12)+1)/3,0)</f>
        <v>1</v>
      </c>
      <c r="J521" s="228">
        <f>MONTH(AVEU_Historical_Data__2[[#This Row],[Date]])</f>
        <v>5</v>
      </c>
      <c r="K521" s="228"/>
    </row>
    <row r="522" spans="1:11" x14ac:dyDescent="0.25">
      <c r="A522" s="227">
        <v>44691</v>
      </c>
      <c r="B522" s="228">
        <v>3414.95</v>
      </c>
      <c r="C522" s="228">
        <v>3501</v>
      </c>
      <c r="D522" s="228">
        <v>3545.25</v>
      </c>
      <c r="E522" s="228">
        <v>3402.15</v>
      </c>
      <c r="F522">
        <v>696670</v>
      </c>
      <c r="G522" s="228">
        <v>-2.9899999999999999E-2</v>
      </c>
      <c r="H522" s="228">
        <f>YEAR(AVEU_Historical_Data__2[[#This Row],[Date]])</f>
        <v>2022</v>
      </c>
      <c r="I522" s="228">
        <f>ROUNDUP((MOD(MONTH(AVEU_Historical_Data__2[[#This Row],[Date]])+8,12)+1)/3,0)</f>
        <v>1</v>
      </c>
      <c r="J522" s="228">
        <f>MONTH(AVEU_Historical_Data__2[[#This Row],[Date]])</f>
        <v>5</v>
      </c>
      <c r="K522" s="228"/>
    </row>
    <row r="523" spans="1:11" x14ac:dyDescent="0.25">
      <c r="A523" s="227">
        <v>44692</v>
      </c>
      <c r="B523" s="228">
        <v>3339.7</v>
      </c>
      <c r="C523" s="228">
        <v>3448</v>
      </c>
      <c r="D523" s="228">
        <v>3448</v>
      </c>
      <c r="E523" s="228">
        <v>3311.7</v>
      </c>
      <c r="F523">
        <v>689550</v>
      </c>
      <c r="G523" s="228">
        <v>-2.1999999999999999E-2</v>
      </c>
      <c r="H523" s="228">
        <f>YEAR(AVEU_Historical_Data__2[[#This Row],[Date]])</f>
        <v>2022</v>
      </c>
      <c r="I523" s="228">
        <f>ROUNDUP((MOD(MONTH(AVEU_Historical_Data__2[[#This Row],[Date]])+8,12)+1)/3,0)</f>
        <v>1</v>
      </c>
      <c r="J523" s="228">
        <f>MONTH(AVEU_Historical_Data__2[[#This Row],[Date]])</f>
        <v>5</v>
      </c>
      <c r="K523" s="228"/>
    </row>
    <row r="524" spans="1:11" x14ac:dyDescent="0.25">
      <c r="A524" s="227">
        <v>44693</v>
      </c>
      <c r="B524" s="228">
        <v>3270.45</v>
      </c>
      <c r="C524" s="228">
        <v>3310</v>
      </c>
      <c r="D524" s="228">
        <v>3334.95</v>
      </c>
      <c r="E524" s="228">
        <v>3241.25</v>
      </c>
      <c r="F524">
        <v>725550</v>
      </c>
      <c r="G524" s="228">
        <v>-2.07E-2</v>
      </c>
      <c r="H524" s="228">
        <f>YEAR(AVEU_Historical_Data__2[[#This Row],[Date]])</f>
        <v>2022</v>
      </c>
      <c r="I524" s="228">
        <f>ROUNDUP((MOD(MONTH(AVEU_Historical_Data__2[[#This Row],[Date]])+8,12)+1)/3,0)</f>
        <v>1</v>
      </c>
      <c r="J524" s="228">
        <f>MONTH(AVEU_Historical_Data__2[[#This Row],[Date]])</f>
        <v>5</v>
      </c>
      <c r="K524" s="228"/>
    </row>
    <row r="525" spans="1:11" x14ac:dyDescent="0.25">
      <c r="A525" s="227">
        <v>44694</v>
      </c>
      <c r="B525" s="228">
        <v>3230.6</v>
      </c>
      <c r="C525" s="228">
        <v>3351</v>
      </c>
      <c r="D525" s="228">
        <v>3357.75</v>
      </c>
      <c r="E525" s="228">
        <v>3205</v>
      </c>
      <c r="F525">
        <v>546750</v>
      </c>
      <c r="G525" s="228">
        <v>-1.2200000000000001E-2</v>
      </c>
      <c r="H525" s="228">
        <f>YEAR(AVEU_Historical_Data__2[[#This Row],[Date]])</f>
        <v>2022</v>
      </c>
      <c r="I525" s="228">
        <f>ROUNDUP((MOD(MONTH(AVEU_Historical_Data__2[[#This Row],[Date]])+8,12)+1)/3,0)</f>
        <v>1</v>
      </c>
      <c r="J525" s="228">
        <f>MONTH(AVEU_Historical_Data__2[[#This Row],[Date]])</f>
        <v>5</v>
      </c>
      <c r="K525" s="228"/>
    </row>
    <row r="526" spans="1:11" x14ac:dyDescent="0.25">
      <c r="A526" s="227">
        <v>44697</v>
      </c>
      <c r="B526" s="228">
        <v>3561.1</v>
      </c>
      <c r="C526" s="228">
        <v>3260</v>
      </c>
      <c r="D526" s="228">
        <v>3620</v>
      </c>
      <c r="E526" s="228">
        <v>3186</v>
      </c>
      <c r="F526">
        <v>1870000</v>
      </c>
      <c r="G526" s="228">
        <v>0.1023</v>
      </c>
      <c r="H526" s="228">
        <f>YEAR(AVEU_Historical_Data__2[[#This Row],[Date]])</f>
        <v>2022</v>
      </c>
      <c r="I526" s="228">
        <f>ROUNDUP((MOD(MONTH(AVEU_Historical_Data__2[[#This Row],[Date]])+8,12)+1)/3,0)</f>
        <v>1</v>
      </c>
      <c r="J526" s="228">
        <f>MONTH(AVEU_Historical_Data__2[[#This Row],[Date]])</f>
        <v>5</v>
      </c>
      <c r="K526" s="228"/>
    </row>
    <row r="527" spans="1:11" x14ac:dyDescent="0.25">
      <c r="A527" s="227">
        <v>44698</v>
      </c>
      <c r="B527" s="228">
        <v>3657</v>
      </c>
      <c r="C527" s="228">
        <v>3620</v>
      </c>
      <c r="D527" s="228">
        <v>3724</v>
      </c>
      <c r="E527" s="228">
        <v>3473.45</v>
      </c>
      <c r="F527">
        <v>926150</v>
      </c>
      <c r="G527" s="228">
        <v>2.69E-2</v>
      </c>
      <c r="H527" s="228">
        <f>YEAR(AVEU_Historical_Data__2[[#This Row],[Date]])</f>
        <v>2022</v>
      </c>
      <c r="I527" s="228">
        <f>ROUNDUP((MOD(MONTH(AVEU_Historical_Data__2[[#This Row],[Date]])+8,12)+1)/3,0)</f>
        <v>1</v>
      </c>
      <c r="J527" s="228">
        <f>MONTH(AVEU_Historical_Data__2[[#This Row],[Date]])</f>
        <v>5</v>
      </c>
      <c r="K527" s="228"/>
    </row>
    <row r="528" spans="1:11" x14ac:dyDescent="0.25">
      <c r="A528" s="227">
        <v>44699</v>
      </c>
      <c r="B528" s="228">
        <v>3664.05</v>
      </c>
      <c r="C528" s="228">
        <v>3700</v>
      </c>
      <c r="D528" s="228">
        <v>3781</v>
      </c>
      <c r="E528" s="228">
        <v>3650</v>
      </c>
      <c r="F528">
        <v>712470</v>
      </c>
      <c r="G528" s="228">
        <v>1.9E-3</v>
      </c>
      <c r="H528" s="228">
        <f>YEAR(AVEU_Historical_Data__2[[#This Row],[Date]])</f>
        <v>2022</v>
      </c>
      <c r="I528" s="228">
        <f>ROUNDUP((MOD(MONTH(AVEU_Historical_Data__2[[#This Row],[Date]])+8,12)+1)/3,0)</f>
        <v>1</v>
      </c>
      <c r="J528" s="228">
        <f>MONTH(AVEU_Historical_Data__2[[#This Row],[Date]])</f>
        <v>5</v>
      </c>
      <c r="K528" s="228"/>
    </row>
    <row r="529" spans="1:11" x14ac:dyDescent="0.25">
      <c r="A529" s="227">
        <v>44700</v>
      </c>
      <c r="B529" s="228">
        <v>3614.85</v>
      </c>
      <c r="C529" s="228">
        <v>3513</v>
      </c>
      <c r="D529" s="228">
        <v>3649</v>
      </c>
      <c r="E529" s="228">
        <v>3491.5</v>
      </c>
      <c r="F529">
        <v>439660</v>
      </c>
      <c r="G529" s="228">
        <v>-1.34E-2</v>
      </c>
      <c r="H529" s="228">
        <f>YEAR(AVEU_Historical_Data__2[[#This Row],[Date]])</f>
        <v>2022</v>
      </c>
      <c r="I529" s="228">
        <f>ROUNDUP((MOD(MONTH(AVEU_Historical_Data__2[[#This Row],[Date]])+8,12)+1)/3,0)</f>
        <v>1</v>
      </c>
      <c r="J529" s="228">
        <f>MONTH(AVEU_Historical_Data__2[[#This Row],[Date]])</f>
        <v>5</v>
      </c>
      <c r="K529" s="228"/>
    </row>
    <row r="530" spans="1:11" x14ac:dyDescent="0.25">
      <c r="A530" s="227">
        <v>44701</v>
      </c>
      <c r="B530" s="228">
        <v>3630.4</v>
      </c>
      <c r="C530" s="228">
        <v>3708.9</v>
      </c>
      <c r="D530" s="228">
        <v>3717.2</v>
      </c>
      <c r="E530" s="228">
        <v>3610</v>
      </c>
      <c r="F530">
        <v>334170</v>
      </c>
      <c r="G530" s="228">
        <v>4.3E-3</v>
      </c>
      <c r="H530" s="228">
        <f>YEAR(AVEU_Historical_Data__2[[#This Row],[Date]])</f>
        <v>2022</v>
      </c>
      <c r="I530" s="228">
        <f>ROUNDUP((MOD(MONTH(AVEU_Historical_Data__2[[#This Row],[Date]])+8,12)+1)/3,0)</f>
        <v>1</v>
      </c>
      <c r="J530" s="228">
        <f>MONTH(AVEU_Historical_Data__2[[#This Row],[Date]])</f>
        <v>5</v>
      </c>
      <c r="K530" s="228"/>
    </row>
    <row r="531" spans="1:11" x14ac:dyDescent="0.25">
      <c r="A531" s="227">
        <v>44704</v>
      </c>
      <c r="B531" s="228">
        <v>3574.1</v>
      </c>
      <c r="C531" s="228">
        <v>3650</v>
      </c>
      <c r="D531" s="228">
        <v>3694.5</v>
      </c>
      <c r="E531" s="228">
        <v>3552.05</v>
      </c>
      <c r="F531">
        <v>258250</v>
      </c>
      <c r="G531" s="228">
        <v>-1.55E-2</v>
      </c>
      <c r="H531" s="228">
        <f>YEAR(AVEU_Historical_Data__2[[#This Row],[Date]])</f>
        <v>2022</v>
      </c>
      <c r="I531" s="228">
        <f>ROUNDUP((MOD(MONTH(AVEU_Historical_Data__2[[#This Row],[Date]])+8,12)+1)/3,0)</f>
        <v>1</v>
      </c>
      <c r="J531" s="228">
        <f>MONTH(AVEU_Historical_Data__2[[#This Row],[Date]])</f>
        <v>5</v>
      </c>
      <c r="K531" s="228"/>
    </row>
    <row r="532" spans="1:11" x14ac:dyDescent="0.25">
      <c r="A532" s="227">
        <v>44705</v>
      </c>
      <c r="B532" s="228">
        <v>3656.75</v>
      </c>
      <c r="C532" s="228">
        <v>3579.95</v>
      </c>
      <c r="D532" s="228">
        <v>3685</v>
      </c>
      <c r="E532" s="228">
        <v>3571.2</v>
      </c>
      <c r="F532">
        <v>391190</v>
      </c>
      <c r="G532" s="228">
        <v>2.3099999999999999E-2</v>
      </c>
      <c r="H532" s="228">
        <f>YEAR(AVEU_Historical_Data__2[[#This Row],[Date]])</f>
        <v>2022</v>
      </c>
      <c r="I532" s="228">
        <f>ROUNDUP((MOD(MONTH(AVEU_Historical_Data__2[[#This Row],[Date]])+8,12)+1)/3,0)</f>
        <v>1</v>
      </c>
      <c r="J532" s="228">
        <f>MONTH(AVEU_Historical_Data__2[[#This Row],[Date]])</f>
        <v>5</v>
      </c>
      <c r="K532" s="228"/>
    </row>
    <row r="533" spans="1:11" x14ac:dyDescent="0.25">
      <c r="A533" s="227">
        <v>44706</v>
      </c>
      <c r="B533" s="228">
        <v>3586.45</v>
      </c>
      <c r="C533" s="228">
        <v>3670</v>
      </c>
      <c r="D533" s="228">
        <v>3694</v>
      </c>
      <c r="E533" s="228">
        <v>3555.65</v>
      </c>
      <c r="F533">
        <v>224380</v>
      </c>
      <c r="G533" s="228">
        <v>-1.9199999999999998E-2</v>
      </c>
      <c r="H533" s="228">
        <f>YEAR(AVEU_Historical_Data__2[[#This Row],[Date]])</f>
        <v>2022</v>
      </c>
      <c r="I533" s="228">
        <f>ROUNDUP((MOD(MONTH(AVEU_Historical_Data__2[[#This Row],[Date]])+8,12)+1)/3,0)</f>
        <v>1</v>
      </c>
      <c r="J533" s="228">
        <f>MONTH(AVEU_Historical_Data__2[[#This Row],[Date]])</f>
        <v>5</v>
      </c>
      <c r="K533" s="228"/>
    </row>
    <row r="534" spans="1:11" x14ac:dyDescent="0.25">
      <c r="A534" s="227">
        <v>44707</v>
      </c>
      <c r="B534" s="228">
        <v>3577.45</v>
      </c>
      <c r="C534" s="228">
        <v>3586.45</v>
      </c>
      <c r="D534" s="228">
        <v>3635.7</v>
      </c>
      <c r="E534" s="228">
        <v>3465.3</v>
      </c>
      <c r="F534">
        <v>279250</v>
      </c>
      <c r="G534" s="228">
        <v>-2.5000000000000001E-3</v>
      </c>
      <c r="H534" s="228">
        <f>YEAR(AVEU_Historical_Data__2[[#This Row],[Date]])</f>
        <v>2022</v>
      </c>
      <c r="I534" s="228">
        <f>ROUNDUP((MOD(MONTH(AVEU_Historical_Data__2[[#This Row],[Date]])+8,12)+1)/3,0)</f>
        <v>1</v>
      </c>
      <c r="J534" s="228">
        <f>MONTH(AVEU_Historical_Data__2[[#This Row],[Date]])</f>
        <v>5</v>
      </c>
      <c r="K534" s="228"/>
    </row>
    <row r="535" spans="1:11" x14ac:dyDescent="0.25">
      <c r="A535" s="227">
        <v>44708</v>
      </c>
      <c r="B535" s="228">
        <v>3613.85</v>
      </c>
      <c r="C535" s="228">
        <v>3605</v>
      </c>
      <c r="D535" s="228">
        <v>3649</v>
      </c>
      <c r="E535" s="228">
        <v>3586</v>
      </c>
      <c r="F535">
        <v>199690</v>
      </c>
      <c r="G535" s="228">
        <v>1.0200000000000001E-2</v>
      </c>
      <c r="H535" s="228">
        <f>YEAR(AVEU_Historical_Data__2[[#This Row],[Date]])</f>
        <v>2022</v>
      </c>
      <c r="I535" s="228">
        <f>ROUNDUP((MOD(MONTH(AVEU_Historical_Data__2[[#This Row],[Date]])+8,12)+1)/3,0)</f>
        <v>1</v>
      </c>
      <c r="J535" s="228">
        <f>MONTH(AVEU_Historical_Data__2[[#This Row],[Date]])</f>
        <v>5</v>
      </c>
      <c r="K535" s="228"/>
    </row>
    <row r="536" spans="1:11" x14ac:dyDescent="0.25">
      <c r="A536" s="227">
        <v>44711</v>
      </c>
      <c r="B536" s="228">
        <v>3796.4</v>
      </c>
      <c r="C536" s="228">
        <v>3660</v>
      </c>
      <c r="D536" s="228">
        <v>3824.9</v>
      </c>
      <c r="E536" s="228">
        <v>3645</v>
      </c>
      <c r="F536">
        <v>429990</v>
      </c>
      <c r="G536" s="228">
        <v>5.0500000000000003E-2</v>
      </c>
      <c r="H536" s="228">
        <f>YEAR(AVEU_Historical_Data__2[[#This Row],[Date]])</f>
        <v>2022</v>
      </c>
      <c r="I536" s="228">
        <f>ROUNDUP((MOD(MONTH(AVEU_Historical_Data__2[[#This Row],[Date]])+8,12)+1)/3,0)</f>
        <v>1</v>
      </c>
      <c r="J536" s="228">
        <f>MONTH(AVEU_Historical_Data__2[[#This Row],[Date]])</f>
        <v>5</v>
      </c>
      <c r="K536" s="228"/>
    </row>
    <row r="537" spans="1:11" x14ac:dyDescent="0.25">
      <c r="A537" s="227">
        <v>44712</v>
      </c>
      <c r="B537" s="228">
        <v>3972.8</v>
      </c>
      <c r="C537" s="228">
        <v>3807.75</v>
      </c>
      <c r="D537" s="228">
        <v>4049</v>
      </c>
      <c r="E537" s="228">
        <v>3767.9</v>
      </c>
      <c r="F537">
        <v>1340000</v>
      </c>
      <c r="G537" s="228">
        <v>4.65E-2</v>
      </c>
      <c r="H537" s="228">
        <f>YEAR(AVEU_Historical_Data__2[[#This Row],[Date]])</f>
        <v>2022</v>
      </c>
      <c r="I537" s="228">
        <f>ROUNDUP((MOD(MONTH(AVEU_Historical_Data__2[[#This Row],[Date]])+8,12)+1)/3,0)</f>
        <v>1</v>
      </c>
      <c r="J537" s="228">
        <f>MONTH(AVEU_Historical_Data__2[[#This Row],[Date]])</f>
        <v>5</v>
      </c>
      <c r="K537" s="228"/>
    </row>
    <row r="538" spans="1:11" x14ac:dyDescent="0.25">
      <c r="A538" s="227">
        <v>44713</v>
      </c>
      <c r="B538" s="228">
        <v>3874.05</v>
      </c>
      <c r="C538" s="228">
        <v>3960</v>
      </c>
      <c r="D538" s="228">
        <v>4039</v>
      </c>
      <c r="E538" s="228">
        <v>3812.55</v>
      </c>
      <c r="F538">
        <v>620370</v>
      </c>
      <c r="G538" s="228">
        <v>-2.4899999999999999E-2</v>
      </c>
      <c r="H538" s="228">
        <f>YEAR(AVEU_Historical_Data__2[[#This Row],[Date]])</f>
        <v>2022</v>
      </c>
      <c r="I538" s="228">
        <f>ROUNDUP((MOD(MONTH(AVEU_Historical_Data__2[[#This Row],[Date]])+8,12)+1)/3,0)</f>
        <v>1</v>
      </c>
      <c r="J538" s="228">
        <f>MONTH(AVEU_Historical_Data__2[[#This Row],[Date]])</f>
        <v>6</v>
      </c>
      <c r="K538" s="228"/>
    </row>
    <row r="539" spans="1:11" x14ac:dyDescent="0.25">
      <c r="A539" s="227">
        <v>44714</v>
      </c>
      <c r="B539" s="228">
        <v>3856.9</v>
      </c>
      <c r="C539" s="228">
        <v>3885</v>
      </c>
      <c r="D539" s="228">
        <v>3927.55</v>
      </c>
      <c r="E539" s="228">
        <v>3831.1</v>
      </c>
      <c r="F539">
        <v>302040</v>
      </c>
      <c r="G539" s="228">
        <v>-4.4000000000000003E-3</v>
      </c>
      <c r="H539" s="228">
        <f>YEAR(AVEU_Historical_Data__2[[#This Row],[Date]])</f>
        <v>2022</v>
      </c>
      <c r="I539" s="228">
        <f>ROUNDUP((MOD(MONTH(AVEU_Historical_Data__2[[#This Row],[Date]])+8,12)+1)/3,0)</f>
        <v>1</v>
      </c>
      <c r="J539" s="228">
        <f>MONTH(AVEU_Historical_Data__2[[#This Row],[Date]])</f>
        <v>6</v>
      </c>
      <c r="K539" s="228"/>
    </row>
    <row r="540" spans="1:11" x14ac:dyDescent="0.25">
      <c r="A540" s="227">
        <v>44715</v>
      </c>
      <c r="B540" s="228">
        <v>3820.1</v>
      </c>
      <c r="C540" s="228">
        <v>3888</v>
      </c>
      <c r="D540" s="228">
        <v>3888.4</v>
      </c>
      <c r="E540" s="228">
        <v>3768</v>
      </c>
      <c r="F540">
        <v>349880</v>
      </c>
      <c r="G540" s="228">
        <v>-9.4999999999999998E-3</v>
      </c>
      <c r="H540" s="228">
        <f>YEAR(AVEU_Historical_Data__2[[#This Row],[Date]])</f>
        <v>2022</v>
      </c>
      <c r="I540" s="228">
        <f>ROUNDUP((MOD(MONTH(AVEU_Historical_Data__2[[#This Row],[Date]])+8,12)+1)/3,0)</f>
        <v>1</v>
      </c>
      <c r="J540" s="228">
        <f>MONTH(AVEU_Historical_Data__2[[#This Row],[Date]])</f>
        <v>6</v>
      </c>
      <c r="K540" s="228"/>
    </row>
    <row r="541" spans="1:11" x14ac:dyDescent="0.25">
      <c r="A541" s="227">
        <v>44718</v>
      </c>
      <c r="B541" s="228">
        <v>3734.75</v>
      </c>
      <c r="C541" s="228">
        <v>3800</v>
      </c>
      <c r="D541" s="228">
        <v>3800</v>
      </c>
      <c r="E541" s="228">
        <v>3675</v>
      </c>
      <c r="F541">
        <v>295310</v>
      </c>
      <c r="G541" s="228">
        <v>-2.23E-2</v>
      </c>
      <c r="H541" s="228">
        <f>YEAR(AVEU_Historical_Data__2[[#This Row],[Date]])</f>
        <v>2022</v>
      </c>
      <c r="I541" s="228">
        <f>ROUNDUP((MOD(MONTH(AVEU_Historical_Data__2[[#This Row],[Date]])+8,12)+1)/3,0)</f>
        <v>1</v>
      </c>
      <c r="J541" s="228">
        <f>MONTH(AVEU_Historical_Data__2[[#This Row],[Date]])</f>
        <v>6</v>
      </c>
      <c r="K541" s="228"/>
    </row>
    <row r="542" spans="1:11" x14ac:dyDescent="0.25">
      <c r="A542" s="227">
        <v>44719</v>
      </c>
      <c r="B542" s="228">
        <v>3726.7</v>
      </c>
      <c r="C542" s="228">
        <v>3704</v>
      </c>
      <c r="D542" s="228">
        <v>3778.8</v>
      </c>
      <c r="E542" s="228">
        <v>3652.05</v>
      </c>
      <c r="F542">
        <v>301550</v>
      </c>
      <c r="G542" s="228">
        <v>-2.2000000000000001E-3</v>
      </c>
      <c r="H542" s="228">
        <f>YEAR(AVEU_Historical_Data__2[[#This Row],[Date]])</f>
        <v>2022</v>
      </c>
      <c r="I542" s="228">
        <f>ROUNDUP((MOD(MONTH(AVEU_Historical_Data__2[[#This Row],[Date]])+8,12)+1)/3,0)</f>
        <v>1</v>
      </c>
      <c r="J542" s="228">
        <f>MONTH(AVEU_Historical_Data__2[[#This Row],[Date]])</f>
        <v>6</v>
      </c>
      <c r="K542" s="228"/>
    </row>
    <row r="543" spans="1:11" x14ac:dyDescent="0.25">
      <c r="A543" s="227">
        <v>44720</v>
      </c>
      <c r="B543" s="228">
        <v>3739.4</v>
      </c>
      <c r="C543" s="228">
        <v>3765</v>
      </c>
      <c r="D543" s="228">
        <v>3771</v>
      </c>
      <c r="E543" s="228">
        <v>3700</v>
      </c>
      <c r="F543">
        <v>250670</v>
      </c>
      <c r="G543" s="228">
        <v>3.3999999999999998E-3</v>
      </c>
      <c r="H543" s="228">
        <f>YEAR(AVEU_Historical_Data__2[[#This Row],[Date]])</f>
        <v>2022</v>
      </c>
      <c r="I543" s="228">
        <f>ROUNDUP((MOD(MONTH(AVEU_Historical_Data__2[[#This Row],[Date]])+8,12)+1)/3,0)</f>
        <v>1</v>
      </c>
      <c r="J543" s="228">
        <f>MONTH(AVEU_Historical_Data__2[[#This Row],[Date]])</f>
        <v>6</v>
      </c>
      <c r="K543" s="228"/>
    </row>
    <row r="544" spans="1:11" x14ac:dyDescent="0.25">
      <c r="A544" s="227">
        <v>44721</v>
      </c>
      <c r="B544" s="228">
        <v>3830.35</v>
      </c>
      <c r="C544" s="228">
        <v>3729.9</v>
      </c>
      <c r="D544" s="228">
        <v>3850</v>
      </c>
      <c r="E544" s="228">
        <v>3686.4</v>
      </c>
      <c r="F544">
        <v>445080</v>
      </c>
      <c r="G544" s="228">
        <v>2.4299999999999999E-2</v>
      </c>
      <c r="H544" s="228">
        <f>YEAR(AVEU_Historical_Data__2[[#This Row],[Date]])</f>
        <v>2022</v>
      </c>
      <c r="I544" s="228">
        <f>ROUNDUP((MOD(MONTH(AVEU_Historical_Data__2[[#This Row],[Date]])+8,12)+1)/3,0)</f>
        <v>1</v>
      </c>
      <c r="J544" s="228">
        <f>MONTH(AVEU_Historical_Data__2[[#This Row],[Date]])</f>
        <v>6</v>
      </c>
      <c r="K544" s="228"/>
    </row>
    <row r="545" spans="1:11" x14ac:dyDescent="0.25">
      <c r="A545" s="227">
        <v>44722</v>
      </c>
      <c r="B545" s="228">
        <v>3755.65</v>
      </c>
      <c r="C545" s="228">
        <v>3790</v>
      </c>
      <c r="D545" s="228">
        <v>3838</v>
      </c>
      <c r="E545" s="228">
        <v>3735.1</v>
      </c>
      <c r="F545">
        <v>235990</v>
      </c>
      <c r="G545" s="228">
        <v>-1.95E-2</v>
      </c>
      <c r="H545" s="228">
        <f>YEAR(AVEU_Historical_Data__2[[#This Row],[Date]])</f>
        <v>2022</v>
      </c>
      <c r="I545" s="228">
        <f>ROUNDUP((MOD(MONTH(AVEU_Historical_Data__2[[#This Row],[Date]])+8,12)+1)/3,0)</f>
        <v>1</v>
      </c>
      <c r="J545" s="228">
        <f>MONTH(AVEU_Historical_Data__2[[#This Row],[Date]])</f>
        <v>6</v>
      </c>
      <c r="K545" s="228"/>
    </row>
    <row r="546" spans="1:11" x14ac:dyDescent="0.25">
      <c r="A546" s="227">
        <v>44725</v>
      </c>
      <c r="B546" s="228">
        <v>3661.6</v>
      </c>
      <c r="C546" s="228">
        <v>3700</v>
      </c>
      <c r="D546" s="228">
        <v>3743.6</v>
      </c>
      <c r="E546" s="228">
        <v>3644.4</v>
      </c>
      <c r="F546">
        <v>252910</v>
      </c>
      <c r="G546" s="228">
        <v>-2.5000000000000001E-2</v>
      </c>
      <c r="H546" s="228">
        <f>YEAR(AVEU_Historical_Data__2[[#This Row],[Date]])</f>
        <v>2022</v>
      </c>
      <c r="I546" s="228">
        <f>ROUNDUP((MOD(MONTH(AVEU_Historical_Data__2[[#This Row],[Date]])+8,12)+1)/3,0)</f>
        <v>1</v>
      </c>
      <c r="J546" s="228">
        <f>MONTH(AVEU_Historical_Data__2[[#This Row],[Date]])</f>
        <v>6</v>
      </c>
      <c r="K546" s="228"/>
    </row>
    <row r="547" spans="1:11" x14ac:dyDescent="0.25">
      <c r="A547" s="227">
        <v>44726</v>
      </c>
      <c r="B547" s="228">
        <v>3648.3</v>
      </c>
      <c r="C547" s="228">
        <v>3628</v>
      </c>
      <c r="D547" s="228">
        <v>3712.7</v>
      </c>
      <c r="E547" s="228">
        <v>3552.25</v>
      </c>
      <c r="F547">
        <v>424140</v>
      </c>
      <c r="G547" s="228">
        <v>-3.5999999999999999E-3</v>
      </c>
      <c r="H547" s="228">
        <f>YEAR(AVEU_Historical_Data__2[[#This Row],[Date]])</f>
        <v>2022</v>
      </c>
      <c r="I547" s="228">
        <f>ROUNDUP((MOD(MONTH(AVEU_Historical_Data__2[[#This Row],[Date]])+8,12)+1)/3,0)</f>
        <v>1</v>
      </c>
      <c r="J547" s="228">
        <f>MONTH(AVEU_Historical_Data__2[[#This Row],[Date]])</f>
        <v>6</v>
      </c>
      <c r="K547" s="228"/>
    </row>
    <row r="548" spans="1:11" x14ac:dyDescent="0.25">
      <c r="A548" s="227">
        <v>44727</v>
      </c>
      <c r="B548" s="228">
        <v>3662.9</v>
      </c>
      <c r="C548" s="228">
        <v>3669.9</v>
      </c>
      <c r="D548" s="228">
        <v>3743.95</v>
      </c>
      <c r="E548" s="228">
        <v>3645.35</v>
      </c>
      <c r="F548">
        <v>274600</v>
      </c>
      <c r="G548" s="228">
        <v>4.0000000000000001E-3</v>
      </c>
      <c r="H548" s="228">
        <f>YEAR(AVEU_Historical_Data__2[[#This Row],[Date]])</f>
        <v>2022</v>
      </c>
      <c r="I548" s="228">
        <f>ROUNDUP((MOD(MONTH(AVEU_Historical_Data__2[[#This Row],[Date]])+8,12)+1)/3,0)</f>
        <v>1</v>
      </c>
      <c r="J548" s="228">
        <f>MONTH(AVEU_Historical_Data__2[[#This Row],[Date]])</f>
        <v>6</v>
      </c>
      <c r="K548" s="228"/>
    </row>
    <row r="549" spans="1:11" x14ac:dyDescent="0.25">
      <c r="A549" s="227">
        <v>44728</v>
      </c>
      <c r="B549" s="228">
        <v>3682.6</v>
      </c>
      <c r="C549" s="228">
        <v>3736</v>
      </c>
      <c r="D549" s="228">
        <v>3737.9</v>
      </c>
      <c r="E549" s="228">
        <v>3562</v>
      </c>
      <c r="F549">
        <v>408560</v>
      </c>
      <c r="G549" s="228">
        <v>5.4000000000000003E-3</v>
      </c>
      <c r="H549" s="228">
        <f>YEAR(AVEU_Historical_Data__2[[#This Row],[Date]])</f>
        <v>2022</v>
      </c>
      <c r="I549" s="228">
        <f>ROUNDUP((MOD(MONTH(AVEU_Historical_Data__2[[#This Row],[Date]])+8,12)+1)/3,0)</f>
        <v>1</v>
      </c>
      <c r="J549" s="228">
        <f>MONTH(AVEU_Historical_Data__2[[#This Row],[Date]])</f>
        <v>6</v>
      </c>
      <c r="K549" s="228"/>
    </row>
    <row r="550" spans="1:11" x14ac:dyDescent="0.25">
      <c r="A550" s="227">
        <v>44729</v>
      </c>
      <c r="B550" s="228">
        <v>3460.55</v>
      </c>
      <c r="C550" s="228">
        <v>3670</v>
      </c>
      <c r="D550" s="228">
        <v>3673.85</v>
      </c>
      <c r="E550" s="228">
        <v>3413.7</v>
      </c>
      <c r="F550">
        <v>1100000</v>
      </c>
      <c r="G550" s="228">
        <v>-6.0299999999999999E-2</v>
      </c>
      <c r="H550" s="228">
        <f>YEAR(AVEU_Historical_Data__2[[#This Row],[Date]])</f>
        <v>2022</v>
      </c>
      <c r="I550" s="228">
        <f>ROUNDUP((MOD(MONTH(AVEU_Historical_Data__2[[#This Row],[Date]])+8,12)+1)/3,0)</f>
        <v>1</v>
      </c>
      <c r="J550" s="228">
        <f>MONTH(AVEU_Historical_Data__2[[#This Row],[Date]])</f>
        <v>6</v>
      </c>
      <c r="K550" s="228"/>
    </row>
    <row r="551" spans="1:11" x14ac:dyDescent="0.25">
      <c r="A551" s="227">
        <v>44732</v>
      </c>
      <c r="B551" s="228">
        <v>3479.1</v>
      </c>
      <c r="C551" s="228">
        <v>3493.45</v>
      </c>
      <c r="D551" s="228">
        <v>3536.7</v>
      </c>
      <c r="E551" s="228">
        <v>3460.55</v>
      </c>
      <c r="F551">
        <v>222230</v>
      </c>
      <c r="G551" s="228">
        <v>5.4000000000000003E-3</v>
      </c>
      <c r="H551" s="228">
        <f>YEAR(AVEU_Historical_Data__2[[#This Row],[Date]])</f>
        <v>2022</v>
      </c>
      <c r="I551" s="228">
        <f>ROUNDUP((MOD(MONTH(AVEU_Historical_Data__2[[#This Row],[Date]])+8,12)+1)/3,0)</f>
        <v>1</v>
      </c>
      <c r="J551" s="228">
        <f>MONTH(AVEU_Historical_Data__2[[#This Row],[Date]])</f>
        <v>6</v>
      </c>
      <c r="K551" s="228"/>
    </row>
    <row r="552" spans="1:11" x14ac:dyDescent="0.25">
      <c r="A552" s="227">
        <v>44733</v>
      </c>
      <c r="B552" s="228">
        <v>3519.55</v>
      </c>
      <c r="C552" s="228">
        <v>3520</v>
      </c>
      <c r="D552" s="228">
        <v>3545</v>
      </c>
      <c r="E552" s="228">
        <v>3450</v>
      </c>
      <c r="F552">
        <v>340690</v>
      </c>
      <c r="G552" s="228">
        <v>1.1599999999999999E-2</v>
      </c>
      <c r="H552" s="228">
        <f>YEAR(AVEU_Historical_Data__2[[#This Row],[Date]])</f>
        <v>2022</v>
      </c>
      <c r="I552" s="228">
        <f>ROUNDUP((MOD(MONTH(AVEU_Historical_Data__2[[#This Row],[Date]])+8,12)+1)/3,0)</f>
        <v>1</v>
      </c>
      <c r="J552" s="228">
        <f>MONTH(AVEU_Historical_Data__2[[#This Row],[Date]])</f>
        <v>6</v>
      </c>
      <c r="K552" s="228"/>
    </row>
    <row r="553" spans="1:11" x14ac:dyDescent="0.25">
      <c r="A553" s="227">
        <v>44734</v>
      </c>
      <c r="B553" s="228">
        <v>3486.35</v>
      </c>
      <c r="C553" s="228">
        <v>3524.45</v>
      </c>
      <c r="D553" s="228">
        <v>3524.45</v>
      </c>
      <c r="E553" s="228">
        <v>3466.05</v>
      </c>
      <c r="F553">
        <v>197300</v>
      </c>
      <c r="G553" s="228">
        <v>-9.4000000000000004E-3</v>
      </c>
      <c r="H553" s="228">
        <f>YEAR(AVEU_Historical_Data__2[[#This Row],[Date]])</f>
        <v>2022</v>
      </c>
      <c r="I553" s="228">
        <f>ROUNDUP((MOD(MONTH(AVEU_Historical_Data__2[[#This Row],[Date]])+8,12)+1)/3,0)</f>
        <v>1</v>
      </c>
      <c r="J553" s="228">
        <f>MONTH(AVEU_Historical_Data__2[[#This Row],[Date]])</f>
        <v>6</v>
      </c>
      <c r="K553" s="228"/>
    </row>
    <row r="554" spans="1:11" x14ac:dyDescent="0.25">
      <c r="A554" s="227">
        <v>44735</v>
      </c>
      <c r="B554" s="228">
        <v>3440.45</v>
      </c>
      <c r="C554" s="228">
        <v>3487.75</v>
      </c>
      <c r="D554" s="228">
        <v>3502.65</v>
      </c>
      <c r="E554" s="228">
        <v>3401</v>
      </c>
      <c r="F554">
        <v>355860</v>
      </c>
      <c r="G554" s="228">
        <v>-1.32E-2</v>
      </c>
      <c r="H554" s="228">
        <f>YEAR(AVEU_Historical_Data__2[[#This Row],[Date]])</f>
        <v>2022</v>
      </c>
      <c r="I554" s="228">
        <f>ROUNDUP((MOD(MONTH(AVEU_Historical_Data__2[[#This Row],[Date]])+8,12)+1)/3,0)</f>
        <v>1</v>
      </c>
      <c r="J554" s="228">
        <f>MONTH(AVEU_Historical_Data__2[[#This Row],[Date]])</f>
        <v>6</v>
      </c>
      <c r="K554" s="228"/>
    </row>
    <row r="555" spans="1:11" x14ac:dyDescent="0.25">
      <c r="A555" s="227">
        <v>44736</v>
      </c>
      <c r="B555" s="228">
        <v>3412</v>
      </c>
      <c r="C555" s="228">
        <v>3489.95</v>
      </c>
      <c r="D555" s="228">
        <v>3489.95</v>
      </c>
      <c r="E555" s="228">
        <v>3390.1</v>
      </c>
      <c r="F555">
        <v>454590</v>
      </c>
      <c r="G555" s="228">
        <v>-8.3000000000000001E-3</v>
      </c>
      <c r="H555" s="228">
        <f>YEAR(AVEU_Historical_Data__2[[#This Row],[Date]])</f>
        <v>2022</v>
      </c>
      <c r="I555" s="228">
        <f>ROUNDUP((MOD(MONTH(AVEU_Historical_Data__2[[#This Row],[Date]])+8,12)+1)/3,0)</f>
        <v>1</v>
      </c>
      <c r="J555" s="228">
        <f>MONTH(AVEU_Historical_Data__2[[#This Row],[Date]])</f>
        <v>6</v>
      </c>
      <c r="K555" s="228"/>
    </row>
    <row r="556" spans="1:11" x14ac:dyDescent="0.25">
      <c r="A556" s="227">
        <v>44739</v>
      </c>
      <c r="B556" s="228">
        <v>3408.6</v>
      </c>
      <c r="C556" s="228">
        <v>3460</v>
      </c>
      <c r="D556" s="228">
        <v>3460</v>
      </c>
      <c r="E556" s="228">
        <v>3400</v>
      </c>
      <c r="F556">
        <v>276840</v>
      </c>
      <c r="G556" s="228">
        <v>-1E-3</v>
      </c>
      <c r="H556" s="228">
        <f>YEAR(AVEU_Historical_Data__2[[#This Row],[Date]])</f>
        <v>2022</v>
      </c>
      <c r="I556" s="228">
        <f>ROUNDUP((MOD(MONTH(AVEU_Historical_Data__2[[#This Row],[Date]])+8,12)+1)/3,0)</f>
        <v>1</v>
      </c>
      <c r="J556" s="228">
        <f>MONTH(AVEU_Historical_Data__2[[#This Row],[Date]])</f>
        <v>6</v>
      </c>
      <c r="K556" s="228"/>
    </row>
    <row r="557" spans="1:11" x14ac:dyDescent="0.25">
      <c r="A557" s="227">
        <v>44740</v>
      </c>
      <c r="B557" s="228">
        <v>3479.95</v>
      </c>
      <c r="C557" s="228">
        <v>3407.55</v>
      </c>
      <c r="D557" s="228">
        <v>3497</v>
      </c>
      <c r="E557" s="228">
        <v>3374</v>
      </c>
      <c r="F557">
        <v>440890</v>
      </c>
      <c r="G557" s="228">
        <v>2.0899999999999998E-2</v>
      </c>
      <c r="H557" s="228">
        <f>YEAR(AVEU_Historical_Data__2[[#This Row],[Date]])</f>
        <v>2022</v>
      </c>
      <c r="I557" s="228">
        <f>ROUNDUP((MOD(MONTH(AVEU_Historical_Data__2[[#This Row],[Date]])+8,12)+1)/3,0)</f>
        <v>1</v>
      </c>
      <c r="J557" s="228">
        <f>MONTH(AVEU_Historical_Data__2[[#This Row],[Date]])</f>
        <v>6</v>
      </c>
      <c r="K557" s="228"/>
    </row>
    <row r="558" spans="1:11" x14ac:dyDescent="0.25">
      <c r="A558" s="227">
        <v>44741</v>
      </c>
      <c r="B558" s="228">
        <v>3445.25</v>
      </c>
      <c r="C558" s="228">
        <v>3450.45</v>
      </c>
      <c r="D558" s="228">
        <v>3527</v>
      </c>
      <c r="E558" s="228">
        <v>3425</v>
      </c>
      <c r="F558">
        <v>405630</v>
      </c>
      <c r="G558" s="228">
        <v>-0.01</v>
      </c>
      <c r="H558" s="228">
        <f>YEAR(AVEU_Historical_Data__2[[#This Row],[Date]])</f>
        <v>2022</v>
      </c>
      <c r="I558" s="228">
        <f>ROUNDUP((MOD(MONTH(AVEU_Historical_Data__2[[#This Row],[Date]])+8,12)+1)/3,0)</f>
        <v>1</v>
      </c>
      <c r="J558" s="228">
        <f>MONTH(AVEU_Historical_Data__2[[#This Row],[Date]])</f>
        <v>6</v>
      </c>
      <c r="K558" s="228"/>
    </row>
    <row r="559" spans="1:11" x14ac:dyDescent="0.25">
      <c r="A559" s="227">
        <v>44742</v>
      </c>
      <c r="B559" s="228">
        <v>3406.1</v>
      </c>
      <c r="C559" s="228">
        <v>3445.2</v>
      </c>
      <c r="D559" s="228">
        <v>3469</v>
      </c>
      <c r="E559" s="228">
        <v>3370</v>
      </c>
      <c r="F559">
        <v>384400</v>
      </c>
      <c r="G559" s="228">
        <v>-1.14E-2</v>
      </c>
      <c r="H559" s="228">
        <f>YEAR(AVEU_Historical_Data__2[[#This Row],[Date]])</f>
        <v>2022</v>
      </c>
      <c r="I559" s="228">
        <f>ROUNDUP((MOD(MONTH(AVEU_Historical_Data__2[[#This Row],[Date]])+8,12)+1)/3,0)</f>
        <v>1</v>
      </c>
      <c r="J559" s="228">
        <f>MONTH(AVEU_Historical_Data__2[[#This Row],[Date]])</f>
        <v>6</v>
      </c>
      <c r="K559" s="228"/>
    </row>
    <row r="560" spans="1:11" x14ac:dyDescent="0.25">
      <c r="A560" s="227">
        <v>44743</v>
      </c>
      <c r="B560" s="228">
        <v>3388.75</v>
      </c>
      <c r="C560" s="228">
        <v>3394.45</v>
      </c>
      <c r="D560" s="228">
        <v>3406.65</v>
      </c>
      <c r="E560" s="228">
        <v>3331.1</v>
      </c>
      <c r="F560">
        <v>311230</v>
      </c>
      <c r="G560" s="228">
        <v>-5.1000000000000004E-3</v>
      </c>
      <c r="H560" s="228">
        <f>YEAR(AVEU_Historical_Data__2[[#This Row],[Date]])</f>
        <v>2022</v>
      </c>
      <c r="I560" s="228">
        <f>ROUNDUP((MOD(MONTH(AVEU_Historical_Data__2[[#This Row],[Date]])+8,12)+1)/3,0)</f>
        <v>2</v>
      </c>
      <c r="J560" s="228">
        <f>MONTH(AVEU_Historical_Data__2[[#This Row],[Date]])</f>
        <v>7</v>
      </c>
      <c r="K560" s="228"/>
    </row>
    <row r="561" spans="1:11" x14ac:dyDescent="0.25">
      <c r="A561" s="227">
        <v>44746</v>
      </c>
      <c r="B561" s="228">
        <v>3495.5</v>
      </c>
      <c r="C561" s="228">
        <v>3530</v>
      </c>
      <c r="D561" s="228">
        <v>3555</v>
      </c>
      <c r="E561" s="228">
        <v>3460</v>
      </c>
      <c r="F561">
        <v>766620</v>
      </c>
      <c r="G561" s="228">
        <v>3.15E-2</v>
      </c>
      <c r="H561" s="228">
        <f>YEAR(AVEU_Historical_Data__2[[#This Row],[Date]])</f>
        <v>2022</v>
      </c>
      <c r="I561" s="228">
        <f>ROUNDUP((MOD(MONTH(AVEU_Historical_Data__2[[#This Row],[Date]])+8,12)+1)/3,0)</f>
        <v>2</v>
      </c>
      <c r="J561" s="228">
        <f>MONTH(AVEU_Historical_Data__2[[#This Row],[Date]])</f>
        <v>7</v>
      </c>
      <c r="K561" s="228"/>
    </row>
    <row r="562" spans="1:11" x14ac:dyDescent="0.25">
      <c r="A562" s="227">
        <v>44747</v>
      </c>
      <c r="B562" s="228">
        <v>3639.05</v>
      </c>
      <c r="C562" s="228">
        <v>3506</v>
      </c>
      <c r="D562" s="228">
        <v>3657.65</v>
      </c>
      <c r="E562" s="228">
        <v>3506</v>
      </c>
      <c r="F562">
        <v>859250</v>
      </c>
      <c r="G562" s="228">
        <v>4.1099999999999998E-2</v>
      </c>
      <c r="H562" s="228">
        <f>YEAR(AVEU_Historical_Data__2[[#This Row],[Date]])</f>
        <v>2022</v>
      </c>
      <c r="I562" s="228">
        <f>ROUNDUP((MOD(MONTH(AVEU_Historical_Data__2[[#This Row],[Date]])+8,12)+1)/3,0)</f>
        <v>2</v>
      </c>
      <c r="J562" s="228">
        <f>MONTH(AVEU_Historical_Data__2[[#This Row],[Date]])</f>
        <v>7</v>
      </c>
      <c r="K562" s="228"/>
    </row>
    <row r="563" spans="1:11" x14ac:dyDescent="0.25">
      <c r="A563" s="227">
        <v>44748</v>
      </c>
      <c r="B563" s="228">
        <v>3792</v>
      </c>
      <c r="C563" s="228">
        <v>3650</v>
      </c>
      <c r="D563" s="228">
        <v>3830</v>
      </c>
      <c r="E563" s="228">
        <v>3650</v>
      </c>
      <c r="F563">
        <v>751850</v>
      </c>
      <c r="G563" s="228">
        <v>4.2000000000000003E-2</v>
      </c>
      <c r="H563" s="228">
        <f>YEAR(AVEU_Historical_Data__2[[#This Row],[Date]])</f>
        <v>2022</v>
      </c>
      <c r="I563" s="228">
        <f>ROUNDUP((MOD(MONTH(AVEU_Historical_Data__2[[#This Row],[Date]])+8,12)+1)/3,0)</f>
        <v>2</v>
      </c>
      <c r="J563" s="228">
        <f>MONTH(AVEU_Historical_Data__2[[#This Row],[Date]])</f>
        <v>7</v>
      </c>
      <c r="K563" s="228"/>
    </row>
    <row r="564" spans="1:11" x14ac:dyDescent="0.25">
      <c r="A564" s="227">
        <v>44749</v>
      </c>
      <c r="B564" s="228">
        <v>3850.95</v>
      </c>
      <c r="C564" s="228">
        <v>3870</v>
      </c>
      <c r="D564" s="228">
        <v>3935.6</v>
      </c>
      <c r="E564" s="228">
        <v>3830</v>
      </c>
      <c r="F564">
        <v>463190</v>
      </c>
      <c r="G564" s="228">
        <v>1.55E-2</v>
      </c>
      <c r="H564" s="228">
        <f>YEAR(AVEU_Historical_Data__2[[#This Row],[Date]])</f>
        <v>2022</v>
      </c>
      <c r="I564" s="228">
        <f>ROUNDUP((MOD(MONTH(AVEU_Historical_Data__2[[#This Row],[Date]])+8,12)+1)/3,0)</f>
        <v>2</v>
      </c>
      <c r="J564" s="228">
        <f>MONTH(AVEU_Historical_Data__2[[#This Row],[Date]])</f>
        <v>7</v>
      </c>
      <c r="K564" s="228"/>
    </row>
    <row r="565" spans="1:11" x14ac:dyDescent="0.25">
      <c r="A565" s="227">
        <v>44750</v>
      </c>
      <c r="B565" s="228">
        <v>3941.7</v>
      </c>
      <c r="C565" s="228">
        <v>3868.4</v>
      </c>
      <c r="D565" s="228">
        <v>3974</v>
      </c>
      <c r="E565" s="228">
        <v>3851.1</v>
      </c>
      <c r="F565">
        <v>568790</v>
      </c>
      <c r="G565" s="228">
        <v>2.3599999999999999E-2</v>
      </c>
      <c r="H565" s="228">
        <f>YEAR(AVEU_Historical_Data__2[[#This Row],[Date]])</f>
        <v>2022</v>
      </c>
      <c r="I565" s="228">
        <f>ROUNDUP((MOD(MONTH(AVEU_Historical_Data__2[[#This Row],[Date]])+8,12)+1)/3,0)</f>
        <v>2</v>
      </c>
      <c r="J565" s="228">
        <f>MONTH(AVEU_Historical_Data__2[[#This Row],[Date]])</f>
        <v>7</v>
      </c>
      <c r="K565" s="228"/>
    </row>
    <row r="566" spans="1:11" x14ac:dyDescent="0.25">
      <c r="A566" s="227">
        <v>44753</v>
      </c>
      <c r="B566" s="228">
        <v>3986.85</v>
      </c>
      <c r="C566" s="228">
        <v>4000</v>
      </c>
      <c r="D566" s="228">
        <v>4087.85</v>
      </c>
      <c r="E566" s="228">
        <v>3892</v>
      </c>
      <c r="F566">
        <v>2330000</v>
      </c>
      <c r="G566" s="228">
        <v>1.15E-2</v>
      </c>
      <c r="H566" s="228">
        <f>YEAR(AVEU_Historical_Data__2[[#This Row],[Date]])</f>
        <v>2022</v>
      </c>
      <c r="I566" s="228">
        <f>ROUNDUP((MOD(MONTH(AVEU_Historical_Data__2[[#This Row],[Date]])+8,12)+1)/3,0)</f>
        <v>2</v>
      </c>
      <c r="J566" s="228">
        <f>MONTH(AVEU_Historical_Data__2[[#This Row],[Date]])</f>
        <v>7</v>
      </c>
      <c r="K566" s="228"/>
    </row>
    <row r="567" spans="1:11" x14ac:dyDescent="0.25">
      <c r="A567" s="227">
        <v>44754</v>
      </c>
      <c r="B567" s="228">
        <v>3878.4</v>
      </c>
      <c r="C567" s="228">
        <v>3986.5</v>
      </c>
      <c r="D567" s="228">
        <v>3986.85</v>
      </c>
      <c r="E567" s="228">
        <v>3855</v>
      </c>
      <c r="F567">
        <v>569130</v>
      </c>
      <c r="G567" s="228">
        <v>-2.7199999999999998E-2</v>
      </c>
      <c r="H567" s="228">
        <f>YEAR(AVEU_Historical_Data__2[[#This Row],[Date]])</f>
        <v>2022</v>
      </c>
      <c r="I567" s="228">
        <f>ROUNDUP((MOD(MONTH(AVEU_Historical_Data__2[[#This Row],[Date]])+8,12)+1)/3,0)</f>
        <v>2</v>
      </c>
      <c r="J567" s="228">
        <f>MONTH(AVEU_Historical_Data__2[[#This Row],[Date]])</f>
        <v>7</v>
      </c>
      <c r="K567" s="228"/>
    </row>
    <row r="568" spans="1:11" x14ac:dyDescent="0.25">
      <c r="A568" s="227">
        <v>44755</v>
      </c>
      <c r="B568" s="228">
        <v>3883.35</v>
      </c>
      <c r="C568" s="228">
        <v>3900</v>
      </c>
      <c r="D568" s="228">
        <v>3944</v>
      </c>
      <c r="E568" s="228">
        <v>3870</v>
      </c>
      <c r="F568">
        <v>423700</v>
      </c>
      <c r="G568" s="228">
        <v>1.2999999999999999E-3</v>
      </c>
      <c r="H568" s="228">
        <f>YEAR(AVEU_Historical_Data__2[[#This Row],[Date]])</f>
        <v>2022</v>
      </c>
      <c r="I568" s="228">
        <f>ROUNDUP((MOD(MONTH(AVEU_Historical_Data__2[[#This Row],[Date]])+8,12)+1)/3,0)</f>
        <v>2</v>
      </c>
      <c r="J568" s="228">
        <f>MONTH(AVEU_Historical_Data__2[[#This Row],[Date]])</f>
        <v>7</v>
      </c>
      <c r="K568" s="228"/>
    </row>
    <row r="569" spans="1:11" x14ac:dyDescent="0.25">
      <c r="A569" s="227">
        <v>44756</v>
      </c>
      <c r="B569" s="228">
        <v>3924.85</v>
      </c>
      <c r="C569" s="228">
        <v>3913.9</v>
      </c>
      <c r="D569" s="228">
        <v>3944</v>
      </c>
      <c r="E569" s="228">
        <v>3884</v>
      </c>
      <c r="F569">
        <v>372530</v>
      </c>
      <c r="G569" s="228">
        <v>1.0699999999999999E-2</v>
      </c>
      <c r="H569" s="228">
        <f>YEAR(AVEU_Historical_Data__2[[#This Row],[Date]])</f>
        <v>2022</v>
      </c>
      <c r="I569" s="228">
        <f>ROUNDUP((MOD(MONTH(AVEU_Historical_Data__2[[#This Row],[Date]])+8,12)+1)/3,0)</f>
        <v>2</v>
      </c>
      <c r="J569" s="228">
        <f>MONTH(AVEU_Historical_Data__2[[#This Row],[Date]])</f>
        <v>7</v>
      </c>
      <c r="K569" s="228"/>
    </row>
    <row r="570" spans="1:11" x14ac:dyDescent="0.25">
      <c r="A570" s="227">
        <v>44757</v>
      </c>
      <c r="B570" s="228">
        <v>3926.8</v>
      </c>
      <c r="C570" s="228">
        <v>3925</v>
      </c>
      <c r="D570" s="228">
        <v>3939.9</v>
      </c>
      <c r="E570" s="228">
        <v>3888</v>
      </c>
      <c r="F570">
        <v>194370</v>
      </c>
      <c r="G570" s="228">
        <v>5.0000000000000001E-4</v>
      </c>
      <c r="H570" s="228">
        <f>YEAR(AVEU_Historical_Data__2[[#This Row],[Date]])</f>
        <v>2022</v>
      </c>
      <c r="I570" s="228">
        <f>ROUNDUP((MOD(MONTH(AVEU_Historical_Data__2[[#This Row],[Date]])+8,12)+1)/3,0)</f>
        <v>2</v>
      </c>
      <c r="J570" s="228">
        <f>MONTH(AVEU_Historical_Data__2[[#This Row],[Date]])</f>
        <v>7</v>
      </c>
      <c r="K570" s="228"/>
    </row>
    <row r="571" spans="1:11" x14ac:dyDescent="0.25">
      <c r="A571" s="227">
        <v>44760</v>
      </c>
      <c r="B571" s="228">
        <v>3945.75</v>
      </c>
      <c r="C571" s="228">
        <v>3951</v>
      </c>
      <c r="D571" s="228">
        <v>3968</v>
      </c>
      <c r="E571" s="228">
        <v>3920</v>
      </c>
      <c r="F571">
        <v>287480</v>
      </c>
      <c r="G571" s="228">
        <v>4.7999999999999996E-3</v>
      </c>
      <c r="H571" s="228">
        <f>YEAR(AVEU_Historical_Data__2[[#This Row],[Date]])</f>
        <v>2022</v>
      </c>
      <c r="I571" s="228">
        <f>ROUNDUP((MOD(MONTH(AVEU_Historical_Data__2[[#This Row],[Date]])+8,12)+1)/3,0)</f>
        <v>2</v>
      </c>
      <c r="J571" s="228">
        <f>MONTH(AVEU_Historical_Data__2[[#This Row],[Date]])</f>
        <v>7</v>
      </c>
      <c r="K571" s="228"/>
    </row>
    <row r="572" spans="1:11" x14ac:dyDescent="0.25">
      <c r="A572" s="227">
        <v>44761</v>
      </c>
      <c r="B572" s="228">
        <v>3931.3</v>
      </c>
      <c r="C572" s="228">
        <v>3911</v>
      </c>
      <c r="D572" s="228">
        <v>3942</v>
      </c>
      <c r="E572" s="228">
        <v>3911</v>
      </c>
      <c r="F572">
        <v>169000</v>
      </c>
      <c r="G572" s="228">
        <v>-3.7000000000000002E-3</v>
      </c>
      <c r="H572" s="228">
        <f>YEAR(AVEU_Historical_Data__2[[#This Row],[Date]])</f>
        <v>2022</v>
      </c>
      <c r="I572" s="228">
        <f>ROUNDUP((MOD(MONTH(AVEU_Historical_Data__2[[#This Row],[Date]])+8,12)+1)/3,0)</f>
        <v>2</v>
      </c>
      <c r="J572" s="228">
        <f>MONTH(AVEU_Historical_Data__2[[#This Row],[Date]])</f>
        <v>7</v>
      </c>
      <c r="K572" s="228"/>
    </row>
    <row r="573" spans="1:11" x14ac:dyDescent="0.25">
      <c r="A573" s="227">
        <v>44762</v>
      </c>
      <c r="B573" s="228">
        <v>3915.45</v>
      </c>
      <c r="C573" s="228">
        <v>3960</v>
      </c>
      <c r="D573" s="228">
        <v>3965</v>
      </c>
      <c r="E573" s="228">
        <v>3902</v>
      </c>
      <c r="F573">
        <v>251620</v>
      </c>
      <c r="G573" s="228">
        <v>-4.0000000000000001E-3</v>
      </c>
      <c r="H573" s="228">
        <f>YEAR(AVEU_Historical_Data__2[[#This Row],[Date]])</f>
        <v>2022</v>
      </c>
      <c r="I573" s="228">
        <f>ROUNDUP((MOD(MONTH(AVEU_Historical_Data__2[[#This Row],[Date]])+8,12)+1)/3,0)</f>
        <v>2</v>
      </c>
      <c r="J573" s="228">
        <f>MONTH(AVEU_Historical_Data__2[[#This Row],[Date]])</f>
        <v>7</v>
      </c>
      <c r="K573" s="228"/>
    </row>
    <row r="574" spans="1:11" x14ac:dyDescent="0.25">
      <c r="A574" s="227">
        <v>44763</v>
      </c>
      <c r="B574" s="228">
        <v>4035.35</v>
      </c>
      <c r="C574" s="228">
        <v>3930</v>
      </c>
      <c r="D574" s="228">
        <v>4059</v>
      </c>
      <c r="E574" s="228">
        <v>3920.05</v>
      </c>
      <c r="F574">
        <v>587930</v>
      </c>
      <c r="G574" s="228">
        <v>3.0599999999999999E-2</v>
      </c>
      <c r="H574" s="228">
        <f>YEAR(AVEU_Historical_Data__2[[#This Row],[Date]])</f>
        <v>2022</v>
      </c>
      <c r="I574" s="228">
        <f>ROUNDUP((MOD(MONTH(AVEU_Historical_Data__2[[#This Row],[Date]])+8,12)+1)/3,0)</f>
        <v>2</v>
      </c>
      <c r="J574" s="228">
        <f>MONTH(AVEU_Historical_Data__2[[#This Row],[Date]])</f>
        <v>7</v>
      </c>
      <c r="K574" s="228"/>
    </row>
    <row r="575" spans="1:11" x14ac:dyDescent="0.25">
      <c r="A575" s="227">
        <v>44764</v>
      </c>
      <c r="B575" s="228">
        <v>3963.4</v>
      </c>
      <c r="C575" s="228">
        <v>4070</v>
      </c>
      <c r="D575" s="228">
        <v>4077.9</v>
      </c>
      <c r="E575" s="228">
        <v>3950</v>
      </c>
      <c r="F575">
        <v>457900</v>
      </c>
      <c r="G575" s="228">
        <v>-1.78E-2</v>
      </c>
      <c r="H575" s="228">
        <f>YEAR(AVEU_Historical_Data__2[[#This Row],[Date]])</f>
        <v>2022</v>
      </c>
      <c r="I575" s="228">
        <f>ROUNDUP((MOD(MONTH(AVEU_Historical_Data__2[[#This Row],[Date]])+8,12)+1)/3,0)</f>
        <v>2</v>
      </c>
      <c r="J575" s="228">
        <f>MONTH(AVEU_Historical_Data__2[[#This Row],[Date]])</f>
        <v>7</v>
      </c>
      <c r="K575" s="228"/>
    </row>
    <row r="576" spans="1:11" x14ac:dyDescent="0.25">
      <c r="A576" s="227">
        <v>44767</v>
      </c>
      <c r="B576" s="228">
        <v>4040.05</v>
      </c>
      <c r="C576" s="228">
        <v>3973</v>
      </c>
      <c r="D576" s="228">
        <v>4050</v>
      </c>
      <c r="E576" s="228">
        <v>3935</v>
      </c>
      <c r="F576">
        <v>444450</v>
      </c>
      <c r="G576" s="228">
        <v>1.9300000000000001E-2</v>
      </c>
      <c r="H576" s="228">
        <f>YEAR(AVEU_Historical_Data__2[[#This Row],[Date]])</f>
        <v>2022</v>
      </c>
      <c r="I576" s="228">
        <f>ROUNDUP((MOD(MONTH(AVEU_Historical_Data__2[[#This Row],[Date]])+8,12)+1)/3,0)</f>
        <v>2</v>
      </c>
      <c r="J576" s="228">
        <f>MONTH(AVEU_Historical_Data__2[[#This Row],[Date]])</f>
        <v>7</v>
      </c>
      <c r="K576" s="228"/>
    </row>
    <row r="577" spans="1:11" x14ac:dyDescent="0.25">
      <c r="A577" s="227">
        <v>44768</v>
      </c>
      <c r="B577" s="228">
        <v>3932.4</v>
      </c>
      <c r="C577" s="228">
        <v>4038</v>
      </c>
      <c r="D577" s="228">
        <v>4038</v>
      </c>
      <c r="E577" s="228">
        <v>3909</v>
      </c>
      <c r="F577">
        <v>430990</v>
      </c>
      <c r="G577" s="228">
        <v>-2.6599999999999999E-2</v>
      </c>
      <c r="H577" s="228">
        <f>YEAR(AVEU_Historical_Data__2[[#This Row],[Date]])</f>
        <v>2022</v>
      </c>
      <c r="I577" s="228">
        <f>ROUNDUP((MOD(MONTH(AVEU_Historical_Data__2[[#This Row],[Date]])+8,12)+1)/3,0)</f>
        <v>2</v>
      </c>
      <c r="J577" s="228">
        <f>MONTH(AVEU_Historical_Data__2[[#This Row],[Date]])</f>
        <v>7</v>
      </c>
      <c r="K577" s="228"/>
    </row>
    <row r="578" spans="1:11" x14ac:dyDescent="0.25">
      <c r="A578" s="227">
        <v>44769</v>
      </c>
      <c r="B578" s="228">
        <v>4000.95</v>
      </c>
      <c r="C578" s="228">
        <v>3940</v>
      </c>
      <c r="D578" s="228">
        <v>4010</v>
      </c>
      <c r="E578" s="228">
        <v>3920</v>
      </c>
      <c r="F578">
        <v>245970</v>
      </c>
      <c r="G578" s="228">
        <v>1.7399999999999999E-2</v>
      </c>
      <c r="H578" s="228">
        <f>YEAR(AVEU_Historical_Data__2[[#This Row],[Date]])</f>
        <v>2022</v>
      </c>
      <c r="I578" s="228">
        <f>ROUNDUP((MOD(MONTH(AVEU_Historical_Data__2[[#This Row],[Date]])+8,12)+1)/3,0)</f>
        <v>2</v>
      </c>
      <c r="J578" s="228">
        <f>MONTH(AVEU_Historical_Data__2[[#This Row],[Date]])</f>
        <v>7</v>
      </c>
      <c r="K578" s="228"/>
    </row>
    <row r="579" spans="1:11" x14ac:dyDescent="0.25">
      <c r="A579" s="227">
        <v>44770</v>
      </c>
      <c r="B579" s="228">
        <v>4147.8</v>
      </c>
      <c r="C579" s="228">
        <v>4020</v>
      </c>
      <c r="D579" s="228">
        <v>4164</v>
      </c>
      <c r="E579" s="228">
        <v>4001</v>
      </c>
      <c r="F579">
        <v>725280</v>
      </c>
      <c r="G579" s="228">
        <v>3.6700000000000003E-2</v>
      </c>
      <c r="H579" s="228">
        <f>YEAR(AVEU_Historical_Data__2[[#This Row],[Date]])</f>
        <v>2022</v>
      </c>
      <c r="I579" s="228">
        <f>ROUNDUP((MOD(MONTH(AVEU_Historical_Data__2[[#This Row],[Date]])+8,12)+1)/3,0)</f>
        <v>2</v>
      </c>
      <c r="J579" s="228">
        <f>MONTH(AVEU_Historical_Data__2[[#This Row],[Date]])</f>
        <v>7</v>
      </c>
      <c r="K579" s="228"/>
    </row>
    <row r="580" spans="1:11" x14ac:dyDescent="0.25">
      <c r="A580" s="227">
        <v>44771</v>
      </c>
      <c r="B580" s="228">
        <v>4243.8500000000004</v>
      </c>
      <c r="C580" s="228">
        <v>4215</v>
      </c>
      <c r="D580" s="228">
        <v>4250</v>
      </c>
      <c r="E580" s="228">
        <v>4183.45</v>
      </c>
      <c r="F580">
        <v>514750</v>
      </c>
      <c r="G580" s="228">
        <v>2.3199999999999998E-2</v>
      </c>
      <c r="H580" s="228">
        <f>YEAR(AVEU_Historical_Data__2[[#This Row],[Date]])</f>
        <v>2022</v>
      </c>
      <c r="I580" s="228">
        <f>ROUNDUP((MOD(MONTH(AVEU_Historical_Data__2[[#This Row],[Date]])+8,12)+1)/3,0)</f>
        <v>2</v>
      </c>
      <c r="J580" s="228">
        <f>MONTH(AVEU_Historical_Data__2[[#This Row],[Date]])</f>
        <v>7</v>
      </c>
      <c r="K580" s="228"/>
    </row>
    <row r="581" spans="1:11" x14ac:dyDescent="0.25">
      <c r="A581" s="227">
        <v>44774</v>
      </c>
      <c r="B581" s="228">
        <v>4307.6499999999996</v>
      </c>
      <c r="C581" s="228">
        <v>4251.95</v>
      </c>
      <c r="D581" s="228">
        <v>4317</v>
      </c>
      <c r="E581" s="228">
        <v>4246.5</v>
      </c>
      <c r="F581">
        <v>399730</v>
      </c>
      <c r="G581" s="228">
        <v>1.4999999999999999E-2</v>
      </c>
      <c r="H581" s="228">
        <f>YEAR(AVEU_Historical_Data__2[[#This Row],[Date]])</f>
        <v>2022</v>
      </c>
      <c r="I581" s="228">
        <f>ROUNDUP((MOD(MONTH(AVEU_Historical_Data__2[[#This Row],[Date]])+8,12)+1)/3,0)</f>
        <v>2</v>
      </c>
      <c r="J581" s="228">
        <f>MONTH(AVEU_Historical_Data__2[[#This Row],[Date]])</f>
        <v>8</v>
      </c>
      <c r="K581" s="228"/>
    </row>
    <row r="582" spans="1:11" x14ac:dyDescent="0.25">
      <c r="A582" s="227">
        <v>44775</v>
      </c>
      <c r="B582" s="228">
        <v>4259.1000000000004</v>
      </c>
      <c r="C582" s="228">
        <v>4306</v>
      </c>
      <c r="D582" s="228">
        <v>4306</v>
      </c>
      <c r="E582" s="228">
        <v>4235.05</v>
      </c>
      <c r="F582">
        <v>311280</v>
      </c>
      <c r="G582" s="228">
        <v>-1.1299999999999999E-2</v>
      </c>
      <c r="H582" s="228">
        <f>YEAR(AVEU_Historical_Data__2[[#This Row],[Date]])</f>
        <v>2022</v>
      </c>
      <c r="I582" s="228">
        <f>ROUNDUP((MOD(MONTH(AVEU_Historical_Data__2[[#This Row],[Date]])+8,12)+1)/3,0)</f>
        <v>2</v>
      </c>
      <c r="J582" s="228">
        <f>MONTH(AVEU_Historical_Data__2[[#This Row],[Date]])</f>
        <v>8</v>
      </c>
      <c r="K582" s="228"/>
    </row>
    <row r="583" spans="1:11" x14ac:dyDescent="0.25">
      <c r="A583" s="227">
        <v>44776</v>
      </c>
      <c r="B583" s="228">
        <v>4253.1499999999996</v>
      </c>
      <c r="C583" s="228">
        <v>4251</v>
      </c>
      <c r="D583" s="228">
        <v>4298</v>
      </c>
      <c r="E583" s="228">
        <v>4180.1000000000004</v>
      </c>
      <c r="F583">
        <v>289000</v>
      </c>
      <c r="G583" s="228">
        <v>-1.4E-3</v>
      </c>
      <c r="H583" s="228">
        <f>YEAR(AVEU_Historical_Data__2[[#This Row],[Date]])</f>
        <v>2022</v>
      </c>
      <c r="I583" s="228">
        <f>ROUNDUP((MOD(MONTH(AVEU_Historical_Data__2[[#This Row],[Date]])+8,12)+1)/3,0)</f>
        <v>2</v>
      </c>
      <c r="J583" s="228">
        <f>MONTH(AVEU_Historical_Data__2[[#This Row],[Date]])</f>
        <v>8</v>
      </c>
      <c r="K583" s="228"/>
    </row>
    <row r="584" spans="1:11" x14ac:dyDescent="0.25">
      <c r="A584" s="227">
        <v>44777</v>
      </c>
      <c r="B584" s="228">
        <v>4239.1000000000004</v>
      </c>
      <c r="C584" s="228">
        <v>4268</v>
      </c>
      <c r="D584" s="228">
        <v>4314.8999999999996</v>
      </c>
      <c r="E584" s="228">
        <v>4175</v>
      </c>
      <c r="F584">
        <v>593270</v>
      </c>
      <c r="G584" s="228">
        <v>-3.3E-3</v>
      </c>
      <c r="H584" s="228">
        <f>YEAR(AVEU_Historical_Data__2[[#This Row],[Date]])</f>
        <v>2022</v>
      </c>
      <c r="I584" s="228">
        <f>ROUNDUP((MOD(MONTH(AVEU_Historical_Data__2[[#This Row],[Date]])+8,12)+1)/3,0)</f>
        <v>2</v>
      </c>
      <c r="J584" s="228">
        <f>MONTH(AVEU_Historical_Data__2[[#This Row],[Date]])</f>
        <v>8</v>
      </c>
      <c r="K584" s="228"/>
    </row>
    <row r="585" spans="1:11" x14ac:dyDescent="0.25">
      <c r="A585" s="227">
        <v>44778</v>
      </c>
      <c r="B585" s="228">
        <v>4232.25</v>
      </c>
      <c r="C585" s="228">
        <v>4238</v>
      </c>
      <c r="D585" s="228">
        <v>4295</v>
      </c>
      <c r="E585" s="228">
        <v>4187.1499999999996</v>
      </c>
      <c r="F585">
        <v>528880</v>
      </c>
      <c r="G585" s="228">
        <v>-1.6000000000000001E-3</v>
      </c>
      <c r="H585" s="228">
        <f>YEAR(AVEU_Historical_Data__2[[#This Row],[Date]])</f>
        <v>2022</v>
      </c>
      <c r="I585" s="228">
        <f>ROUNDUP((MOD(MONTH(AVEU_Historical_Data__2[[#This Row],[Date]])+8,12)+1)/3,0)</f>
        <v>2</v>
      </c>
      <c r="J585" s="228">
        <f>MONTH(AVEU_Historical_Data__2[[#This Row],[Date]])</f>
        <v>8</v>
      </c>
      <c r="K585" s="228"/>
    </row>
    <row r="586" spans="1:11" x14ac:dyDescent="0.25">
      <c r="A586" s="227">
        <v>44781</v>
      </c>
      <c r="B586" s="228">
        <v>4250.05</v>
      </c>
      <c r="C586" s="228">
        <v>4237.3999999999996</v>
      </c>
      <c r="D586" s="228">
        <v>4267.3999999999996</v>
      </c>
      <c r="E586" s="228">
        <v>4233</v>
      </c>
      <c r="F586">
        <v>200010</v>
      </c>
      <c r="G586" s="228">
        <v>4.1999999999999997E-3</v>
      </c>
      <c r="H586" s="228">
        <f>YEAR(AVEU_Historical_Data__2[[#This Row],[Date]])</f>
        <v>2022</v>
      </c>
      <c r="I586" s="228">
        <f>ROUNDUP((MOD(MONTH(AVEU_Historical_Data__2[[#This Row],[Date]])+8,12)+1)/3,0)</f>
        <v>2</v>
      </c>
      <c r="J586" s="228">
        <f>MONTH(AVEU_Historical_Data__2[[#This Row],[Date]])</f>
        <v>8</v>
      </c>
      <c r="K586" s="228"/>
    </row>
    <row r="587" spans="1:11" x14ac:dyDescent="0.25">
      <c r="A587" s="227">
        <v>44783</v>
      </c>
      <c r="B587" s="228">
        <v>4250.7</v>
      </c>
      <c r="C587" s="228">
        <v>4250.05</v>
      </c>
      <c r="D587" s="228">
        <v>4278.95</v>
      </c>
      <c r="E587" s="228">
        <v>4219.8500000000004</v>
      </c>
      <c r="F587">
        <v>238240</v>
      </c>
      <c r="G587" s="228">
        <v>2.0000000000000001E-4</v>
      </c>
      <c r="H587" s="228">
        <f>YEAR(AVEU_Historical_Data__2[[#This Row],[Date]])</f>
        <v>2022</v>
      </c>
      <c r="I587" s="228">
        <f>ROUNDUP((MOD(MONTH(AVEU_Historical_Data__2[[#This Row],[Date]])+8,12)+1)/3,0)</f>
        <v>2</v>
      </c>
      <c r="J587" s="228">
        <f>MONTH(AVEU_Historical_Data__2[[#This Row],[Date]])</f>
        <v>8</v>
      </c>
      <c r="K587" s="228"/>
    </row>
    <row r="588" spans="1:11" x14ac:dyDescent="0.25">
      <c r="A588" s="227">
        <v>44784</v>
      </c>
      <c r="B588" s="228">
        <v>4274.8500000000004</v>
      </c>
      <c r="C588" s="228">
        <v>4280</v>
      </c>
      <c r="D588" s="228">
        <v>4295</v>
      </c>
      <c r="E588" s="228">
        <v>4260</v>
      </c>
      <c r="F588">
        <v>246090</v>
      </c>
      <c r="G588" s="228">
        <v>5.7000000000000002E-3</v>
      </c>
      <c r="H588" s="228">
        <f>YEAR(AVEU_Historical_Data__2[[#This Row],[Date]])</f>
        <v>2022</v>
      </c>
      <c r="I588" s="228">
        <f>ROUNDUP((MOD(MONTH(AVEU_Historical_Data__2[[#This Row],[Date]])+8,12)+1)/3,0)</f>
        <v>2</v>
      </c>
      <c r="J588" s="228">
        <f>MONTH(AVEU_Historical_Data__2[[#This Row],[Date]])</f>
        <v>8</v>
      </c>
      <c r="K588" s="228"/>
    </row>
    <row r="589" spans="1:11" x14ac:dyDescent="0.25">
      <c r="A589" s="227">
        <v>44785</v>
      </c>
      <c r="B589" s="228">
        <v>4336.7</v>
      </c>
      <c r="C589" s="228">
        <v>4274.8500000000004</v>
      </c>
      <c r="D589" s="228">
        <v>4387</v>
      </c>
      <c r="E589" s="228">
        <v>4255</v>
      </c>
      <c r="F589">
        <v>448300</v>
      </c>
      <c r="G589" s="228">
        <v>1.4500000000000001E-2</v>
      </c>
      <c r="H589" s="228">
        <f>YEAR(AVEU_Historical_Data__2[[#This Row],[Date]])</f>
        <v>2022</v>
      </c>
      <c r="I589" s="228">
        <f>ROUNDUP((MOD(MONTH(AVEU_Historical_Data__2[[#This Row],[Date]])+8,12)+1)/3,0)</f>
        <v>2</v>
      </c>
      <c r="J589" s="228">
        <f>MONTH(AVEU_Historical_Data__2[[#This Row],[Date]])</f>
        <v>8</v>
      </c>
      <c r="K589" s="228"/>
    </row>
    <row r="590" spans="1:11" x14ac:dyDescent="0.25">
      <c r="A590" s="227">
        <v>44789</v>
      </c>
      <c r="B590" s="228">
        <v>4402.1000000000004</v>
      </c>
      <c r="C590" s="228">
        <v>4355</v>
      </c>
      <c r="D590" s="228">
        <v>4412</v>
      </c>
      <c r="E590" s="228">
        <v>4350.55</v>
      </c>
      <c r="F590">
        <v>290410</v>
      </c>
      <c r="G590" s="228">
        <v>1.5100000000000001E-2</v>
      </c>
      <c r="H590" s="228">
        <f>YEAR(AVEU_Historical_Data__2[[#This Row],[Date]])</f>
        <v>2022</v>
      </c>
      <c r="I590" s="228">
        <f>ROUNDUP((MOD(MONTH(AVEU_Historical_Data__2[[#This Row],[Date]])+8,12)+1)/3,0)</f>
        <v>2</v>
      </c>
      <c r="J590" s="228">
        <f>MONTH(AVEU_Historical_Data__2[[#This Row],[Date]])</f>
        <v>8</v>
      </c>
      <c r="K590" s="228"/>
    </row>
    <row r="591" spans="1:11" x14ac:dyDescent="0.25">
      <c r="A591" s="227">
        <v>44790</v>
      </c>
      <c r="B591" s="228">
        <v>4398.6499999999996</v>
      </c>
      <c r="C591" s="228">
        <v>4422</v>
      </c>
      <c r="D591" s="228">
        <v>4438</v>
      </c>
      <c r="E591" s="228">
        <v>4370</v>
      </c>
      <c r="F591">
        <v>316830</v>
      </c>
      <c r="G591" s="228">
        <v>-8.0000000000000004E-4</v>
      </c>
      <c r="H591" s="228">
        <f>YEAR(AVEU_Historical_Data__2[[#This Row],[Date]])</f>
        <v>2022</v>
      </c>
      <c r="I591" s="228">
        <f>ROUNDUP((MOD(MONTH(AVEU_Historical_Data__2[[#This Row],[Date]])+8,12)+1)/3,0)</f>
        <v>2</v>
      </c>
      <c r="J591" s="228">
        <f>MONTH(AVEU_Historical_Data__2[[#This Row],[Date]])</f>
        <v>8</v>
      </c>
      <c r="K591" s="228"/>
    </row>
    <row r="592" spans="1:11" x14ac:dyDescent="0.25">
      <c r="A592" s="227">
        <v>44791</v>
      </c>
      <c r="B592" s="228">
        <v>4460.95</v>
      </c>
      <c r="C592" s="228">
        <v>4425</v>
      </c>
      <c r="D592" s="228">
        <v>4493.1000000000004</v>
      </c>
      <c r="E592" s="228">
        <v>4401.05</v>
      </c>
      <c r="F592">
        <v>468550</v>
      </c>
      <c r="G592" s="228">
        <v>1.4200000000000001E-2</v>
      </c>
      <c r="H592" s="228">
        <f>YEAR(AVEU_Historical_Data__2[[#This Row],[Date]])</f>
        <v>2022</v>
      </c>
      <c r="I592" s="228">
        <f>ROUNDUP((MOD(MONTH(AVEU_Historical_Data__2[[#This Row],[Date]])+8,12)+1)/3,0)</f>
        <v>2</v>
      </c>
      <c r="J592" s="228">
        <f>MONTH(AVEU_Historical_Data__2[[#This Row],[Date]])</f>
        <v>8</v>
      </c>
      <c r="K592" s="228"/>
    </row>
    <row r="593" spans="1:11" x14ac:dyDescent="0.25">
      <c r="A593" s="227">
        <v>44792</v>
      </c>
      <c r="B593" s="228">
        <v>4382</v>
      </c>
      <c r="C593" s="228">
        <v>4487</v>
      </c>
      <c r="D593" s="228">
        <v>4523.5</v>
      </c>
      <c r="E593" s="228">
        <v>4352.75</v>
      </c>
      <c r="F593">
        <v>437760</v>
      </c>
      <c r="G593" s="228">
        <v>-1.77E-2</v>
      </c>
      <c r="H593" s="228">
        <f>YEAR(AVEU_Historical_Data__2[[#This Row],[Date]])</f>
        <v>2022</v>
      </c>
      <c r="I593" s="228">
        <f>ROUNDUP((MOD(MONTH(AVEU_Historical_Data__2[[#This Row],[Date]])+8,12)+1)/3,0)</f>
        <v>2</v>
      </c>
      <c r="J593" s="228">
        <f>MONTH(AVEU_Historical_Data__2[[#This Row],[Date]])</f>
        <v>8</v>
      </c>
      <c r="K593" s="228"/>
    </row>
    <row r="594" spans="1:11" x14ac:dyDescent="0.25">
      <c r="A594" s="227">
        <v>44795</v>
      </c>
      <c r="B594" s="228">
        <v>4250.75</v>
      </c>
      <c r="C594" s="228">
        <v>4371</v>
      </c>
      <c r="D594" s="228">
        <v>4371</v>
      </c>
      <c r="E594" s="228">
        <v>4231</v>
      </c>
      <c r="F594">
        <v>330920</v>
      </c>
      <c r="G594" s="228">
        <v>-0.03</v>
      </c>
      <c r="H594" s="228">
        <f>YEAR(AVEU_Historical_Data__2[[#This Row],[Date]])</f>
        <v>2022</v>
      </c>
      <c r="I594" s="228">
        <f>ROUNDUP((MOD(MONTH(AVEU_Historical_Data__2[[#This Row],[Date]])+8,12)+1)/3,0)</f>
        <v>2</v>
      </c>
      <c r="J594" s="228">
        <f>MONTH(AVEU_Historical_Data__2[[#This Row],[Date]])</f>
        <v>8</v>
      </c>
      <c r="K594" s="228"/>
    </row>
    <row r="595" spans="1:11" x14ac:dyDescent="0.25">
      <c r="A595" s="227">
        <v>44796</v>
      </c>
      <c r="B595" s="228">
        <v>4256.95</v>
      </c>
      <c r="C595" s="228">
        <v>4195</v>
      </c>
      <c r="D595" s="228">
        <v>4301</v>
      </c>
      <c r="E595" s="228">
        <v>4170.55</v>
      </c>
      <c r="F595">
        <v>285840</v>
      </c>
      <c r="G595" s="228">
        <v>1.5E-3</v>
      </c>
      <c r="H595" s="228">
        <f>YEAR(AVEU_Historical_Data__2[[#This Row],[Date]])</f>
        <v>2022</v>
      </c>
      <c r="I595" s="228">
        <f>ROUNDUP((MOD(MONTH(AVEU_Historical_Data__2[[#This Row],[Date]])+8,12)+1)/3,0)</f>
        <v>2</v>
      </c>
      <c r="J595" s="228">
        <f>MONTH(AVEU_Historical_Data__2[[#This Row],[Date]])</f>
        <v>8</v>
      </c>
      <c r="K595" s="228"/>
    </row>
    <row r="596" spans="1:11" x14ac:dyDescent="0.25">
      <c r="A596" s="227">
        <v>44797</v>
      </c>
      <c r="B596" s="228">
        <v>4304.25</v>
      </c>
      <c r="C596" s="228">
        <v>4269</v>
      </c>
      <c r="D596" s="228">
        <v>4356</v>
      </c>
      <c r="E596" s="228">
        <v>4266</v>
      </c>
      <c r="F596">
        <v>270840</v>
      </c>
      <c r="G596" s="228">
        <v>1.11E-2</v>
      </c>
      <c r="H596" s="228">
        <f>YEAR(AVEU_Historical_Data__2[[#This Row],[Date]])</f>
        <v>2022</v>
      </c>
      <c r="I596" s="228">
        <f>ROUNDUP((MOD(MONTH(AVEU_Historical_Data__2[[#This Row],[Date]])+8,12)+1)/3,0)</f>
        <v>2</v>
      </c>
      <c r="J596" s="228">
        <f>MONTH(AVEU_Historical_Data__2[[#This Row],[Date]])</f>
        <v>8</v>
      </c>
      <c r="K596" s="228"/>
    </row>
    <row r="597" spans="1:11" x14ac:dyDescent="0.25">
      <c r="A597" s="227">
        <v>44798</v>
      </c>
      <c r="B597" s="228">
        <v>4341.25</v>
      </c>
      <c r="C597" s="228">
        <v>4339.8999999999996</v>
      </c>
      <c r="D597" s="228">
        <v>4394</v>
      </c>
      <c r="E597" s="228">
        <v>4312.05</v>
      </c>
      <c r="F597">
        <v>246540</v>
      </c>
      <c r="G597" s="228">
        <v>8.6E-3</v>
      </c>
      <c r="H597" s="228">
        <f>YEAR(AVEU_Historical_Data__2[[#This Row],[Date]])</f>
        <v>2022</v>
      </c>
      <c r="I597" s="228">
        <f>ROUNDUP((MOD(MONTH(AVEU_Historical_Data__2[[#This Row],[Date]])+8,12)+1)/3,0)</f>
        <v>2</v>
      </c>
      <c r="J597" s="228">
        <f>MONTH(AVEU_Historical_Data__2[[#This Row],[Date]])</f>
        <v>8</v>
      </c>
      <c r="K597" s="228"/>
    </row>
    <row r="598" spans="1:11" x14ac:dyDescent="0.25">
      <c r="A598" s="227">
        <v>44799</v>
      </c>
      <c r="B598" s="228">
        <v>4409.6499999999996</v>
      </c>
      <c r="C598" s="228">
        <v>4384</v>
      </c>
      <c r="D598" s="228">
        <v>4414.5</v>
      </c>
      <c r="E598" s="228">
        <v>4370.05</v>
      </c>
      <c r="F598">
        <v>202950</v>
      </c>
      <c r="G598" s="228">
        <v>1.5800000000000002E-2</v>
      </c>
      <c r="H598" s="228">
        <f>YEAR(AVEU_Historical_Data__2[[#This Row],[Date]])</f>
        <v>2022</v>
      </c>
      <c r="I598" s="228">
        <f>ROUNDUP((MOD(MONTH(AVEU_Historical_Data__2[[#This Row],[Date]])+8,12)+1)/3,0)</f>
        <v>2</v>
      </c>
      <c r="J598" s="228">
        <f>MONTH(AVEU_Historical_Data__2[[#This Row],[Date]])</f>
        <v>8</v>
      </c>
      <c r="K598" s="228"/>
    </row>
    <row r="599" spans="1:11" x14ac:dyDescent="0.25">
      <c r="A599" s="227">
        <v>44802</v>
      </c>
      <c r="B599" s="228">
        <v>4431.55</v>
      </c>
      <c r="C599" s="228">
        <v>4270</v>
      </c>
      <c r="D599" s="228">
        <v>4450</v>
      </c>
      <c r="E599" s="228">
        <v>4270</v>
      </c>
      <c r="F599">
        <v>352550</v>
      </c>
      <c r="G599" s="228">
        <v>5.0000000000000001E-3</v>
      </c>
      <c r="H599" s="228">
        <f>YEAR(AVEU_Historical_Data__2[[#This Row],[Date]])</f>
        <v>2022</v>
      </c>
      <c r="I599" s="228">
        <f>ROUNDUP((MOD(MONTH(AVEU_Historical_Data__2[[#This Row],[Date]])+8,12)+1)/3,0)</f>
        <v>2</v>
      </c>
      <c r="J599" s="228">
        <f>MONTH(AVEU_Historical_Data__2[[#This Row],[Date]])</f>
        <v>8</v>
      </c>
      <c r="K599" s="228"/>
    </row>
    <row r="600" spans="1:11" x14ac:dyDescent="0.25">
      <c r="A600" s="227">
        <v>44803</v>
      </c>
      <c r="B600" s="228">
        <v>4531.3500000000004</v>
      </c>
      <c r="C600" s="228">
        <v>4475</v>
      </c>
      <c r="D600" s="228">
        <v>4550</v>
      </c>
      <c r="E600" s="228">
        <v>4460.3</v>
      </c>
      <c r="F600">
        <v>426170</v>
      </c>
      <c r="G600" s="228">
        <v>2.2499999999999999E-2</v>
      </c>
      <c r="H600" s="228">
        <f>YEAR(AVEU_Historical_Data__2[[#This Row],[Date]])</f>
        <v>2022</v>
      </c>
      <c r="I600" s="228">
        <f>ROUNDUP((MOD(MONTH(AVEU_Historical_Data__2[[#This Row],[Date]])+8,12)+1)/3,0)</f>
        <v>2</v>
      </c>
      <c r="J600" s="228">
        <f>MONTH(AVEU_Historical_Data__2[[#This Row],[Date]])</f>
        <v>8</v>
      </c>
      <c r="K600" s="228"/>
    </row>
    <row r="601" spans="1:11" x14ac:dyDescent="0.25">
      <c r="A601" s="227">
        <v>44805</v>
      </c>
      <c r="B601" s="228">
        <v>4565.8500000000004</v>
      </c>
      <c r="C601" s="228">
        <v>4494</v>
      </c>
      <c r="D601" s="228">
        <v>4599.3999999999996</v>
      </c>
      <c r="E601" s="228">
        <v>4462</v>
      </c>
      <c r="F601">
        <v>431840</v>
      </c>
      <c r="G601" s="228">
        <v>7.6E-3</v>
      </c>
      <c r="H601" s="228">
        <f>YEAR(AVEU_Historical_Data__2[[#This Row],[Date]])</f>
        <v>2022</v>
      </c>
      <c r="I601" s="228">
        <f>ROUNDUP((MOD(MONTH(AVEU_Historical_Data__2[[#This Row],[Date]])+8,12)+1)/3,0)</f>
        <v>2</v>
      </c>
      <c r="J601" s="228">
        <f>MONTH(AVEU_Historical_Data__2[[#This Row],[Date]])</f>
        <v>9</v>
      </c>
      <c r="K601" s="228"/>
    </row>
    <row r="602" spans="1:11" x14ac:dyDescent="0.25">
      <c r="A602" s="227">
        <v>44806</v>
      </c>
      <c r="B602" s="228">
        <v>4576.8</v>
      </c>
      <c r="C602" s="228">
        <v>4572.8999999999996</v>
      </c>
      <c r="D602" s="228">
        <v>4609</v>
      </c>
      <c r="E602" s="228">
        <v>4511</v>
      </c>
      <c r="F602">
        <v>268700</v>
      </c>
      <c r="G602" s="228">
        <v>2.3999999999999998E-3</v>
      </c>
      <c r="H602" s="228">
        <f>YEAR(AVEU_Historical_Data__2[[#This Row],[Date]])</f>
        <v>2022</v>
      </c>
      <c r="I602" s="228">
        <f>ROUNDUP((MOD(MONTH(AVEU_Historical_Data__2[[#This Row],[Date]])+8,12)+1)/3,0)</f>
        <v>2</v>
      </c>
      <c r="J602" s="228">
        <f>MONTH(AVEU_Historical_Data__2[[#This Row],[Date]])</f>
        <v>9</v>
      </c>
      <c r="K602" s="228"/>
    </row>
    <row r="603" spans="1:11" x14ac:dyDescent="0.25">
      <c r="A603" s="227">
        <v>44809</v>
      </c>
      <c r="B603" s="228">
        <v>4577.45</v>
      </c>
      <c r="C603" s="228">
        <v>4584.8</v>
      </c>
      <c r="D603" s="228">
        <v>4606.1499999999996</v>
      </c>
      <c r="E603" s="228">
        <v>4550</v>
      </c>
      <c r="F603">
        <v>216540</v>
      </c>
      <c r="G603" s="228">
        <v>1E-4</v>
      </c>
      <c r="H603" s="228">
        <f>YEAR(AVEU_Historical_Data__2[[#This Row],[Date]])</f>
        <v>2022</v>
      </c>
      <c r="I603" s="228">
        <f>ROUNDUP((MOD(MONTH(AVEU_Historical_Data__2[[#This Row],[Date]])+8,12)+1)/3,0)</f>
        <v>2</v>
      </c>
      <c r="J603" s="228">
        <f>MONTH(AVEU_Historical_Data__2[[#This Row],[Date]])</f>
        <v>9</v>
      </c>
      <c r="K603" s="228"/>
    </row>
    <row r="604" spans="1:11" x14ac:dyDescent="0.25">
      <c r="A604" s="227">
        <v>44810</v>
      </c>
      <c r="B604" s="228">
        <v>4557.1000000000004</v>
      </c>
      <c r="C604" s="228">
        <v>4599</v>
      </c>
      <c r="D604" s="228">
        <v>4603.95</v>
      </c>
      <c r="E604" s="228">
        <v>4531</v>
      </c>
      <c r="F604">
        <v>258980.00000000003</v>
      </c>
      <c r="G604" s="228">
        <v>-4.4000000000000003E-3</v>
      </c>
      <c r="H604" s="228">
        <f>YEAR(AVEU_Historical_Data__2[[#This Row],[Date]])</f>
        <v>2022</v>
      </c>
      <c r="I604" s="228">
        <f>ROUNDUP((MOD(MONTH(AVEU_Historical_Data__2[[#This Row],[Date]])+8,12)+1)/3,0)</f>
        <v>2</v>
      </c>
      <c r="J604" s="228">
        <f>MONTH(AVEU_Historical_Data__2[[#This Row],[Date]])</f>
        <v>9</v>
      </c>
      <c r="K604" s="228"/>
    </row>
    <row r="605" spans="1:11" x14ac:dyDescent="0.25">
      <c r="A605" s="227">
        <v>44811</v>
      </c>
      <c r="B605" s="228">
        <v>4426.3</v>
      </c>
      <c r="C605" s="228">
        <v>4532</v>
      </c>
      <c r="D605" s="228">
        <v>4548</v>
      </c>
      <c r="E605" s="228">
        <v>4402.3</v>
      </c>
      <c r="F605">
        <v>322460</v>
      </c>
      <c r="G605" s="228">
        <v>-2.87E-2</v>
      </c>
      <c r="H605" s="228">
        <f>YEAR(AVEU_Historical_Data__2[[#This Row],[Date]])</f>
        <v>2022</v>
      </c>
      <c r="I605" s="228">
        <f>ROUNDUP((MOD(MONTH(AVEU_Historical_Data__2[[#This Row],[Date]])+8,12)+1)/3,0)</f>
        <v>2</v>
      </c>
      <c r="J605" s="228">
        <f>MONTH(AVEU_Historical_Data__2[[#This Row],[Date]])</f>
        <v>9</v>
      </c>
      <c r="K605" s="228"/>
    </row>
    <row r="606" spans="1:11" x14ac:dyDescent="0.25">
      <c r="A606" s="227">
        <v>44812</v>
      </c>
      <c r="B606" s="228">
        <v>4406.05</v>
      </c>
      <c r="C606" s="228">
        <v>4499</v>
      </c>
      <c r="D606" s="228">
        <v>4499</v>
      </c>
      <c r="E606" s="228">
        <v>4390</v>
      </c>
      <c r="F606">
        <v>214780</v>
      </c>
      <c r="G606" s="228">
        <v>-4.5999999999999999E-3</v>
      </c>
      <c r="H606" s="228">
        <f>YEAR(AVEU_Historical_Data__2[[#This Row],[Date]])</f>
        <v>2022</v>
      </c>
      <c r="I606" s="228">
        <f>ROUNDUP((MOD(MONTH(AVEU_Historical_Data__2[[#This Row],[Date]])+8,12)+1)/3,0)</f>
        <v>2</v>
      </c>
      <c r="J606" s="228">
        <f>MONTH(AVEU_Historical_Data__2[[#This Row],[Date]])</f>
        <v>9</v>
      </c>
      <c r="K606" s="228"/>
    </row>
    <row r="607" spans="1:11" x14ac:dyDescent="0.25">
      <c r="A607" s="227">
        <v>44813</v>
      </c>
      <c r="B607" s="228">
        <v>4386.1000000000004</v>
      </c>
      <c r="C607" s="228">
        <v>4448.55</v>
      </c>
      <c r="D607" s="228">
        <v>4448.55</v>
      </c>
      <c r="E607" s="228">
        <v>4370</v>
      </c>
      <c r="F607">
        <v>210600</v>
      </c>
      <c r="G607" s="228">
        <v>-4.4999999999999997E-3</v>
      </c>
      <c r="H607" s="228">
        <f>YEAR(AVEU_Historical_Data__2[[#This Row],[Date]])</f>
        <v>2022</v>
      </c>
      <c r="I607" s="228">
        <f>ROUNDUP((MOD(MONTH(AVEU_Historical_Data__2[[#This Row],[Date]])+8,12)+1)/3,0)</f>
        <v>2</v>
      </c>
      <c r="J607" s="228">
        <f>MONTH(AVEU_Historical_Data__2[[#This Row],[Date]])</f>
        <v>9</v>
      </c>
      <c r="K607" s="228"/>
    </row>
    <row r="608" spans="1:11" x14ac:dyDescent="0.25">
      <c r="A608" s="227">
        <v>44816</v>
      </c>
      <c r="B608" s="228">
        <v>4443.95</v>
      </c>
      <c r="C608" s="228">
        <v>4440</v>
      </c>
      <c r="D608" s="228">
        <v>4475</v>
      </c>
      <c r="E608" s="228">
        <v>4400</v>
      </c>
      <c r="F608">
        <v>252380</v>
      </c>
      <c r="G608" s="228">
        <v>1.32E-2</v>
      </c>
      <c r="H608" s="228">
        <f>YEAR(AVEU_Historical_Data__2[[#This Row],[Date]])</f>
        <v>2022</v>
      </c>
      <c r="I608" s="228">
        <f>ROUNDUP((MOD(MONTH(AVEU_Historical_Data__2[[#This Row],[Date]])+8,12)+1)/3,0)</f>
        <v>2</v>
      </c>
      <c r="J608" s="228">
        <f>MONTH(AVEU_Historical_Data__2[[#This Row],[Date]])</f>
        <v>9</v>
      </c>
      <c r="K608" s="228"/>
    </row>
    <row r="609" spans="1:11" x14ac:dyDescent="0.25">
      <c r="A609" s="227">
        <v>44817</v>
      </c>
      <c r="B609" s="228">
        <v>4493.25</v>
      </c>
      <c r="C609" s="228">
        <v>4470</v>
      </c>
      <c r="D609" s="228">
        <v>4510</v>
      </c>
      <c r="E609" s="228">
        <v>4447.8</v>
      </c>
      <c r="F609">
        <v>293080</v>
      </c>
      <c r="G609" s="228">
        <v>1.11E-2</v>
      </c>
      <c r="H609" s="228">
        <f>YEAR(AVEU_Historical_Data__2[[#This Row],[Date]])</f>
        <v>2022</v>
      </c>
      <c r="I609" s="228">
        <f>ROUNDUP((MOD(MONTH(AVEU_Historical_Data__2[[#This Row],[Date]])+8,12)+1)/3,0)</f>
        <v>2</v>
      </c>
      <c r="J609" s="228">
        <f>MONTH(AVEU_Historical_Data__2[[#This Row],[Date]])</f>
        <v>9</v>
      </c>
      <c r="K609" s="228"/>
    </row>
    <row r="610" spans="1:11" x14ac:dyDescent="0.25">
      <c r="A610" s="227">
        <v>44818</v>
      </c>
      <c r="B610" s="228">
        <v>4478.25</v>
      </c>
      <c r="C610" s="228">
        <v>4450</v>
      </c>
      <c r="D610" s="228">
        <v>4518</v>
      </c>
      <c r="E610" s="228">
        <v>4426.1499999999996</v>
      </c>
      <c r="F610">
        <v>268510</v>
      </c>
      <c r="G610" s="228">
        <v>-3.3E-3</v>
      </c>
      <c r="H610" s="228">
        <f>YEAR(AVEU_Historical_Data__2[[#This Row],[Date]])</f>
        <v>2022</v>
      </c>
      <c r="I610" s="228">
        <f>ROUNDUP((MOD(MONTH(AVEU_Historical_Data__2[[#This Row],[Date]])+8,12)+1)/3,0)</f>
        <v>2</v>
      </c>
      <c r="J610" s="228">
        <f>MONTH(AVEU_Historical_Data__2[[#This Row],[Date]])</f>
        <v>9</v>
      </c>
      <c r="K610" s="228"/>
    </row>
    <row r="611" spans="1:11" x14ac:dyDescent="0.25">
      <c r="A611" s="227">
        <v>44819</v>
      </c>
      <c r="B611" s="228">
        <v>4525.8500000000004</v>
      </c>
      <c r="C611" s="228">
        <v>4499</v>
      </c>
      <c r="D611" s="228">
        <v>4539</v>
      </c>
      <c r="E611" s="228">
        <v>4475</v>
      </c>
      <c r="F611">
        <v>221680</v>
      </c>
      <c r="G611" s="228">
        <v>1.06E-2</v>
      </c>
      <c r="H611" s="228">
        <f>YEAR(AVEU_Historical_Data__2[[#This Row],[Date]])</f>
        <v>2022</v>
      </c>
      <c r="I611" s="228">
        <f>ROUNDUP((MOD(MONTH(AVEU_Historical_Data__2[[#This Row],[Date]])+8,12)+1)/3,0)</f>
        <v>2</v>
      </c>
      <c r="J611" s="228">
        <f>MONTH(AVEU_Historical_Data__2[[#This Row],[Date]])</f>
        <v>9</v>
      </c>
      <c r="K611" s="228"/>
    </row>
    <row r="612" spans="1:11" x14ac:dyDescent="0.25">
      <c r="A612" s="227">
        <v>44820</v>
      </c>
      <c r="B612" s="228">
        <v>4327.55</v>
      </c>
      <c r="C612" s="228">
        <v>4528.8999999999996</v>
      </c>
      <c r="D612" s="228">
        <v>4550</v>
      </c>
      <c r="E612" s="228">
        <v>4285.3999999999996</v>
      </c>
      <c r="F612">
        <v>584160</v>
      </c>
      <c r="G612" s="228">
        <v>-4.3799999999999999E-2</v>
      </c>
      <c r="H612" s="228">
        <f>YEAR(AVEU_Historical_Data__2[[#This Row],[Date]])</f>
        <v>2022</v>
      </c>
      <c r="I612" s="228">
        <f>ROUNDUP((MOD(MONTH(AVEU_Historical_Data__2[[#This Row],[Date]])+8,12)+1)/3,0)</f>
        <v>2</v>
      </c>
      <c r="J612" s="228">
        <f>MONTH(AVEU_Historical_Data__2[[#This Row],[Date]])</f>
        <v>9</v>
      </c>
      <c r="K612" s="228"/>
    </row>
    <row r="613" spans="1:11" x14ac:dyDescent="0.25">
      <c r="A613" s="227">
        <v>44823</v>
      </c>
      <c r="B613" s="228">
        <v>4348</v>
      </c>
      <c r="C613" s="228">
        <v>4340</v>
      </c>
      <c r="D613" s="228">
        <v>4417.2</v>
      </c>
      <c r="E613" s="228">
        <v>4271.25</v>
      </c>
      <c r="F613">
        <v>235760</v>
      </c>
      <c r="G613" s="228">
        <v>4.7000000000000002E-3</v>
      </c>
      <c r="H613" s="228">
        <f>YEAR(AVEU_Historical_Data__2[[#This Row],[Date]])</f>
        <v>2022</v>
      </c>
      <c r="I613" s="228">
        <f>ROUNDUP((MOD(MONTH(AVEU_Historical_Data__2[[#This Row],[Date]])+8,12)+1)/3,0)</f>
        <v>2</v>
      </c>
      <c r="J613" s="228">
        <f>MONTH(AVEU_Historical_Data__2[[#This Row],[Date]])</f>
        <v>9</v>
      </c>
      <c r="K613" s="228"/>
    </row>
    <row r="614" spans="1:11" x14ac:dyDescent="0.25">
      <c r="A614" s="227">
        <v>44824</v>
      </c>
      <c r="B614" s="228">
        <v>4349.3</v>
      </c>
      <c r="C614" s="228">
        <v>4401.1000000000004</v>
      </c>
      <c r="D614" s="228">
        <v>4412</v>
      </c>
      <c r="E614" s="228">
        <v>4330</v>
      </c>
      <c r="F614">
        <v>203660</v>
      </c>
      <c r="G614" s="228">
        <v>2.9999999999999997E-4</v>
      </c>
      <c r="H614" s="228">
        <f>YEAR(AVEU_Historical_Data__2[[#This Row],[Date]])</f>
        <v>2022</v>
      </c>
      <c r="I614" s="228">
        <f>ROUNDUP((MOD(MONTH(AVEU_Historical_Data__2[[#This Row],[Date]])+8,12)+1)/3,0)</f>
        <v>2</v>
      </c>
      <c r="J614" s="228">
        <f>MONTH(AVEU_Historical_Data__2[[#This Row],[Date]])</f>
        <v>9</v>
      </c>
      <c r="K614" s="228"/>
    </row>
    <row r="615" spans="1:11" x14ac:dyDescent="0.25">
      <c r="A615" s="227">
        <v>44825</v>
      </c>
      <c r="B615" s="228">
        <v>4308.7</v>
      </c>
      <c r="C615" s="228">
        <v>4349</v>
      </c>
      <c r="D615" s="228">
        <v>4394.95</v>
      </c>
      <c r="E615" s="228">
        <v>4292.05</v>
      </c>
      <c r="F615">
        <v>223830</v>
      </c>
      <c r="G615" s="228">
        <v>-9.2999999999999992E-3</v>
      </c>
      <c r="H615" s="228">
        <f>YEAR(AVEU_Historical_Data__2[[#This Row],[Date]])</f>
        <v>2022</v>
      </c>
      <c r="I615" s="228">
        <f>ROUNDUP((MOD(MONTH(AVEU_Historical_Data__2[[#This Row],[Date]])+8,12)+1)/3,0)</f>
        <v>2</v>
      </c>
      <c r="J615" s="228">
        <f>MONTH(AVEU_Historical_Data__2[[#This Row],[Date]])</f>
        <v>9</v>
      </c>
      <c r="K615" s="228"/>
    </row>
    <row r="616" spans="1:11" x14ac:dyDescent="0.25">
      <c r="A616" s="227">
        <v>44826</v>
      </c>
      <c r="B616" s="228">
        <v>4431.7</v>
      </c>
      <c r="C616" s="228">
        <v>4288.75</v>
      </c>
      <c r="D616" s="228">
        <v>4440.6000000000004</v>
      </c>
      <c r="E616" s="228">
        <v>4257</v>
      </c>
      <c r="F616">
        <v>465230</v>
      </c>
      <c r="G616" s="228">
        <v>2.8500000000000001E-2</v>
      </c>
      <c r="H616" s="228">
        <f>YEAR(AVEU_Historical_Data__2[[#This Row],[Date]])</f>
        <v>2022</v>
      </c>
      <c r="I616" s="228">
        <f>ROUNDUP((MOD(MONTH(AVEU_Historical_Data__2[[#This Row],[Date]])+8,12)+1)/3,0)</f>
        <v>2</v>
      </c>
      <c r="J616" s="228">
        <f>MONTH(AVEU_Historical_Data__2[[#This Row],[Date]])</f>
        <v>9</v>
      </c>
      <c r="K616" s="228"/>
    </row>
    <row r="617" spans="1:11" x14ac:dyDescent="0.25">
      <c r="A617" s="227">
        <v>44827</v>
      </c>
      <c r="B617" s="228">
        <v>4367</v>
      </c>
      <c r="C617" s="228">
        <v>4450</v>
      </c>
      <c r="D617" s="228">
        <v>4469.8999999999996</v>
      </c>
      <c r="E617" s="228">
        <v>4351</v>
      </c>
      <c r="F617">
        <v>241650</v>
      </c>
      <c r="G617" s="228">
        <v>-1.46E-2</v>
      </c>
      <c r="H617" s="228">
        <f>YEAR(AVEU_Historical_Data__2[[#This Row],[Date]])</f>
        <v>2022</v>
      </c>
      <c r="I617" s="228">
        <f>ROUNDUP((MOD(MONTH(AVEU_Historical_Data__2[[#This Row],[Date]])+8,12)+1)/3,0)</f>
        <v>2</v>
      </c>
      <c r="J617" s="228">
        <f>MONTH(AVEU_Historical_Data__2[[#This Row],[Date]])</f>
        <v>9</v>
      </c>
      <c r="K617" s="228"/>
    </row>
    <row r="618" spans="1:11" x14ac:dyDescent="0.25">
      <c r="A618" s="227">
        <v>44830</v>
      </c>
      <c r="B618" s="228">
        <v>4375.3</v>
      </c>
      <c r="C618" s="228">
        <v>4323</v>
      </c>
      <c r="D618" s="228">
        <v>4448</v>
      </c>
      <c r="E618" s="228">
        <v>4261</v>
      </c>
      <c r="F618">
        <v>403080</v>
      </c>
      <c r="G618" s="228">
        <v>1.9E-3</v>
      </c>
      <c r="H618" s="228">
        <f>YEAR(AVEU_Historical_Data__2[[#This Row],[Date]])</f>
        <v>2022</v>
      </c>
      <c r="I618" s="228">
        <f>ROUNDUP((MOD(MONTH(AVEU_Historical_Data__2[[#This Row],[Date]])+8,12)+1)/3,0)</f>
        <v>2</v>
      </c>
      <c r="J618" s="228">
        <f>MONTH(AVEU_Historical_Data__2[[#This Row],[Date]])</f>
        <v>9</v>
      </c>
      <c r="K618" s="228"/>
    </row>
    <row r="619" spans="1:11" x14ac:dyDescent="0.25">
      <c r="A619" s="227">
        <v>44831</v>
      </c>
      <c r="B619" s="228">
        <v>4283.2</v>
      </c>
      <c r="C619" s="228">
        <v>4375.3</v>
      </c>
      <c r="D619" s="228">
        <v>4417.5</v>
      </c>
      <c r="E619" s="228">
        <v>4270</v>
      </c>
      <c r="F619">
        <v>237460</v>
      </c>
      <c r="G619" s="228">
        <v>-2.1000000000000001E-2</v>
      </c>
      <c r="H619" s="228">
        <f>YEAR(AVEU_Historical_Data__2[[#This Row],[Date]])</f>
        <v>2022</v>
      </c>
      <c r="I619" s="228">
        <f>ROUNDUP((MOD(MONTH(AVEU_Historical_Data__2[[#This Row],[Date]])+8,12)+1)/3,0)</f>
        <v>2</v>
      </c>
      <c r="J619" s="228">
        <f>MONTH(AVEU_Historical_Data__2[[#This Row],[Date]])</f>
        <v>9</v>
      </c>
      <c r="K619" s="228"/>
    </row>
    <row r="620" spans="1:11" x14ac:dyDescent="0.25">
      <c r="A620" s="227">
        <v>44832</v>
      </c>
      <c r="B620" s="228">
        <v>4318.1499999999996</v>
      </c>
      <c r="C620" s="228">
        <v>4249</v>
      </c>
      <c r="D620" s="228">
        <v>4367.95</v>
      </c>
      <c r="E620" s="228">
        <v>4240</v>
      </c>
      <c r="F620">
        <v>352260</v>
      </c>
      <c r="G620" s="228">
        <v>8.2000000000000007E-3</v>
      </c>
      <c r="H620" s="228">
        <f>YEAR(AVEU_Historical_Data__2[[#This Row],[Date]])</f>
        <v>2022</v>
      </c>
      <c r="I620" s="228">
        <f>ROUNDUP((MOD(MONTH(AVEU_Historical_Data__2[[#This Row],[Date]])+8,12)+1)/3,0)</f>
        <v>2</v>
      </c>
      <c r="J620" s="228">
        <f>MONTH(AVEU_Historical_Data__2[[#This Row],[Date]])</f>
        <v>9</v>
      </c>
      <c r="K620" s="228"/>
    </row>
    <row r="621" spans="1:11" x14ac:dyDescent="0.25">
      <c r="A621" s="227">
        <v>44833</v>
      </c>
      <c r="B621" s="228">
        <v>4240.55</v>
      </c>
      <c r="C621" s="228">
        <v>4365</v>
      </c>
      <c r="D621" s="228">
        <v>4416.95</v>
      </c>
      <c r="E621" s="228">
        <v>4220.1000000000004</v>
      </c>
      <c r="F621">
        <v>518360</v>
      </c>
      <c r="G621" s="228">
        <v>-1.7999999999999999E-2</v>
      </c>
      <c r="H621" s="228">
        <f>YEAR(AVEU_Historical_Data__2[[#This Row],[Date]])</f>
        <v>2022</v>
      </c>
      <c r="I621" s="228">
        <f>ROUNDUP((MOD(MONTH(AVEU_Historical_Data__2[[#This Row],[Date]])+8,12)+1)/3,0)</f>
        <v>2</v>
      </c>
      <c r="J621" s="228">
        <f>MONTH(AVEU_Historical_Data__2[[#This Row],[Date]])</f>
        <v>9</v>
      </c>
      <c r="K621" s="228"/>
    </row>
    <row r="622" spans="1:11" x14ac:dyDescent="0.25">
      <c r="A622" s="227">
        <v>44834</v>
      </c>
      <c r="B622" s="228">
        <v>4386.55</v>
      </c>
      <c r="C622" s="228">
        <v>4270</v>
      </c>
      <c r="D622" s="228">
        <v>4400</v>
      </c>
      <c r="E622" s="228">
        <v>4251.2</v>
      </c>
      <c r="F622">
        <v>352700</v>
      </c>
      <c r="G622" s="228">
        <v>3.44E-2</v>
      </c>
      <c r="H622" s="228">
        <f>YEAR(AVEU_Historical_Data__2[[#This Row],[Date]])</f>
        <v>2022</v>
      </c>
      <c r="I622" s="228">
        <f>ROUNDUP((MOD(MONTH(AVEU_Historical_Data__2[[#This Row],[Date]])+8,12)+1)/3,0)</f>
        <v>2</v>
      </c>
      <c r="J622" s="228">
        <f>MONTH(AVEU_Historical_Data__2[[#This Row],[Date]])</f>
        <v>9</v>
      </c>
      <c r="K622" s="228"/>
    </row>
    <row r="623" spans="1:11" x14ac:dyDescent="0.25">
      <c r="A623" s="227">
        <v>44837</v>
      </c>
      <c r="B623" s="228">
        <v>4443.75</v>
      </c>
      <c r="C623" s="228">
        <v>4399</v>
      </c>
      <c r="D623" s="228">
        <v>4465.8500000000004</v>
      </c>
      <c r="E623" s="228">
        <v>4389.8</v>
      </c>
      <c r="F623">
        <v>296100</v>
      </c>
      <c r="G623" s="228">
        <v>1.2999999999999999E-2</v>
      </c>
      <c r="H623" s="228">
        <f>YEAR(AVEU_Historical_Data__2[[#This Row],[Date]])</f>
        <v>2022</v>
      </c>
      <c r="I623" s="228">
        <f>ROUNDUP((MOD(MONTH(AVEU_Historical_Data__2[[#This Row],[Date]])+8,12)+1)/3,0)</f>
        <v>3</v>
      </c>
      <c r="J623" s="228">
        <f>MONTH(AVEU_Historical_Data__2[[#This Row],[Date]])</f>
        <v>10</v>
      </c>
      <c r="K623" s="228"/>
    </row>
    <row r="624" spans="1:11" x14ac:dyDescent="0.25">
      <c r="A624" s="227">
        <v>44838</v>
      </c>
      <c r="B624" s="228">
        <v>4479.55</v>
      </c>
      <c r="C624" s="228">
        <v>4600</v>
      </c>
      <c r="D624" s="228">
        <v>4600</v>
      </c>
      <c r="E624" s="228">
        <v>4460.55</v>
      </c>
      <c r="F624">
        <v>605860</v>
      </c>
      <c r="G624" s="228">
        <v>8.0999999999999996E-3</v>
      </c>
      <c r="H624" s="228">
        <f>YEAR(AVEU_Historical_Data__2[[#This Row],[Date]])</f>
        <v>2022</v>
      </c>
      <c r="I624" s="228">
        <f>ROUNDUP((MOD(MONTH(AVEU_Historical_Data__2[[#This Row],[Date]])+8,12)+1)/3,0)</f>
        <v>3</v>
      </c>
      <c r="J624" s="228">
        <f>MONTH(AVEU_Historical_Data__2[[#This Row],[Date]])</f>
        <v>10</v>
      </c>
      <c r="K624" s="228"/>
    </row>
    <row r="625" spans="1:11" x14ac:dyDescent="0.25">
      <c r="A625" s="227">
        <v>44840</v>
      </c>
      <c r="B625" s="228">
        <v>4413.8500000000004</v>
      </c>
      <c r="C625" s="228">
        <v>4540</v>
      </c>
      <c r="D625" s="228">
        <v>4540</v>
      </c>
      <c r="E625" s="228">
        <v>4400</v>
      </c>
      <c r="F625">
        <v>326250</v>
      </c>
      <c r="G625" s="228">
        <v>-1.47E-2</v>
      </c>
      <c r="H625" s="228">
        <f>YEAR(AVEU_Historical_Data__2[[#This Row],[Date]])</f>
        <v>2022</v>
      </c>
      <c r="I625" s="228">
        <f>ROUNDUP((MOD(MONTH(AVEU_Historical_Data__2[[#This Row],[Date]])+8,12)+1)/3,0)</f>
        <v>3</v>
      </c>
      <c r="J625" s="228">
        <f>MONTH(AVEU_Historical_Data__2[[#This Row],[Date]])</f>
        <v>10</v>
      </c>
      <c r="K625" s="228"/>
    </row>
    <row r="626" spans="1:11" x14ac:dyDescent="0.25">
      <c r="A626" s="227">
        <v>44841</v>
      </c>
      <c r="B626" s="228">
        <v>4471.45</v>
      </c>
      <c r="C626" s="228">
        <v>4435.95</v>
      </c>
      <c r="D626" s="228">
        <v>4482</v>
      </c>
      <c r="E626" s="228">
        <v>4411.25</v>
      </c>
      <c r="F626">
        <v>213200</v>
      </c>
      <c r="G626" s="228">
        <v>1.2999999999999999E-2</v>
      </c>
      <c r="H626" s="228">
        <f>YEAR(AVEU_Historical_Data__2[[#This Row],[Date]])</f>
        <v>2022</v>
      </c>
      <c r="I626" s="228">
        <f>ROUNDUP((MOD(MONTH(AVEU_Historical_Data__2[[#This Row],[Date]])+8,12)+1)/3,0)</f>
        <v>3</v>
      </c>
      <c r="J626" s="228">
        <f>MONTH(AVEU_Historical_Data__2[[#This Row],[Date]])</f>
        <v>10</v>
      </c>
      <c r="K626" s="228"/>
    </row>
    <row r="627" spans="1:11" x14ac:dyDescent="0.25">
      <c r="A627" s="227">
        <v>44844</v>
      </c>
      <c r="B627" s="228">
        <v>4471.75</v>
      </c>
      <c r="C627" s="228">
        <v>4440.1000000000004</v>
      </c>
      <c r="D627" s="228">
        <v>4495</v>
      </c>
      <c r="E627" s="228">
        <v>4406.05</v>
      </c>
      <c r="F627">
        <v>183910</v>
      </c>
      <c r="G627" s="228">
        <v>1E-4</v>
      </c>
      <c r="H627" s="228">
        <f>YEAR(AVEU_Historical_Data__2[[#This Row],[Date]])</f>
        <v>2022</v>
      </c>
      <c r="I627" s="228">
        <f>ROUNDUP((MOD(MONTH(AVEU_Historical_Data__2[[#This Row],[Date]])+8,12)+1)/3,0)</f>
        <v>3</v>
      </c>
      <c r="J627" s="228">
        <f>MONTH(AVEU_Historical_Data__2[[#This Row],[Date]])</f>
        <v>10</v>
      </c>
      <c r="K627" s="228"/>
    </row>
    <row r="628" spans="1:11" x14ac:dyDescent="0.25">
      <c r="A628" s="227">
        <v>44845</v>
      </c>
      <c r="B628" s="228">
        <v>4381.1000000000004</v>
      </c>
      <c r="C628" s="228">
        <v>4485</v>
      </c>
      <c r="D628" s="228">
        <v>4486</v>
      </c>
      <c r="E628" s="228">
        <v>4358.5</v>
      </c>
      <c r="F628">
        <v>268070</v>
      </c>
      <c r="G628" s="228">
        <v>-2.0299999999999999E-2</v>
      </c>
      <c r="H628" s="228">
        <f>YEAR(AVEU_Historical_Data__2[[#This Row],[Date]])</f>
        <v>2022</v>
      </c>
      <c r="I628" s="228">
        <f>ROUNDUP((MOD(MONTH(AVEU_Historical_Data__2[[#This Row],[Date]])+8,12)+1)/3,0)</f>
        <v>3</v>
      </c>
      <c r="J628" s="228">
        <f>MONTH(AVEU_Historical_Data__2[[#This Row],[Date]])</f>
        <v>10</v>
      </c>
      <c r="K628" s="228"/>
    </row>
    <row r="629" spans="1:11" x14ac:dyDescent="0.25">
      <c r="A629" s="227">
        <v>44846</v>
      </c>
      <c r="B629" s="228">
        <v>4352.8999999999996</v>
      </c>
      <c r="C629" s="228">
        <v>4398.75</v>
      </c>
      <c r="D629" s="228">
        <v>4429</v>
      </c>
      <c r="E629" s="228">
        <v>4330</v>
      </c>
      <c r="F629">
        <v>207340</v>
      </c>
      <c r="G629" s="228">
        <v>-6.4000000000000003E-3</v>
      </c>
      <c r="H629" s="228">
        <f>YEAR(AVEU_Historical_Data__2[[#This Row],[Date]])</f>
        <v>2022</v>
      </c>
      <c r="I629" s="228">
        <f>ROUNDUP((MOD(MONTH(AVEU_Historical_Data__2[[#This Row],[Date]])+8,12)+1)/3,0)</f>
        <v>3</v>
      </c>
      <c r="J629" s="228">
        <f>MONTH(AVEU_Historical_Data__2[[#This Row],[Date]])</f>
        <v>10</v>
      </c>
      <c r="K629" s="228"/>
    </row>
    <row r="630" spans="1:11" x14ac:dyDescent="0.25">
      <c r="A630" s="227">
        <v>44847</v>
      </c>
      <c r="B630" s="228">
        <v>4309.95</v>
      </c>
      <c r="C630" s="228">
        <v>4366</v>
      </c>
      <c r="D630" s="228">
        <v>4366</v>
      </c>
      <c r="E630" s="228">
        <v>4300.1000000000004</v>
      </c>
      <c r="F630">
        <v>171140</v>
      </c>
      <c r="G630" s="228">
        <v>-9.9000000000000008E-3</v>
      </c>
      <c r="H630" s="228">
        <f>YEAR(AVEU_Historical_Data__2[[#This Row],[Date]])</f>
        <v>2022</v>
      </c>
      <c r="I630" s="228">
        <f>ROUNDUP((MOD(MONTH(AVEU_Historical_Data__2[[#This Row],[Date]])+8,12)+1)/3,0)</f>
        <v>3</v>
      </c>
      <c r="J630" s="228">
        <f>MONTH(AVEU_Historical_Data__2[[#This Row],[Date]])</f>
        <v>10</v>
      </c>
      <c r="K630" s="228"/>
    </row>
    <row r="631" spans="1:11" x14ac:dyDescent="0.25">
      <c r="A631" s="227">
        <v>44848</v>
      </c>
      <c r="B631" s="228">
        <v>4306.1499999999996</v>
      </c>
      <c r="C631" s="228">
        <v>4398.5</v>
      </c>
      <c r="D631" s="228">
        <v>4399</v>
      </c>
      <c r="E631" s="228">
        <v>4291.1499999999996</v>
      </c>
      <c r="F631">
        <v>188040</v>
      </c>
      <c r="G631" s="228">
        <v>-8.9999999999999998E-4</v>
      </c>
      <c r="H631" s="228">
        <f>YEAR(AVEU_Historical_Data__2[[#This Row],[Date]])</f>
        <v>2022</v>
      </c>
      <c r="I631" s="228">
        <f>ROUNDUP((MOD(MONTH(AVEU_Historical_Data__2[[#This Row],[Date]])+8,12)+1)/3,0)</f>
        <v>3</v>
      </c>
      <c r="J631" s="228">
        <f>MONTH(AVEU_Historical_Data__2[[#This Row],[Date]])</f>
        <v>10</v>
      </c>
      <c r="K631" s="228"/>
    </row>
    <row r="632" spans="1:11" x14ac:dyDescent="0.25">
      <c r="A632" s="227">
        <v>44851</v>
      </c>
      <c r="B632" s="228">
        <v>4153.45</v>
      </c>
      <c r="C632" s="228">
        <v>4283.95</v>
      </c>
      <c r="D632" s="228">
        <v>4307.95</v>
      </c>
      <c r="E632" s="228">
        <v>4140.05</v>
      </c>
      <c r="F632">
        <v>950220</v>
      </c>
      <c r="G632" s="228">
        <v>-3.5499999999999997E-2</v>
      </c>
      <c r="H632" s="228">
        <f>YEAR(AVEU_Historical_Data__2[[#This Row],[Date]])</f>
        <v>2022</v>
      </c>
      <c r="I632" s="228">
        <f>ROUNDUP((MOD(MONTH(AVEU_Historical_Data__2[[#This Row],[Date]])+8,12)+1)/3,0)</f>
        <v>3</v>
      </c>
      <c r="J632" s="228">
        <f>MONTH(AVEU_Historical_Data__2[[#This Row],[Date]])</f>
        <v>10</v>
      </c>
      <c r="K632" s="228"/>
    </row>
    <row r="633" spans="1:11" x14ac:dyDescent="0.25">
      <c r="A633" s="227">
        <v>44852</v>
      </c>
      <c r="B633" s="228">
        <v>4139.3500000000004</v>
      </c>
      <c r="C633" s="228">
        <v>4188</v>
      </c>
      <c r="D633" s="228">
        <v>4189</v>
      </c>
      <c r="E633" s="228">
        <v>4110</v>
      </c>
      <c r="F633">
        <v>346220</v>
      </c>
      <c r="G633" s="228">
        <v>-3.3999999999999998E-3</v>
      </c>
      <c r="H633" s="228">
        <f>YEAR(AVEU_Historical_Data__2[[#This Row],[Date]])</f>
        <v>2022</v>
      </c>
      <c r="I633" s="228">
        <f>ROUNDUP((MOD(MONTH(AVEU_Historical_Data__2[[#This Row],[Date]])+8,12)+1)/3,0)</f>
        <v>3</v>
      </c>
      <c r="J633" s="228">
        <f>MONTH(AVEU_Historical_Data__2[[#This Row],[Date]])</f>
        <v>10</v>
      </c>
      <c r="K633" s="228"/>
    </row>
    <row r="634" spans="1:11" x14ac:dyDescent="0.25">
      <c r="A634" s="227">
        <v>44853</v>
      </c>
      <c r="B634" s="228">
        <v>4167.8500000000004</v>
      </c>
      <c r="C634" s="228">
        <v>4168</v>
      </c>
      <c r="D634" s="228">
        <v>4194.1000000000004</v>
      </c>
      <c r="E634" s="228">
        <v>4139.3500000000004</v>
      </c>
      <c r="F634">
        <v>266990</v>
      </c>
      <c r="G634" s="228">
        <v>6.8999999999999999E-3</v>
      </c>
      <c r="H634" s="228">
        <f>YEAR(AVEU_Historical_Data__2[[#This Row],[Date]])</f>
        <v>2022</v>
      </c>
      <c r="I634" s="228">
        <f>ROUNDUP((MOD(MONTH(AVEU_Historical_Data__2[[#This Row],[Date]])+8,12)+1)/3,0)</f>
        <v>3</v>
      </c>
      <c r="J634" s="228">
        <f>MONTH(AVEU_Historical_Data__2[[#This Row],[Date]])</f>
        <v>10</v>
      </c>
      <c r="K634" s="228"/>
    </row>
    <row r="635" spans="1:11" x14ac:dyDescent="0.25">
      <c r="A635" s="227">
        <v>44854</v>
      </c>
      <c r="B635" s="228">
        <v>4226.25</v>
      </c>
      <c r="C635" s="228">
        <v>4155</v>
      </c>
      <c r="D635" s="228">
        <v>4233</v>
      </c>
      <c r="E635" s="228">
        <v>4140.45</v>
      </c>
      <c r="F635">
        <v>292760</v>
      </c>
      <c r="G635" s="228">
        <v>1.4E-2</v>
      </c>
      <c r="H635" s="228">
        <f>YEAR(AVEU_Historical_Data__2[[#This Row],[Date]])</f>
        <v>2022</v>
      </c>
      <c r="I635" s="228">
        <f>ROUNDUP((MOD(MONTH(AVEU_Historical_Data__2[[#This Row],[Date]])+8,12)+1)/3,0)</f>
        <v>3</v>
      </c>
      <c r="J635" s="228">
        <f>MONTH(AVEU_Historical_Data__2[[#This Row],[Date]])</f>
        <v>10</v>
      </c>
      <c r="K635" s="228"/>
    </row>
    <row r="636" spans="1:11" x14ac:dyDescent="0.25">
      <c r="A636" s="227">
        <v>44855</v>
      </c>
      <c r="B636" s="228">
        <v>4215.55</v>
      </c>
      <c r="C636" s="228">
        <v>4244</v>
      </c>
      <c r="D636" s="228">
        <v>4249.75</v>
      </c>
      <c r="E636" s="228">
        <v>4190.5</v>
      </c>
      <c r="F636">
        <v>184550</v>
      </c>
      <c r="G636" s="228">
        <v>-2.5000000000000001E-3</v>
      </c>
      <c r="H636" s="228">
        <f>YEAR(AVEU_Historical_Data__2[[#This Row],[Date]])</f>
        <v>2022</v>
      </c>
      <c r="I636" s="228">
        <f>ROUNDUP((MOD(MONTH(AVEU_Historical_Data__2[[#This Row],[Date]])+8,12)+1)/3,0)</f>
        <v>3</v>
      </c>
      <c r="J636" s="228">
        <f>MONTH(AVEU_Historical_Data__2[[#This Row],[Date]])</f>
        <v>10</v>
      </c>
      <c r="K636" s="228"/>
    </row>
    <row r="637" spans="1:11" x14ac:dyDescent="0.25">
      <c r="A637" s="227">
        <v>44858</v>
      </c>
      <c r="B637" s="228">
        <v>4229.95</v>
      </c>
      <c r="C637" s="228">
        <v>4271.8999999999996</v>
      </c>
      <c r="D637" s="228">
        <v>4273</v>
      </c>
      <c r="E637" s="228">
        <v>4210</v>
      </c>
      <c r="F637">
        <v>71400</v>
      </c>
      <c r="G637" s="228">
        <v>3.3999999999999998E-3</v>
      </c>
      <c r="H637" s="228">
        <f>YEAR(AVEU_Historical_Data__2[[#This Row],[Date]])</f>
        <v>2022</v>
      </c>
      <c r="I637" s="228">
        <f>ROUNDUP((MOD(MONTH(AVEU_Historical_Data__2[[#This Row],[Date]])+8,12)+1)/3,0)</f>
        <v>3</v>
      </c>
      <c r="J637" s="228">
        <f>MONTH(AVEU_Historical_Data__2[[#This Row],[Date]])</f>
        <v>10</v>
      </c>
      <c r="K637" s="228"/>
    </row>
    <row r="638" spans="1:11" x14ac:dyDescent="0.25">
      <c r="A638" s="227">
        <v>44859</v>
      </c>
      <c r="B638" s="228">
        <v>4235.6000000000004</v>
      </c>
      <c r="C638" s="228">
        <v>4221</v>
      </c>
      <c r="D638" s="228">
        <v>4249.5</v>
      </c>
      <c r="E638" s="228">
        <v>4165</v>
      </c>
      <c r="F638">
        <v>160110</v>
      </c>
      <c r="G638" s="228">
        <v>1.2999999999999999E-3</v>
      </c>
      <c r="H638" s="228">
        <f>YEAR(AVEU_Historical_Data__2[[#This Row],[Date]])</f>
        <v>2022</v>
      </c>
      <c r="I638" s="228">
        <f>ROUNDUP((MOD(MONTH(AVEU_Historical_Data__2[[#This Row],[Date]])+8,12)+1)/3,0)</f>
        <v>3</v>
      </c>
      <c r="J638" s="228">
        <f>MONTH(AVEU_Historical_Data__2[[#This Row],[Date]])</f>
        <v>10</v>
      </c>
      <c r="K638" s="228"/>
    </row>
    <row r="639" spans="1:11" x14ac:dyDescent="0.25">
      <c r="A639" s="227">
        <v>44861</v>
      </c>
      <c r="B639" s="228">
        <v>4271.3999999999996</v>
      </c>
      <c r="C639" s="228">
        <v>4248</v>
      </c>
      <c r="D639" s="228">
        <v>4300</v>
      </c>
      <c r="E639" s="228">
        <v>4217.3</v>
      </c>
      <c r="F639">
        <v>301440</v>
      </c>
      <c r="G639" s="228">
        <v>8.5000000000000006E-3</v>
      </c>
      <c r="H639" s="228">
        <f>YEAR(AVEU_Historical_Data__2[[#This Row],[Date]])</f>
        <v>2022</v>
      </c>
      <c r="I639" s="228">
        <f>ROUNDUP((MOD(MONTH(AVEU_Historical_Data__2[[#This Row],[Date]])+8,12)+1)/3,0)</f>
        <v>3</v>
      </c>
      <c r="J639" s="228">
        <f>MONTH(AVEU_Historical_Data__2[[#This Row],[Date]])</f>
        <v>10</v>
      </c>
      <c r="K639" s="228"/>
    </row>
    <row r="640" spans="1:11" x14ac:dyDescent="0.25">
      <c r="A640" s="227">
        <v>44862</v>
      </c>
      <c r="B640" s="228">
        <v>4307.3500000000004</v>
      </c>
      <c r="C640" s="228">
        <v>4281.3999999999996</v>
      </c>
      <c r="D640" s="228">
        <v>4320</v>
      </c>
      <c r="E640" s="228">
        <v>4251.55</v>
      </c>
      <c r="F640">
        <v>120310</v>
      </c>
      <c r="G640" s="228">
        <v>8.3999999999999995E-3</v>
      </c>
      <c r="H640" s="228">
        <f>YEAR(AVEU_Historical_Data__2[[#This Row],[Date]])</f>
        <v>2022</v>
      </c>
      <c r="I640" s="228">
        <f>ROUNDUP((MOD(MONTH(AVEU_Historical_Data__2[[#This Row],[Date]])+8,12)+1)/3,0)</f>
        <v>3</v>
      </c>
      <c r="J640" s="228">
        <f>MONTH(AVEU_Historical_Data__2[[#This Row],[Date]])</f>
        <v>10</v>
      </c>
      <c r="K640" s="228"/>
    </row>
    <row r="641" spans="1:11" x14ac:dyDescent="0.25">
      <c r="A641" s="227">
        <v>44865</v>
      </c>
      <c r="B641" s="228">
        <v>4320.8999999999996</v>
      </c>
      <c r="C641" s="228">
        <v>4316.5</v>
      </c>
      <c r="D641" s="228">
        <v>4348</v>
      </c>
      <c r="E641" s="228">
        <v>4290</v>
      </c>
      <c r="F641">
        <v>186410</v>
      </c>
      <c r="G641" s="228">
        <v>3.0999999999999999E-3</v>
      </c>
      <c r="H641" s="228">
        <f>YEAR(AVEU_Historical_Data__2[[#This Row],[Date]])</f>
        <v>2022</v>
      </c>
      <c r="I641" s="228">
        <f>ROUNDUP((MOD(MONTH(AVEU_Historical_Data__2[[#This Row],[Date]])+8,12)+1)/3,0)</f>
        <v>3</v>
      </c>
      <c r="J641" s="228">
        <f>MONTH(AVEU_Historical_Data__2[[#This Row],[Date]])</f>
        <v>10</v>
      </c>
      <c r="K641" s="228"/>
    </row>
    <row r="642" spans="1:11" x14ac:dyDescent="0.25">
      <c r="A642" s="227">
        <v>44866</v>
      </c>
      <c r="B642" s="228">
        <v>4247.5</v>
      </c>
      <c r="C642" s="228">
        <v>4329</v>
      </c>
      <c r="D642" s="228">
        <v>4347.1000000000004</v>
      </c>
      <c r="E642" s="228">
        <v>4232.55</v>
      </c>
      <c r="F642">
        <v>249230</v>
      </c>
      <c r="G642" s="228">
        <v>-1.7000000000000001E-2</v>
      </c>
      <c r="H642" s="228">
        <f>YEAR(AVEU_Historical_Data__2[[#This Row],[Date]])</f>
        <v>2022</v>
      </c>
      <c r="I642" s="228">
        <f>ROUNDUP((MOD(MONTH(AVEU_Historical_Data__2[[#This Row],[Date]])+8,12)+1)/3,0)</f>
        <v>3</v>
      </c>
      <c r="J642" s="228">
        <f>MONTH(AVEU_Historical_Data__2[[#This Row],[Date]])</f>
        <v>11</v>
      </c>
      <c r="K642" s="228"/>
    </row>
    <row r="643" spans="1:11" x14ac:dyDescent="0.25">
      <c r="A643" s="227">
        <v>44867</v>
      </c>
      <c r="B643" s="228">
        <v>4193.6499999999996</v>
      </c>
      <c r="C643" s="228">
        <v>4264.8</v>
      </c>
      <c r="D643" s="228">
        <v>4268</v>
      </c>
      <c r="E643" s="228">
        <v>4177</v>
      </c>
      <c r="F643">
        <v>254610</v>
      </c>
      <c r="G643" s="228">
        <v>-1.2699999999999999E-2</v>
      </c>
      <c r="H643" s="228">
        <f>YEAR(AVEU_Historical_Data__2[[#This Row],[Date]])</f>
        <v>2022</v>
      </c>
      <c r="I643" s="228">
        <f>ROUNDUP((MOD(MONTH(AVEU_Historical_Data__2[[#This Row],[Date]])+8,12)+1)/3,0)</f>
        <v>3</v>
      </c>
      <c r="J643" s="228">
        <f>MONTH(AVEU_Historical_Data__2[[#This Row],[Date]])</f>
        <v>11</v>
      </c>
      <c r="K643" s="228"/>
    </row>
    <row r="644" spans="1:11" x14ac:dyDescent="0.25">
      <c r="A644" s="227">
        <v>44868</v>
      </c>
      <c r="B644" s="228">
        <v>4194.2</v>
      </c>
      <c r="C644" s="228">
        <v>4180</v>
      </c>
      <c r="D644" s="228">
        <v>4230</v>
      </c>
      <c r="E644" s="228">
        <v>4165</v>
      </c>
      <c r="F644">
        <v>153180</v>
      </c>
      <c r="G644" s="228">
        <v>1E-4</v>
      </c>
      <c r="H644" s="228">
        <f>YEAR(AVEU_Historical_Data__2[[#This Row],[Date]])</f>
        <v>2022</v>
      </c>
      <c r="I644" s="228">
        <f>ROUNDUP((MOD(MONTH(AVEU_Historical_Data__2[[#This Row],[Date]])+8,12)+1)/3,0)</f>
        <v>3</v>
      </c>
      <c r="J644" s="228">
        <f>MONTH(AVEU_Historical_Data__2[[#This Row],[Date]])</f>
        <v>11</v>
      </c>
      <c r="K644" s="228"/>
    </row>
    <row r="645" spans="1:11" x14ac:dyDescent="0.25">
      <c r="A645" s="227">
        <v>44869</v>
      </c>
      <c r="B645" s="228">
        <v>4167.3500000000004</v>
      </c>
      <c r="C645" s="228">
        <v>4200</v>
      </c>
      <c r="D645" s="228">
        <v>4207.95</v>
      </c>
      <c r="E645" s="228">
        <v>4150</v>
      </c>
      <c r="F645">
        <v>532070</v>
      </c>
      <c r="G645" s="228">
        <v>-6.4000000000000003E-3</v>
      </c>
      <c r="H645" s="228">
        <f>YEAR(AVEU_Historical_Data__2[[#This Row],[Date]])</f>
        <v>2022</v>
      </c>
      <c r="I645" s="228">
        <f>ROUNDUP((MOD(MONTH(AVEU_Historical_Data__2[[#This Row],[Date]])+8,12)+1)/3,0)</f>
        <v>3</v>
      </c>
      <c r="J645" s="228">
        <f>MONTH(AVEU_Historical_Data__2[[#This Row],[Date]])</f>
        <v>11</v>
      </c>
      <c r="K645" s="228"/>
    </row>
    <row r="646" spans="1:11" x14ac:dyDescent="0.25">
      <c r="A646" s="227">
        <v>44872</v>
      </c>
      <c r="B646" s="228">
        <v>4173.5</v>
      </c>
      <c r="C646" s="228">
        <v>4188.8</v>
      </c>
      <c r="D646" s="228">
        <v>4214.1000000000004</v>
      </c>
      <c r="E646" s="228">
        <v>4140.5</v>
      </c>
      <c r="F646">
        <v>395440</v>
      </c>
      <c r="G646" s="228">
        <v>1.5E-3</v>
      </c>
      <c r="H646" s="228">
        <f>YEAR(AVEU_Historical_Data__2[[#This Row],[Date]])</f>
        <v>2022</v>
      </c>
      <c r="I646" s="228">
        <f>ROUNDUP((MOD(MONTH(AVEU_Historical_Data__2[[#This Row],[Date]])+8,12)+1)/3,0)</f>
        <v>3</v>
      </c>
      <c r="J646" s="228">
        <f>MONTH(AVEU_Historical_Data__2[[#This Row],[Date]])</f>
        <v>11</v>
      </c>
      <c r="K646" s="228"/>
    </row>
    <row r="647" spans="1:11" x14ac:dyDescent="0.25">
      <c r="A647" s="227">
        <v>44874</v>
      </c>
      <c r="B647" s="228">
        <v>4158.7</v>
      </c>
      <c r="C647" s="228">
        <v>4199</v>
      </c>
      <c r="D647" s="228">
        <v>4199</v>
      </c>
      <c r="E647" s="228">
        <v>4118</v>
      </c>
      <c r="F647">
        <v>361590</v>
      </c>
      <c r="G647" s="228">
        <v>-3.5000000000000001E-3</v>
      </c>
      <c r="H647" s="228">
        <f>YEAR(AVEU_Historical_Data__2[[#This Row],[Date]])</f>
        <v>2022</v>
      </c>
      <c r="I647" s="228">
        <f>ROUNDUP((MOD(MONTH(AVEU_Historical_Data__2[[#This Row],[Date]])+8,12)+1)/3,0)</f>
        <v>3</v>
      </c>
      <c r="J647" s="228">
        <f>MONTH(AVEU_Historical_Data__2[[#This Row],[Date]])</f>
        <v>11</v>
      </c>
      <c r="K647" s="228"/>
    </row>
    <row r="648" spans="1:11" x14ac:dyDescent="0.25">
      <c r="A648" s="227">
        <v>44875</v>
      </c>
      <c r="B648" s="228">
        <v>4138.8500000000004</v>
      </c>
      <c r="C648" s="228">
        <v>4158.7</v>
      </c>
      <c r="D648" s="228">
        <v>4175</v>
      </c>
      <c r="E648" s="228">
        <v>4104.3999999999996</v>
      </c>
      <c r="F648">
        <v>254480</v>
      </c>
      <c r="G648" s="228">
        <v>-4.7999999999999996E-3</v>
      </c>
      <c r="H648" s="228">
        <f>YEAR(AVEU_Historical_Data__2[[#This Row],[Date]])</f>
        <v>2022</v>
      </c>
      <c r="I648" s="228">
        <f>ROUNDUP((MOD(MONTH(AVEU_Historical_Data__2[[#This Row],[Date]])+8,12)+1)/3,0)</f>
        <v>3</v>
      </c>
      <c r="J648" s="228">
        <f>MONTH(AVEU_Historical_Data__2[[#This Row],[Date]])</f>
        <v>11</v>
      </c>
      <c r="K648" s="228"/>
    </row>
    <row r="649" spans="1:11" x14ac:dyDescent="0.25">
      <c r="A649" s="227">
        <v>44876</v>
      </c>
      <c r="B649" s="228">
        <v>4128.3500000000004</v>
      </c>
      <c r="C649" s="228">
        <v>4159.55</v>
      </c>
      <c r="D649" s="228">
        <v>4169</v>
      </c>
      <c r="E649" s="228">
        <v>4117.05</v>
      </c>
      <c r="F649">
        <v>214390</v>
      </c>
      <c r="G649" s="228">
        <v>-2.5000000000000001E-3</v>
      </c>
      <c r="H649" s="228">
        <f>YEAR(AVEU_Historical_Data__2[[#This Row],[Date]])</f>
        <v>2022</v>
      </c>
      <c r="I649" s="228">
        <f>ROUNDUP((MOD(MONTH(AVEU_Historical_Data__2[[#This Row],[Date]])+8,12)+1)/3,0)</f>
        <v>3</v>
      </c>
      <c r="J649" s="228">
        <f>MONTH(AVEU_Historical_Data__2[[#This Row],[Date]])</f>
        <v>11</v>
      </c>
      <c r="K649" s="228"/>
    </row>
    <row r="650" spans="1:11" x14ac:dyDescent="0.25">
      <c r="A650" s="227">
        <v>44879</v>
      </c>
      <c r="B650" s="228">
        <v>4098.3500000000004</v>
      </c>
      <c r="C650" s="228">
        <v>4144.8</v>
      </c>
      <c r="D650" s="228">
        <v>4144.8</v>
      </c>
      <c r="E650" s="228">
        <v>4081.8</v>
      </c>
      <c r="F650">
        <v>300510</v>
      </c>
      <c r="G650" s="228">
        <v>-7.3000000000000001E-3</v>
      </c>
      <c r="H650" s="228">
        <f>YEAR(AVEU_Historical_Data__2[[#This Row],[Date]])</f>
        <v>2022</v>
      </c>
      <c r="I650" s="228">
        <f>ROUNDUP((MOD(MONTH(AVEU_Historical_Data__2[[#This Row],[Date]])+8,12)+1)/3,0)</f>
        <v>3</v>
      </c>
      <c r="J650" s="228">
        <f>MONTH(AVEU_Historical_Data__2[[#This Row],[Date]])</f>
        <v>11</v>
      </c>
      <c r="K650" s="228"/>
    </row>
    <row r="651" spans="1:11" x14ac:dyDescent="0.25">
      <c r="A651" s="227">
        <v>44880</v>
      </c>
      <c r="B651" s="228">
        <v>4053.8</v>
      </c>
      <c r="C651" s="228">
        <v>4082</v>
      </c>
      <c r="D651" s="228">
        <v>4109.8</v>
      </c>
      <c r="E651" s="228">
        <v>4046</v>
      </c>
      <c r="F651">
        <v>496890</v>
      </c>
      <c r="G651" s="228">
        <v>-1.09E-2</v>
      </c>
      <c r="H651" s="228">
        <f>YEAR(AVEU_Historical_Data__2[[#This Row],[Date]])</f>
        <v>2022</v>
      </c>
      <c r="I651" s="228">
        <f>ROUNDUP((MOD(MONTH(AVEU_Historical_Data__2[[#This Row],[Date]])+8,12)+1)/3,0)</f>
        <v>3</v>
      </c>
      <c r="J651" s="228">
        <f>MONTH(AVEU_Historical_Data__2[[#This Row],[Date]])</f>
        <v>11</v>
      </c>
      <c r="K651" s="228"/>
    </row>
    <row r="652" spans="1:11" x14ac:dyDescent="0.25">
      <c r="A652" s="227">
        <v>44881</v>
      </c>
      <c r="B652" s="228">
        <v>4011.7</v>
      </c>
      <c r="C652" s="228">
        <v>4053.8</v>
      </c>
      <c r="D652" s="228">
        <v>4059.95</v>
      </c>
      <c r="E652" s="228">
        <v>4003.15</v>
      </c>
      <c r="F652">
        <v>290470</v>
      </c>
      <c r="G652" s="228">
        <v>-1.04E-2</v>
      </c>
      <c r="H652" s="228">
        <f>YEAR(AVEU_Historical_Data__2[[#This Row],[Date]])</f>
        <v>2022</v>
      </c>
      <c r="I652" s="228">
        <f>ROUNDUP((MOD(MONTH(AVEU_Historical_Data__2[[#This Row],[Date]])+8,12)+1)/3,0)</f>
        <v>3</v>
      </c>
      <c r="J652" s="228">
        <f>MONTH(AVEU_Historical_Data__2[[#This Row],[Date]])</f>
        <v>11</v>
      </c>
      <c r="K652" s="228"/>
    </row>
    <row r="653" spans="1:11" x14ac:dyDescent="0.25">
      <c r="A653" s="227">
        <v>44882</v>
      </c>
      <c r="B653" s="228">
        <v>3949.2</v>
      </c>
      <c r="C653" s="228">
        <v>4000</v>
      </c>
      <c r="D653" s="228">
        <v>4009.95</v>
      </c>
      <c r="E653" s="228">
        <v>3940</v>
      </c>
      <c r="F653">
        <v>365370</v>
      </c>
      <c r="G653" s="228">
        <v>-1.5599999999999999E-2</v>
      </c>
      <c r="H653" s="228">
        <f>YEAR(AVEU_Historical_Data__2[[#This Row],[Date]])</f>
        <v>2022</v>
      </c>
      <c r="I653" s="228">
        <f>ROUNDUP((MOD(MONTH(AVEU_Historical_Data__2[[#This Row],[Date]])+8,12)+1)/3,0)</f>
        <v>3</v>
      </c>
      <c r="J653" s="228">
        <f>MONTH(AVEU_Historical_Data__2[[#This Row],[Date]])</f>
        <v>11</v>
      </c>
      <c r="K653" s="228"/>
    </row>
    <row r="654" spans="1:11" x14ac:dyDescent="0.25">
      <c r="A654" s="227">
        <v>44883</v>
      </c>
      <c r="B654" s="228">
        <v>3910.6</v>
      </c>
      <c r="C654" s="228">
        <v>3968.9</v>
      </c>
      <c r="D654" s="228">
        <v>4020</v>
      </c>
      <c r="E654" s="228">
        <v>3890.05</v>
      </c>
      <c r="F654">
        <v>402300</v>
      </c>
      <c r="G654" s="228">
        <v>-9.7999999999999997E-3</v>
      </c>
      <c r="H654" s="228">
        <f>YEAR(AVEU_Historical_Data__2[[#This Row],[Date]])</f>
        <v>2022</v>
      </c>
      <c r="I654" s="228">
        <f>ROUNDUP((MOD(MONTH(AVEU_Historical_Data__2[[#This Row],[Date]])+8,12)+1)/3,0)</f>
        <v>3</v>
      </c>
      <c r="J654" s="228">
        <f>MONTH(AVEU_Historical_Data__2[[#This Row],[Date]])</f>
        <v>11</v>
      </c>
      <c r="K654" s="228"/>
    </row>
    <row r="655" spans="1:11" x14ac:dyDescent="0.25">
      <c r="A655" s="227">
        <v>44886</v>
      </c>
      <c r="B655" s="228">
        <v>3882.3</v>
      </c>
      <c r="C655" s="228">
        <v>3923</v>
      </c>
      <c r="D655" s="228">
        <v>3936</v>
      </c>
      <c r="E655" s="228">
        <v>3871.05</v>
      </c>
      <c r="F655">
        <v>204060</v>
      </c>
      <c r="G655" s="228">
        <v>-7.1999999999999998E-3</v>
      </c>
      <c r="H655" s="228">
        <f>YEAR(AVEU_Historical_Data__2[[#This Row],[Date]])</f>
        <v>2022</v>
      </c>
      <c r="I655" s="228">
        <f>ROUNDUP((MOD(MONTH(AVEU_Historical_Data__2[[#This Row],[Date]])+8,12)+1)/3,0)</f>
        <v>3</v>
      </c>
      <c r="J655" s="228">
        <f>MONTH(AVEU_Historical_Data__2[[#This Row],[Date]])</f>
        <v>11</v>
      </c>
      <c r="K655" s="228"/>
    </row>
    <row r="656" spans="1:11" x14ac:dyDescent="0.25">
      <c r="A656" s="227">
        <v>44887</v>
      </c>
      <c r="B656" s="228">
        <v>3955.2</v>
      </c>
      <c r="C656" s="228">
        <v>3884.95</v>
      </c>
      <c r="D656" s="228">
        <v>4026</v>
      </c>
      <c r="E656" s="228">
        <v>3883</v>
      </c>
      <c r="F656">
        <v>504840</v>
      </c>
      <c r="G656" s="228">
        <v>1.8800000000000001E-2</v>
      </c>
      <c r="H656" s="228">
        <f>YEAR(AVEU_Historical_Data__2[[#This Row],[Date]])</f>
        <v>2022</v>
      </c>
      <c r="I656" s="228">
        <f>ROUNDUP((MOD(MONTH(AVEU_Historical_Data__2[[#This Row],[Date]])+8,12)+1)/3,0)</f>
        <v>3</v>
      </c>
      <c r="J656" s="228">
        <f>MONTH(AVEU_Historical_Data__2[[#This Row],[Date]])</f>
        <v>11</v>
      </c>
      <c r="K656" s="228"/>
    </row>
    <row r="657" spans="1:11" x14ac:dyDescent="0.25">
      <c r="A657" s="227">
        <v>44888</v>
      </c>
      <c r="B657" s="228">
        <v>3954.75</v>
      </c>
      <c r="C657" s="228">
        <v>3975</v>
      </c>
      <c r="D657" s="228">
        <v>3998.6</v>
      </c>
      <c r="E657" s="228">
        <v>3934.25</v>
      </c>
      <c r="F657">
        <v>182630</v>
      </c>
      <c r="G657" s="228">
        <v>-1E-4</v>
      </c>
      <c r="H657" s="228">
        <f>YEAR(AVEU_Historical_Data__2[[#This Row],[Date]])</f>
        <v>2022</v>
      </c>
      <c r="I657" s="228">
        <f>ROUNDUP((MOD(MONTH(AVEU_Historical_Data__2[[#This Row],[Date]])+8,12)+1)/3,0)</f>
        <v>3</v>
      </c>
      <c r="J657" s="228">
        <f>MONTH(AVEU_Historical_Data__2[[#This Row],[Date]])</f>
        <v>11</v>
      </c>
      <c r="K657" s="228"/>
    </row>
    <row r="658" spans="1:11" x14ac:dyDescent="0.25">
      <c r="A658" s="227">
        <v>44889</v>
      </c>
      <c r="B658" s="228">
        <v>3968.05</v>
      </c>
      <c r="C658" s="228">
        <v>3974.35</v>
      </c>
      <c r="D658" s="228">
        <v>3994.75</v>
      </c>
      <c r="E658" s="228">
        <v>3951.1</v>
      </c>
      <c r="F658">
        <v>155800</v>
      </c>
      <c r="G658" s="228">
        <v>3.3999999999999998E-3</v>
      </c>
      <c r="H658" s="228">
        <f>YEAR(AVEU_Historical_Data__2[[#This Row],[Date]])</f>
        <v>2022</v>
      </c>
      <c r="I658" s="228">
        <f>ROUNDUP((MOD(MONTH(AVEU_Historical_Data__2[[#This Row],[Date]])+8,12)+1)/3,0)</f>
        <v>3</v>
      </c>
      <c r="J658" s="228">
        <f>MONTH(AVEU_Historical_Data__2[[#This Row],[Date]])</f>
        <v>11</v>
      </c>
      <c r="K658" s="228"/>
    </row>
    <row r="659" spans="1:11" x14ac:dyDescent="0.25">
      <c r="A659" s="227">
        <v>44890</v>
      </c>
      <c r="B659" s="228">
        <v>3904.45</v>
      </c>
      <c r="C659" s="228">
        <v>3969</v>
      </c>
      <c r="D659" s="228">
        <v>3977.05</v>
      </c>
      <c r="E659" s="228">
        <v>3901</v>
      </c>
      <c r="F659">
        <v>291850</v>
      </c>
      <c r="G659" s="228">
        <v>-1.6E-2</v>
      </c>
      <c r="H659" s="228">
        <f>YEAR(AVEU_Historical_Data__2[[#This Row],[Date]])</f>
        <v>2022</v>
      </c>
      <c r="I659" s="228">
        <f>ROUNDUP((MOD(MONTH(AVEU_Historical_Data__2[[#This Row],[Date]])+8,12)+1)/3,0)</f>
        <v>3</v>
      </c>
      <c r="J659" s="228">
        <f>MONTH(AVEU_Historical_Data__2[[#This Row],[Date]])</f>
        <v>11</v>
      </c>
      <c r="K659" s="228"/>
    </row>
    <row r="660" spans="1:11" x14ac:dyDescent="0.25">
      <c r="A660" s="227">
        <v>44893</v>
      </c>
      <c r="B660" s="228">
        <v>3907.7</v>
      </c>
      <c r="C660" s="228">
        <v>3913.4</v>
      </c>
      <c r="D660" s="228">
        <v>3934</v>
      </c>
      <c r="E660" s="228">
        <v>3890</v>
      </c>
      <c r="F660">
        <v>228980</v>
      </c>
      <c r="G660" s="228">
        <v>8.0000000000000004E-4</v>
      </c>
      <c r="H660" s="228">
        <f>YEAR(AVEU_Historical_Data__2[[#This Row],[Date]])</f>
        <v>2022</v>
      </c>
      <c r="I660" s="228">
        <f>ROUNDUP((MOD(MONTH(AVEU_Historical_Data__2[[#This Row],[Date]])+8,12)+1)/3,0)</f>
        <v>3</v>
      </c>
      <c r="J660" s="228">
        <f>MONTH(AVEU_Historical_Data__2[[#This Row],[Date]])</f>
        <v>11</v>
      </c>
      <c r="K660" s="228"/>
    </row>
    <row r="661" spans="1:11" x14ac:dyDescent="0.25">
      <c r="A661" s="227">
        <v>44894</v>
      </c>
      <c r="B661" s="228">
        <v>3965.1</v>
      </c>
      <c r="C661" s="228">
        <v>3907</v>
      </c>
      <c r="D661" s="228">
        <v>3977.55</v>
      </c>
      <c r="E661" s="228">
        <v>3898</v>
      </c>
      <c r="F661">
        <v>344370</v>
      </c>
      <c r="G661" s="228">
        <v>1.47E-2</v>
      </c>
      <c r="H661" s="228">
        <f>YEAR(AVEU_Historical_Data__2[[#This Row],[Date]])</f>
        <v>2022</v>
      </c>
      <c r="I661" s="228">
        <f>ROUNDUP((MOD(MONTH(AVEU_Historical_Data__2[[#This Row],[Date]])+8,12)+1)/3,0)</f>
        <v>3</v>
      </c>
      <c r="J661" s="228">
        <f>MONTH(AVEU_Historical_Data__2[[#This Row],[Date]])</f>
        <v>11</v>
      </c>
      <c r="K661" s="228"/>
    </row>
    <row r="662" spans="1:11" x14ac:dyDescent="0.25">
      <c r="A662" s="227">
        <v>44895</v>
      </c>
      <c r="B662" s="228">
        <v>4025.5</v>
      </c>
      <c r="C662" s="228">
        <v>3975</v>
      </c>
      <c r="D662" s="228">
        <v>4040</v>
      </c>
      <c r="E662" s="228">
        <v>3955</v>
      </c>
      <c r="F662">
        <v>604670</v>
      </c>
      <c r="G662" s="228">
        <v>1.52E-2</v>
      </c>
      <c r="H662" s="228">
        <f>YEAR(AVEU_Historical_Data__2[[#This Row],[Date]])</f>
        <v>2022</v>
      </c>
      <c r="I662" s="228">
        <f>ROUNDUP((MOD(MONTH(AVEU_Historical_Data__2[[#This Row],[Date]])+8,12)+1)/3,0)</f>
        <v>3</v>
      </c>
      <c r="J662" s="228">
        <f>MONTH(AVEU_Historical_Data__2[[#This Row],[Date]])</f>
        <v>11</v>
      </c>
      <c r="K662" s="228"/>
    </row>
    <row r="663" spans="1:11" x14ac:dyDescent="0.25">
      <c r="A663" s="227">
        <v>44896</v>
      </c>
      <c r="B663" s="228">
        <v>4044.15</v>
      </c>
      <c r="C663" s="228">
        <v>4041</v>
      </c>
      <c r="D663" s="228">
        <v>4064</v>
      </c>
      <c r="E663" s="228">
        <v>4032.1</v>
      </c>
      <c r="F663">
        <v>255280</v>
      </c>
      <c r="G663" s="228">
        <v>4.5999999999999999E-3</v>
      </c>
      <c r="H663" s="228">
        <f>YEAR(AVEU_Historical_Data__2[[#This Row],[Date]])</f>
        <v>2022</v>
      </c>
      <c r="I663" s="228">
        <f>ROUNDUP((MOD(MONTH(AVEU_Historical_Data__2[[#This Row],[Date]])+8,12)+1)/3,0)</f>
        <v>3</v>
      </c>
      <c r="J663" s="228">
        <f>MONTH(AVEU_Historical_Data__2[[#This Row],[Date]])</f>
        <v>12</v>
      </c>
      <c r="K663" s="228"/>
    </row>
    <row r="664" spans="1:11" x14ac:dyDescent="0.25">
      <c r="A664" s="227">
        <v>44897</v>
      </c>
      <c r="B664" s="228">
        <v>4005.75</v>
      </c>
      <c r="C664" s="228">
        <v>4049</v>
      </c>
      <c r="D664" s="228">
        <v>4055</v>
      </c>
      <c r="E664" s="228">
        <v>3992.55</v>
      </c>
      <c r="F664">
        <v>222150</v>
      </c>
      <c r="G664" s="228">
        <v>-9.4999999999999998E-3</v>
      </c>
      <c r="H664" s="228">
        <f>YEAR(AVEU_Historical_Data__2[[#This Row],[Date]])</f>
        <v>2022</v>
      </c>
      <c r="I664" s="228">
        <f>ROUNDUP((MOD(MONTH(AVEU_Historical_Data__2[[#This Row],[Date]])+8,12)+1)/3,0)</f>
        <v>3</v>
      </c>
      <c r="J664" s="228">
        <f>MONTH(AVEU_Historical_Data__2[[#This Row],[Date]])</f>
        <v>12</v>
      </c>
      <c r="K664" s="228"/>
    </row>
    <row r="665" spans="1:11" x14ac:dyDescent="0.25">
      <c r="A665" s="227">
        <v>44900</v>
      </c>
      <c r="B665" s="228">
        <v>4028.15</v>
      </c>
      <c r="C665" s="228">
        <v>4010</v>
      </c>
      <c r="D665" s="228">
        <v>4049.95</v>
      </c>
      <c r="E665" s="228">
        <v>3975</v>
      </c>
      <c r="F665">
        <v>217720</v>
      </c>
      <c r="G665" s="228">
        <v>5.5999999999999999E-3</v>
      </c>
      <c r="H665" s="228">
        <f>YEAR(AVEU_Historical_Data__2[[#This Row],[Date]])</f>
        <v>2022</v>
      </c>
      <c r="I665" s="228">
        <f>ROUNDUP((MOD(MONTH(AVEU_Historical_Data__2[[#This Row],[Date]])+8,12)+1)/3,0)</f>
        <v>3</v>
      </c>
      <c r="J665" s="228">
        <f>MONTH(AVEU_Historical_Data__2[[#This Row],[Date]])</f>
        <v>12</v>
      </c>
      <c r="K665" s="228"/>
    </row>
    <row r="666" spans="1:11" x14ac:dyDescent="0.25">
      <c r="A666" s="227">
        <v>44901</v>
      </c>
      <c r="B666" s="228">
        <v>4063.4</v>
      </c>
      <c r="C666" s="228">
        <v>4018</v>
      </c>
      <c r="D666" s="228">
        <v>4094</v>
      </c>
      <c r="E666" s="228">
        <v>3995</v>
      </c>
      <c r="F666">
        <v>224610</v>
      </c>
      <c r="G666" s="228">
        <v>8.8000000000000005E-3</v>
      </c>
      <c r="H666" s="228">
        <f>YEAR(AVEU_Historical_Data__2[[#This Row],[Date]])</f>
        <v>2022</v>
      </c>
      <c r="I666" s="228">
        <f>ROUNDUP((MOD(MONTH(AVEU_Historical_Data__2[[#This Row],[Date]])+8,12)+1)/3,0)</f>
        <v>3</v>
      </c>
      <c r="J666" s="228">
        <f>MONTH(AVEU_Historical_Data__2[[#This Row],[Date]])</f>
        <v>12</v>
      </c>
      <c r="K666" s="228"/>
    </row>
    <row r="667" spans="1:11" x14ac:dyDescent="0.25">
      <c r="A667" s="227">
        <v>44902</v>
      </c>
      <c r="B667" s="228">
        <v>4083.15</v>
      </c>
      <c r="C667" s="228">
        <v>4080</v>
      </c>
      <c r="D667" s="228">
        <v>4100</v>
      </c>
      <c r="E667" s="228">
        <v>4045.15</v>
      </c>
      <c r="F667">
        <v>257220.00000000003</v>
      </c>
      <c r="G667" s="228">
        <v>4.8999999999999998E-3</v>
      </c>
      <c r="H667" s="228">
        <f>YEAR(AVEU_Historical_Data__2[[#This Row],[Date]])</f>
        <v>2022</v>
      </c>
      <c r="I667" s="228">
        <f>ROUNDUP((MOD(MONTH(AVEU_Historical_Data__2[[#This Row],[Date]])+8,12)+1)/3,0)</f>
        <v>3</v>
      </c>
      <c r="J667" s="228">
        <f>MONTH(AVEU_Historical_Data__2[[#This Row],[Date]])</f>
        <v>12</v>
      </c>
      <c r="K667" s="228"/>
    </row>
    <row r="668" spans="1:11" x14ac:dyDescent="0.25">
      <c r="A668" s="227">
        <v>44903</v>
      </c>
      <c r="B668" s="228">
        <v>4037.2</v>
      </c>
      <c r="C668" s="228">
        <v>4090</v>
      </c>
      <c r="D668" s="228">
        <v>4090</v>
      </c>
      <c r="E668" s="228">
        <v>4015.4</v>
      </c>
      <c r="F668">
        <v>177560</v>
      </c>
      <c r="G668" s="228">
        <v>-1.1299999999999999E-2</v>
      </c>
      <c r="H668" s="228">
        <f>YEAR(AVEU_Historical_Data__2[[#This Row],[Date]])</f>
        <v>2022</v>
      </c>
      <c r="I668" s="228">
        <f>ROUNDUP((MOD(MONTH(AVEU_Historical_Data__2[[#This Row],[Date]])+8,12)+1)/3,0)</f>
        <v>3</v>
      </c>
      <c r="J668" s="228">
        <f>MONTH(AVEU_Historical_Data__2[[#This Row],[Date]])</f>
        <v>12</v>
      </c>
      <c r="K668" s="228"/>
    </row>
    <row r="669" spans="1:11" x14ac:dyDescent="0.25">
      <c r="A669" s="227">
        <v>44904</v>
      </c>
      <c r="B669" s="228">
        <v>4002.4</v>
      </c>
      <c r="C669" s="228">
        <v>4054.9</v>
      </c>
      <c r="D669" s="228">
        <v>4057.75</v>
      </c>
      <c r="E669" s="228">
        <v>3983.4</v>
      </c>
      <c r="F669">
        <v>265650</v>
      </c>
      <c r="G669" s="228">
        <v>-8.6E-3</v>
      </c>
      <c r="H669" s="228">
        <f>YEAR(AVEU_Historical_Data__2[[#This Row],[Date]])</f>
        <v>2022</v>
      </c>
      <c r="I669" s="228">
        <f>ROUNDUP((MOD(MONTH(AVEU_Historical_Data__2[[#This Row],[Date]])+8,12)+1)/3,0)</f>
        <v>3</v>
      </c>
      <c r="J669" s="228">
        <f>MONTH(AVEU_Historical_Data__2[[#This Row],[Date]])</f>
        <v>12</v>
      </c>
      <c r="K669" s="228"/>
    </row>
    <row r="670" spans="1:11" x14ac:dyDescent="0.25">
      <c r="A670" s="227">
        <v>44907</v>
      </c>
      <c r="B670" s="228">
        <v>4057.35</v>
      </c>
      <c r="C670" s="228">
        <v>3980</v>
      </c>
      <c r="D670" s="228">
        <v>4074</v>
      </c>
      <c r="E670" s="228">
        <v>3948</v>
      </c>
      <c r="F670">
        <v>242440</v>
      </c>
      <c r="G670" s="228">
        <v>1.37E-2</v>
      </c>
      <c r="H670" s="228">
        <f>YEAR(AVEU_Historical_Data__2[[#This Row],[Date]])</f>
        <v>2022</v>
      </c>
      <c r="I670" s="228">
        <f>ROUNDUP((MOD(MONTH(AVEU_Historical_Data__2[[#This Row],[Date]])+8,12)+1)/3,0)</f>
        <v>3</v>
      </c>
      <c r="J670" s="228">
        <f>MONTH(AVEU_Historical_Data__2[[#This Row],[Date]])</f>
        <v>12</v>
      </c>
      <c r="K670" s="228"/>
    </row>
    <row r="671" spans="1:11" x14ac:dyDescent="0.25">
      <c r="A671" s="227">
        <v>44908</v>
      </c>
      <c r="B671" s="228">
        <v>4108.95</v>
      </c>
      <c r="C671" s="228">
        <v>4060</v>
      </c>
      <c r="D671" s="228">
        <v>4120</v>
      </c>
      <c r="E671" s="228">
        <v>4060</v>
      </c>
      <c r="F671">
        <v>275770</v>
      </c>
      <c r="G671" s="228">
        <v>1.2699999999999999E-2</v>
      </c>
      <c r="H671" s="228">
        <f>YEAR(AVEU_Historical_Data__2[[#This Row],[Date]])</f>
        <v>2022</v>
      </c>
      <c r="I671" s="228">
        <f>ROUNDUP((MOD(MONTH(AVEU_Historical_Data__2[[#This Row],[Date]])+8,12)+1)/3,0)</f>
        <v>3</v>
      </c>
      <c r="J671" s="228">
        <f>MONTH(AVEU_Historical_Data__2[[#This Row],[Date]])</f>
        <v>12</v>
      </c>
      <c r="K671" s="228"/>
    </row>
    <row r="672" spans="1:11" x14ac:dyDescent="0.25">
      <c r="A672" s="227">
        <v>44909</v>
      </c>
      <c r="B672" s="228">
        <v>4201.1000000000004</v>
      </c>
      <c r="C672" s="228">
        <v>4089.1</v>
      </c>
      <c r="D672" s="228">
        <v>4209.8500000000004</v>
      </c>
      <c r="E672" s="228">
        <v>4089.1</v>
      </c>
      <c r="F672">
        <v>545140</v>
      </c>
      <c r="G672" s="228">
        <v>2.24E-2</v>
      </c>
      <c r="H672" s="228">
        <f>YEAR(AVEU_Historical_Data__2[[#This Row],[Date]])</f>
        <v>2022</v>
      </c>
      <c r="I672" s="228">
        <f>ROUNDUP((MOD(MONTH(AVEU_Historical_Data__2[[#This Row],[Date]])+8,12)+1)/3,0)</f>
        <v>3</v>
      </c>
      <c r="J672" s="228">
        <f>MONTH(AVEU_Historical_Data__2[[#This Row],[Date]])</f>
        <v>12</v>
      </c>
      <c r="K672" s="228"/>
    </row>
    <row r="673" spans="1:11" x14ac:dyDescent="0.25">
      <c r="A673" s="227">
        <v>44910</v>
      </c>
      <c r="B673" s="228">
        <v>4182</v>
      </c>
      <c r="C673" s="228">
        <v>4209</v>
      </c>
      <c r="D673" s="228">
        <v>4228.95</v>
      </c>
      <c r="E673" s="228">
        <v>4151</v>
      </c>
      <c r="F673">
        <v>312110</v>
      </c>
      <c r="G673" s="228">
        <v>-4.4999999999999997E-3</v>
      </c>
      <c r="H673" s="228">
        <f>YEAR(AVEU_Historical_Data__2[[#This Row],[Date]])</f>
        <v>2022</v>
      </c>
      <c r="I673" s="228">
        <f>ROUNDUP((MOD(MONTH(AVEU_Historical_Data__2[[#This Row],[Date]])+8,12)+1)/3,0)</f>
        <v>3</v>
      </c>
      <c r="J673" s="228">
        <f>MONTH(AVEU_Historical_Data__2[[#This Row],[Date]])</f>
        <v>12</v>
      </c>
      <c r="K673" s="228"/>
    </row>
    <row r="674" spans="1:11" x14ac:dyDescent="0.25">
      <c r="A674" s="227">
        <v>44911</v>
      </c>
      <c r="B674" s="228">
        <v>3990</v>
      </c>
      <c r="C674" s="228">
        <v>4140.6499999999996</v>
      </c>
      <c r="D674" s="228">
        <v>4150.5</v>
      </c>
      <c r="E674" s="228">
        <v>3956</v>
      </c>
      <c r="F674">
        <v>380720</v>
      </c>
      <c r="G674" s="228">
        <v>-4.5900000000000003E-2</v>
      </c>
      <c r="H674" s="228">
        <f>YEAR(AVEU_Historical_Data__2[[#This Row],[Date]])</f>
        <v>2022</v>
      </c>
      <c r="I674" s="228">
        <f>ROUNDUP((MOD(MONTH(AVEU_Historical_Data__2[[#This Row],[Date]])+8,12)+1)/3,0)</f>
        <v>3</v>
      </c>
      <c r="J674" s="228">
        <f>MONTH(AVEU_Historical_Data__2[[#This Row],[Date]])</f>
        <v>12</v>
      </c>
      <c r="K674" s="228"/>
    </row>
    <row r="675" spans="1:11" x14ac:dyDescent="0.25">
      <c r="A675" s="227">
        <v>44914</v>
      </c>
      <c r="B675" s="228">
        <v>4090.2</v>
      </c>
      <c r="C675" s="228">
        <v>4020</v>
      </c>
      <c r="D675" s="228">
        <v>4099.8999999999996</v>
      </c>
      <c r="E675" s="228">
        <v>4000</v>
      </c>
      <c r="F675">
        <v>300720</v>
      </c>
      <c r="G675" s="228">
        <v>2.5100000000000001E-2</v>
      </c>
      <c r="H675" s="228">
        <f>YEAR(AVEU_Historical_Data__2[[#This Row],[Date]])</f>
        <v>2022</v>
      </c>
      <c r="I675" s="228">
        <f>ROUNDUP((MOD(MONTH(AVEU_Historical_Data__2[[#This Row],[Date]])+8,12)+1)/3,0)</f>
        <v>3</v>
      </c>
      <c r="J675" s="228">
        <f>MONTH(AVEU_Historical_Data__2[[#This Row],[Date]])</f>
        <v>12</v>
      </c>
      <c r="K675" s="228"/>
    </row>
    <row r="676" spans="1:11" x14ac:dyDescent="0.25">
      <c r="A676" s="227">
        <v>44915</v>
      </c>
      <c r="B676" s="228">
        <v>4089.55</v>
      </c>
      <c r="C676" s="228">
        <v>4088</v>
      </c>
      <c r="D676" s="228">
        <v>4138.6000000000004</v>
      </c>
      <c r="E676" s="228">
        <v>4052.15</v>
      </c>
      <c r="F676">
        <v>217790</v>
      </c>
      <c r="G676" s="228">
        <v>-2.0000000000000001E-4</v>
      </c>
      <c r="H676" s="228">
        <f>YEAR(AVEU_Historical_Data__2[[#This Row],[Date]])</f>
        <v>2022</v>
      </c>
      <c r="I676" s="228">
        <f>ROUNDUP((MOD(MONTH(AVEU_Historical_Data__2[[#This Row],[Date]])+8,12)+1)/3,0)</f>
        <v>3</v>
      </c>
      <c r="J676" s="228">
        <f>MONTH(AVEU_Historical_Data__2[[#This Row],[Date]])</f>
        <v>12</v>
      </c>
      <c r="K676" s="228"/>
    </row>
    <row r="677" spans="1:11" x14ac:dyDescent="0.25">
      <c r="A677" s="227">
        <v>44916</v>
      </c>
      <c r="B677" s="228">
        <v>3993.2</v>
      </c>
      <c r="C677" s="228">
        <v>4094</v>
      </c>
      <c r="D677" s="228">
        <v>4109.95</v>
      </c>
      <c r="E677" s="228">
        <v>3975.15</v>
      </c>
      <c r="F677">
        <v>252190</v>
      </c>
      <c r="G677" s="228">
        <v>-2.3599999999999999E-2</v>
      </c>
      <c r="H677" s="228">
        <f>YEAR(AVEU_Historical_Data__2[[#This Row],[Date]])</f>
        <v>2022</v>
      </c>
      <c r="I677" s="228">
        <f>ROUNDUP((MOD(MONTH(AVEU_Historical_Data__2[[#This Row],[Date]])+8,12)+1)/3,0)</f>
        <v>3</v>
      </c>
      <c r="J677" s="228">
        <f>MONTH(AVEU_Historical_Data__2[[#This Row],[Date]])</f>
        <v>12</v>
      </c>
      <c r="K677" s="228"/>
    </row>
    <row r="678" spans="1:11" x14ac:dyDescent="0.25">
      <c r="A678" s="227">
        <v>44917</v>
      </c>
      <c r="B678" s="228">
        <v>3921.55</v>
      </c>
      <c r="C678" s="228">
        <v>4008</v>
      </c>
      <c r="D678" s="228">
        <v>4029</v>
      </c>
      <c r="E678" s="228">
        <v>3905.5</v>
      </c>
      <c r="F678">
        <v>283000</v>
      </c>
      <c r="G678" s="228">
        <v>-1.7899999999999999E-2</v>
      </c>
      <c r="H678" s="228">
        <f>YEAR(AVEU_Historical_Data__2[[#This Row],[Date]])</f>
        <v>2022</v>
      </c>
      <c r="I678" s="228">
        <f>ROUNDUP((MOD(MONTH(AVEU_Historical_Data__2[[#This Row],[Date]])+8,12)+1)/3,0)</f>
        <v>3</v>
      </c>
      <c r="J678" s="228">
        <f>MONTH(AVEU_Historical_Data__2[[#This Row],[Date]])</f>
        <v>12</v>
      </c>
      <c r="K678" s="228"/>
    </row>
    <row r="679" spans="1:11" x14ac:dyDescent="0.25">
      <c r="A679" s="227">
        <v>44918</v>
      </c>
      <c r="B679" s="228">
        <v>3875.6</v>
      </c>
      <c r="C679" s="228">
        <v>3896.55</v>
      </c>
      <c r="D679" s="228">
        <v>3911.75</v>
      </c>
      <c r="E679" s="228">
        <v>3835</v>
      </c>
      <c r="F679">
        <v>255260</v>
      </c>
      <c r="G679" s="228">
        <v>-1.17E-2</v>
      </c>
      <c r="H679" s="228">
        <f>YEAR(AVEU_Historical_Data__2[[#This Row],[Date]])</f>
        <v>2022</v>
      </c>
      <c r="I679" s="228">
        <f>ROUNDUP((MOD(MONTH(AVEU_Historical_Data__2[[#This Row],[Date]])+8,12)+1)/3,0)</f>
        <v>3</v>
      </c>
      <c r="J679" s="228">
        <f>MONTH(AVEU_Historical_Data__2[[#This Row],[Date]])</f>
        <v>12</v>
      </c>
      <c r="K679" s="228"/>
    </row>
    <row r="680" spans="1:11" x14ac:dyDescent="0.25">
      <c r="A680" s="227">
        <v>44921</v>
      </c>
      <c r="B680" s="228">
        <v>4036.6</v>
      </c>
      <c r="C680" s="228">
        <v>3896</v>
      </c>
      <c r="D680" s="228">
        <v>4049</v>
      </c>
      <c r="E680" s="228">
        <v>3871</v>
      </c>
      <c r="F680">
        <v>205540</v>
      </c>
      <c r="G680" s="228">
        <v>4.1500000000000002E-2</v>
      </c>
      <c r="H680" s="228">
        <f>YEAR(AVEU_Historical_Data__2[[#This Row],[Date]])</f>
        <v>2022</v>
      </c>
      <c r="I680" s="228">
        <f>ROUNDUP((MOD(MONTH(AVEU_Historical_Data__2[[#This Row],[Date]])+8,12)+1)/3,0)</f>
        <v>3</v>
      </c>
      <c r="J680" s="228">
        <f>MONTH(AVEU_Historical_Data__2[[#This Row],[Date]])</f>
        <v>12</v>
      </c>
      <c r="K680" s="228"/>
    </row>
    <row r="681" spans="1:11" x14ac:dyDescent="0.25">
      <c r="A681" s="227">
        <v>44922</v>
      </c>
      <c r="B681" s="228">
        <v>4074.6</v>
      </c>
      <c r="C681" s="228">
        <v>4060</v>
      </c>
      <c r="D681" s="228">
        <v>4094</v>
      </c>
      <c r="E681" s="228">
        <v>4005</v>
      </c>
      <c r="F681">
        <v>168070</v>
      </c>
      <c r="G681" s="228">
        <v>9.4000000000000004E-3</v>
      </c>
      <c r="H681" s="228">
        <f>YEAR(AVEU_Historical_Data__2[[#This Row],[Date]])</f>
        <v>2022</v>
      </c>
      <c r="I681" s="228">
        <f>ROUNDUP((MOD(MONTH(AVEU_Historical_Data__2[[#This Row],[Date]])+8,12)+1)/3,0)</f>
        <v>3</v>
      </c>
      <c r="J681" s="228">
        <f>MONTH(AVEU_Historical_Data__2[[#This Row],[Date]])</f>
        <v>12</v>
      </c>
      <c r="K681" s="228"/>
    </row>
    <row r="682" spans="1:11" x14ac:dyDescent="0.25">
      <c r="A682" s="227">
        <v>44923</v>
      </c>
      <c r="B682" s="228">
        <v>4017.75</v>
      </c>
      <c r="C682" s="228">
        <v>4077.95</v>
      </c>
      <c r="D682" s="228">
        <v>4077.95</v>
      </c>
      <c r="E682" s="228">
        <v>4007.4</v>
      </c>
      <c r="F682">
        <v>130500</v>
      </c>
      <c r="G682" s="228">
        <v>-1.4E-2</v>
      </c>
      <c r="H682" s="228">
        <f>YEAR(AVEU_Historical_Data__2[[#This Row],[Date]])</f>
        <v>2022</v>
      </c>
      <c r="I682" s="228">
        <f>ROUNDUP((MOD(MONTH(AVEU_Historical_Data__2[[#This Row],[Date]])+8,12)+1)/3,0)</f>
        <v>3</v>
      </c>
      <c r="J682" s="228">
        <f>MONTH(AVEU_Historical_Data__2[[#This Row],[Date]])</f>
        <v>12</v>
      </c>
      <c r="K682" s="228"/>
    </row>
    <row r="683" spans="1:11" x14ac:dyDescent="0.25">
      <c r="A683" s="227">
        <v>44924</v>
      </c>
      <c r="B683" s="228">
        <v>4178.3</v>
      </c>
      <c r="C683" s="228">
        <v>4003.15</v>
      </c>
      <c r="D683" s="228">
        <v>4207.95</v>
      </c>
      <c r="E683" s="228">
        <v>3971.8</v>
      </c>
      <c r="F683">
        <v>475190</v>
      </c>
      <c r="G683" s="228">
        <v>0.04</v>
      </c>
      <c r="H683" s="228">
        <f>YEAR(AVEU_Historical_Data__2[[#This Row],[Date]])</f>
        <v>2022</v>
      </c>
      <c r="I683" s="228">
        <f>ROUNDUP((MOD(MONTH(AVEU_Historical_Data__2[[#This Row],[Date]])+8,12)+1)/3,0)</f>
        <v>3</v>
      </c>
      <c r="J683" s="228">
        <f>MONTH(AVEU_Historical_Data__2[[#This Row],[Date]])</f>
        <v>12</v>
      </c>
      <c r="K683" s="228"/>
    </row>
    <row r="684" spans="1:11" x14ac:dyDescent="0.25">
      <c r="A684" s="227">
        <v>44925</v>
      </c>
      <c r="B684" s="228">
        <v>4068.75</v>
      </c>
      <c r="C684" s="228">
        <v>4178</v>
      </c>
      <c r="D684" s="228">
        <v>4195</v>
      </c>
      <c r="E684" s="228">
        <v>4025.15</v>
      </c>
      <c r="F684">
        <v>387430</v>
      </c>
      <c r="G684" s="228">
        <v>-2.6200000000000001E-2</v>
      </c>
      <c r="H684" s="228">
        <f>YEAR(AVEU_Historical_Data__2[[#This Row],[Date]])</f>
        <v>2022</v>
      </c>
      <c r="I684" s="228">
        <f>ROUNDUP((MOD(MONTH(AVEU_Historical_Data__2[[#This Row],[Date]])+8,12)+1)/3,0)</f>
        <v>3</v>
      </c>
      <c r="J684" s="228">
        <f>MONTH(AVEU_Historical_Data__2[[#This Row],[Date]])</f>
        <v>12</v>
      </c>
      <c r="K684" s="228"/>
    </row>
    <row r="685" spans="1:11" x14ac:dyDescent="0.25">
      <c r="A685" s="227">
        <v>44928</v>
      </c>
      <c r="B685" s="228">
        <v>4072.75</v>
      </c>
      <c r="C685" s="228">
        <v>4075</v>
      </c>
      <c r="D685" s="228">
        <v>4117.95</v>
      </c>
      <c r="E685" s="228">
        <v>4055</v>
      </c>
      <c r="F685">
        <v>119120</v>
      </c>
      <c r="G685" s="228">
        <v>1E-3</v>
      </c>
      <c r="H685" s="228">
        <f>YEAR(AVEU_Historical_Data__2[[#This Row],[Date]])</f>
        <v>2023</v>
      </c>
      <c r="I685" s="228">
        <f>ROUNDUP((MOD(MONTH(AVEU_Historical_Data__2[[#This Row],[Date]])+8,12)+1)/3,0)</f>
        <v>4</v>
      </c>
      <c r="J685" s="228">
        <f>MONTH(AVEU_Historical_Data__2[[#This Row],[Date]])</f>
        <v>1</v>
      </c>
      <c r="K685" s="228"/>
    </row>
    <row r="686" spans="1:11" x14ac:dyDescent="0.25">
      <c r="A686" s="227">
        <v>44929</v>
      </c>
      <c r="B686" s="228">
        <v>4060.9</v>
      </c>
      <c r="C686" s="228">
        <v>4072.75</v>
      </c>
      <c r="D686" s="228">
        <v>4099</v>
      </c>
      <c r="E686" s="228">
        <v>4044</v>
      </c>
      <c r="F686">
        <v>114010</v>
      </c>
      <c r="G686" s="228">
        <v>-2.8999999999999998E-3</v>
      </c>
      <c r="H686" s="228">
        <f>YEAR(AVEU_Historical_Data__2[[#This Row],[Date]])</f>
        <v>2023</v>
      </c>
      <c r="I686" s="228">
        <f>ROUNDUP((MOD(MONTH(AVEU_Historical_Data__2[[#This Row],[Date]])+8,12)+1)/3,0)</f>
        <v>4</v>
      </c>
      <c r="J686" s="228">
        <f>MONTH(AVEU_Historical_Data__2[[#This Row],[Date]])</f>
        <v>1</v>
      </c>
      <c r="K686" s="228"/>
    </row>
    <row r="687" spans="1:11" x14ac:dyDescent="0.25">
      <c r="A687" s="227">
        <v>44930</v>
      </c>
      <c r="B687" s="228">
        <v>3924.2</v>
      </c>
      <c r="C687" s="228">
        <v>4049.95</v>
      </c>
      <c r="D687" s="228">
        <v>4049.95</v>
      </c>
      <c r="E687" s="228">
        <v>3916</v>
      </c>
      <c r="F687">
        <v>740440</v>
      </c>
      <c r="G687" s="228">
        <v>-3.3700000000000001E-2</v>
      </c>
      <c r="H687" s="228">
        <f>YEAR(AVEU_Historical_Data__2[[#This Row],[Date]])</f>
        <v>2023</v>
      </c>
      <c r="I687" s="228">
        <f>ROUNDUP((MOD(MONTH(AVEU_Historical_Data__2[[#This Row],[Date]])+8,12)+1)/3,0)</f>
        <v>4</v>
      </c>
      <c r="J687" s="228">
        <f>MONTH(AVEU_Historical_Data__2[[#This Row],[Date]])</f>
        <v>1</v>
      </c>
      <c r="K687" s="228"/>
    </row>
    <row r="688" spans="1:11" x14ac:dyDescent="0.25">
      <c r="A688" s="227">
        <v>44931</v>
      </c>
      <c r="B688" s="228">
        <v>3857.8</v>
      </c>
      <c r="C688" s="228">
        <v>3955</v>
      </c>
      <c r="D688" s="228">
        <v>3964</v>
      </c>
      <c r="E688" s="228">
        <v>3845.5</v>
      </c>
      <c r="F688">
        <v>483900</v>
      </c>
      <c r="G688" s="228">
        <v>-1.6899999999999998E-2</v>
      </c>
      <c r="H688" s="228">
        <f>YEAR(AVEU_Historical_Data__2[[#This Row],[Date]])</f>
        <v>2023</v>
      </c>
      <c r="I688" s="228">
        <f>ROUNDUP((MOD(MONTH(AVEU_Historical_Data__2[[#This Row],[Date]])+8,12)+1)/3,0)</f>
        <v>4</v>
      </c>
      <c r="J688" s="228">
        <f>MONTH(AVEU_Historical_Data__2[[#This Row],[Date]])</f>
        <v>1</v>
      </c>
      <c r="K688" s="228"/>
    </row>
    <row r="689" spans="1:11" x14ac:dyDescent="0.25">
      <c r="A689" s="227">
        <v>44932</v>
      </c>
      <c r="B689" s="228">
        <v>3842.5</v>
      </c>
      <c r="C689" s="228">
        <v>3870</v>
      </c>
      <c r="D689" s="228">
        <v>3930</v>
      </c>
      <c r="E689" s="228">
        <v>3835</v>
      </c>
      <c r="F689">
        <v>345750</v>
      </c>
      <c r="G689" s="228">
        <v>-4.0000000000000001E-3</v>
      </c>
      <c r="H689" s="228">
        <f>YEAR(AVEU_Historical_Data__2[[#This Row],[Date]])</f>
        <v>2023</v>
      </c>
      <c r="I689" s="228">
        <f>ROUNDUP((MOD(MONTH(AVEU_Historical_Data__2[[#This Row],[Date]])+8,12)+1)/3,0)</f>
        <v>4</v>
      </c>
      <c r="J689" s="228">
        <f>MONTH(AVEU_Historical_Data__2[[#This Row],[Date]])</f>
        <v>1</v>
      </c>
      <c r="K689" s="228"/>
    </row>
    <row r="690" spans="1:11" x14ac:dyDescent="0.25">
      <c r="A690" s="227">
        <v>44935</v>
      </c>
      <c r="B690" s="228">
        <v>3879.55</v>
      </c>
      <c r="C690" s="228">
        <v>3905.8</v>
      </c>
      <c r="D690" s="228">
        <v>3915</v>
      </c>
      <c r="E690" s="228">
        <v>3855.55</v>
      </c>
      <c r="F690">
        <v>280210</v>
      </c>
      <c r="G690" s="228">
        <v>9.5999999999999992E-3</v>
      </c>
      <c r="H690" s="228">
        <f>YEAR(AVEU_Historical_Data__2[[#This Row],[Date]])</f>
        <v>2023</v>
      </c>
      <c r="I690" s="228">
        <f>ROUNDUP((MOD(MONTH(AVEU_Historical_Data__2[[#This Row],[Date]])+8,12)+1)/3,0)</f>
        <v>4</v>
      </c>
      <c r="J690" s="228">
        <f>MONTH(AVEU_Historical_Data__2[[#This Row],[Date]])</f>
        <v>1</v>
      </c>
      <c r="K690" s="228"/>
    </row>
    <row r="691" spans="1:11" x14ac:dyDescent="0.25">
      <c r="A691" s="227">
        <v>44936</v>
      </c>
      <c r="B691" s="228">
        <v>3877.4</v>
      </c>
      <c r="C691" s="228">
        <v>3898</v>
      </c>
      <c r="D691" s="228">
        <v>3919.45</v>
      </c>
      <c r="E691" s="228">
        <v>3861</v>
      </c>
      <c r="F691">
        <v>357860</v>
      </c>
      <c r="G691" s="228">
        <v>-5.9999999999999995E-4</v>
      </c>
      <c r="H691" s="228">
        <f>YEAR(AVEU_Historical_Data__2[[#This Row],[Date]])</f>
        <v>2023</v>
      </c>
      <c r="I691" s="228">
        <f>ROUNDUP((MOD(MONTH(AVEU_Historical_Data__2[[#This Row],[Date]])+8,12)+1)/3,0)</f>
        <v>4</v>
      </c>
      <c r="J691" s="228">
        <f>MONTH(AVEU_Historical_Data__2[[#This Row],[Date]])</f>
        <v>1</v>
      </c>
      <c r="K691" s="228"/>
    </row>
    <row r="692" spans="1:11" x14ac:dyDescent="0.25">
      <c r="A692" s="227">
        <v>44937</v>
      </c>
      <c r="B692" s="228">
        <v>3872.9</v>
      </c>
      <c r="C692" s="228">
        <v>3896</v>
      </c>
      <c r="D692" s="228">
        <v>3910</v>
      </c>
      <c r="E692" s="228">
        <v>3860</v>
      </c>
      <c r="F692">
        <v>156400</v>
      </c>
      <c r="G692" s="228">
        <v>-1.1999999999999999E-3</v>
      </c>
      <c r="H692" s="228">
        <f>YEAR(AVEU_Historical_Data__2[[#This Row],[Date]])</f>
        <v>2023</v>
      </c>
      <c r="I692" s="228">
        <f>ROUNDUP((MOD(MONTH(AVEU_Historical_Data__2[[#This Row],[Date]])+8,12)+1)/3,0)</f>
        <v>4</v>
      </c>
      <c r="J692" s="228">
        <f>MONTH(AVEU_Historical_Data__2[[#This Row],[Date]])</f>
        <v>1</v>
      </c>
      <c r="K692" s="228"/>
    </row>
    <row r="693" spans="1:11" x14ac:dyDescent="0.25">
      <c r="A693" s="227">
        <v>44938</v>
      </c>
      <c r="B693" s="228">
        <v>3911.8</v>
      </c>
      <c r="C693" s="228">
        <v>3892</v>
      </c>
      <c r="D693" s="228">
        <v>3925.5</v>
      </c>
      <c r="E693" s="228">
        <v>3863</v>
      </c>
      <c r="F693">
        <v>212520</v>
      </c>
      <c r="G693" s="228">
        <v>0.01</v>
      </c>
      <c r="H693" s="228">
        <f>YEAR(AVEU_Historical_Data__2[[#This Row],[Date]])</f>
        <v>2023</v>
      </c>
      <c r="I693" s="228">
        <f>ROUNDUP((MOD(MONTH(AVEU_Historical_Data__2[[#This Row],[Date]])+8,12)+1)/3,0)</f>
        <v>4</v>
      </c>
      <c r="J693" s="228">
        <f>MONTH(AVEU_Historical_Data__2[[#This Row],[Date]])</f>
        <v>1</v>
      </c>
      <c r="K693" s="228"/>
    </row>
    <row r="694" spans="1:11" x14ac:dyDescent="0.25">
      <c r="A694" s="227">
        <v>44939</v>
      </c>
      <c r="B694" s="228">
        <v>3863.7</v>
      </c>
      <c r="C694" s="228">
        <v>3925</v>
      </c>
      <c r="D694" s="228">
        <v>3929.65</v>
      </c>
      <c r="E694" s="228">
        <v>3850.1</v>
      </c>
      <c r="F694">
        <v>283280</v>
      </c>
      <c r="G694" s="228">
        <v>-1.23E-2</v>
      </c>
      <c r="H694" s="228">
        <f>YEAR(AVEU_Historical_Data__2[[#This Row],[Date]])</f>
        <v>2023</v>
      </c>
      <c r="I694" s="228">
        <f>ROUNDUP((MOD(MONTH(AVEU_Historical_Data__2[[#This Row],[Date]])+8,12)+1)/3,0)</f>
        <v>4</v>
      </c>
      <c r="J694" s="228">
        <f>MONTH(AVEU_Historical_Data__2[[#This Row],[Date]])</f>
        <v>1</v>
      </c>
      <c r="K694" s="228"/>
    </row>
    <row r="695" spans="1:11" x14ac:dyDescent="0.25">
      <c r="A695" s="227">
        <v>44942</v>
      </c>
      <c r="B695" s="228">
        <v>3678.35</v>
      </c>
      <c r="C695" s="228">
        <v>3690</v>
      </c>
      <c r="D695" s="228">
        <v>3748</v>
      </c>
      <c r="E695" s="228">
        <v>3645.2</v>
      </c>
      <c r="F695">
        <v>1810000</v>
      </c>
      <c r="G695" s="228">
        <v>-4.8000000000000001E-2</v>
      </c>
      <c r="H695" s="228">
        <f>YEAR(AVEU_Historical_Data__2[[#This Row],[Date]])</f>
        <v>2023</v>
      </c>
      <c r="I695" s="228">
        <f>ROUNDUP((MOD(MONTH(AVEU_Historical_Data__2[[#This Row],[Date]])+8,12)+1)/3,0)</f>
        <v>4</v>
      </c>
      <c r="J695" s="228">
        <f>MONTH(AVEU_Historical_Data__2[[#This Row],[Date]])</f>
        <v>1</v>
      </c>
      <c r="K695" s="228"/>
    </row>
    <row r="696" spans="1:11" x14ac:dyDescent="0.25">
      <c r="A696" s="227">
        <v>44943</v>
      </c>
      <c r="B696" s="228">
        <v>3689.8</v>
      </c>
      <c r="C696" s="228">
        <v>3681.05</v>
      </c>
      <c r="D696" s="228">
        <v>3733.85</v>
      </c>
      <c r="E696" s="228">
        <v>3675</v>
      </c>
      <c r="F696">
        <v>463950</v>
      </c>
      <c r="G696" s="228">
        <v>3.0999999999999999E-3</v>
      </c>
      <c r="H696" s="228">
        <f>YEAR(AVEU_Historical_Data__2[[#This Row],[Date]])</f>
        <v>2023</v>
      </c>
      <c r="I696" s="228">
        <f>ROUNDUP((MOD(MONTH(AVEU_Historical_Data__2[[#This Row],[Date]])+8,12)+1)/3,0)</f>
        <v>4</v>
      </c>
      <c r="J696" s="228">
        <f>MONTH(AVEU_Historical_Data__2[[#This Row],[Date]])</f>
        <v>1</v>
      </c>
      <c r="K696" s="228"/>
    </row>
    <row r="697" spans="1:11" x14ac:dyDescent="0.25">
      <c r="A697" s="227">
        <v>44944</v>
      </c>
      <c r="B697" s="228">
        <v>3648.6</v>
      </c>
      <c r="C697" s="228">
        <v>3708.25</v>
      </c>
      <c r="D697" s="228">
        <v>3720</v>
      </c>
      <c r="E697" s="228">
        <v>3641.5</v>
      </c>
      <c r="F697">
        <v>407990</v>
      </c>
      <c r="G697" s="228">
        <v>-1.12E-2</v>
      </c>
      <c r="H697" s="228">
        <f>YEAR(AVEU_Historical_Data__2[[#This Row],[Date]])</f>
        <v>2023</v>
      </c>
      <c r="I697" s="228">
        <f>ROUNDUP((MOD(MONTH(AVEU_Historical_Data__2[[#This Row],[Date]])+8,12)+1)/3,0)</f>
        <v>4</v>
      </c>
      <c r="J697" s="228">
        <f>MONTH(AVEU_Historical_Data__2[[#This Row],[Date]])</f>
        <v>1</v>
      </c>
      <c r="K697" s="228"/>
    </row>
    <row r="698" spans="1:11" x14ac:dyDescent="0.25">
      <c r="A698" s="227">
        <v>44945</v>
      </c>
      <c r="B698" s="228">
        <v>3565.1</v>
      </c>
      <c r="C698" s="228">
        <v>3647</v>
      </c>
      <c r="D698" s="228">
        <v>3647.8</v>
      </c>
      <c r="E698" s="228">
        <v>3560</v>
      </c>
      <c r="F698">
        <v>583390</v>
      </c>
      <c r="G698" s="228">
        <v>-2.29E-2</v>
      </c>
      <c r="H698" s="228">
        <f>YEAR(AVEU_Historical_Data__2[[#This Row],[Date]])</f>
        <v>2023</v>
      </c>
      <c r="I698" s="228">
        <f>ROUNDUP((MOD(MONTH(AVEU_Historical_Data__2[[#This Row],[Date]])+8,12)+1)/3,0)</f>
        <v>4</v>
      </c>
      <c r="J698" s="228">
        <f>MONTH(AVEU_Historical_Data__2[[#This Row],[Date]])</f>
        <v>1</v>
      </c>
      <c r="K698" s="228"/>
    </row>
    <row r="699" spans="1:11" x14ac:dyDescent="0.25">
      <c r="A699" s="227">
        <v>44946</v>
      </c>
      <c r="B699" s="228">
        <v>3513.75</v>
      </c>
      <c r="C699" s="228">
        <v>3571.95</v>
      </c>
      <c r="D699" s="228">
        <v>3580</v>
      </c>
      <c r="E699" s="228">
        <v>3510</v>
      </c>
      <c r="F699">
        <v>522640</v>
      </c>
      <c r="G699" s="228">
        <v>-1.44E-2</v>
      </c>
      <c r="H699" s="228">
        <f>YEAR(AVEU_Historical_Data__2[[#This Row],[Date]])</f>
        <v>2023</v>
      </c>
      <c r="I699" s="228">
        <f>ROUNDUP((MOD(MONTH(AVEU_Historical_Data__2[[#This Row],[Date]])+8,12)+1)/3,0)</f>
        <v>4</v>
      </c>
      <c r="J699" s="228">
        <f>MONTH(AVEU_Historical_Data__2[[#This Row],[Date]])</f>
        <v>1</v>
      </c>
      <c r="K699" s="228"/>
    </row>
    <row r="700" spans="1:11" x14ac:dyDescent="0.25">
      <c r="A700" s="227">
        <v>44949</v>
      </c>
      <c r="B700" s="228">
        <v>3434</v>
      </c>
      <c r="C700" s="228">
        <v>3525</v>
      </c>
      <c r="D700" s="228">
        <v>3529.75</v>
      </c>
      <c r="E700" s="228">
        <v>3425</v>
      </c>
      <c r="F700">
        <v>892610</v>
      </c>
      <c r="G700" s="228">
        <v>-2.2700000000000001E-2</v>
      </c>
      <c r="H700" s="228">
        <f>YEAR(AVEU_Historical_Data__2[[#This Row],[Date]])</f>
        <v>2023</v>
      </c>
      <c r="I700" s="228">
        <f>ROUNDUP((MOD(MONTH(AVEU_Historical_Data__2[[#This Row],[Date]])+8,12)+1)/3,0)</f>
        <v>4</v>
      </c>
      <c r="J700" s="228">
        <f>MONTH(AVEU_Historical_Data__2[[#This Row],[Date]])</f>
        <v>1</v>
      </c>
      <c r="K700" s="228"/>
    </row>
    <row r="701" spans="1:11" x14ac:dyDescent="0.25">
      <c r="A701" s="227">
        <v>44950</v>
      </c>
      <c r="B701" s="228">
        <v>3513.5</v>
      </c>
      <c r="C701" s="228">
        <v>3450</v>
      </c>
      <c r="D701" s="228">
        <v>3578</v>
      </c>
      <c r="E701" s="228">
        <v>3441</v>
      </c>
      <c r="F701">
        <v>768030</v>
      </c>
      <c r="G701" s="228">
        <v>2.3199999999999998E-2</v>
      </c>
      <c r="H701" s="228">
        <f>YEAR(AVEU_Historical_Data__2[[#This Row],[Date]])</f>
        <v>2023</v>
      </c>
      <c r="I701" s="228">
        <f>ROUNDUP((MOD(MONTH(AVEU_Historical_Data__2[[#This Row],[Date]])+8,12)+1)/3,0)</f>
        <v>4</v>
      </c>
      <c r="J701" s="228">
        <f>MONTH(AVEU_Historical_Data__2[[#This Row],[Date]])</f>
        <v>1</v>
      </c>
      <c r="K701" s="228"/>
    </row>
    <row r="702" spans="1:11" x14ac:dyDescent="0.25">
      <c r="A702" s="227">
        <v>44951</v>
      </c>
      <c r="B702" s="228">
        <v>3515.1</v>
      </c>
      <c r="C702" s="228">
        <v>3531.1</v>
      </c>
      <c r="D702" s="228">
        <v>3554.5</v>
      </c>
      <c r="E702" s="228">
        <v>3507.3</v>
      </c>
      <c r="F702">
        <v>474770</v>
      </c>
      <c r="G702" s="228">
        <v>5.0000000000000001E-4</v>
      </c>
      <c r="H702" s="228">
        <f>YEAR(AVEU_Historical_Data__2[[#This Row],[Date]])</f>
        <v>2023</v>
      </c>
      <c r="I702" s="228">
        <f>ROUNDUP((MOD(MONTH(AVEU_Historical_Data__2[[#This Row],[Date]])+8,12)+1)/3,0)</f>
        <v>4</v>
      </c>
      <c r="J702" s="228">
        <f>MONTH(AVEU_Historical_Data__2[[#This Row],[Date]])</f>
        <v>1</v>
      </c>
      <c r="K702" s="228"/>
    </row>
    <row r="703" spans="1:11" x14ac:dyDescent="0.25">
      <c r="A703" s="227">
        <v>44953</v>
      </c>
      <c r="B703" s="228">
        <v>3562.35</v>
      </c>
      <c r="C703" s="228">
        <v>3532.7</v>
      </c>
      <c r="D703" s="228">
        <v>3584</v>
      </c>
      <c r="E703" s="228">
        <v>3518.5</v>
      </c>
      <c r="F703">
        <v>308090</v>
      </c>
      <c r="G703" s="228">
        <v>1.34E-2</v>
      </c>
      <c r="H703" s="228">
        <f>YEAR(AVEU_Historical_Data__2[[#This Row],[Date]])</f>
        <v>2023</v>
      </c>
      <c r="I703" s="228">
        <f>ROUNDUP((MOD(MONTH(AVEU_Historical_Data__2[[#This Row],[Date]])+8,12)+1)/3,0)</f>
        <v>4</v>
      </c>
      <c r="J703" s="228">
        <f>MONTH(AVEU_Historical_Data__2[[#This Row],[Date]])</f>
        <v>1</v>
      </c>
      <c r="K703" s="228"/>
    </row>
    <row r="704" spans="1:11" x14ac:dyDescent="0.25">
      <c r="A704" s="227">
        <v>44956</v>
      </c>
      <c r="B704" s="228">
        <v>3546.3</v>
      </c>
      <c r="C704" s="228">
        <v>3574.9</v>
      </c>
      <c r="D704" s="228">
        <v>3575</v>
      </c>
      <c r="E704" s="228">
        <v>3486.05</v>
      </c>
      <c r="F704">
        <v>272770</v>
      </c>
      <c r="G704" s="228">
        <v>-4.4999999999999997E-3</v>
      </c>
      <c r="H704" s="228">
        <f>YEAR(AVEU_Historical_Data__2[[#This Row],[Date]])</f>
        <v>2023</v>
      </c>
      <c r="I704" s="228">
        <f>ROUNDUP((MOD(MONTH(AVEU_Historical_Data__2[[#This Row],[Date]])+8,12)+1)/3,0)</f>
        <v>4</v>
      </c>
      <c r="J704" s="228">
        <f>MONTH(AVEU_Historical_Data__2[[#This Row],[Date]])</f>
        <v>1</v>
      </c>
      <c r="K704" s="228"/>
    </row>
    <row r="705" spans="1:11" x14ac:dyDescent="0.25">
      <c r="A705" s="227">
        <v>44957</v>
      </c>
      <c r="B705" s="228">
        <v>3502.3</v>
      </c>
      <c r="C705" s="228">
        <v>3555.05</v>
      </c>
      <c r="D705" s="228">
        <v>3582.15</v>
      </c>
      <c r="E705" s="228">
        <v>3492.65</v>
      </c>
      <c r="F705">
        <v>537430</v>
      </c>
      <c r="G705" s="228">
        <v>-1.24E-2</v>
      </c>
      <c r="H705" s="228">
        <f>YEAR(AVEU_Historical_Data__2[[#This Row],[Date]])</f>
        <v>2023</v>
      </c>
      <c r="I705" s="228">
        <f>ROUNDUP((MOD(MONTH(AVEU_Historical_Data__2[[#This Row],[Date]])+8,12)+1)/3,0)</f>
        <v>4</v>
      </c>
      <c r="J705" s="228">
        <f>MONTH(AVEU_Historical_Data__2[[#This Row],[Date]])</f>
        <v>1</v>
      </c>
      <c r="K705" s="228"/>
    </row>
    <row r="706" spans="1:11" x14ac:dyDescent="0.25">
      <c r="A706" s="227">
        <v>44958</v>
      </c>
      <c r="B706" s="228">
        <v>3551.35</v>
      </c>
      <c r="C706" s="228">
        <v>3558</v>
      </c>
      <c r="D706" s="228">
        <v>3580</v>
      </c>
      <c r="E706" s="228">
        <v>3469.7</v>
      </c>
      <c r="F706">
        <v>361700</v>
      </c>
      <c r="G706" s="228">
        <v>1.4E-2</v>
      </c>
      <c r="H706" s="228">
        <f>YEAR(AVEU_Historical_Data__2[[#This Row],[Date]])</f>
        <v>2023</v>
      </c>
      <c r="I706" s="228">
        <f>ROUNDUP((MOD(MONTH(AVEU_Historical_Data__2[[#This Row],[Date]])+8,12)+1)/3,0)</f>
        <v>4</v>
      </c>
      <c r="J706" s="228">
        <f>MONTH(AVEU_Historical_Data__2[[#This Row],[Date]])</f>
        <v>2</v>
      </c>
      <c r="K706" s="228"/>
    </row>
    <row r="707" spans="1:11" x14ac:dyDescent="0.25">
      <c r="A707" s="227">
        <v>44959</v>
      </c>
      <c r="B707" s="228">
        <v>3502.9</v>
      </c>
      <c r="C707" s="228">
        <v>3547</v>
      </c>
      <c r="D707" s="228">
        <v>3577.8</v>
      </c>
      <c r="E707" s="228">
        <v>3485</v>
      </c>
      <c r="F707">
        <v>222690</v>
      </c>
      <c r="G707" s="228">
        <v>-1.3599999999999999E-2</v>
      </c>
      <c r="H707" s="228">
        <f>YEAR(AVEU_Historical_Data__2[[#This Row],[Date]])</f>
        <v>2023</v>
      </c>
      <c r="I707" s="228">
        <f>ROUNDUP((MOD(MONTH(AVEU_Historical_Data__2[[#This Row],[Date]])+8,12)+1)/3,0)</f>
        <v>4</v>
      </c>
      <c r="J707" s="228">
        <f>MONTH(AVEU_Historical_Data__2[[#This Row],[Date]])</f>
        <v>2</v>
      </c>
      <c r="K707" s="228"/>
    </row>
    <row r="708" spans="1:11" x14ac:dyDescent="0.25">
      <c r="A708" s="227">
        <v>44960</v>
      </c>
      <c r="B708" s="228">
        <v>3470.35</v>
      </c>
      <c r="C708" s="228">
        <v>3517.65</v>
      </c>
      <c r="D708" s="228">
        <v>3522.9</v>
      </c>
      <c r="E708" s="228">
        <v>3465</v>
      </c>
      <c r="F708">
        <v>322650</v>
      </c>
      <c r="G708" s="228">
        <v>-9.2999999999999992E-3</v>
      </c>
      <c r="H708" s="228">
        <f>YEAR(AVEU_Historical_Data__2[[#This Row],[Date]])</f>
        <v>2023</v>
      </c>
      <c r="I708" s="228">
        <f>ROUNDUP((MOD(MONTH(AVEU_Historical_Data__2[[#This Row],[Date]])+8,12)+1)/3,0)</f>
        <v>4</v>
      </c>
      <c r="J708" s="228">
        <f>MONTH(AVEU_Historical_Data__2[[#This Row],[Date]])</f>
        <v>2</v>
      </c>
      <c r="K708" s="228"/>
    </row>
    <row r="709" spans="1:11" x14ac:dyDescent="0.25">
      <c r="A709" s="227">
        <v>44963</v>
      </c>
      <c r="B709" s="228">
        <v>3441.5</v>
      </c>
      <c r="C709" s="228">
        <v>3476.5</v>
      </c>
      <c r="D709" s="228">
        <v>3488.4</v>
      </c>
      <c r="E709" s="228">
        <v>3432</v>
      </c>
      <c r="F709">
        <v>314360</v>
      </c>
      <c r="G709" s="228">
        <v>-8.3000000000000001E-3</v>
      </c>
      <c r="H709" s="228">
        <f>YEAR(AVEU_Historical_Data__2[[#This Row],[Date]])</f>
        <v>2023</v>
      </c>
      <c r="I709" s="228">
        <f>ROUNDUP((MOD(MONTH(AVEU_Historical_Data__2[[#This Row],[Date]])+8,12)+1)/3,0)</f>
        <v>4</v>
      </c>
      <c r="J709" s="228">
        <f>MONTH(AVEU_Historical_Data__2[[#This Row],[Date]])</f>
        <v>2</v>
      </c>
      <c r="K709" s="228"/>
    </row>
    <row r="710" spans="1:11" x14ac:dyDescent="0.25">
      <c r="A710" s="227">
        <v>44964</v>
      </c>
      <c r="B710" s="228">
        <v>3440.9</v>
      </c>
      <c r="C710" s="228">
        <v>3471.5</v>
      </c>
      <c r="D710" s="228">
        <v>3475</v>
      </c>
      <c r="E710" s="228">
        <v>3438.95</v>
      </c>
      <c r="F710">
        <v>369290</v>
      </c>
      <c r="G710" s="228">
        <v>-2.0000000000000001E-4</v>
      </c>
      <c r="H710" s="228">
        <f>YEAR(AVEU_Historical_Data__2[[#This Row],[Date]])</f>
        <v>2023</v>
      </c>
      <c r="I710" s="228">
        <f>ROUNDUP((MOD(MONTH(AVEU_Historical_Data__2[[#This Row],[Date]])+8,12)+1)/3,0)</f>
        <v>4</v>
      </c>
      <c r="J710" s="228">
        <f>MONTH(AVEU_Historical_Data__2[[#This Row],[Date]])</f>
        <v>2</v>
      </c>
      <c r="K710" s="228"/>
    </row>
    <row r="711" spans="1:11" x14ac:dyDescent="0.25">
      <c r="A711" s="227">
        <v>44965</v>
      </c>
      <c r="B711" s="228">
        <v>3458.6</v>
      </c>
      <c r="C711" s="228">
        <v>3449</v>
      </c>
      <c r="D711" s="228">
        <v>3510</v>
      </c>
      <c r="E711" s="228">
        <v>3446.05</v>
      </c>
      <c r="F711">
        <v>217380</v>
      </c>
      <c r="G711" s="228">
        <v>5.1000000000000004E-3</v>
      </c>
      <c r="H711" s="228">
        <f>YEAR(AVEU_Historical_Data__2[[#This Row],[Date]])</f>
        <v>2023</v>
      </c>
      <c r="I711" s="228">
        <f>ROUNDUP((MOD(MONTH(AVEU_Historical_Data__2[[#This Row],[Date]])+8,12)+1)/3,0)</f>
        <v>4</v>
      </c>
      <c r="J711" s="228">
        <f>MONTH(AVEU_Historical_Data__2[[#This Row],[Date]])</f>
        <v>2</v>
      </c>
      <c r="K711" s="228"/>
    </row>
    <row r="712" spans="1:11" x14ac:dyDescent="0.25">
      <c r="A712" s="227">
        <v>44966</v>
      </c>
      <c r="B712" s="228">
        <v>3482.05</v>
      </c>
      <c r="C712" s="228">
        <v>3469.65</v>
      </c>
      <c r="D712" s="228">
        <v>3544.15</v>
      </c>
      <c r="E712" s="228">
        <v>3465.15</v>
      </c>
      <c r="F712">
        <v>372570</v>
      </c>
      <c r="G712" s="228">
        <v>6.7999999999999996E-3</v>
      </c>
      <c r="H712" s="228">
        <f>YEAR(AVEU_Historical_Data__2[[#This Row],[Date]])</f>
        <v>2023</v>
      </c>
      <c r="I712" s="228">
        <f>ROUNDUP((MOD(MONTH(AVEU_Historical_Data__2[[#This Row],[Date]])+8,12)+1)/3,0)</f>
        <v>4</v>
      </c>
      <c r="J712" s="228">
        <f>MONTH(AVEU_Historical_Data__2[[#This Row],[Date]])</f>
        <v>2</v>
      </c>
      <c r="K712" s="228"/>
    </row>
    <row r="713" spans="1:11" x14ac:dyDescent="0.25">
      <c r="A713" s="227">
        <v>44967</v>
      </c>
      <c r="B713" s="228">
        <v>3498.85</v>
      </c>
      <c r="C713" s="228">
        <v>3499.5</v>
      </c>
      <c r="D713" s="228">
        <v>3544.25</v>
      </c>
      <c r="E713" s="228">
        <v>3490.6</v>
      </c>
      <c r="F713">
        <v>393160</v>
      </c>
      <c r="G713" s="228">
        <v>4.7999999999999996E-3</v>
      </c>
      <c r="H713" s="228">
        <f>YEAR(AVEU_Historical_Data__2[[#This Row],[Date]])</f>
        <v>2023</v>
      </c>
      <c r="I713" s="228">
        <f>ROUNDUP((MOD(MONTH(AVEU_Historical_Data__2[[#This Row],[Date]])+8,12)+1)/3,0)</f>
        <v>4</v>
      </c>
      <c r="J713" s="228">
        <f>MONTH(AVEU_Historical_Data__2[[#This Row],[Date]])</f>
        <v>2</v>
      </c>
      <c r="K713" s="228"/>
    </row>
    <row r="714" spans="1:11" x14ac:dyDescent="0.25">
      <c r="A714" s="227">
        <v>44970</v>
      </c>
      <c r="B714" s="228">
        <v>3495.2</v>
      </c>
      <c r="C714" s="228">
        <v>3502</v>
      </c>
      <c r="D714" s="228">
        <v>3510</v>
      </c>
      <c r="E714" s="228">
        <v>3483</v>
      </c>
      <c r="F714">
        <v>252480</v>
      </c>
      <c r="G714" s="228">
        <v>-1E-3</v>
      </c>
      <c r="H714" s="228">
        <f>YEAR(AVEU_Historical_Data__2[[#This Row],[Date]])</f>
        <v>2023</v>
      </c>
      <c r="I714" s="228">
        <f>ROUNDUP((MOD(MONTH(AVEU_Historical_Data__2[[#This Row],[Date]])+8,12)+1)/3,0)</f>
        <v>4</v>
      </c>
      <c r="J714" s="228">
        <f>MONTH(AVEU_Historical_Data__2[[#This Row],[Date]])</f>
        <v>2</v>
      </c>
      <c r="K714" s="228"/>
    </row>
    <row r="715" spans="1:11" x14ac:dyDescent="0.25">
      <c r="A715" s="227">
        <v>44971</v>
      </c>
      <c r="B715" s="228">
        <v>3482.7</v>
      </c>
      <c r="C715" s="228">
        <v>3509</v>
      </c>
      <c r="D715" s="228">
        <v>3512</v>
      </c>
      <c r="E715" s="228">
        <v>3472</v>
      </c>
      <c r="F715">
        <v>496970</v>
      </c>
      <c r="G715" s="228">
        <v>-3.5999999999999999E-3</v>
      </c>
      <c r="H715" s="228">
        <f>YEAR(AVEU_Historical_Data__2[[#This Row],[Date]])</f>
        <v>2023</v>
      </c>
      <c r="I715" s="228">
        <f>ROUNDUP((MOD(MONTH(AVEU_Historical_Data__2[[#This Row],[Date]])+8,12)+1)/3,0)</f>
        <v>4</v>
      </c>
      <c r="J715" s="228">
        <f>MONTH(AVEU_Historical_Data__2[[#This Row],[Date]])</f>
        <v>2</v>
      </c>
      <c r="K715" s="228"/>
    </row>
    <row r="716" spans="1:11" x14ac:dyDescent="0.25">
      <c r="A716" s="227">
        <v>44972</v>
      </c>
      <c r="B716" s="228">
        <v>3545.6</v>
      </c>
      <c r="C716" s="228">
        <v>3480</v>
      </c>
      <c r="D716" s="228">
        <v>3568.65</v>
      </c>
      <c r="E716" s="228">
        <v>3464.3</v>
      </c>
      <c r="F716">
        <v>211640</v>
      </c>
      <c r="G716" s="228">
        <v>1.8100000000000002E-2</v>
      </c>
      <c r="H716" s="228">
        <f>YEAR(AVEU_Historical_Data__2[[#This Row],[Date]])</f>
        <v>2023</v>
      </c>
      <c r="I716" s="228">
        <f>ROUNDUP((MOD(MONTH(AVEU_Historical_Data__2[[#This Row],[Date]])+8,12)+1)/3,0)</f>
        <v>4</v>
      </c>
      <c r="J716" s="228">
        <f>MONTH(AVEU_Historical_Data__2[[#This Row],[Date]])</f>
        <v>2</v>
      </c>
      <c r="K716" s="228"/>
    </row>
    <row r="717" spans="1:11" x14ac:dyDescent="0.25">
      <c r="A717" s="227">
        <v>44973</v>
      </c>
      <c r="B717" s="228">
        <v>3541.7</v>
      </c>
      <c r="C717" s="228">
        <v>3546</v>
      </c>
      <c r="D717" s="228">
        <v>3567.95</v>
      </c>
      <c r="E717" s="228">
        <v>3535</v>
      </c>
      <c r="F717">
        <v>315150</v>
      </c>
      <c r="G717" s="228">
        <v>-1.1000000000000001E-3</v>
      </c>
      <c r="H717" s="228">
        <f>YEAR(AVEU_Historical_Data__2[[#This Row],[Date]])</f>
        <v>2023</v>
      </c>
      <c r="I717" s="228">
        <f>ROUNDUP((MOD(MONTH(AVEU_Historical_Data__2[[#This Row],[Date]])+8,12)+1)/3,0)</f>
        <v>4</v>
      </c>
      <c r="J717" s="228">
        <f>MONTH(AVEU_Historical_Data__2[[#This Row],[Date]])</f>
        <v>2</v>
      </c>
      <c r="K717" s="228"/>
    </row>
    <row r="718" spans="1:11" x14ac:dyDescent="0.25">
      <c r="A718" s="227">
        <v>44974</v>
      </c>
      <c r="B718" s="228">
        <v>3545</v>
      </c>
      <c r="C718" s="228">
        <v>3530</v>
      </c>
      <c r="D718" s="228">
        <v>3567.7</v>
      </c>
      <c r="E718" s="228">
        <v>3515</v>
      </c>
      <c r="F718">
        <v>202560</v>
      </c>
      <c r="G718" s="228">
        <v>8.9999999999999998E-4</v>
      </c>
      <c r="H718" s="228">
        <f>YEAR(AVEU_Historical_Data__2[[#This Row],[Date]])</f>
        <v>2023</v>
      </c>
      <c r="I718" s="228">
        <f>ROUNDUP((MOD(MONTH(AVEU_Historical_Data__2[[#This Row],[Date]])+8,12)+1)/3,0)</f>
        <v>4</v>
      </c>
      <c r="J718" s="228">
        <f>MONTH(AVEU_Historical_Data__2[[#This Row],[Date]])</f>
        <v>2</v>
      </c>
      <c r="K718" s="228"/>
    </row>
    <row r="719" spans="1:11" x14ac:dyDescent="0.25">
      <c r="A719" s="227">
        <v>44977</v>
      </c>
      <c r="B719" s="228">
        <v>3552.85</v>
      </c>
      <c r="C719" s="228">
        <v>3545.95</v>
      </c>
      <c r="D719" s="228">
        <v>3574.75</v>
      </c>
      <c r="E719" s="228">
        <v>3540.05</v>
      </c>
      <c r="F719">
        <v>191040</v>
      </c>
      <c r="G719" s="228">
        <v>2.2000000000000001E-3</v>
      </c>
      <c r="H719" s="228">
        <f>YEAR(AVEU_Historical_Data__2[[#This Row],[Date]])</f>
        <v>2023</v>
      </c>
      <c r="I719" s="228">
        <f>ROUNDUP((MOD(MONTH(AVEU_Historical_Data__2[[#This Row],[Date]])+8,12)+1)/3,0)</f>
        <v>4</v>
      </c>
      <c r="J719" s="228">
        <f>MONTH(AVEU_Historical_Data__2[[#This Row],[Date]])</f>
        <v>2</v>
      </c>
      <c r="K719" s="228"/>
    </row>
    <row r="720" spans="1:11" x14ac:dyDescent="0.25">
      <c r="A720" s="227">
        <v>44978</v>
      </c>
      <c r="B720" s="228">
        <v>3525.6</v>
      </c>
      <c r="C720" s="228">
        <v>3570</v>
      </c>
      <c r="D720" s="228">
        <v>3570</v>
      </c>
      <c r="E720" s="228">
        <v>3516.25</v>
      </c>
      <c r="F720">
        <v>302260</v>
      </c>
      <c r="G720" s="228">
        <v>-7.7000000000000002E-3</v>
      </c>
      <c r="H720" s="228">
        <f>YEAR(AVEU_Historical_Data__2[[#This Row],[Date]])</f>
        <v>2023</v>
      </c>
      <c r="I720" s="228">
        <f>ROUNDUP((MOD(MONTH(AVEU_Historical_Data__2[[#This Row],[Date]])+8,12)+1)/3,0)</f>
        <v>4</v>
      </c>
      <c r="J720" s="228">
        <f>MONTH(AVEU_Historical_Data__2[[#This Row],[Date]])</f>
        <v>2</v>
      </c>
      <c r="K720" s="228"/>
    </row>
    <row r="721" spans="1:11" x14ac:dyDescent="0.25">
      <c r="A721" s="227">
        <v>44979</v>
      </c>
      <c r="B721" s="228">
        <v>3500.15</v>
      </c>
      <c r="C721" s="228">
        <v>3502</v>
      </c>
      <c r="D721" s="228">
        <v>3521.85</v>
      </c>
      <c r="E721" s="228">
        <v>3486.6</v>
      </c>
      <c r="F721">
        <v>117550</v>
      </c>
      <c r="G721" s="228">
        <v>-7.1999999999999998E-3</v>
      </c>
      <c r="H721" s="228">
        <f>YEAR(AVEU_Historical_Data__2[[#This Row],[Date]])</f>
        <v>2023</v>
      </c>
      <c r="I721" s="228">
        <f>ROUNDUP((MOD(MONTH(AVEU_Historical_Data__2[[#This Row],[Date]])+8,12)+1)/3,0)</f>
        <v>4</v>
      </c>
      <c r="J721" s="228">
        <f>MONTH(AVEU_Historical_Data__2[[#This Row],[Date]])</f>
        <v>2</v>
      </c>
      <c r="K721" s="228"/>
    </row>
    <row r="722" spans="1:11" x14ac:dyDescent="0.25">
      <c r="A722" s="227">
        <v>44980</v>
      </c>
      <c r="B722" s="228">
        <v>3478.75</v>
      </c>
      <c r="C722" s="228">
        <v>3503.9</v>
      </c>
      <c r="D722" s="228">
        <v>3515</v>
      </c>
      <c r="E722" s="228">
        <v>3437</v>
      </c>
      <c r="F722">
        <v>237980</v>
      </c>
      <c r="G722" s="228">
        <v>-6.1000000000000004E-3</v>
      </c>
      <c r="H722" s="228">
        <f>YEAR(AVEU_Historical_Data__2[[#This Row],[Date]])</f>
        <v>2023</v>
      </c>
      <c r="I722" s="228">
        <f>ROUNDUP((MOD(MONTH(AVEU_Historical_Data__2[[#This Row],[Date]])+8,12)+1)/3,0)</f>
        <v>4</v>
      </c>
      <c r="J722" s="228">
        <f>MONTH(AVEU_Historical_Data__2[[#This Row],[Date]])</f>
        <v>2</v>
      </c>
      <c r="K722" s="228"/>
    </row>
    <row r="723" spans="1:11" x14ac:dyDescent="0.25">
      <c r="A723" s="227">
        <v>44981</v>
      </c>
      <c r="B723" s="228">
        <v>3499.2</v>
      </c>
      <c r="C723" s="228">
        <v>3496.15</v>
      </c>
      <c r="D723" s="228">
        <v>3514.4</v>
      </c>
      <c r="E723" s="228">
        <v>3468</v>
      </c>
      <c r="F723">
        <v>113840</v>
      </c>
      <c r="G723" s="228">
        <v>5.8999999999999999E-3</v>
      </c>
      <c r="H723" s="228">
        <f>YEAR(AVEU_Historical_Data__2[[#This Row],[Date]])</f>
        <v>2023</v>
      </c>
      <c r="I723" s="228">
        <f>ROUNDUP((MOD(MONTH(AVEU_Historical_Data__2[[#This Row],[Date]])+8,12)+1)/3,0)</f>
        <v>4</v>
      </c>
      <c r="J723" s="228">
        <f>MONTH(AVEU_Historical_Data__2[[#This Row],[Date]])</f>
        <v>2</v>
      </c>
      <c r="K723" s="228"/>
    </row>
    <row r="724" spans="1:11" x14ac:dyDescent="0.25">
      <c r="A724" s="227">
        <v>44984</v>
      </c>
      <c r="B724" s="228">
        <v>3491.3</v>
      </c>
      <c r="C724" s="228">
        <v>3485.05</v>
      </c>
      <c r="D724" s="228">
        <v>3499.9</v>
      </c>
      <c r="E724" s="228">
        <v>3441</v>
      </c>
      <c r="F724">
        <v>132240</v>
      </c>
      <c r="G724" s="228">
        <v>-2.3E-3</v>
      </c>
      <c r="H724" s="228">
        <f>YEAR(AVEU_Historical_Data__2[[#This Row],[Date]])</f>
        <v>2023</v>
      </c>
      <c r="I724" s="228">
        <f>ROUNDUP((MOD(MONTH(AVEU_Historical_Data__2[[#This Row],[Date]])+8,12)+1)/3,0)</f>
        <v>4</v>
      </c>
      <c r="J724" s="228">
        <f>MONTH(AVEU_Historical_Data__2[[#This Row],[Date]])</f>
        <v>2</v>
      </c>
      <c r="K724" s="228"/>
    </row>
    <row r="725" spans="1:11" x14ac:dyDescent="0.25">
      <c r="A725" s="227">
        <v>44985</v>
      </c>
      <c r="B725" s="228">
        <v>3416.95</v>
      </c>
      <c r="C725" s="228">
        <v>3490.2</v>
      </c>
      <c r="D725" s="228">
        <v>3508</v>
      </c>
      <c r="E725" s="228">
        <v>3373</v>
      </c>
      <c r="F725">
        <v>328220</v>
      </c>
      <c r="G725" s="228">
        <v>-2.1299999999999999E-2</v>
      </c>
      <c r="H725" s="228">
        <f>YEAR(AVEU_Historical_Data__2[[#This Row],[Date]])</f>
        <v>2023</v>
      </c>
      <c r="I725" s="228">
        <f>ROUNDUP((MOD(MONTH(AVEU_Historical_Data__2[[#This Row],[Date]])+8,12)+1)/3,0)</f>
        <v>4</v>
      </c>
      <c r="J725" s="228">
        <f>MONTH(AVEU_Historical_Data__2[[#This Row],[Date]])</f>
        <v>2</v>
      </c>
      <c r="K725" s="228"/>
    </row>
    <row r="726" spans="1:11" x14ac:dyDescent="0.25">
      <c r="A726" s="227">
        <v>44986</v>
      </c>
      <c r="B726" s="228">
        <v>3439.35</v>
      </c>
      <c r="C726" s="228">
        <v>3441.4</v>
      </c>
      <c r="D726" s="228">
        <v>3474</v>
      </c>
      <c r="E726" s="228">
        <v>3431.05</v>
      </c>
      <c r="F726">
        <v>145320</v>
      </c>
      <c r="G726" s="228">
        <v>6.6E-3</v>
      </c>
      <c r="H726" s="228">
        <f>YEAR(AVEU_Historical_Data__2[[#This Row],[Date]])</f>
        <v>2023</v>
      </c>
      <c r="I726" s="228">
        <f>ROUNDUP((MOD(MONTH(AVEU_Historical_Data__2[[#This Row],[Date]])+8,12)+1)/3,0)</f>
        <v>4</v>
      </c>
      <c r="J726" s="228">
        <f>MONTH(AVEU_Historical_Data__2[[#This Row],[Date]])</f>
        <v>3</v>
      </c>
      <c r="K726" s="228"/>
    </row>
    <row r="727" spans="1:11" x14ac:dyDescent="0.25">
      <c r="A727" s="227">
        <v>44987</v>
      </c>
      <c r="B727" s="228">
        <v>3443.2</v>
      </c>
      <c r="C727" s="228">
        <v>3447</v>
      </c>
      <c r="D727" s="228">
        <v>3450</v>
      </c>
      <c r="E727" s="228">
        <v>3425.5</v>
      </c>
      <c r="F727">
        <v>191130</v>
      </c>
      <c r="G727" s="228">
        <v>1.1000000000000001E-3</v>
      </c>
      <c r="H727" s="228">
        <f>YEAR(AVEU_Historical_Data__2[[#This Row],[Date]])</f>
        <v>2023</v>
      </c>
      <c r="I727" s="228">
        <f>ROUNDUP((MOD(MONTH(AVEU_Historical_Data__2[[#This Row],[Date]])+8,12)+1)/3,0)</f>
        <v>4</v>
      </c>
      <c r="J727" s="228">
        <f>MONTH(AVEU_Historical_Data__2[[#This Row],[Date]])</f>
        <v>3</v>
      </c>
      <c r="K727" s="228"/>
    </row>
    <row r="728" spans="1:11" x14ac:dyDescent="0.25">
      <c r="A728" s="227">
        <v>44988</v>
      </c>
      <c r="B728" s="228">
        <v>3463.25</v>
      </c>
      <c r="C728" s="228">
        <v>3460.45</v>
      </c>
      <c r="D728" s="228">
        <v>3474</v>
      </c>
      <c r="E728" s="228">
        <v>3420.4</v>
      </c>
      <c r="F728">
        <v>264630</v>
      </c>
      <c r="G728" s="228">
        <v>5.7999999999999996E-3</v>
      </c>
      <c r="H728" s="228">
        <f>YEAR(AVEU_Historical_Data__2[[#This Row],[Date]])</f>
        <v>2023</v>
      </c>
      <c r="I728" s="228">
        <f>ROUNDUP((MOD(MONTH(AVEU_Historical_Data__2[[#This Row],[Date]])+8,12)+1)/3,0)</f>
        <v>4</v>
      </c>
      <c r="J728" s="228">
        <f>MONTH(AVEU_Historical_Data__2[[#This Row],[Date]])</f>
        <v>3</v>
      </c>
      <c r="K728" s="228"/>
    </row>
    <row r="729" spans="1:11" x14ac:dyDescent="0.25">
      <c r="A729" s="227">
        <v>44991</v>
      </c>
      <c r="B729" s="228">
        <v>3437.15</v>
      </c>
      <c r="C729" s="228">
        <v>3480.6</v>
      </c>
      <c r="D729" s="228">
        <v>3482.9</v>
      </c>
      <c r="E729" s="228">
        <v>3423.2</v>
      </c>
      <c r="F729">
        <v>189780</v>
      </c>
      <c r="G729" s="228">
        <v>-7.4999999999999997E-3</v>
      </c>
      <c r="H729" s="228">
        <f>YEAR(AVEU_Historical_Data__2[[#This Row],[Date]])</f>
        <v>2023</v>
      </c>
      <c r="I729" s="228">
        <f>ROUNDUP((MOD(MONTH(AVEU_Historical_Data__2[[#This Row],[Date]])+8,12)+1)/3,0)</f>
        <v>4</v>
      </c>
      <c r="J729" s="228">
        <f>MONTH(AVEU_Historical_Data__2[[#This Row],[Date]])</f>
        <v>3</v>
      </c>
      <c r="K729" s="228"/>
    </row>
    <row r="730" spans="1:11" x14ac:dyDescent="0.25">
      <c r="A730" s="227">
        <v>44993</v>
      </c>
      <c r="B730" s="228">
        <v>3389.7</v>
      </c>
      <c r="C730" s="228">
        <v>3439.75</v>
      </c>
      <c r="D730" s="228">
        <v>3453</v>
      </c>
      <c r="E730" s="228">
        <v>3380.5</v>
      </c>
      <c r="F730">
        <v>355090</v>
      </c>
      <c r="G730" s="228">
        <v>-1.38E-2</v>
      </c>
      <c r="H730" s="228">
        <f>YEAR(AVEU_Historical_Data__2[[#This Row],[Date]])</f>
        <v>2023</v>
      </c>
      <c r="I730" s="228">
        <f>ROUNDUP((MOD(MONTH(AVEU_Historical_Data__2[[#This Row],[Date]])+8,12)+1)/3,0)</f>
        <v>4</v>
      </c>
      <c r="J730" s="228">
        <f>MONTH(AVEU_Historical_Data__2[[#This Row],[Date]])</f>
        <v>3</v>
      </c>
      <c r="K730" s="228"/>
    </row>
    <row r="731" spans="1:11" x14ac:dyDescent="0.25">
      <c r="A731" s="227">
        <v>44994</v>
      </c>
      <c r="B731" s="228">
        <v>3397.85</v>
      </c>
      <c r="C731" s="228">
        <v>3393</v>
      </c>
      <c r="D731" s="228">
        <v>3413.3</v>
      </c>
      <c r="E731" s="228">
        <v>3385</v>
      </c>
      <c r="F731">
        <v>389610</v>
      </c>
      <c r="G731" s="228">
        <v>2.3999999999999998E-3</v>
      </c>
      <c r="H731" s="228">
        <f>YEAR(AVEU_Historical_Data__2[[#This Row],[Date]])</f>
        <v>2023</v>
      </c>
      <c r="I731" s="228">
        <f>ROUNDUP((MOD(MONTH(AVEU_Historical_Data__2[[#This Row],[Date]])+8,12)+1)/3,0)</f>
        <v>4</v>
      </c>
      <c r="J731" s="228">
        <f>MONTH(AVEU_Historical_Data__2[[#This Row],[Date]])</f>
        <v>3</v>
      </c>
      <c r="K731" s="228"/>
    </row>
    <row r="732" spans="1:11" x14ac:dyDescent="0.25">
      <c r="A732" s="227">
        <v>44995</v>
      </c>
      <c r="B732" s="228">
        <v>3391.85</v>
      </c>
      <c r="C732" s="228">
        <v>3390</v>
      </c>
      <c r="D732" s="228">
        <v>3415.7</v>
      </c>
      <c r="E732" s="228">
        <v>3380.05</v>
      </c>
      <c r="F732">
        <v>265310</v>
      </c>
      <c r="G732" s="228">
        <v>-1.8E-3</v>
      </c>
      <c r="H732" s="228">
        <f>YEAR(AVEU_Historical_Data__2[[#This Row],[Date]])</f>
        <v>2023</v>
      </c>
      <c r="I732" s="228">
        <f>ROUNDUP((MOD(MONTH(AVEU_Historical_Data__2[[#This Row],[Date]])+8,12)+1)/3,0)</f>
        <v>4</v>
      </c>
      <c r="J732" s="228">
        <f>MONTH(AVEU_Historical_Data__2[[#This Row],[Date]])</f>
        <v>3</v>
      </c>
      <c r="K732" s="228"/>
    </row>
    <row r="733" spans="1:11" x14ac:dyDescent="0.25">
      <c r="A733" s="227">
        <v>44998</v>
      </c>
      <c r="B733" s="228">
        <v>3351.75</v>
      </c>
      <c r="C733" s="228">
        <v>3391.85</v>
      </c>
      <c r="D733" s="228">
        <v>3415</v>
      </c>
      <c r="E733" s="228">
        <v>3348.1</v>
      </c>
      <c r="F733">
        <v>195350</v>
      </c>
      <c r="G733" s="228">
        <v>-1.18E-2</v>
      </c>
      <c r="H733" s="228">
        <f>YEAR(AVEU_Historical_Data__2[[#This Row],[Date]])</f>
        <v>2023</v>
      </c>
      <c r="I733" s="228">
        <f>ROUNDUP((MOD(MONTH(AVEU_Historical_Data__2[[#This Row],[Date]])+8,12)+1)/3,0)</f>
        <v>4</v>
      </c>
      <c r="J733" s="228">
        <f>MONTH(AVEU_Historical_Data__2[[#This Row],[Date]])</f>
        <v>3</v>
      </c>
      <c r="K733" s="228"/>
    </row>
    <row r="734" spans="1:11" x14ac:dyDescent="0.25">
      <c r="A734" s="227">
        <v>44999</v>
      </c>
      <c r="B734" s="228">
        <v>3350.95</v>
      </c>
      <c r="C734" s="228">
        <v>3350</v>
      </c>
      <c r="D734" s="228">
        <v>3367.7</v>
      </c>
      <c r="E734" s="228">
        <v>3303.3</v>
      </c>
      <c r="F734">
        <v>268250</v>
      </c>
      <c r="G734" s="228">
        <v>-2.0000000000000001E-4</v>
      </c>
      <c r="H734" s="228">
        <f>YEAR(AVEU_Historical_Data__2[[#This Row],[Date]])</f>
        <v>2023</v>
      </c>
      <c r="I734" s="228">
        <f>ROUNDUP((MOD(MONTH(AVEU_Historical_Data__2[[#This Row],[Date]])+8,12)+1)/3,0)</f>
        <v>4</v>
      </c>
      <c r="J734" s="228">
        <f>MONTH(AVEU_Historical_Data__2[[#This Row],[Date]])</f>
        <v>3</v>
      </c>
      <c r="K734" s="228"/>
    </row>
    <row r="735" spans="1:11" x14ac:dyDescent="0.25">
      <c r="A735" s="227">
        <v>45000</v>
      </c>
      <c r="B735" s="228">
        <v>3337.25</v>
      </c>
      <c r="C735" s="228">
        <v>3350</v>
      </c>
      <c r="D735" s="228">
        <v>3363.15</v>
      </c>
      <c r="E735" s="228">
        <v>3330</v>
      </c>
      <c r="F735">
        <v>231760</v>
      </c>
      <c r="G735" s="228">
        <v>-4.1000000000000003E-3</v>
      </c>
      <c r="H735" s="228">
        <f>YEAR(AVEU_Historical_Data__2[[#This Row],[Date]])</f>
        <v>2023</v>
      </c>
      <c r="I735" s="228">
        <f>ROUNDUP((MOD(MONTH(AVEU_Historical_Data__2[[#This Row],[Date]])+8,12)+1)/3,0)</f>
        <v>4</v>
      </c>
      <c r="J735" s="228">
        <f>MONTH(AVEU_Historical_Data__2[[#This Row],[Date]])</f>
        <v>3</v>
      </c>
      <c r="K735" s="228"/>
    </row>
    <row r="736" spans="1:11" x14ac:dyDescent="0.25">
      <c r="A736" s="227">
        <v>45001</v>
      </c>
      <c r="B736" s="228">
        <v>3382.15</v>
      </c>
      <c r="C736" s="228">
        <v>3337.25</v>
      </c>
      <c r="D736" s="228">
        <v>3455.15</v>
      </c>
      <c r="E736" s="228">
        <v>3292</v>
      </c>
      <c r="F736">
        <v>353910</v>
      </c>
      <c r="G736" s="228">
        <v>1.35E-2</v>
      </c>
      <c r="H736" s="228">
        <f>YEAR(AVEU_Historical_Data__2[[#This Row],[Date]])</f>
        <v>2023</v>
      </c>
      <c r="I736" s="228">
        <f>ROUNDUP((MOD(MONTH(AVEU_Historical_Data__2[[#This Row],[Date]])+8,12)+1)/3,0)</f>
        <v>4</v>
      </c>
      <c r="J736" s="228">
        <f>MONTH(AVEU_Historical_Data__2[[#This Row],[Date]])</f>
        <v>3</v>
      </c>
      <c r="K736" s="228"/>
    </row>
    <row r="737" spans="1:11" x14ac:dyDescent="0.25">
      <c r="A737" s="227">
        <v>45002</v>
      </c>
      <c r="B737" s="228">
        <v>3311.3</v>
      </c>
      <c r="C737" s="228">
        <v>3398</v>
      </c>
      <c r="D737" s="228">
        <v>3399</v>
      </c>
      <c r="E737" s="228">
        <v>3300</v>
      </c>
      <c r="F737">
        <v>562870</v>
      </c>
      <c r="G737" s="228">
        <v>-2.0899999999999998E-2</v>
      </c>
      <c r="H737" s="228">
        <f>YEAR(AVEU_Historical_Data__2[[#This Row],[Date]])</f>
        <v>2023</v>
      </c>
      <c r="I737" s="228">
        <f>ROUNDUP((MOD(MONTH(AVEU_Historical_Data__2[[#This Row],[Date]])+8,12)+1)/3,0)</f>
        <v>4</v>
      </c>
      <c r="J737" s="228">
        <f>MONTH(AVEU_Historical_Data__2[[#This Row],[Date]])</f>
        <v>3</v>
      </c>
      <c r="K737" s="228"/>
    </row>
    <row r="738" spans="1:11" x14ac:dyDescent="0.25">
      <c r="A738" s="227">
        <v>45005</v>
      </c>
      <c r="B738" s="228">
        <v>3366.1</v>
      </c>
      <c r="C738" s="228">
        <v>3295</v>
      </c>
      <c r="D738" s="228">
        <v>3377.55</v>
      </c>
      <c r="E738" s="228">
        <v>3295</v>
      </c>
      <c r="F738">
        <v>240060</v>
      </c>
      <c r="G738" s="228">
        <v>1.6500000000000001E-2</v>
      </c>
      <c r="H738" s="228">
        <f>YEAR(AVEU_Historical_Data__2[[#This Row],[Date]])</f>
        <v>2023</v>
      </c>
      <c r="I738" s="228">
        <f>ROUNDUP((MOD(MONTH(AVEU_Historical_Data__2[[#This Row],[Date]])+8,12)+1)/3,0)</f>
        <v>4</v>
      </c>
      <c r="J738" s="228">
        <f>MONTH(AVEU_Historical_Data__2[[#This Row],[Date]])</f>
        <v>3</v>
      </c>
      <c r="K738" s="228"/>
    </row>
    <row r="739" spans="1:11" x14ac:dyDescent="0.25">
      <c r="A739" s="227">
        <v>45006</v>
      </c>
      <c r="B739" s="228">
        <v>3357.6</v>
      </c>
      <c r="C739" s="228">
        <v>3371.9</v>
      </c>
      <c r="D739" s="228">
        <v>3374.05</v>
      </c>
      <c r="E739" s="228">
        <v>3326.15</v>
      </c>
      <c r="F739">
        <v>223590</v>
      </c>
      <c r="G739" s="228">
        <v>-2.5000000000000001E-3</v>
      </c>
      <c r="H739" s="228">
        <f>YEAR(AVEU_Historical_Data__2[[#This Row],[Date]])</f>
        <v>2023</v>
      </c>
      <c r="I739" s="228">
        <f>ROUNDUP((MOD(MONTH(AVEU_Historical_Data__2[[#This Row],[Date]])+8,12)+1)/3,0)</f>
        <v>4</v>
      </c>
      <c r="J739" s="228">
        <f>MONTH(AVEU_Historical_Data__2[[#This Row],[Date]])</f>
        <v>3</v>
      </c>
      <c r="K739" s="228"/>
    </row>
    <row r="740" spans="1:11" x14ac:dyDescent="0.25">
      <c r="A740" s="227">
        <v>45007</v>
      </c>
      <c r="B740" s="228">
        <v>3361.4</v>
      </c>
      <c r="C740" s="228">
        <v>3365</v>
      </c>
      <c r="D740" s="228">
        <v>3415</v>
      </c>
      <c r="E740" s="228">
        <v>3355</v>
      </c>
      <c r="F740">
        <v>226670</v>
      </c>
      <c r="G740" s="228">
        <v>1.1000000000000001E-3</v>
      </c>
      <c r="H740" s="228">
        <f>YEAR(AVEU_Historical_Data__2[[#This Row],[Date]])</f>
        <v>2023</v>
      </c>
      <c r="I740" s="228">
        <f>ROUNDUP((MOD(MONTH(AVEU_Historical_Data__2[[#This Row],[Date]])+8,12)+1)/3,0)</f>
        <v>4</v>
      </c>
      <c r="J740" s="228">
        <f>MONTH(AVEU_Historical_Data__2[[#This Row],[Date]])</f>
        <v>3</v>
      </c>
      <c r="K740" s="228"/>
    </row>
    <row r="741" spans="1:11" x14ac:dyDescent="0.25">
      <c r="A741" s="227">
        <v>45008</v>
      </c>
      <c r="B741" s="228">
        <v>3373.5</v>
      </c>
      <c r="C741" s="228">
        <v>3361.35</v>
      </c>
      <c r="D741" s="228">
        <v>3393.8</v>
      </c>
      <c r="E741" s="228">
        <v>3342.1</v>
      </c>
      <c r="F741">
        <v>191330</v>
      </c>
      <c r="G741" s="228">
        <v>3.5999999999999999E-3</v>
      </c>
      <c r="H741" s="228">
        <f>YEAR(AVEU_Historical_Data__2[[#This Row],[Date]])</f>
        <v>2023</v>
      </c>
      <c r="I741" s="228">
        <f>ROUNDUP((MOD(MONTH(AVEU_Historical_Data__2[[#This Row],[Date]])+8,12)+1)/3,0)</f>
        <v>4</v>
      </c>
      <c r="J741" s="228">
        <f>MONTH(AVEU_Historical_Data__2[[#This Row],[Date]])</f>
        <v>3</v>
      </c>
      <c r="K741" s="228"/>
    </row>
    <row r="742" spans="1:11" x14ac:dyDescent="0.25">
      <c r="A742" s="227">
        <v>45009</v>
      </c>
      <c r="B742" s="228">
        <v>3358.4</v>
      </c>
      <c r="C742" s="228">
        <v>3372</v>
      </c>
      <c r="D742" s="228">
        <v>3386.05</v>
      </c>
      <c r="E742" s="228">
        <v>3350.05</v>
      </c>
      <c r="F742">
        <v>178780</v>
      </c>
      <c r="G742" s="228">
        <v>-4.4999999999999997E-3</v>
      </c>
      <c r="H742" s="228">
        <f>YEAR(AVEU_Historical_Data__2[[#This Row],[Date]])</f>
        <v>2023</v>
      </c>
      <c r="I742" s="228">
        <f>ROUNDUP((MOD(MONTH(AVEU_Historical_Data__2[[#This Row],[Date]])+8,12)+1)/3,0)</f>
        <v>4</v>
      </c>
      <c r="J742" s="228">
        <f>MONTH(AVEU_Historical_Data__2[[#This Row],[Date]])</f>
        <v>3</v>
      </c>
      <c r="K742" s="228"/>
    </row>
    <row r="743" spans="1:11" x14ac:dyDescent="0.25">
      <c r="A743" s="227">
        <v>45012</v>
      </c>
      <c r="B743" s="228">
        <v>3306.8</v>
      </c>
      <c r="C743" s="228">
        <v>3367</v>
      </c>
      <c r="D743" s="228">
        <v>3369</v>
      </c>
      <c r="E743" s="228">
        <v>3300.3</v>
      </c>
      <c r="F743">
        <v>211470</v>
      </c>
      <c r="G743" s="228">
        <v>-1.54E-2</v>
      </c>
      <c r="H743" s="228">
        <f>YEAR(AVEU_Historical_Data__2[[#This Row],[Date]])</f>
        <v>2023</v>
      </c>
      <c r="I743" s="228">
        <f>ROUNDUP((MOD(MONTH(AVEU_Historical_Data__2[[#This Row],[Date]])+8,12)+1)/3,0)</f>
        <v>4</v>
      </c>
      <c r="J743" s="228">
        <f>MONTH(AVEU_Historical_Data__2[[#This Row],[Date]])</f>
        <v>3</v>
      </c>
      <c r="K743" s="228"/>
    </row>
    <row r="744" spans="1:11" x14ac:dyDescent="0.25">
      <c r="A744" s="227">
        <v>45013</v>
      </c>
      <c r="B744" s="228">
        <v>3316.45</v>
      </c>
      <c r="C744" s="228">
        <v>3308</v>
      </c>
      <c r="D744" s="228">
        <v>3355</v>
      </c>
      <c r="E744" s="228">
        <v>3300</v>
      </c>
      <c r="F744">
        <v>155620</v>
      </c>
      <c r="G744" s="228">
        <v>2.8999999999999998E-3</v>
      </c>
      <c r="H744" s="228">
        <f>YEAR(AVEU_Historical_Data__2[[#This Row],[Date]])</f>
        <v>2023</v>
      </c>
      <c r="I744" s="228">
        <f>ROUNDUP((MOD(MONTH(AVEU_Historical_Data__2[[#This Row],[Date]])+8,12)+1)/3,0)</f>
        <v>4</v>
      </c>
      <c r="J744" s="228">
        <f>MONTH(AVEU_Historical_Data__2[[#This Row],[Date]])</f>
        <v>3</v>
      </c>
      <c r="K744" s="228"/>
    </row>
    <row r="745" spans="1:11" x14ac:dyDescent="0.25">
      <c r="A745" s="227">
        <v>45014</v>
      </c>
      <c r="B745" s="228">
        <v>3325.45</v>
      </c>
      <c r="C745" s="228">
        <v>3320</v>
      </c>
      <c r="D745" s="228">
        <v>3385</v>
      </c>
      <c r="E745" s="228">
        <v>3315</v>
      </c>
      <c r="F745">
        <v>276930</v>
      </c>
      <c r="G745" s="228">
        <v>2.7000000000000001E-3</v>
      </c>
      <c r="H745" s="228">
        <f>YEAR(AVEU_Historical_Data__2[[#This Row],[Date]])</f>
        <v>2023</v>
      </c>
      <c r="I745" s="228">
        <f>ROUNDUP((MOD(MONTH(AVEU_Historical_Data__2[[#This Row],[Date]])+8,12)+1)/3,0)</f>
        <v>4</v>
      </c>
      <c r="J745" s="228">
        <f>MONTH(AVEU_Historical_Data__2[[#This Row],[Date]])</f>
        <v>3</v>
      </c>
      <c r="K745" s="228"/>
    </row>
    <row r="746" spans="1:11" x14ac:dyDescent="0.25">
      <c r="A746" s="227">
        <v>45016</v>
      </c>
      <c r="B746" s="228">
        <v>3401.05</v>
      </c>
      <c r="C746" s="228">
        <v>3325</v>
      </c>
      <c r="D746" s="228">
        <v>3415</v>
      </c>
      <c r="E746" s="228">
        <v>3325</v>
      </c>
      <c r="F746">
        <v>286360</v>
      </c>
      <c r="G746" s="228">
        <v>2.2700000000000001E-2</v>
      </c>
      <c r="H746" s="228">
        <f>YEAR(AVEU_Historical_Data__2[[#This Row],[Date]])</f>
        <v>2023</v>
      </c>
      <c r="I746" s="228">
        <f>ROUNDUP((MOD(MONTH(AVEU_Historical_Data__2[[#This Row],[Date]])+8,12)+1)/3,0)</f>
        <v>4</v>
      </c>
      <c r="J746" s="228">
        <f>MONTH(AVEU_Historical_Data__2[[#This Row],[Date]])</f>
        <v>3</v>
      </c>
      <c r="K746" s="228"/>
    </row>
    <row r="747" spans="1:11" x14ac:dyDescent="0.25">
      <c r="A747" s="227">
        <v>45019</v>
      </c>
      <c r="B747" s="228">
        <v>3553.75</v>
      </c>
      <c r="C747" s="228">
        <v>3413.05</v>
      </c>
      <c r="D747" s="228">
        <v>3580</v>
      </c>
      <c r="E747" s="228">
        <v>3413.05</v>
      </c>
      <c r="F747">
        <v>429160</v>
      </c>
      <c r="G747" s="228">
        <v>4.4900000000000002E-2</v>
      </c>
      <c r="H747" s="228">
        <f>YEAR(AVEU_Historical_Data__2[[#This Row],[Date]])</f>
        <v>2023</v>
      </c>
      <c r="I747" s="228">
        <f>ROUNDUP((MOD(MONTH(AVEU_Historical_Data__2[[#This Row],[Date]])+8,12)+1)/3,0)</f>
        <v>1</v>
      </c>
      <c r="J747" s="228">
        <f>MONTH(AVEU_Historical_Data__2[[#This Row],[Date]])</f>
        <v>4</v>
      </c>
      <c r="K747" s="228"/>
    </row>
    <row r="748" spans="1:11" x14ac:dyDescent="0.25">
      <c r="A748" s="227">
        <v>45021</v>
      </c>
      <c r="B748" s="228">
        <v>3654.85</v>
      </c>
      <c r="C748" s="228">
        <v>3571.95</v>
      </c>
      <c r="D748" s="228">
        <v>3666.7</v>
      </c>
      <c r="E748" s="228">
        <v>3565.05</v>
      </c>
      <c r="F748">
        <v>481020</v>
      </c>
      <c r="G748" s="228">
        <v>2.8400000000000002E-2</v>
      </c>
      <c r="H748" s="228">
        <f>YEAR(AVEU_Historical_Data__2[[#This Row],[Date]])</f>
        <v>2023</v>
      </c>
      <c r="I748" s="228">
        <f>ROUNDUP((MOD(MONTH(AVEU_Historical_Data__2[[#This Row],[Date]])+8,12)+1)/3,0)</f>
        <v>1</v>
      </c>
      <c r="J748" s="228">
        <f>MONTH(AVEU_Historical_Data__2[[#This Row],[Date]])</f>
        <v>4</v>
      </c>
      <c r="K748" s="228"/>
    </row>
    <row r="749" spans="1:11" x14ac:dyDescent="0.25">
      <c r="A749" s="227">
        <v>45022</v>
      </c>
      <c r="B749" s="228">
        <v>3496.1</v>
      </c>
      <c r="C749" s="228">
        <v>3644.85</v>
      </c>
      <c r="D749" s="228">
        <v>3644.85</v>
      </c>
      <c r="E749" s="228">
        <v>3480.1</v>
      </c>
      <c r="F749">
        <v>886240</v>
      </c>
      <c r="G749" s="228">
        <v>-4.3400000000000001E-2</v>
      </c>
      <c r="H749" s="228">
        <f>YEAR(AVEU_Historical_Data__2[[#This Row],[Date]])</f>
        <v>2023</v>
      </c>
      <c r="I749" s="228">
        <f>ROUNDUP((MOD(MONTH(AVEU_Historical_Data__2[[#This Row],[Date]])+8,12)+1)/3,0)</f>
        <v>1</v>
      </c>
      <c r="J749" s="228">
        <f>MONTH(AVEU_Historical_Data__2[[#This Row],[Date]])</f>
        <v>4</v>
      </c>
      <c r="K749" s="228"/>
    </row>
    <row r="750" spans="1:11" x14ac:dyDescent="0.25">
      <c r="A750" s="227">
        <v>45026</v>
      </c>
      <c r="B750" s="228">
        <v>3450.7</v>
      </c>
      <c r="C750" s="228">
        <v>3504</v>
      </c>
      <c r="D750" s="228">
        <v>3533.95</v>
      </c>
      <c r="E750" s="228">
        <v>3437.8</v>
      </c>
      <c r="F750">
        <v>242780</v>
      </c>
      <c r="G750" s="228">
        <v>-1.2999999999999999E-2</v>
      </c>
      <c r="H750" s="228">
        <f>YEAR(AVEU_Historical_Data__2[[#This Row],[Date]])</f>
        <v>2023</v>
      </c>
      <c r="I750" s="228">
        <f>ROUNDUP((MOD(MONTH(AVEU_Historical_Data__2[[#This Row],[Date]])+8,12)+1)/3,0)</f>
        <v>1</v>
      </c>
      <c r="J750" s="228">
        <f>MONTH(AVEU_Historical_Data__2[[#This Row],[Date]])</f>
        <v>4</v>
      </c>
      <c r="K750" s="228"/>
    </row>
    <row r="751" spans="1:11" x14ac:dyDescent="0.25">
      <c r="A751" s="227">
        <v>45027</v>
      </c>
      <c r="B751" s="228">
        <v>3454.2</v>
      </c>
      <c r="C751" s="228">
        <v>3465</v>
      </c>
      <c r="D751" s="228">
        <v>3499</v>
      </c>
      <c r="E751" s="228">
        <v>3446</v>
      </c>
      <c r="F751">
        <v>193990</v>
      </c>
      <c r="G751" s="228">
        <v>1E-3</v>
      </c>
      <c r="H751" s="228">
        <f>YEAR(AVEU_Historical_Data__2[[#This Row],[Date]])</f>
        <v>2023</v>
      </c>
      <c r="I751" s="228">
        <f>ROUNDUP((MOD(MONTH(AVEU_Historical_Data__2[[#This Row],[Date]])+8,12)+1)/3,0)</f>
        <v>1</v>
      </c>
      <c r="J751" s="228">
        <f>MONTH(AVEU_Historical_Data__2[[#This Row],[Date]])</f>
        <v>4</v>
      </c>
      <c r="K751" s="228"/>
    </row>
    <row r="752" spans="1:11" x14ac:dyDescent="0.25">
      <c r="A752" s="227">
        <v>45028</v>
      </c>
      <c r="B752" s="228">
        <v>3473.1</v>
      </c>
      <c r="C752" s="228">
        <v>3467</v>
      </c>
      <c r="D752" s="228">
        <v>3498</v>
      </c>
      <c r="E752" s="228">
        <v>3458</v>
      </c>
      <c r="F752">
        <v>214200</v>
      </c>
      <c r="G752" s="228">
        <v>5.4999999999999997E-3</v>
      </c>
      <c r="H752" s="228">
        <f>YEAR(AVEU_Historical_Data__2[[#This Row],[Date]])</f>
        <v>2023</v>
      </c>
      <c r="I752" s="228">
        <f>ROUNDUP((MOD(MONTH(AVEU_Historical_Data__2[[#This Row],[Date]])+8,12)+1)/3,0)</f>
        <v>1</v>
      </c>
      <c r="J752" s="228">
        <f>MONTH(AVEU_Historical_Data__2[[#This Row],[Date]])</f>
        <v>4</v>
      </c>
      <c r="K752" s="228"/>
    </row>
    <row r="753" spans="1:11" x14ac:dyDescent="0.25">
      <c r="A753" s="227">
        <v>45029</v>
      </c>
      <c r="B753" s="228">
        <v>3501.05</v>
      </c>
      <c r="C753" s="228">
        <v>3480</v>
      </c>
      <c r="D753" s="228">
        <v>3518.95</v>
      </c>
      <c r="E753" s="228">
        <v>3470.05</v>
      </c>
      <c r="F753">
        <v>159630</v>
      </c>
      <c r="G753" s="228">
        <v>8.0000000000000002E-3</v>
      </c>
      <c r="H753" s="228">
        <f>YEAR(AVEU_Historical_Data__2[[#This Row],[Date]])</f>
        <v>2023</v>
      </c>
      <c r="I753" s="228">
        <f>ROUNDUP((MOD(MONTH(AVEU_Historical_Data__2[[#This Row],[Date]])+8,12)+1)/3,0)</f>
        <v>1</v>
      </c>
      <c r="J753" s="228">
        <f>MONTH(AVEU_Historical_Data__2[[#This Row],[Date]])</f>
        <v>4</v>
      </c>
      <c r="K753" s="228"/>
    </row>
    <row r="754" spans="1:11" x14ac:dyDescent="0.25">
      <c r="A754" s="227">
        <v>45033</v>
      </c>
      <c r="B754" s="228">
        <v>3497.1</v>
      </c>
      <c r="C754" s="228">
        <v>3500</v>
      </c>
      <c r="D754" s="228">
        <v>3530</v>
      </c>
      <c r="E754" s="228">
        <v>3446</v>
      </c>
      <c r="F754">
        <v>239350</v>
      </c>
      <c r="G754" s="228">
        <v>-1.1000000000000001E-3</v>
      </c>
      <c r="H754" s="228">
        <f>YEAR(AVEU_Historical_Data__2[[#This Row],[Date]])</f>
        <v>2023</v>
      </c>
      <c r="I754" s="228">
        <f>ROUNDUP((MOD(MONTH(AVEU_Historical_Data__2[[#This Row],[Date]])+8,12)+1)/3,0)</f>
        <v>1</v>
      </c>
      <c r="J754" s="228">
        <f>MONTH(AVEU_Historical_Data__2[[#This Row],[Date]])</f>
        <v>4</v>
      </c>
      <c r="K754" s="228"/>
    </row>
    <row r="755" spans="1:11" x14ac:dyDescent="0.25">
      <c r="A755" s="227">
        <v>45034</v>
      </c>
      <c r="B755" s="228">
        <v>3506.8</v>
      </c>
      <c r="C755" s="228">
        <v>3501.95</v>
      </c>
      <c r="D755" s="228">
        <v>3565</v>
      </c>
      <c r="E755" s="228">
        <v>3461</v>
      </c>
      <c r="F755">
        <v>304630</v>
      </c>
      <c r="G755" s="228">
        <v>2.8E-3</v>
      </c>
      <c r="H755" s="228">
        <f>YEAR(AVEU_Historical_Data__2[[#This Row],[Date]])</f>
        <v>2023</v>
      </c>
      <c r="I755" s="228">
        <f>ROUNDUP((MOD(MONTH(AVEU_Historical_Data__2[[#This Row],[Date]])+8,12)+1)/3,0)</f>
        <v>1</v>
      </c>
      <c r="J755" s="228">
        <f>MONTH(AVEU_Historical_Data__2[[#This Row],[Date]])</f>
        <v>4</v>
      </c>
      <c r="K755" s="228"/>
    </row>
    <row r="756" spans="1:11" x14ac:dyDescent="0.25">
      <c r="A756" s="227">
        <v>45035</v>
      </c>
      <c r="B756" s="228">
        <v>3476.2</v>
      </c>
      <c r="C756" s="228">
        <v>3506.75</v>
      </c>
      <c r="D756" s="228">
        <v>3528</v>
      </c>
      <c r="E756" s="228">
        <v>3470</v>
      </c>
      <c r="F756">
        <v>157610</v>
      </c>
      <c r="G756" s="228">
        <v>-8.6999999999999994E-3</v>
      </c>
      <c r="H756" s="228">
        <f>YEAR(AVEU_Historical_Data__2[[#This Row],[Date]])</f>
        <v>2023</v>
      </c>
      <c r="I756" s="228">
        <f>ROUNDUP((MOD(MONTH(AVEU_Historical_Data__2[[#This Row],[Date]])+8,12)+1)/3,0)</f>
        <v>1</v>
      </c>
      <c r="J756" s="228">
        <f>MONTH(AVEU_Historical_Data__2[[#This Row],[Date]])</f>
        <v>4</v>
      </c>
      <c r="K756" s="228"/>
    </row>
    <row r="757" spans="1:11" x14ac:dyDescent="0.25">
      <c r="A757" s="227">
        <v>45036</v>
      </c>
      <c r="B757" s="228">
        <v>3482.2</v>
      </c>
      <c r="C757" s="228">
        <v>3489.2</v>
      </c>
      <c r="D757" s="228">
        <v>3492</v>
      </c>
      <c r="E757" s="228">
        <v>3455</v>
      </c>
      <c r="F757">
        <v>137580</v>
      </c>
      <c r="G757" s="228">
        <v>1.6999999999999999E-3</v>
      </c>
      <c r="H757" s="228">
        <f>YEAR(AVEU_Historical_Data__2[[#This Row],[Date]])</f>
        <v>2023</v>
      </c>
      <c r="I757" s="228">
        <f>ROUNDUP((MOD(MONTH(AVEU_Historical_Data__2[[#This Row],[Date]])+8,12)+1)/3,0)</f>
        <v>1</v>
      </c>
      <c r="J757" s="228">
        <f>MONTH(AVEU_Historical_Data__2[[#This Row],[Date]])</f>
        <v>4</v>
      </c>
      <c r="K757" s="228"/>
    </row>
    <row r="758" spans="1:11" x14ac:dyDescent="0.25">
      <c r="A758" s="227">
        <v>45037</v>
      </c>
      <c r="B758" s="228">
        <v>3455.9</v>
      </c>
      <c r="C758" s="228">
        <v>3482.1</v>
      </c>
      <c r="D758" s="228">
        <v>3482.2</v>
      </c>
      <c r="E758" s="228">
        <v>3440</v>
      </c>
      <c r="F758">
        <v>191220</v>
      </c>
      <c r="G758" s="228">
        <v>-7.6E-3</v>
      </c>
      <c r="H758" s="228">
        <f>YEAR(AVEU_Historical_Data__2[[#This Row],[Date]])</f>
        <v>2023</v>
      </c>
      <c r="I758" s="228">
        <f>ROUNDUP((MOD(MONTH(AVEU_Historical_Data__2[[#This Row],[Date]])+8,12)+1)/3,0)</f>
        <v>1</v>
      </c>
      <c r="J758" s="228">
        <f>MONTH(AVEU_Historical_Data__2[[#This Row],[Date]])</f>
        <v>4</v>
      </c>
      <c r="K758" s="228"/>
    </row>
    <row r="759" spans="1:11" x14ac:dyDescent="0.25">
      <c r="A759" s="227">
        <v>45040</v>
      </c>
      <c r="B759" s="228">
        <v>3467.2</v>
      </c>
      <c r="C759" s="228">
        <v>3469.8</v>
      </c>
      <c r="D759" s="228">
        <v>3474</v>
      </c>
      <c r="E759" s="228">
        <v>3445</v>
      </c>
      <c r="F759">
        <v>95560</v>
      </c>
      <c r="G759" s="228">
        <v>3.3E-3</v>
      </c>
      <c r="H759" s="228">
        <f>YEAR(AVEU_Historical_Data__2[[#This Row],[Date]])</f>
        <v>2023</v>
      </c>
      <c r="I759" s="228">
        <f>ROUNDUP((MOD(MONTH(AVEU_Historical_Data__2[[#This Row],[Date]])+8,12)+1)/3,0)</f>
        <v>1</v>
      </c>
      <c r="J759" s="228">
        <f>MONTH(AVEU_Historical_Data__2[[#This Row],[Date]])</f>
        <v>4</v>
      </c>
      <c r="K759" s="228"/>
    </row>
    <row r="760" spans="1:11" x14ac:dyDescent="0.25">
      <c r="A760" s="227">
        <v>45041</v>
      </c>
      <c r="B760" s="228">
        <v>3465.85</v>
      </c>
      <c r="C760" s="228">
        <v>3469.05</v>
      </c>
      <c r="D760" s="228">
        <v>3479</v>
      </c>
      <c r="E760" s="228">
        <v>3443.05</v>
      </c>
      <c r="F760">
        <v>179510</v>
      </c>
      <c r="G760" s="228">
        <v>-4.0000000000000002E-4</v>
      </c>
      <c r="H760" s="228">
        <f>YEAR(AVEU_Historical_Data__2[[#This Row],[Date]])</f>
        <v>2023</v>
      </c>
      <c r="I760" s="228">
        <f>ROUNDUP((MOD(MONTH(AVEU_Historical_Data__2[[#This Row],[Date]])+8,12)+1)/3,0)</f>
        <v>1</v>
      </c>
      <c r="J760" s="228">
        <f>MONTH(AVEU_Historical_Data__2[[#This Row],[Date]])</f>
        <v>4</v>
      </c>
      <c r="K760" s="228"/>
    </row>
    <row r="761" spans="1:11" x14ac:dyDescent="0.25">
      <c r="A761" s="227">
        <v>45042</v>
      </c>
      <c r="B761" s="228">
        <v>3461.6</v>
      </c>
      <c r="C761" s="228">
        <v>3465.85</v>
      </c>
      <c r="D761" s="228">
        <v>3476.15</v>
      </c>
      <c r="E761" s="228">
        <v>3447</v>
      </c>
      <c r="F761">
        <v>300050</v>
      </c>
      <c r="G761" s="228">
        <v>-1.1999999999999999E-3</v>
      </c>
      <c r="H761" s="228">
        <f>YEAR(AVEU_Historical_Data__2[[#This Row],[Date]])</f>
        <v>2023</v>
      </c>
      <c r="I761" s="228">
        <f>ROUNDUP((MOD(MONTH(AVEU_Historical_Data__2[[#This Row],[Date]])+8,12)+1)/3,0)</f>
        <v>1</v>
      </c>
      <c r="J761" s="228">
        <f>MONTH(AVEU_Historical_Data__2[[#This Row],[Date]])</f>
        <v>4</v>
      </c>
      <c r="K761" s="228"/>
    </row>
    <row r="762" spans="1:11" x14ac:dyDescent="0.25">
      <c r="A762" s="227">
        <v>45043</v>
      </c>
      <c r="B762" s="228">
        <v>3500.8</v>
      </c>
      <c r="C762" s="228">
        <v>3460.1</v>
      </c>
      <c r="D762" s="228">
        <v>3509.95</v>
      </c>
      <c r="E762" s="228">
        <v>3449.2</v>
      </c>
      <c r="F762">
        <v>235410</v>
      </c>
      <c r="G762" s="228">
        <v>1.1299999999999999E-2</v>
      </c>
      <c r="H762" s="228">
        <f>YEAR(AVEU_Historical_Data__2[[#This Row],[Date]])</f>
        <v>2023</v>
      </c>
      <c r="I762" s="228">
        <f>ROUNDUP((MOD(MONTH(AVEU_Historical_Data__2[[#This Row],[Date]])+8,12)+1)/3,0)</f>
        <v>1</v>
      </c>
      <c r="J762" s="228">
        <f>MONTH(AVEU_Historical_Data__2[[#This Row],[Date]])</f>
        <v>4</v>
      </c>
      <c r="K762" s="228"/>
    </row>
    <row r="763" spans="1:11" x14ac:dyDescent="0.25">
      <c r="A763" s="227">
        <v>45044</v>
      </c>
      <c r="B763" s="228">
        <v>3511.95</v>
      </c>
      <c r="C763" s="228">
        <v>3500.8</v>
      </c>
      <c r="D763" s="228">
        <v>3522</v>
      </c>
      <c r="E763" s="228">
        <v>3480</v>
      </c>
      <c r="F763">
        <v>224160</v>
      </c>
      <c r="G763" s="228">
        <v>3.2000000000000002E-3</v>
      </c>
      <c r="H763" s="228">
        <f>YEAR(AVEU_Historical_Data__2[[#This Row],[Date]])</f>
        <v>2023</v>
      </c>
      <c r="I763" s="228">
        <f>ROUNDUP((MOD(MONTH(AVEU_Historical_Data__2[[#This Row],[Date]])+8,12)+1)/3,0)</f>
        <v>1</v>
      </c>
      <c r="J763" s="228">
        <f>MONTH(AVEU_Historical_Data__2[[#This Row],[Date]])</f>
        <v>4</v>
      </c>
      <c r="K763" s="228"/>
    </row>
    <row r="764" spans="1:11" x14ac:dyDescent="0.25">
      <c r="A764" s="227">
        <v>45048</v>
      </c>
      <c r="B764" s="228">
        <v>3545.9</v>
      </c>
      <c r="C764" s="228">
        <v>3515</v>
      </c>
      <c r="D764" s="228">
        <v>3552.75</v>
      </c>
      <c r="E764" s="228">
        <v>3504.65</v>
      </c>
      <c r="F764">
        <v>237130</v>
      </c>
      <c r="G764" s="228">
        <v>9.7000000000000003E-3</v>
      </c>
      <c r="H764" s="228">
        <f>YEAR(AVEU_Historical_Data__2[[#This Row],[Date]])</f>
        <v>2023</v>
      </c>
      <c r="I764" s="228">
        <f>ROUNDUP((MOD(MONTH(AVEU_Historical_Data__2[[#This Row],[Date]])+8,12)+1)/3,0)</f>
        <v>1</v>
      </c>
      <c r="J764" s="228">
        <f>MONTH(AVEU_Historical_Data__2[[#This Row],[Date]])</f>
        <v>5</v>
      </c>
      <c r="K764" s="228"/>
    </row>
    <row r="765" spans="1:11" x14ac:dyDescent="0.25">
      <c r="A765" s="227">
        <v>45049</v>
      </c>
      <c r="B765" s="228">
        <v>3554</v>
      </c>
      <c r="C765" s="228">
        <v>3540</v>
      </c>
      <c r="D765" s="228">
        <v>3584.8</v>
      </c>
      <c r="E765" s="228">
        <v>3516.05</v>
      </c>
      <c r="F765">
        <v>195080</v>
      </c>
      <c r="G765" s="228">
        <v>2.3E-3</v>
      </c>
      <c r="H765" s="228">
        <f>YEAR(AVEU_Historical_Data__2[[#This Row],[Date]])</f>
        <v>2023</v>
      </c>
      <c r="I765" s="228">
        <f>ROUNDUP((MOD(MONTH(AVEU_Historical_Data__2[[#This Row],[Date]])+8,12)+1)/3,0)</f>
        <v>1</v>
      </c>
      <c r="J765" s="228">
        <f>MONTH(AVEU_Historical_Data__2[[#This Row],[Date]])</f>
        <v>5</v>
      </c>
      <c r="K765" s="228"/>
    </row>
    <row r="766" spans="1:11" x14ac:dyDescent="0.25">
      <c r="A766" s="227">
        <v>45050</v>
      </c>
      <c r="B766" s="228">
        <v>3584.5</v>
      </c>
      <c r="C766" s="228">
        <v>3550</v>
      </c>
      <c r="D766" s="228">
        <v>3589</v>
      </c>
      <c r="E766" s="228">
        <v>3533</v>
      </c>
      <c r="F766">
        <v>148560</v>
      </c>
      <c r="G766" s="228">
        <v>8.6E-3</v>
      </c>
      <c r="H766" s="228">
        <f>YEAR(AVEU_Historical_Data__2[[#This Row],[Date]])</f>
        <v>2023</v>
      </c>
      <c r="I766" s="228">
        <f>ROUNDUP((MOD(MONTH(AVEU_Historical_Data__2[[#This Row],[Date]])+8,12)+1)/3,0)</f>
        <v>1</v>
      </c>
      <c r="J766" s="228">
        <f>MONTH(AVEU_Historical_Data__2[[#This Row],[Date]])</f>
        <v>5</v>
      </c>
      <c r="K766" s="228"/>
    </row>
    <row r="767" spans="1:11" x14ac:dyDescent="0.25">
      <c r="A767" s="227">
        <v>45051</v>
      </c>
      <c r="B767" s="228">
        <v>3598.2</v>
      </c>
      <c r="C767" s="228">
        <v>3560.05</v>
      </c>
      <c r="D767" s="228">
        <v>3605</v>
      </c>
      <c r="E767" s="228">
        <v>3556.35</v>
      </c>
      <c r="F767">
        <v>183730</v>
      </c>
      <c r="G767" s="228">
        <v>3.8E-3</v>
      </c>
      <c r="H767" s="228">
        <f>YEAR(AVEU_Historical_Data__2[[#This Row],[Date]])</f>
        <v>2023</v>
      </c>
      <c r="I767" s="228">
        <f>ROUNDUP((MOD(MONTH(AVEU_Historical_Data__2[[#This Row],[Date]])+8,12)+1)/3,0)</f>
        <v>1</v>
      </c>
      <c r="J767" s="228">
        <f>MONTH(AVEU_Historical_Data__2[[#This Row],[Date]])</f>
        <v>5</v>
      </c>
      <c r="K767" s="228"/>
    </row>
    <row r="768" spans="1:11" x14ac:dyDescent="0.25">
      <c r="A768" s="227">
        <v>45054</v>
      </c>
      <c r="B768" s="228">
        <v>3677.85</v>
      </c>
      <c r="C768" s="228">
        <v>3615.1</v>
      </c>
      <c r="D768" s="228">
        <v>3690</v>
      </c>
      <c r="E768" s="228">
        <v>3610</v>
      </c>
      <c r="F768">
        <v>313500</v>
      </c>
      <c r="G768" s="228">
        <v>2.2100000000000002E-2</v>
      </c>
      <c r="H768" s="228">
        <f>YEAR(AVEU_Historical_Data__2[[#This Row],[Date]])</f>
        <v>2023</v>
      </c>
      <c r="I768" s="228">
        <f>ROUNDUP((MOD(MONTH(AVEU_Historical_Data__2[[#This Row],[Date]])+8,12)+1)/3,0)</f>
        <v>1</v>
      </c>
      <c r="J768" s="228">
        <f>MONTH(AVEU_Historical_Data__2[[#This Row],[Date]])</f>
        <v>5</v>
      </c>
      <c r="K768" s="228"/>
    </row>
    <row r="769" spans="1:11" x14ac:dyDescent="0.25">
      <c r="A769" s="227">
        <v>45055</v>
      </c>
      <c r="B769" s="228">
        <v>3659.7</v>
      </c>
      <c r="C769" s="228">
        <v>3721</v>
      </c>
      <c r="D769" s="228">
        <v>3750</v>
      </c>
      <c r="E769" s="228">
        <v>3640.2</v>
      </c>
      <c r="F769">
        <v>385760</v>
      </c>
      <c r="G769" s="228">
        <v>-4.8999999999999998E-3</v>
      </c>
      <c r="H769" s="228">
        <f>YEAR(AVEU_Historical_Data__2[[#This Row],[Date]])</f>
        <v>2023</v>
      </c>
      <c r="I769" s="228">
        <f>ROUNDUP((MOD(MONTH(AVEU_Historical_Data__2[[#This Row],[Date]])+8,12)+1)/3,0)</f>
        <v>1</v>
      </c>
      <c r="J769" s="228">
        <f>MONTH(AVEU_Historical_Data__2[[#This Row],[Date]])</f>
        <v>5</v>
      </c>
      <c r="K769" s="228"/>
    </row>
    <row r="770" spans="1:11" x14ac:dyDescent="0.25">
      <c r="A770" s="227">
        <v>45056</v>
      </c>
      <c r="B770" s="228">
        <v>3672.3</v>
      </c>
      <c r="C770" s="228">
        <v>3660</v>
      </c>
      <c r="D770" s="228">
        <v>3693.65</v>
      </c>
      <c r="E770" s="228">
        <v>3622.65</v>
      </c>
      <c r="F770">
        <v>181720</v>
      </c>
      <c r="G770" s="228">
        <v>3.3999999999999998E-3</v>
      </c>
      <c r="H770" s="228">
        <f>YEAR(AVEU_Historical_Data__2[[#This Row],[Date]])</f>
        <v>2023</v>
      </c>
      <c r="I770" s="228">
        <f>ROUNDUP((MOD(MONTH(AVEU_Historical_Data__2[[#This Row],[Date]])+8,12)+1)/3,0)</f>
        <v>1</v>
      </c>
      <c r="J770" s="228">
        <f>MONTH(AVEU_Historical_Data__2[[#This Row],[Date]])</f>
        <v>5</v>
      </c>
      <c r="K770" s="228"/>
    </row>
    <row r="771" spans="1:11" x14ac:dyDescent="0.25">
      <c r="A771" s="227">
        <v>45057</v>
      </c>
      <c r="B771" s="228">
        <v>3704.65</v>
      </c>
      <c r="C771" s="228">
        <v>3673.3</v>
      </c>
      <c r="D771" s="228">
        <v>3730.1</v>
      </c>
      <c r="E771" s="228">
        <v>3665</v>
      </c>
      <c r="F771">
        <v>178600</v>
      </c>
      <c r="G771" s="228">
        <v>8.8000000000000005E-3</v>
      </c>
      <c r="H771" s="228">
        <f>YEAR(AVEU_Historical_Data__2[[#This Row],[Date]])</f>
        <v>2023</v>
      </c>
      <c r="I771" s="228">
        <f>ROUNDUP((MOD(MONTH(AVEU_Historical_Data__2[[#This Row],[Date]])+8,12)+1)/3,0)</f>
        <v>1</v>
      </c>
      <c r="J771" s="228">
        <f>MONTH(AVEU_Historical_Data__2[[#This Row],[Date]])</f>
        <v>5</v>
      </c>
      <c r="K771" s="228"/>
    </row>
    <row r="772" spans="1:11" x14ac:dyDescent="0.25">
      <c r="A772" s="227">
        <v>45058</v>
      </c>
      <c r="B772" s="228">
        <v>3677.55</v>
      </c>
      <c r="C772" s="228">
        <v>3715</v>
      </c>
      <c r="D772" s="228">
        <v>3717</v>
      </c>
      <c r="E772" s="228">
        <v>3641</v>
      </c>
      <c r="F772">
        <v>253520</v>
      </c>
      <c r="G772" s="228">
        <v>-7.3000000000000001E-3</v>
      </c>
      <c r="H772" s="228">
        <f>YEAR(AVEU_Historical_Data__2[[#This Row],[Date]])</f>
        <v>2023</v>
      </c>
      <c r="I772" s="228">
        <f>ROUNDUP((MOD(MONTH(AVEU_Historical_Data__2[[#This Row],[Date]])+8,12)+1)/3,0)</f>
        <v>1</v>
      </c>
      <c r="J772" s="228">
        <f>MONTH(AVEU_Historical_Data__2[[#This Row],[Date]])</f>
        <v>5</v>
      </c>
      <c r="K772" s="228"/>
    </row>
    <row r="773" spans="1:11" x14ac:dyDescent="0.25">
      <c r="A773" s="227">
        <v>45061</v>
      </c>
      <c r="B773" s="228">
        <v>3523.4</v>
      </c>
      <c r="C773" s="228">
        <v>3550</v>
      </c>
      <c r="D773" s="228">
        <v>3589</v>
      </c>
      <c r="E773" s="228">
        <v>3506.6</v>
      </c>
      <c r="F773">
        <v>943990</v>
      </c>
      <c r="G773" s="228">
        <v>-4.19E-2</v>
      </c>
      <c r="H773" s="228">
        <f>YEAR(AVEU_Historical_Data__2[[#This Row],[Date]])</f>
        <v>2023</v>
      </c>
      <c r="I773" s="228">
        <f>ROUNDUP((MOD(MONTH(AVEU_Historical_Data__2[[#This Row],[Date]])+8,12)+1)/3,0)</f>
        <v>1</v>
      </c>
      <c r="J773" s="228">
        <f>MONTH(AVEU_Historical_Data__2[[#This Row],[Date]])</f>
        <v>5</v>
      </c>
      <c r="K773" s="228"/>
    </row>
    <row r="774" spans="1:11" x14ac:dyDescent="0.25">
      <c r="A774" s="227">
        <v>45062</v>
      </c>
      <c r="B774" s="228">
        <v>3479.25</v>
      </c>
      <c r="C774" s="228">
        <v>3535.4</v>
      </c>
      <c r="D774" s="228">
        <v>3557.05</v>
      </c>
      <c r="E774" s="228">
        <v>3475</v>
      </c>
      <c r="F774">
        <v>536280</v>
      </c>
      <c r="G774" s="228">
        <v>-1.2500000000000001E-2</v>
      </c>
      <c r="H774" s="228">
        <f>YEAR(AVEU_Historical_Data__2[[#This Row],[Date]])</f>
        <v>2023</v>
      </c>
      <c r="I774" s="228">
        <f>ROUNDUP((MOD(MONTH(AVEU_Historical_Data__2[[#This Row],[Date]])+8,12)+1)/3,0)</f>
        <v>1</v>
      </c>
      <c r="J774" s="228">
        <f>MONTH(AVEU_Historical_Data__2[[#This Row],[Date]])</f>
        <v>5</v>
      </c>
      <c r="K774" s="228"/>
    </row>
    <row r="775" spans="1:11" x14ac:dyDescent="0.25">
      <c r="A775" s="227">
        <v>45063</v>
      </c>
      <c r="B775" s="228">
        <v>3400.2</v>
      </c>
      <c r="C775" s="228">
        <v>3491.7</v>
      </c>
      <c r="D775" s="228">
        <v>3498.5</v>
      </c>
      <c r="E775" s="228">
        <v>3394</v>
      </c>
      <c r="F775">
        <v>560390</v>
      </c>
      <c r="G775" s="228">
        <v>-2.2700000000000001E-2</v>
      </c>
      <c r="H775" s="228">
        <f>YEAR(AVEU_Historical_Data__2[[#This Row],[Date]])</f>
        <v>2023</v>
      </c>
      <c r="I775" s="228">
        <f>ROUNDUP((MOD(MONTH(AVEU_Historical_Data__2[[#This Row],[Date]])+8,12)+1)/3,0)</f>
        <v>1</v>
      </c>
      <c r="J775" s="228">
        <f>MONTH(AVEU_Historical_Data__2[[#This Row],[Date]])</f>
        <v>5</v>
      </c>
      <c r="K775" s="228"/>
    </row>
    <row r="776" spans="1:11" x14ac:dyDescent="0.25">
      <c r="A776" s="227">
        <v>45064</v>
      </c>
      <c r="B776" s="228">
        <v>3368.55</v>
      </c>
      <c r="C776" s="228">
        <v>3420.05</v>
      </c>
      <c r="D776" s="228">
        <v>3451.1</v>
      </c>
      <c r="E776" s="228">
        <v>3352</v>
      </c>
      <c r="F776">
        <v>289250</v>
      </c>
      <c r="G776" s="228">
        <v>-9.2999999999999992E-3</v>
      </c>
      <c r="H776" s="228">
        <f>YEAR(AVEU_Historical_Data__2[[#This Row],[Date]])</f>
        <v>2023</v>
      </c>
      <c r="I776" s="228">
        <f>ROUNDUP((MOD(MONTH(AVEU_Historical_Data__2[[#This Row],[Date]])+8,12)+1)/3,0)</f>
        <v>1</v>
      </c>
      <c r="J776" s="228">
        <f>MONTH(AVEU_Historical_Data__2[[#This Row],[Date]])</f>
        <v>5</v>
      </c>
      <c r="K776" s="228"/>
    </row>
    <row r="777" spans="1:11" x14ac:dyDescent="0.25">
      <c r="A777" s="227">
        <v>45065</v>
      </c>
      <c r="B777" s="228">
        <v>3395.25</v>
      </c>
      <c r="C777" s="228">
        <v>3390</v>
      </c>
      <c r="D777" s="228">
        <v>3434</v>
      </c>
      <c r="E777" s="228">
        <v>3375.6</v>
      </c>
      <c r="F777">
        <v>265440</v>
      </c>
      <c r="G777" s="228">
        <v>7.9000000000000008E-3</v>
      </c>
      <c r="H777" s="228">
        <f>YEAR(AVEU_Historical_Data__2[[#This Row],[Date]])</f>
        <v>2023</v>
      </c>
      <c r="I777" s="228">
        <f>ROUNDUP((MOD(MONTH(AVEU_Historical_Data__2[[#This Row],[Date]])+8,12)+1)/3,0)</f>
        <v>1</v>
      </c>
      <c r="J777" s="228">
        <f>MONTH(AVEU_Historical_Data__2[[#This Row],[Date]])</f>
        <v>5</v>
      </c>
      <c r="K777" s="228"/>
    </row>
    <row r="778" spans="1:11" x14ac:dyDescent="0.25">
      <c r="A778" s="227">
        <v>45068</v>
      </c>
      <c r="B778" s="228">
        <v>3425.1</v>
      </c>
      <c r="C778" s="228">
        <v>3400</v>
      </c>
      <c r="D778" s="228">
        <v>3438.75</v>
      </c>
      <c r="E778" s="228">
        <v>3382.15</v>
      </c>
      <c r="F778">
        <v>221480</v>
      </c>
      <c r="G778" s="228">
        <v>8.8000000000000005E-3</v>
      </c>
      <c r="H778" s="228">
        <f>YEAR(AVEU_Historical_Data__2[[#This Row],[Date]])</f>
        <v>2023</v>
      </c>
      <c r="I778" s="228">
        <f>ROUNDUP((MOD(MONTH(AVEU_Historical_Data__2[[#This Row],[Date]])+8,12)+1)/3,0)</f>
        <v>1</v>
      </c>
      <c r="J778" s="228">
        <f>MONTH(AVEU_Historical_Data__2[[#This Row],[Date]])</f>
        <v>5</v>
      </c>
      <c r="K778" s="228"/>
    </row>
    <row r="779" spans="1:11" x14ac:dyDescent="0.25">
      <c r="A779" s="227">
        <v>45069</v>
      </c>
      <c r="B779" s="228">
        <v>3432.95</v>
      </c>
      <c r="C779" s="228">
        <v>3425.5</v>
      </c>
      <c r="D779" s="228">
        <v>3445</v>
      </c>
      <c r="E779" s="228">
        <v>3420.6</v>
      </c>
      <c r="F779">
        <v>168590</v>
      </c>
      <c r="G779" s="228">
        <v>2.3E-3</v>
      </c>
      <c r="H779" s="228">
        <f>YEAR(AVEU_Historical_Data__2[[#This Row],[Date]])</f>
        <v>2023</v>
      </c>
      <c r="I779" s="228">
        <f>ROUNDUP((MOD(MONTH(AVEU_Historical_Data__2[[#This Row],[Date]])+8,12)+1)/3,0)</f>
        <v>1</v>
      </c>
      <c r="J779" s="228">
        <f>MONTH(AVEU_Historical_Data__2[[#This Row],[Date]])</f>
        <v>5</v>
      </c>
      <c r="K779" s="228"/>
    </row>
    <row r="780" spans="1:11" x14ac:dyDescent="0.25">
      <c r="A780" s="227">
        <v>45070</v>
      </c>
      <c r="B780" s="228">
        <v>3429.55</v>
      </c>
      <c r="C780" s="228">
        <v>3432</v>
      </c>
      <c r="D780" s="228">
        <v>3439.9</v>
      </c>
      <c r="E780" s="228">
        <v>3406.2</v>
      </c>
      <c r="F780">
        <v>148600</v>
      </c>
      <c r="G780" s="228">
        <v>-1E-3</v>
      </c>
      <c r="H780" s="228">
        <f>YEAR(AVEU_Historical_Data__2[[#This Row],[Date]])</f>
        <v>2023</v>
      </c>
      <c r="I780" s="228">
        <f>ROUNDUP((MOD(MONTH(AVEU_Historical_Data__2[[#This Row],[Date]])+8,12)+1)/3,0)</f>
        <v>1</v>
      </c>
      <c r="J780" s="228">
        <f>MONTH(AVEU_Historical_Data__2[[#This Row],[Date]])</f>
        <v>5</v>
      </c>
      <c r="K780" s="228"/>
    </row>
    <row r="781" spans="1:11" x14ac:dyDescent="0.25">
      <c r="A781" s="227">
        <v>45071</v>
      </c>
      <c r="B781" s="228">
        <v>3435.35</v>
      </c>
      <c r="C781" s="228">
        <v>3430</v>
      </c>
      <c r="D781" s="228">
        <v>3450.75</v>
      </c>
      <c r="E781" s="228">
        <v>3429</v>
      </c>
      <c r="F781">
        <v>153240</v>
      </c>
      <c r="G781" s="228">
        <v>1.6999999999999999E-3</v>
      </c>
      <c r="H781" s="228">
        <f>YEAR(AVEU_Historical_Data__2[[#This Row],[Date]])</f>
        <v>2023</v>
      </c>
      <c r="I781" s="228">
        <f>ROUNDUP((MOD(MONTH(AVEU_Historical_Data__2[[#This Row],[Date]])+8,12)+1)/3,0)</f>
        <v>1</v>
      </c>
      <c r="J781" s="228">
        <f>MONTH(AVEU_Historical_Data__2[[#This Row],[Date]])</f>
        <v>5</v>
      </c>
      <c r="K781" s="228"/>
    </row>
    <row r="782" spans="1:11" x14ac:dyDescent="0.25">
      <c r="A782" s="227">
        <v>45072</v>
      </c>
      <c r="B782" s="228">
        <v>3501.75</v>
      </c>
      <c r="C782" s="228">
        <v>3448.9</v>
      </c>
      <c r="D782" s="228">
        <v>3512</v>
      </c>
      <c r="E782" s="228">
        <v>3442.1</v>
      </c>
      <c r="F782">
        <v>277110</v>
      </c>
      <c r="G782" s="228">
        <v>1.9300000000000001E-2</v>
      </c>
      <c r="H782" s="228">
        <f>YEAR(AVEU_Historical_Data__2[[#This Row],[Date]])</f>
        <v>2023</v>
      </c>
      <c r="I782" s="228">
        <f>ROUNDUP((MOD(MONTH(AVEU_Historical_Data__2[[#This Row],[Date]])+8,12)+1)/3,0)</f>
        <v>1</v>
      </c>
      <c r="J782" s="228">
        <f>MONTH(AVEU_Historical_Data__2[[#This Row],[Date]])</f>
        <v>5</v>
      </c>
      <c r="K782" s="228"/>
    </row>
    <row r="783" spans="1:11" x14ac:dyDescent="0.25">
      <c r="A783" s="227">
        <v>45075</v>
      </c>
      <c r="B783" s="228">
        <v>3503.3</v>
      </c>
      <c r="C783" s="228">
        <v>3540</v>
      </c>
      <c r="D783" s="228">
        <v>3545</v>
      </c>
      <c r="E783" s="228">
        <v>3482.25</v>
      </c>
      <c r="F783">
        <v>228840</v>
      </c>
      <c r="G783" s="228">
        <v>4.0000000000000002E-4</v>
      </c>
      <c r="H783" s="228">
        <f>YEAR(AVEU_Historical_Data__2[[#This Row],[Date]])</f>
        <v>2023</v>
      </c>
      <c r="I783" s="228">
        <f>ROUNDUP((MOD(MONTH(AVEU_Historical_Data__2[[#This Row],[Date]])+8,12)+1)/3,0)</f>
        <v>1</v>
      </c>
      <c r="J783" s="228">
        <f>MONTH(AVEU_Historical_Data__2[[#This Row],[Date]])</f>
        <v>5</v>
      </c>
      <c r="K783" s="228"/>
    </row>
    <row r="784" spans="1:11" x14ac:dyDescent="0.25">
      <c r="A784" s="227">
        <v>45076</v>
      </c>
      <c r="B784" s="228">
        <v>3507.5</v>
      </c>
      <c r="C784" s="228">
        <v>3517.95</v>
      </c>
      <c r="D784" s="228">
        <v>3530</v>
      </c>
      <c r="E784" s="228">
        <v>3496.85</v>
      </c>
      <c r="F784">
        <v>294220</v>
      </c>
      <c r="G784" s="228">
        <v>1.1999999999999999E-3</v>
      </c>
      <c r="H784" s="228">
        <f>YEAR(AVEU_Historical_Data__2[[#This Row],[Date]])</f>
        <v>2023</v>
      </c>
      <c r="I784" s="228">
        <f>ROUNDUP((MOD(MONTH(AVEU_Historical_Data__2[[#This Row],[Date]])+8,12)+1)/3,0)</f>
        <v>1</v>
      </c>
      <c r="J784" s="228">
        <f>MONTH(AVEU_Historical_Data__2[[#This Row],[Date]])</f>
        <v>5</v>
      </c>
      <c r="K784" s="228"/>
    </row>
    <row r="785" spans="1:11" x14ac:dyDescent="0.25">
      <c r="A785" s="227">
        <v>45077</v>
      </c>
      <c r="B785" s="228">
        <v>3471.25</v>
      </c>
      <c r="C785" s="228">
        <v>3519.9</v>
      </c>
      <c r="D785" s="228">
        <v>3522.35</v>
      </c>
      <c r="E785" s="228">
        <v>3437.35</v>
      </c>
      <c r="F785">
        <v>917960</v>
      </c>
      <c r="G785" s="228">
        <v>-1.03E-2</v>
      </c>
      <c r="H785" s="228">
        <f>YEAR(AVEU_Historical_Data__2[[#This Row],[Date]])</f>
        <v>2023</v>
      </c>
      <c r="I785" s="228">
        <f>ROUNDUP((MOD(MONTH(AVEU_Historical_Data__2[[#This Row],[Date]])+8,12)+1)/3,0)</f>
        <v>1</v>
      </c>
      <c r="J785" s="228">
        <f>MONTH(AVEU_Historical_Data__2[[#This Row],[Date]])</f>
        <v>5</v>
      </c>
      <c r="K785" s="228"/>
    </row>
    <row r="786" spans="1:11" x14ac:dyDescent="0.25">
      <c r="A786" s="227">
        <v>45078</v>
      </c>
      <c r="B786" s="228">
        <v>3500.9</v>
      </c>
      <c r="C786" s="228">
        <v>3480</v>
      </c>
      <c r="D786" s="228">
        <v>3527</v>
      </c>
      <c r="E786" s="228">
        <v>3473</v>
      </c>
      <c r="F786">
        <v>189630</v>
      </c>
      <c r="G786" s="228">
        <v>8.5000000000000006E-3</v>
      </c>
      <c r="H786" s="228">
        <f>YEAR(AVEU_Historical_Data__2[[#This Row],[Date]])</f>
        <v>2023</v>
      </c>
      <c r="I786" s="228">
        <f>ROUNDUP((MOD(MONTH(AVEU_Historical_Data__2[[#This Row],[Date]])+8,12)+1)/3,0)</f>
        <v>1</v>
      </c>
      <c r="J786" s="228">
        <f>MONTH(AVEU_Historical_Data__2[[#This Row],[Date]])</f>
        <v>6</v>
      </c>
      <c r="K786" s="228"/>
    </row>
    <row r="787" spans="1:11" x14ac:dyDescent="0.25">
      <c r="A787" s="227">
        <v>45079</v>
      </c>
      <c r="B787" s="228">
        <v>3531.6</v>
      </c>
      <c r="C787" s="228">
        <v>3510</v>
      </c>
      <c r="D787" s="228">
        <v>3555</v>
      </c>
      <c r="E787" s="228">
        <v>3506.1</v>
      </c>
      <c r="F787">
        <v>396070</v>
      </c>
      <c r="G787" s="228">
        <v>8.8000000000000005E-3</v>
      </c>
      <c r="H787" s="228">
        <f>YEAR(AVEU_Historical_Data__2[[#This Row],[Date]])</f>
        <v>2023</v>
      </c>
      <c r="I787" s="228">
        <f>ROUNDUP((MOD(MONTH(AVEU_Historical_Data__2[[#This Row],[Date]])+8,12)+1)/3,0)</f>
        <v>1</v>
      </c>
      <c r="J787" s="228">
        <f>MONTH(AVEU_Historical_Data__2[[#This Row],[Date]])</f>
        <v>6</v>
      </c>
      <c r="K787" s="228"/>
    </row>
    <row r="788" spans="1:11" x14ac:dyDescent="0.25">
      <c r="A788" s="227">
        <v>45082</v>
      </c>
      <c r="B788" s="228">
        <v>3536.85</v>
      </c>
      <c r="C788" s="228">
        <v>3550</v>
      </c>
      <c r="D788" s="228">
        <v>3555</v>
      </c>
      <c r="E788" s="228">
        <v>3521.7</v>
      </c>
      <c r="F788">
        <v>182060</v>
      </c>
      <c r="G788" s="228">
        <v>1.5E-3</v>
      </c>
      <c r="H788" s="228">
        <f>YEAR(AVEU_Historical_Data__2[[#This Row],[Date]])</f>
        <v>2023</v>
      </c>
      <c r="I788" s="228">
        <f>ROUNDUP((MOD(MONTH(AVEU_Historical_Data__2[[#This Row],[Date]])+8,12)+1)/3,0)</f>
        <v>1</v>
      </c>
      <c r="J788" s="228">
        <f>MONTH(AVEU_Historical_Data__2[[#This Row],[Date]])</f>
        <v>6</v>
      </c>
      <c r="K788" s="228"/>
    </row>
    <row r="789" spans="1:11" x14ac:dyDescent="0.25">
      <c r="A789" s="227">
        <v>45083</v>
      </c>
      <c r="B789" s="228">
        <v>3527.75</v>
      </c>
      <c r="C789" s="228">
        <v>3536</v>
      </c>
      <c r="D789" s="228">
        <v>3565</v>
      </c>
      <c r="E789" s="228">
        <v>3495.05</v>
      </c>
      <c r="F789">
        <v>179040</v>
      </c>
      <c r="G789" s="228">
        <v>-2.5999999999999999E-3</v>
      </c>
      <c r="H789" s="228">
        <f>YEAR(AVEU_Historical_Data__2[[#This Row],[Date]])</f>
        <v>2023</v>
      </c>
      <c r="I789" s="228">
        <f>ROUNDUP((MOD(MONTH(AVEU_Historical_Data__2[[#This Row],[Date]])+8,12)+1)/3,0)</f>
        <v>1</v>
      </c>
      <c r="J789" s="228">
        <f>MONTH(AVEU_Historical_Data__2[[#This Row],[Date]])</f>
        <v>6</v>
      </c>
      <c r="K789" s="228"/>
    </row>
    <row r="790" spans="1:11" x14ac:dyDescent="0.25">
      <c r="A790" s="227">
        <v>45084</v>
      </c>
      <c r="B790" s="228">
        <v>3544.05</v>
      </c>
      <c r="C790" s="228">
        <v>3536</v>
      </c>
      <c r="D790" s="228">
        <v>3550</v>
      </c>
      <c r="E790" s="228">
        <v>3516.05</v>
      </c>
      <c r="F790">
        <v>228650</v>
      </c>
      <c r="G790" s="228">
        <v>4.5999999999999999E-3</v>
      </c>
      <c r="H790" s="228">
        <f>YEAR(AVEU_Historical_Data__2[[#This Row],[Date]])</f>
        <v>2023</v>
      </c>
      <c r="I790" s="228">
        <f>ROUNDUP((MOD(MONTH(AVEU_Historical_Data__2[[#This Row],[Date]])+8,12)+1)/3,0)</f>
        <v>1</v>
      </c>
      <c r="J790" s="228">
        <f>MONTH(AVEU_Historical_Data__2[[#This Row],[Date]])</f>
        <v>6</v>
      </c>
      <c r="K790" s="228"/>
    </row>
    <row r="791" spans="1:11" x14ac:dyDescent="0.25">
      <c r="A791" s="227">
        <v>45085</v>
      </c>
      <c r="B791" s="228">
        <v>3546.8</v>
      </c>
      <c r="C791" s="228">
        <v>3554.8</v>
      </c>
      <c r="D791" s="228">
        <v>3572.7</v>
      </c>
      <c r="E791" s="228">
        <v>3535</v>
      </c>
      <c r="F791">
        <v>185100</v>
      </c>
      <c r="G791" s="228">
        <v>8.0000000000000004E-4</v>
      </c>
      <c r="H791" s="228">
        <f>YEAR(AVEU_Historical_Data__2[[#This Row],[Date]])</f>
        <v>2023</v>
      </c>
      <c r="I791" s="228">
        <f>ROUNDUP((MOD(MONTH(AVEU_Historical_Data__2[[#This Row],[Date]])+8,12)+1)/3,0)</f>
        <v>1</v>
      </c>
      <c r="J791" s="228">
        <f>MONTH(AVEU_Historical_Data__2[[#This Row],[Date]])</f>
        <v>6</v>
      </c>
      <c r="K791" s="228"/>
    </row>
    <row r="792" spans="1:11" x14ac:dyDescent="0.25">
      <c r="A792" s="227">
        <v>45086</v>
      </c>
      <c r="B792" s="228">
        <v>3632.1</v>
      </c>
      <c r="C792" s="228">
        <v>3586</v>
      </c>
      <c r="D792" s="228">
        <v>3648</v>
      </c>
      <c r="E792" s="228">
        <v>3568.55</v>
      </c>
      <c r="F792">
        <v>661360</v>
      </c>
      <c r="G792" s="228">
        <v>2.4E-2</v>
      </c>
      <c r="H792" s="228">
        <f>YEAR(AVEU_Historical_Data__2[[#This Row],[Date]])</f>
        <v>2023</v>
      </c>
      <c r="I792" s="228">
        <f>ROUNDUP((MOD(MONTH(AVEU_Historical_Data__2[[#This Row],[Date]])+8,12)+1)/3,0)</f>
        <v>1</v>
      </c>
      <c r="J792" s="228">
        <f>MONTH(AVEU_Historical_Data__2[[#This Row],[Date]])</f>
        <v>6</v>
      </c>
      <c r="K792" s="228"/>
    </row>
    <row r="793" spans="1:11" x14ac:dyDescent="0.25">
      <c r="A793" s="227">
        <v>45089</v>
      </c>
      <c r="B793" s="228">
        <v>3629.4</v>
      </c>
      <c r="C793" s="228">
        <v>3646.95</v>
      </c>
      <c r="D793" s="228">
        <v>3646.95</v>
      </c>
      <c r="E793" s="228">
        <v>3584.05</v>
      </c>
      <c r="F793">
        <v>247070</v>
      </c>
      <c r="G793" s="228">
        <v>-6.9999999999999999E-4</v>
      </c>
      <c r="H793" s="228">
        <f>YEAR(AVEU_Historical_Data__2[[#This Row],[Date]])</f>
        <v>2023</v>
      </c>
      <c r="I793" s="228">
        <f>ROUNDUP((MOD(MONTH(AVEU_Historical_Data__2[[#This Row],[Date]])+8,12)+1)/3,0)</f>
        <v>1</v>
      </c>
      <c r="J793" s="228">
        <f>MONTH(AVEU_Historical_Data__2[[#This Row],[Date]])</f>
        <v>6</v>
      </c>
      <c r="K793" s="228"/>
    </row>
    <row r="794" spans="1:11" x14ac:dyDescent="0.25">
      <c r="A794" s="227">
        <v>45090</v>
      </c>
      <c r="B794" s="228">
        <v>3677.9</v>
      </c>
      <c r="C794" s="228">
        <v>3644</v>
      </c>
      <c r="D794" s="228">
        <v>3703.45</v>
      </c>
      <c r="E794" s="228">
        <v>3630</v>
      </c>
      <c r="F794">
        <v>353630</v>
      </c>
      <c r="G794" s="228">
        <v>1.34E-2</v>
      </c>
      <c r="H794" s="228">
        <f>YEAR(AVEU_Historical_Data__2[[#This Row],[Date]])</f>
        <v>2023</v>
      </c>
      <c r="I794" s="228">
        <f>ROUNDUP((MOD(MONTH(AVEU_Historical_Data__2[[#This Row],[Date]])+8,12)+1)/3,0)</f>
        <v>1</v>
      </c>
      <c r="J794" s="228">
        <f>MONTH(AVEU_Historical_Data__2[[#This Row],[Date]])</f>
        <v>6</v>
      </c>
      <c r="K794" s="228"/>
    </row>
    <row r="795" spans="1:11" x14ac:dyDescent="0.25">
      <c r="A795" s="227">
        <v>45091</v>
      </c>
      <c r="B795" s="228">
        <v>3704.85</v>
      </c>
      <c r="C795" s="228">
        <v>3693.75</v>
      </c>
      <c r="D795" s="228">
        <v>3740</v>
      </c>
      <c r="E795" s="228">
        <v>3662</v>
      </c>
      <c r="F795">
        <v>376200</v>
      </c>
      <c r="G795" s="228">
        <v>7.3000000000000001E-3</v>
      </c>
      <c r="H795" s="228">
        <f>YEAR(AVEU_Historical_Data__2[[#This Row],[Date]])</f>
        <v>2023</v>
      </c>
      <c r="I795" s="228">
        <f>ROUNDUP((MOD(MONTH(AVEU_Historical_Data__2[[#This Row],[Date]])+8,12)+1)/3,0)</f>
        <v>1</v>
      </c>
      <c r="J795" s="228">
        <f>MONTH(AVEU_Historical_Data__2[[#This Row],[Date]])</f>
        <v>6</v>
      </c>
      <c r="K795" s="228"/>
    </row>
    <row r="796" spans="1:11" x14ac:dyDescent="0.25">
      <c r="A796" s="227">
        <v>45092</v>
      </c>
      <c r="B796" s="228">
        <v>3917.7</v>
      </c>
      <c r="C796" s="228">
        <v>3745</v>
      </c>
      <c r="D796" s="228">
        <v>3960</v>
      </c>
      <c r="E796" s="228">
        <v>3723.25</v>
      </c>
      <c r="F796">
        <v>1160000</v>
      </c>
      <c r="G796" s="228">
        <v>5.7500000000000002E-2</v>
      </c>
      <c r="H796" s="228">
        <f>YEAR(AVEU_Historical_Data__2[[#This Row],[Date]])</f>
        <v>2023</v>
      </c>
      <c r="I796" s="228">
        <f>ROUNDUP((MOD(MONTH(AVEU_Historical_Data__2[[#This Row],[Date]])+8,12)+1)/3,0)</f>
        <v>1</v>
      </c>
      <c r="J796" s="228">
        <f>MONTH(AVEU_Historical_Data__2[[#This Row],[Date]])</f>
        <v>6</v>
      </c>
      <c r="K796" s="228"/>
    </row>
    <row r="797" spans="1:11" x14ac:dyDescent="0.25">
      <c r="A797" s="227">
        <v>45093</v>
      </c>
      <c r="B797" s="228">
        <v>4085.6</v>
      </c>
      <c r="C797" s="228">
        <v>3952</v>
      </c>
      <c r="D797" s="228">
        <v>4144</v>
      </c>
      <c r="E797" s="228">
        <v>3951.5</v>
      </c>
      <c r="F797">
        <v>2110000</v>
      </c>
      <c r="G797" s="228">
        <v>4.2900000000000001E-2</v>
      </c>
      <c r="H797" s="228">
        <f>YEAR(AVEU_Historical_Data__2[[#This Row],[Date]])</f>
        <v>2023</v>
      </c>
      <c r="I797" s="228">
        <f>ROUNDUP((MOD(MONTH(AVEU_Historical_Data__2[[#This Row],[Date]])+8,12)+1)/3,0)</f>
        <v>1</v>
      </c>
      <c r="J797" s="228">
        <f>MONTH(AVEU_Historical_Data__2[[#This Row],[Date]])</f>
        <v>6</v>
      </c>
      <c r="K797" s="228"/>
    </row>
    <row r="798" spans="1:11" x14ac:dyDescent="0.25">
      <c r="A798" s="227">
        <v>45096</v>
      </c>
      <c r="B798" s="228">
        <v>3975.7</v>
      </c>
      <c r="C798" s="228">
        <v>4086</v>
      </c>
      <c r="D798" s="228">
        <v>4150</v>
      </c>
      <c r="E798" s="228">
        <v>3956.25</v>
      </c>
      <c r="F798">
        <v>703100</v>
      </c>
      <c r="G798" s="228">
        <v>-2.69E-2</v>
      </c>
      <c r="H798" s="228">
        <f>YEAR(AVEU_Historical_Data__2[[#This Row],[Date]])</f>
        <v>2023</v>
      </c>
      <c r="I798" s="228">
        <f>ROUNDUP((MOD(MONTH(AVEU_Historical_Data__2[[#This Row],[Date]])+8,12)+1)/3,0)</f>
        <v>1</v>
      </c>
      <c r="J798" s="228">
        <f>MONTH(AVEU_Historical_Data__2[[#This Row],[Date]])</f>
        <v>6</v>
      </c>
      <c r="K798" s="228"/>
    </row>
    <row r="799" spans="1:11" x14ac:dyDescent="0.25">
      <c r="A799" s="227">
        <v>45097</v>
      </c>
      <c r="B799" s="228">
        <v>3986.9</v>
      </c>
      <c r="C799" s="228">
        <v>3985</v>
      </c>
      <c r="D799" s="228">
        <v>4045</v>
      </c>
      <c r="E799" s="228">
        <v>3910</v>
      </c>
      <c r="F799">
        <v>531750</v>
      </c>
      <c r="G799" s="228">
        <v>2.8E-3</v>
      </c>
      <c r="H799" s="228">
        <f>YEAR(AVEU_Historical_Data__2[[#This Row],[Date]])</f>
        <v>2023</v>
      </c>
      <c r="I799" s="228">
        <f>ROUNDUP((MOD(MONTH(AVEU_Historical_Data__2[[#This Row],[Date]])+8,12)+1)/3,0)</f>
        <v>1</v>
      </c>
      <c r="J799" s="228">
        <f>MONTH(AVEU_Historical_Data__2[[#This Row],[Date]])</f>
        <v>6</v>
      </c>
      <c r="K799" s="228"/>
    </row>
    <row r="800" spans="1:11" x14ac:dyDescent="0.25">
      <c r="A800" s="227">
        <v>45098</v>
      </c>
      <c r="B800" s="228">
        <v>3919.5</v>
      </c>
      <c r="C800" s="228">
        <v>3987</v>
      </c>
      <c r="D800" s="228">
        <v>4028.85</v>
      </c>
      <c r="E800" s="228">
        <v>3898.05</v>
      </c>
      <c r="F800">
        <v>310780</v>
      </c>
      <c r="G800" s="228">
        <v>-1.6899999999999998E-2</v>
      </c>
      <c r="H800" s="228">
        <f>YEAR(AVEU_Historical_Data__2[[#This Row],[Date]])</f>
        <v>2023</v>
      </c>
      <c r="I800" s="228">
        <f>ROUNDUP((MOD(MONTH(AVEU_Historical_Data__2[[#This Row],[Date]])+8,12)+1)/3,0)</f>
        <v>1</v>
      </c>
      <c r="J800" s="228">
        <f>MONTH(AVEU_Historical_Data__2[[#This Row],[Date]])</f>
        <v>6</v>
      </c>
      <c r="K800" s="228"/>
    </row>
    <row r="801" spans="1:11" x14ac:dyDescent="0.25">
      <c r="A801" s="227">
        <v>45099</v>
      </c>
      <c r="B801" s="228">
        <v>3812.15</v>
      </c>
      <c r="C801" s="228">
        <v>3935</v>
      </c>
      <c r="D801" s="228">
        <v>3940</v>
      </c>
      <c r="E801" s="228">
        <v>3800</v>
      </c>
      <c r="F801">
        <v>311630</v>
      </c>
      <c r="G801" s="228">
        <v>-2.7400000000000001E-2</v>
      </c>
      <c r="H801" s="228">
        <f>YEAR(AVEU_Historical_Data__2[[#This Row],[Date]])</f>
        <v>2023</v>
      </c>
      <c r="I801" s="228">
        <f>ROUNDUP((MOD(MONTH(AVEU_Historical_Data__2[[#This Row],[Date]])+8,12)+1)/3,0)</f>
        <v>1</v>
      </c>
      <c r="J801" s="228">
        <f>MONTH(AVEU_Historical_Data__2[[#This Row],[Date]])</f>
        <v>6</v>
      </c>
      <c r="K801" s="228"/>
    </row>
    <row r="802" spans="1:11" x14ac:dyDescent="0.25">
      <c r="A802" s="227">
        <v>45100</v>
      </c>
      <c r="B802" s="228">
        <v>3744.05</v>
      </c>
      <c r="C802" s="228">
        <v>3823.95</v>
      </c>
      <c r="D802" s="228">
        <v>3845</v>
      </c>
      <c r="E802" s="228">
        <v>3731.9</v>
      </c>
      <c r="F802">
        <v>278870</v>
      </c>
      <c r="G802" s="228">
        <v>-1.7899999999999999E-2</v>
      </c>
      <c r="H802" s="228">
        <f>YEAR(AVEU_Historical_Data__2[[#This Row],[Date]])</f>
        <v>2023</v>
      </c>
      <c r="I802" s="228">
        <f>ROUNDUP((MOD(MONTH(AVEU_Historical_Data__2[[#This Row],[Date]])+8,12)+1)/3,0)</f>
        <v>1</v>
      </c>
      <c r="J802" s="228">
        <f>MONTH(AVEU_Historical_Data__2[[#This Row],[Date]])</f>
        <v>6</v>
      </c>
      <c r="K802" s="228"/>
    </row>
    <row r="803" spans="1:11" x14ac:dyDescent="0.25">
      <c r="A803" s="227">
        <v>45103</v>
      </c>
      <c r="B803" s="228">
        <v>3848.25</v>
      </c>
      <c r="C803" s="228">
        <v>3744.05</v>
      </c>
      <c r="D803" s="228">
        <v>3879</v>
      </c>
      <c r="E803" s="228">
        <v>3744.05</v>
      </c>
      <c r="F803">
        <v>344380</v>
      </c>
      <c r="G803" s="228">
        <v>2.7799999999999998E-2</v>
      </c>
      <c r="H803" s="228">
        <f>YEAR(AVEU_Historical_Data__2[[#This Row],[Date]])</f>
        <v>2023</v>
      </c>
      <c r="I803" s="228">
        <f>ROUNDUP((MOD(MONTH(AVEU_Historical_Data__2[[#This Row],[Date]])+8,12)+1)/3,0)</f>
        <v>1</v>
      </c>
      <c r="J803" s="228">
        <f>MONTH(AVEU_Historical_Data__2[[#This Row],[Date]])</f>
        <v>6</v>
      </c>
      <c r="K803" s="228"/>
    </row>
    <row r="804" spans="1:11" x14ac:dyDescent="0.25">
      <c r="A804" s="227">
        <v>45104</v>
      </c>
      <c r="B804" s="228">
        <v>3872.1</v>
      </c>
      <c r="C804" s="228">
        <v>3849</v>
      </c>
      <c r="D804" s="228">
        <v>3919.95</v>
      </c>
      <c r="E804" s="228">
        <v>3841</v>
      </c>
      <c r="F804">
        <v>499700</v>
      </c>
      <c r="G804" s="228">
        <v>6.1999999999999998E-3</v>
      </c>
      <c r="H804" s="228">
        <f>YEAR(AVEU_Historical_Data__2[[#This Row],[Date]])</f>
        <v>2023</v>
      </c>
      <c r="I804" s="228">
        <f>ROUNDUP((MOD(MONTH(AVEU_Historical_Data__2[[#This Row],[Date]])+8,12)+1)/3,0)</f>
        <v>1</v>
      </c>
      <c r="J804" s="228">
        <f>MONTH(AVEU_Historical_Data__2[[#This Row],[Date]])</f>
        <v>6</v>
      </c>
      <c r="K804" s="228"/>
    </row>
    <row r="805" spans="1:11" x14ac:dyDescent="0.25">
      <c r="A805" s="227">
        <v>45105</v>
      </c>
      <c r="B805" s="228">
        <v>3963.6</v>
      </c>
      <c r="C805" s="228">
        <v>3865</v>
      </c>
      <c r="D805" s="228">
        <v>3988</v>
      </c>
      <c r="E805" s="228">
        <v>3852.05</v>
      </c>
      <c r="F805">
        <v>478730</v>
      </c>
      <c r="G805" s="228">
        <v>2.3599999999999999E-2</v>
      </c>
      <c r="H805" s="228">
        <f>YEAR(AVEU_Historical_Data__2[[#This Row],[Date]])</f>
        <v>2023</v>
      </c>
      <c r="I805" s="228">
        <f>ROUNDUP((MOD(MONTH(AVEU_Historical_Data__2[[#This Row],[Date]])+8,12)+1)/3,0)</f>
        <v>1</v>
      </c>
      <c r="J805" s="228">
        <f>MONTH(AVEU_Historical_Data__2[[#This Row],[Date]])</f>
        <v>6</v>
      </c>
      <c r="K805" s="228"/>
    </row>
    <row r="806" spans="1:11" x14ac:dyDescent="0.25">
      <c r="A806" s="227">
        <v>45107</v>
      </c>
      <c r="B806" s="228">
        <v>3889.2</v>
      </c>
      <c r="C806" s="228">
        <v>3965</v>
      </c>
      <c r="D806" s="228">
        <v>3966</v>
      </c>
      <c r="E806" s="228">
        <v>3880</v>
      </c>
      <c r="F806">
        <v>401860</v>
      </c>
      <c r="G806" s="228">
        <v>-1.8800000000000001E-2</v>
      </c>
      <c r="H806" s="228">
        <f>YEAR(AVEU_Historical_Data__2[[#This Row],[Date]])</f>
        <v>2023</v>
      </c>
      <c r="I806" s="228">
        <f>ROUNDUP((MOD(MONTH(AVEU_Historical_Data__2[[#This Row],[Date]])+8,12)+1)/3,0)</f>
        <v>1</v>
      </c>
      <c r="J806" s="228">
        <f>MONTH(AVEU_Historical_Data__2[[#This Row],[Date]])</f>
        <v>6</v>
      </c>
      <c r="K806" s="228"/>
    </row>
    <row r="807" spans="1:11" x14ac:dyDescent="0.25">
      <c r="A807" s="227">
        <v>45110</v>
      </c>
      <c r="B807" s="228">
        <v>3868.6</v>
      </c>
      <c r="C807" s="228">
        <v>3889.2</v>
      </c>
      <c r="D807" s="228">
        <v>3948</v>
      </c>
      <c r="E807" s="228">
        <v>3843</v>
      </c>
      <c r="F807">
        <v>371880</v>
      </c>
      <c r="G807" s="228">
        <v>-5.3E-3</v>
      </c>
      <c r="H807" s="228">
        <f>YEAR(AVEU_Historical_Data__2[[#This Row],[Date]])</f>
        <v>2023</v>
      </c>
      <c r="I807" s="228">
        <f>ROUNDUP((MOD(MONTH(AVEU_Historical_Data__2[[#This Row],[Date]])+8,12)+1)/3,0)</f>
        <v>2</v>
      </c>
      <c r="J807" s="228">
        <f>MONTH(AVEU_Historical_Data__2[[#This Row],[Date]])</f>
        <v>7</v>
      </c>
      <c r="K807" s="228"/>
    </row>
    <row r="808" spans="1:11" x14ac:dyDescent="0.25">
      <c r="A808" s="227">
        <v>45111</v>
      </c>
      <c r="B808" s="228">
        <v>3857.2</v>
      </c>
      <c r="C808" s="228">
        <v>3929.95</v>
      </c>
      <c r="D808" s="228">
        <v>3929.95</v>
      </c>
      <c r="E808" s="228">
        <v>3844.25</v>
      </c>
      <c r="F808">
        <v>554480</v>
      </c>
      <c r="G808" s="228">
        <v>-2.8999999999999998E-3</v>
      </c>
      <c r="H808" s="228">
        <f>YEAR(AVEU_Historical_Data__2[[#This Row],[Date]])</f>
        <v>2023</v>
      </c>
      <c r="I808" s="228">
        <f>ROUNDUP((MOD(MONTH(AVEU_Historical_Data__2[[#This Row],[Date]])+8,12)+1)/3,0)</f>
        <v>2</v>
      </c>
      <c r="J808" s="228">
        <f>MONTH(AVEU_Historical_Data__2[[#This Row],[Date]])</f>
        <v>7</v>
      </c>
      <c r="K808" s="228"/>
    </row>
    <row r="809" spans="1:11" x14ac:dyDescent="0.25">
      <c r="A809" s="227">
        <v>45112</v>
      </c>
      <c r="B809" s="228">
        <v>3820.1</v>
      </c>
      <c r="C809" s="228">
        <v>3880</v>
      </c>
      <c r="D809" s="228">
        <v>3897</v>
      </c>
      <c r="E809" s="228">
        <v>3801.2</v>
      </c>
      <c r="F809">
        <v>311490</v>
      </c>
      <c r="G809" s="228">
        <v>-9.5999999999999992E-3</v>
      </c>
      <c r="H809" s="228">
        <f>YEAR(AVEU_Historical_Data__2[[#This Row],[Date]])</f>
        <v>2023</v>
      </c>
      <c r="I809" s="228">
        <f>ROUNDUP((MOD(MONTH(AVEU_Historical_Data__2[[#This Row],[Date]])+8,12)+1)/3,0)</f>
        <v>2</v>
      </c>
      <c r="J809" s="228">
        <f>MONTH(AVEU_Historical_Data__2[[#This Row],[Date]])</f>
        <v>7</v>
      </c>
      <c r="K809" s="228"/>
    </row>
    <row r="810" spans="1:11" x14ac:dyDescent="0.25">
      <c r="A810" s="227">
        <v>45113</v>
      </c>
      <c r="B810" s="228">
        <v>3815.9</v>
      </c>
      <c r="C810" s="228">
        <v>3844</v>
      </c>
      <c r="D810" s="228">
        <v>3850</v>
      </c>
      <c r="E810" s="228">
        <v>3810</v>
      </c>
      <c r="F810">
        <v>247800</v>
      </c>
      <c r="G810" s="228">
        <v>-1.1000000000000001E-3</v>
      </c>
      <c r="H810" s="228">
        <f>YEAR(AVEU_Historical_Data__2[[#This Row],[Date]])</f>
        <v>2023</v>
      </c>
      <c r="I810" s="228">
        <f>ROUNDUP((MOD(MONTH(AVEU_Historical_Data__2[[#This Row],[Date]])+8,12)+1)/3,0)</f>
        <v>2</v>
      </c>
      <c r="J810" s="228">
        <f>MONTH(AVEU_Historical_Data__2[[#This Row],[Date]])</f>
        <v>7</v>
      </c>
      <c r="K810" s="228"/>
    </row>
    <row r="811" spans="1:11" x14ac:dyDescent="0.25">
      <c r="A811" s="227">
        <v>45114</v>
      </c>
      <c r="B811" s="228">
        <v>3808.95</v>
      </c>
      <c r="C811" s="228">
        <v>3818</v>
      </c>
      <c r="D811" s="228">
        <v>3844</v>
      </c>
      <c r="E811" s="228">
        <v>3800</v>
      </c>
      <c r="F811">
        <v>206830</v>
      </c>
      <c r="G811" s="228">
        <v>-1.8E-3</v>
      </c>
      <c r="H811" s="228">
        <f>YEAR(AVEU_Historical_Data__2[[#This Row],[Date]])</f>
        <v>2023</v>
      </c>
      <c r="I811" s="228">
        <f>ROUNDUP((MOD(MONTH(AVEU_Historical_Data__2[[#This Row],[Date]])+8,12)+1)/3,0)</f>
        <v>2</v>
      </c>
      <c r="J811" s="228">
        <f>MONTH(AVEU_Historical_Data__2[[#This Row],[Date]])</f>
        <v>7</v>
      </c>
      <c r="K811" s="228"/>
    </row>
    <row r="812" spans="1:11" x14ac:dyDescent="0.25">
      <c r="A812" s="227">
        <v>45117</v>
      </c>
      <c r="B812" s="228">
        <v>3767.7</v>
      </c>
      <c r="C812" s="228">
        <v>3810</v>
      </c>
      <c r="D812" s="228">
        <v>3834.25</v>
      </c>
      <c r="E812" s="228">
        <v>3757</v>
      </c>
      <c r="F812">
        <v>180960</v>
      </c>
      <c r="G812" s="228">
        <v>-1.0800000000000001E-2</v>
      </c>
      <c r="H812" s="228">
        <f>YEAR(AVEU_Historical_Data__2[[#This Row],[Date]])</f>
        <v>2023</v>
      </c>
      <c r="I812" s="228">
        <f>ROUNDUP((MOD(MONTH(AVEU_Historical_Data__2[[#This Row],[Date]])+8,12)+1)/3,0)</f>
        <v>2</v>
      </c>
      <c r="J812" s="228">
        <f>MONTH(AVEU_Historical_Data__2[[#This Row],[Date]])</f>
        <v>7</v>
      </c>
      <c r="K812" s="228"/>
    </row>
    <row r="813" spans="1:11" x14ac:dyDescent="0.25">
      <c r="A813" s="227">
        <v>45118</v>
      </c>
      <c r="B813" s="228">
        <v>3827.1</v>
      </c>
      <c r="C813" s="228">
        <v>3786.95</v>
      </c>
      <c r="D813" s="228">
        <v>3838</v>
      </c>
      <c r="E813" s="228">
        <v>3772.05</v>
      </c>
      <c r="F813">
        <v>175290</v>
      </c>
      <c r="G813" s="228">
        <v>1.5800000000000002E-2</v>
      </c>
      <c r="H813" s="228">
        <f>YEAR(AVEU_Historical_Data__2[[#This Row],[Date]])</f>
        <v>2023</v>
      </c>
      <c r="I813" s="228">
        <f>ROUNDUP((MOD(MONTH(AVEU_Historical_Data__2[[#This Row],[Date]])+8,12)+1)/3,0)</f>
        <v>2</v>
      </c>
      <c r="J813" s="228">
        <f>MONTH(AVEU_Historical_Data__2[[#This Row],[Date]])</f>
        <v>7</v>
      </c>
      <c r="K813" s="228"/>
    </row>
    <row r="814" spans="1:11" x14ac:dyDescent="0.25">
      <c r="A814" s="227">
        <v>45119</v>
      </c>
      <c r="B814" s="228">
        <v>3806.35</v>
      </c>
      <c r="C814" s="228">
        <v>3847.1</v>
      </c>
      <c r="D814" s="228">
        <v>3850</v>
      </c>
      <c r="E814" s="228">
        <v>3790</v>
      </c>
      <c r="F814">
        <v>362070</v>
      </c>
      <c r="G814" s="228">
        <v>-5.4000000000000003E-3</v>
      </c>
      <c r="H814" s="228">
        <f>YEAR(AVEU_Historical_Data__2[[#This Row],[Date]])</f>
        <v>2023</v>
      </c>
      <c r="I814" s="228">
        <f>ROUNDUP((MOD(MONTH(AVEU_Historical_Data__2[[#This Row],[Date]])+8,12)+1)/3,0)</f>
        <v>2</v>
      </c>
      <c r="J814" s="228">
        <f>MONTH(AVEU_Historical_Data__2[[#This Row],[Date]])</f>
        <v>7</v>
      </c>
      <c r="K814" s="228"/>
    </row>
    <row r="815" spans="1:11" x14ac:dyDescent="0.25">
      <c r="A815" s="227">
        <v>45120</v>
      </c>
      <c r="B815" s="228">
        <v>3821.65</v>
      </c>
      <c r="C815" s="228">
        <v>3823</v>
      </c>
      <c r="D815" s="228">
        <v>3828</v>
      </c>
      <c r="E815" s="228">
        <v>3795</v>
      </c>
      <c r="F815">
        <v>250710</v>
      </c>
      <c r="G815" s="228">
        <v>4.0000000000000001E-3</v>
      </c>
      <c r="H815" s="228">
        <f>YEAR(AVEU_Historical_Data__2[[#This Row],[Date]])</f>
        <v>2023</v>
      </c>
      <c r="I815" s="228">
        <f>ROUNDUP((MOD(MONTH(AVEU_Historical_Data__2[[#This Row],[Date]])+8,12)+1)/3,0)</f>
        <v>2</v>
      </c>
      <c r="J815" s="228">
        <f>MONTH(AVEU_Historical_Data__2[[#This Row],[Date]])</f>
        <v>7</v>
      </c>
      <c r="K815" s="228"/>
    </row>
    <row r="816" spans="1:11" x14ac:dyDescent="0.25">
      <c r="A816" s="227">
        <v>45121</v>
      </c>
      <c r="B816" s="228">
        <v>3838.75</v>
      </c>
      <c r="C816" s="228">
        <v>3840.8</v>
      </c>
      <c r="D816" s="228">
        <v>3881.85</v>
      </c>
      <c r="E816" s="228">
        <v>3782</v>
      </c>
      <c r="F816">
        <v>369700</v>
      </c>
      <c r="G816" s="228">
        <v>4.4999999999999997E-3</v>
      </c>
      <c r="H816" s="228">
        <f>YEAR(AVEU_Historical_Data__2[[#This Row],[Date]])</f>
        <v>2023</v>
      </c>
      <c r="I816" s="228">
        <f>ROUNDUP((MOD(MONTH(AVEU_Historical_Data__2[[#This Row],[Date]])+8,12)+1)/3,0)</f>
        <v>2</v>
      </c>
      <c r="J816" s="228">
        <f>MONTH(AVEU_Historical_Data__2[[#This Row],[Date]])</f>
        <v>7</v>
      </c>
      <c r="K816" s="228"/>
    </row>
    <row r="817" spans="1:11" x14ac:dyDescent="0.25">
      <c r="A817" s="227">
        <v>45124</v>
      </c>
      <c r="B817" s="228">
        <v>3713.55</v>
      </c>
      <c r="C817" s="228">
        <v>3796.85</v>
      </c>
      <c r="D817" s="228">
        <v>3823.35</v>
      </c>
      <c r="E817" s="228">
        <v>3700</v>
      </c>
      <c r="F817">
        <v>1050000</v>
      </c>
      <c r="G817" s="228">
        <v>-3.2599999999999997E-2</v>
      </c>
      <c r="H817" s="228">
        <f>YEAR(AVEU_Historical_Data__2[[#This Row],[Date]])</f>
        <v>2023</v>
      </c>
      <c r="I817" s="228">
        <f>ROUNDUP((MOD(MONTH(AVEU_Historical_Data__2[[#This Row],[Date]])+8,12)+1)/3,0)</f>
        <v>2</v>
      </c>
      <c r="J817" s="228">
        <f>MONTH(AVEU_Historical_Data__2[[#This Row],[Date]])</f>
        <v>7</v>
      </c>
      <c r="K817" s="228"/>
    </row>
    <row r="818" spans="1:11" x14ac:dyDescent="0.25">
      <c r="A818" s="227">
        <v>45125</v>
      </c>
      <c r="B818" s="228">
        <v>3676.5</v>
      </c>
      <c r="C818" s="228">
        <v>3700</v>
      </c>
      <c r="D818" s="228">
        <v>3711.95</v>
      </c>
      <c r="E818" s="228">
        <v>3672</v>
      </c>
      <c r="F818">
        <v>499880</v>
      </c>
      <c r="G818" s="228">
        <v>-0.01</v>
      </c>
      <c r="H818" s="228">
        <f>YEAR(AVEU_Historical_Data__2[[#This Row],[Date]])</f>
        <v>2023</v>
      </c>
      <c r="I818" s="228">
        <f>ROUNDUP((MOD(MONTH(AVEU_Historical_Data__2[[#This Row],[Date]])+8,12)+1)/3,0)</f>
        <v>2</v>
      </c>
      <c r="J818" s="228">
        <f>MONTH(AVEU_Historical_Data__2[[#This Row],[Date]])</f>
        <v>7</v>
      </c>
      <c r="K818" s="228"/>
    </row>
    <row r="819" spans="1:11" x14ac:dyDescent="0.25">
      <c r="A819" s="227">
        <v>45126</v>
      </c>
      <c r="B819" s="228">
        <v>3705.85</v>
      </c>
      <c r="C819" s="228">
        <v>3689.95</v>
      </c>
      <c r="D819" s="228">
        <v>3720</v>
      </c>
      <c r="E819" s="228">
        <v>3678.55</v>
      </c>
      <c r="F819">
        <v>277420</v>
      </c>
      <c r="G819" s="228">
        <v>8.0000000000000002E-3</v>
      </c>
      <c r="H819" s="228">
        <f>YEAR(AVEU_Historical_Data__2[[#This Row],[Date]])</f>
        <v>2023</v>
      </c>
      <c r="I819" s="228">
        <f>ROUNDUP((MOD(MONTH(AVEU_Historical_Data__2[[#This Row],[Date]])+8,12)+1)/3,0)</f>
        <v>2</v>
      </c>
      <c r="J819" s="228">
        <f>MONTH(AVEU_Historical_Data__2[[#This Row],[Date]])</f>
        <v>7</v>
      </c>
      <c r="K819" s="228"/>
    </row>
    <row r="820" spans="1:11" x14ac:dyDescent="0.25">
      <c r="A820" s="227">
        <v>45127</v>
      </c>
      <c r="B820" s="228">
        <v>3678.8</v>
      </c>
      <c r="C820" s="228">
        <v>3705.85</v>
      </c>
      <c r="D820" s="228">
        <v>3713.35</v>
      </c>
      <c r="E820" s="228">
        <v>3668.05</v>
      </c>
      <c r="F820">
        <v>503720</v>
      </c>
      <c r="G820" s="228">
        <v>-7.3000000000000001E-3</v>
      </c>
      <c r="H820" s="228">
        <f>YEAR(AVEU_Historical_Data__2[[#This Row],[Date]])</f>
        <v>2023</v>
      </c>
      <c r="I820" s="228">
        <f>ROUNDUP((MOD(MONTH(AVEU_Historical_Data__2[[#This Row],[Date]])+8,12)+1)/3,0)</f>
        <v>2</v>
      </c>
      <c r="J820" s="228">
        <f>MONTH(AVEU_Historical_Data__2[[#This Row],[Date]])</f>
        <v>7</v>
      </c>
      <c r="K820" s="228"/>
    </row>
    <row r="821" spans="1:11" x14ac:dyDescent="0.25">
      <c r="A821" s="227">
        <v>45128</v>
      </c>
      <c r="B821" s="228">
        <v>3675.7</v>
      </c>
      <c r="C821" s="228">
        <v>3653</v>
      </c>
      <c r="D821" s="228">
        <v>3692</v>
      </c>
      <c r="E821" s="228">
        <v>3643.6</v>
      </c>
      <c r="F821">
        <v>369920</v>
      </c>
      <c r="G821" s="228">
        <v>-8.0000000000000004E-4</v>
      </c>
      <c r="H821" s="228">
        <f>YEAR(AVEU_Historical_Data__2[[#This Row],[Date]])</f>
        <v>2023</v>
      </c>
      <c r="I821" s="228">
        <f>ROUNDUP((MOD(MONTH(AVEU_Historical_Data__2[[#This Row],[Date]])+8,12)+1)/3,0)</f>
        <v>2</v>
      </c>
      <c r="J821" s="228">
        <f>MONTH(AVEU_Historical_Data__2[[#This Row],[Date]])</f>
        <v>7</v>
      </c>
      <c r="K821" s="228"/>
    </row>
    <row r="822" spans="1:11" x14ac:dyDescent="0.25">
      <c r="A822" s="227">
        <v>45131</v>
      </c>
      <c r="B822" s="228">
        <v>3668.2</v>
      </c>
      <c r="C822" s="228">
        <v>3676</v>
      </c>
      <c r="D822" s="228">
        <v>3680</v>
      </c>
      <c r="E822" s="228">
        <v>3642.05</v>
      </c>
      <c r="F822">
        <v>197860</v>
      </c>
      <c r="G822" s="228">
        <v>-2E-3</v>
      </c>
      <c r="H822" s="228">
        <f>YEAR(AVEU_Historical_Data__2[[#This Row],[Date]])</f>
        <v>2023</v>
      </c>
      <c r="I822" s="228">
        <f>ROUNDUP((MOD(MONTH(AVEU_Historical_Data__2[[#This Row],[Date]])+8,12)+1)/3,0)</f>
        <v>2</v>
      </c>
      <c r="J822" s="228">
        <f>MONTH(AVEU_Historical_Data__2[[#This Row],[Date]])</f>
        <v>7</v>
      </c>
      <c r="K822" s="228"/>
    </row>
    <row r="823" spans="1:11" x14ac:dyDescent="0.25">
      <c r="A823" s="227">
        <v>45132</v>
      </c>
      <c r="B823" s="228">
        <v>3677.05</v>
      </c>
      <c r="C823" s="228">
        <v>3668.05</v>
      </c>
      <c r="D823" s="228">
        <v>3701.75</v>
      </c>
      <c r="E823" s="228">
        <v>3660.05</v>
      </c>
      <c r="F823">
        <v>237640</v>
      </c>
      <c r="G823" s="228">
        <v>2.3999999999999998E-3</v>
      </c>
      <c r="H823" s="228">
        <f>YEAR(AVEU_Historical_Data__2[[#This Row],[Date]])</f>
        <v>2023</v>
      </c>
      <c r="I823" s="228">
        <f>ROUNDUP((MOD(MONTH(AVEU_Historical_Data__2[[#This Row],[Date]])+8,12)+1)/3,0)</f>
        <v>2</v>
      </c>
      <c r="J823" s="228">
        <f>MONTH(AVEU_Historical_Data__2[[#This Row],[Date]])</f>
        <v>7</v>
      </c>
      <c r="K823" s="228"/>
    </row>
    <row r="824" spans="1:11" x14ac:dyDescent="0.25">
      <c r="A824" s="227">
        <v>45133</v>
      </c>
      <c r="B824" s="228">
        <v>3712.65</v>
      </c>
      <c r="C824" s="228">
        <v>3691.55</v>
      </c>
      <c r="D824" s="228">
        <v>3718.4</v>
      </c>
      <c r="E824" s="228">
        <v>3672.05</v>
      </c>
      <c r="F824">
        <v>182430</v>
      </c>
      <c r="G824" s="228">
        <v>9.7000000000000003E-3</v>
      </c>
      <c r="H824" s="228">
        <f>YEAR(AVEU_Historical_Data__2[[#This Row],[Date]])</f>
        <v>2023</v>
      </c>
      <c r="I824" s="228">
        <f>ROUNDUP((MOD(MONTH(AVEU_Historical_Data__2[[#This Row],[Date]])+8,12)+1)/3,0)</f>
        <v>2</v>
      </c>
      <c r="J824" s="228">
        <f>MONTH(AVEU_Historical_Data__2[[#This Row],[Date]])</f>
        <v>7</v>
      </c>
      <c r="K824" s="228"/>
    </row>
    <row r="825" spans="1:11" x14ac:dyDescent="0.25">
      <c r="A825" s="227">
        <v>45134</v>
      </c>
      <c r="B825" s="228">
        <v>3693.35</v>
      </c>
      <c r="C825" s="228">
        <v>3717.8</v>
      </c>
      <c r="D825" s="228">
        <v>3732.15</v>
      </c>
      <c r="E825" s="228">
        <v>3661.05</v>
      </c>
      <c r="F825">
        <v>286460</v>
      </c>
      <c r="G825" s="228">
        <v>-5.1999999999999998E-3</v>
      </c>
      <c r="H825" s="228">
        <f>YEAR(AVEU_Historical_Data__2[[#This Row],[Date]])</f>
        <v>2023</v>
      </c>
      <c r="I825" s="228">
        <f>ROUNDUP((MOD(MONTH(AVEU_Historical_Data__2[[#This Row],[Date]])+8,12)+1)/3,0)</f>
        <v>2</v>
      </c>
      <c r="J825" s="228">
        <f>MONTH(AVEU_Historical_Data__2[[#This Row],[Date]])</f>
        <v>7</v>
      </c>
      <c r="K825" s="228"/>
    </row>
    <row r="826" spans="1:11" x14ac:dyDescent="0.25">
      <c r="A826" s="227">
        <v>45135</v>
      </c>
      <c r="B826" s="228">
        <v>3713.9</v>
      </c>
      <c r="C826" s="228">
        <v>3704</v>
      </c>
      <c r="D826" s="228">
        <v>3729</v>
      </c>
      <c r="E826" s="228">
        <v>3674.05</v>
      </c>
      <c r="F826">
        <v>219190</v>
      </c>
      <c r="G826" s="228">
        <v>5.5999999999999999E-3</v>
      </c>
      <c r="H826" s="228">
        <f>YEAR(AVEU_Historical_Data__2[[#This Row],[Date]])</f>
        <v>2023</v>
      </c>
      <c r="I826" s="228">
        <f>ROUNDUP((MOD(MONTH(AVEU_Historical_Data__2[[#This Row],[Date]])+8,12)+1)/3,0)</f>
        <v>2</v>
      </c>
      <c r="J826" s="228">
        <f>MONTH(AVEU_Historical_Data__2[[#This Row],[Date]])</f>
        <v>7</v>
      </c>
      <c r="K826" s="228"/>
    </row>
    <row r="827" spans="1:11" x14ac:dyDescent="0.25">
      <c r="A827" s="227">
        <v>45138</v>
      </c>
      <c r="B827" s="228">
        <v>3752.8</v>
      </c>
      <c r="C827" s="228">
        <v>3713.05</v>
      </c>
      <c r="D827" s="228">
        <v>3764</v>
      </c>
      <c r="E827" s="228">
        <v>3703</v>
      </c>
      <c r="F827">
        <v>276800</v>
      </c>
      <c r="G827" s="228">
        <v>1.0500000000000001E-2</v>
      </c>
      <c r="H827" s="228">
        <f>YEAR(AVEU_Historical_Data__2[[#This Row],[Date]])</f>
        <v>2023</v>
      </c>
      <c r="I827" s="228">
        <f>ROUNDUP((MOD(MONTH(AVEU_Historical_Data__2[[#This Row],[Date]])+8,12)+1)/3,0)</f>
        <v>2</v>
      </c>
      <c r="J827" s="228">
        <f>MONTH(AVEU_Historical_Data__2[[#This Row],[Date]])</f>
        <v>7</v>
      </c>
      <c r="K827" s="228"/>
    </row>
    <row r="828" spans="1:11" x14ac:dyDescent="0.25">
      <c r="A828" s="227">
        <v>45139</v>
      </c>
      <c r="B828" s="228">
        <v>3740.3</v>
      </c>
      <c r="C828" s="228">
        <v>3758.95</v>
      </c>
      <c r="D828" s="228">
        <v>3768.15</v>
      </c>
      <c r="E828" s="228">
        <v>3716.2</v>
      </c>
      <c r="F828">
        <v>212460</v>
      </c>
      <c r="G828" s="228">
        <v>-3.3E-3</v>
      </c>
      <c r="H828" s="228">
        <f>YEAR(AVEU_Historical_Data__2[[#This Row],[Date]])</f>
        <v>2023</v>
      </c>
      <c r="I828" s="228">
        <f>ROUNDUP((MOD(MONTH(AVEU_Historical_Data__2[[#This Row],[Date]])+8,12)+1)/3,0)</f>
        <v>2</v>
      </c>
      <c r="J828" s="228">
        <f>MONTH(AVEU_Historical_Data__2[[#This Row],[Date]])</f>
        <v>8</v>
      </c>
      <c r="K828" s="228"/>
    </row>
    <row r="829" spans="1:11" x14ac:dyDescent="0.25">
      <c r="A829" s="227">
        <v>45140</v>
      </c>
      <c r="B829" s="228">
        <v>3713.4</v>
      </c>
      <c r="C829" s="228">
        <v>3750</v>
      </c>
      <c r="D829" s="228">
        <v>3779.9</v>
      </c>
      <c r="E829" s="228">
        <v>3690.05</v>
      </c>
      <c r="F829">
        <v>206750</v>
      </c>
      <c r="G829" s="228">
        <v>-7.1999999999999998E-3</v>
      </c>
      <c r="H829" s="228">
        <f>YEAR(AVEU_Historical_Data__2[[#This Row],[Date]])</f>
        <v>2023</v>
      </c>
      <c r="I829" s="228">
        <f>ROUNDUP((MOD(MONTH(AVEU_Historical_Data__2[[#This Row],[Date]])+8,12)+1)/3,0)</f>
        <v>2</v>
      </c>
      <c r="J829" s="228">
        <f>MONTH(AVEU_Historical_Data__2[[#This Row],[Date]])</f>
        <v>8</v>
      </c>
      <c r="K829" s="228"/>
    </row>
    <row r="830" spans="1:11" x14ac:dyDescent="0.25">
      <c r="A830" s="227">
        <v>45141</v>
      </c>
      <c r="B830" s="228">
        <v>3699.9</v>
      </c>
      <c r="C830" s="228">
        <v>3713.4</v>
      </c>
      <c r="D830" s="228">
        <v>3725</v>
      </c>
      <c r="E830" s="228">
        <v>3675</v>
      </c>
      <c r="F830">
        <v>168750</v>
      </c>
      <c r="G830" s="228">
        <v>-3.5999999999999999E-3</v>
      </c>
      <c r="H830" s="228">
        <f>YEAR(AVEU_Historical_Data__2[[#This Row],[Date]])</f>
        <v>2023</v>
      </c>
      <c r="I830" s="228">
        <f>ROUNDUP((MOD(MONTH(AVEU_Historical_Data__2[[#This Row],[Date]])+8,12)+1)/3,0)</f>
        <v>2</v>
      </c>
      <c r="J830" s="228">
        <f>MONTH(AVEU_Historical_Data__2[[#This Row],[Date]])</f>
        <v>8</v>
      </c>
      <c r="K830" s="228"/>
    </row>
    <row r="831" spans="1:11" x14ac:dyDescent="0.25">
      <c r="A831" s="227">
        <v>45142</v>
      </c>
      <c r="B831" s="228">
        <v>3652.1</v>
      </c>
      <c r="C831" s="228">
        <v>3699.9</v>
      </c>
      <c r="D831" s="228">
        <v>3700</v>
      </c>
      <c r="E831" s="228">
        <v>3640</v>
      </c>
      <c r="F831">
        <v>482850</v>
      </c>
      <c r="G831" s="228">
        <v>-1.29E-2</v>
      </c>
      <c r="H831" s="228">
        <f>YEAR(AVEU_Historical_Data__2[[#This Row],[Date]])</f>
        <v>2023</v>
      </c>
      <c r="I831" s="228">
        <f>ROUNDUP((MOD(MONTH(AVEU_Historical_Data__2[[#This Row],[Date]])+8,12)+1)/3,0)</f>
        <v>2</v>
      </c>
      <c r="J831" s="228">
        <f>MONTH(AVEU_Historical_Data__2[[#This Row],[Date]])</f>
        <v>8</v>
      </c>
      <c r="K831" s="228"/>
    </row>
    <row r="832" spans="1:11" x14ac:dyDescent="0.25">
      <c r="A832" s="227">
        <v>45145</v>
      </c>
      <c r="B832" s="228">
        <v>3640.35</v>
      </c>
      <c r="C832" s="228">
        <v>3661.9</v>
      </c>
      <c r="D832" s="228">
        <v>3671.25</v>
      </c>
      <c r="E832" s="228">
        <v>3630.05</v>
      </c>
      <c r="F832">
        <v>340840</v>
      </c>
      <c r="G832" s="228">
        <v>-3.2000000000000002E-3</v>
      </c>
      <c r="H832" s="228">
        <f>YEAR(AVEU_Historical_Data__2[[#This Row],[Date]])</f>
        <v>2023</v>
      </c>
      <c r="I832" s="228">
        <f>ROUNDUP((MOD(MONTH(AVEU_Historical_Data__2[[#This Row],[Date]])+8,12)+1)/3,0)</f>
        <v>2</v>
      </c>
      <c r="J832" s="228">
        <f>MONTH(AVEU_Historical_Data__2[[#This Row],[Date]])</f>
        <v>8</v>
      </c>
      <c r="K832" s="228"/>
    </row>
    <row r="833" spans="1:11" x14ac:dyDescent="0.25">
      <c r="A833" s="227">
        <v>45146</v>
      </c>
      <c r="B833" s="228">
        <v>3648.45</v>
      </c>
      <c r="C833" s="228">
        <v>3660</v>
      </c>
      <c r="D833" s="228">
        <v>3686.7</v>
      </c>
      <c r="E833" s="228">
        <v>3635</v>
      </c>
      <c r="F833">
        <v>269120</v>
      </c>
      <c r="G833" s="228">
        <v>2.2000000000000001E-3</v>
      </c>
      <c r="H833" s="228">
        <f>YEAR(AVEU_Historical_Data__2[[#This Row],[Date]])</f>
        <v>2023</v>
      </c>
      <c r="I833" s="228">
        <f>ROUNDUP((MOD(MONTH(AVEU_Historical_Data__2[[#This Row],[Date]])+8,12)+1)/3,0)</f>
        <v>2</v>
      </c>
      <c r="J833" s="228">
        <f>MONTH(AVEU_Historical_Data__2[[#This Row],[Date]])</f>
        <v>8</v>
      </c>
      <c r="K833" s="228"/>
    </row>
    <row r="834" spans="1:11" x14ac:dyDescent="0.25">
      <c r="A834" s="227">
        <v>45147</v>
      </c>
      <c r="B834" s="228">
        <v>3628.75</v>
      </c>
      <c r="C834" s="228">
        <v>3648.45</v>
      </c>
      <c r="D834" s="228">
        <v>3659.95</v>
      </c>
      <c r="E834" s="228">
        <v>3615.35</v>
      </c>
      <c r="F834">
        <v>257380</v>
      </c>
      <c r="G834" s="228">
        <v>-5.4000000000000003E-3</v>
      </c>
      <c r="H834" s="228">
        <f>YEAR(AVEU_Historical_Data__2[[#This Row],[Date]])</f>
        <v>2023</v>
      </c>
      <c r="I834" s="228">
        <f>ROUNDUP((MOD(MONTH(AVEU_Historical_Data__2[[#This Row],[Date]])+8,12)+1)/3,0)</f>
        <v>2</v>
      </c>
      <c r="J834" s="228">
        <f>MONTH(AVEU_Historical_Data__2[[#This Row],[Date]])</f>
        <v>8</v>
      </c>
      <c r="K834" s="228"/>
    </row>
    <row r="835" spans="1:11" x14ac:dyDescent="0.25">
      <c r="A835" s="227">
        <v>45148</v>
      </c>
      <c r="B835" s="228">
        <v>3598.2</v>
      </c>
      <c r="C835" s="228">
        <v>3633.95</v>
      </c>
      <c r="D835" s="228">
        <v>3644.95</v>
      </c>
      <c r="E835" s="228">
        <v>3587</v>
      </c>
      <c r="F835">
        <v>381560</v>
      </c>
      <c r="G835" s="228">
        <v>-8.3999999999999995E-3</v>
      </c>
      <c r="H835" s="228">
        <f>YEAR(AVEU_Historical_Data__2[[#This Row],[Date]])</f>
        <v>2023</v>
      </c>
      <c r="I835" s="228">
        <f>ROUNDUP((MOD(MONTH(AVEU_Historical_Data__2[[#This Row],[Date]])+8,12)+1)/3,0)</f>
        <v>2</v>
      </c>
      <c r="J835" s="228">
        <f>MONTH(AVEU_Historical_Data__2[[#This Row],[Date]])</f>
        <v>8</v>
      </c>
      <c r="K835" s="228"/>
    </row>
    <row r="836" spans="1:11" x14ac:dyDescent="0.25">
      <c r="A836" s="227">
        <v>45149</v>
      </c>
      <c r="B836" s="228">
        <v>3550.05</v>
      </c>
      <c r="C836" s="228">
        <v>3600</v>
      </c>
      <c r="D836" s="228">
        <v>3607.85</v>
      </c>
      <c r="E836" s="228">
        <v>3545</v>
      </c>
      <c r="F836">
        <v>740370</v>
      </c>
      <c r="G836" s="228">
        <v>-1.34E-2</v>
      </c>
      <c r="H836" s="228">
        <f>YEAR(AVEU_Historical_Data__2[[#This Row],[Date]])</f>
        <v>2023</v>
      </c>
      <c r="I836" s="228">
        <f>ROUNDUP((MOD(MONTH(AVEU_Historical_Data__2[[#This Row],[Date]])+8,12)+1)/3,0)</f>
        <v>2</v>
      </c>
      <c r="J836" s="228">
        <f>MONTH(AVEU_Historical_Data__2[[#This Row],[Date]])</f>
        <v>8</v>
      </c>
      <c r="K836" s="228"/>
    </row>
    <row r="837" spans="1:11" x14ac:dyDescent="0.25">
      <c r="A837" s="227">
        <v>45152</v>
      </c>
      <c r="B837" s="228">
        <v>3509.3</v>
      </c>
      <c r="C837" s="228">
        <v>3567.95</v>
      </c>
      <c r="D837" s="228">
        <v>3567.95</v>
      </c>
      <c r="E837" s="228">
        <v>3500</v>
      </c>
      <c r="F837">
        <v>244500</v>
      </c>
      <c r="G837" s="228">
        <v>-1.15E-2</v>
      </c>
      <c r="H837" s="228">
        <f>YEAR(AVEU_Historical_Data__2[[#This Row],[Date]])</f>
        <v>2023</v>
      </c>
      <c r="I837" s="228">
        <f>ROUNDUP((MOD(MONTH(AVEU_Historical_Data__2[[#This Row],[Date]])+8,12)+1)/3,0)</f>
        <v>2</v>
      </c>
      <c r="J837" s="228">
        <f>MONTH(AVEU_Historical_Data__2[[#This Row],[Date]])</f>
        <v>8</v>
      </c>
      <c r="K837" s="228"/>
    </row>
    <row r="838" spans="1:11" x14ac:dyDescent="0.25">
      <c r="A838" s="227">
        <v>45154</v>
      </c>
      <c r="B838" s="228">
        <v>3499.35</v>
      </c>
      <c r="C838" s="228">
        <v>3527.95</v>
      </c>
      <c r="D838" s="228">
        <v>3527.95</v>
      </c>
      <c r="E838" s="228">
        <v>3491.25</v>
      </c>
      <c r="F838">
        <v>321020</v>
      </c>
      <c r="G838" s="228">
        <v>-2.8E-3</v>
      </c>
      <c r="H838" s="228">
        <f>YEAR(AVEU_Historical_Data__2[[#This Row],[Date]])</f>
        <v>2023</v>
      </c>
      <c r="I838" s="228">
        <f>ROUNDUP((MOD(MONTH(AVEU_Historical_Data__2[[#This Row],[Date]])+8,12)+1)/3,0)</f>
        <v>2</v>
      </c>
      <c r="J838" s="228">
        <f>MONTH(AVEU_Historical_Data__2[[#This Row],[Date]])</f>
        <v>8</v>
      </c>
      <c r="K838" s="228"/>
    </row>
    <row r="839" spans="1:11" x14ac:dyDescent="0.25">
      <c r="A839" s="227">
        <v>45155</v>
      </c>
      <c r="B839" s="228">
        <v>3507.65</v>
      </c>
      <c r="C839" s="228">
        <v>3509.25</v>
      </c>
      <c r="D839" s="228">
        <v>3552</v>
      </c>
      <c r="E839" s="228">
        <v>3500</v>
      </c>
      <c r="F839">
        <v>805810</v>
      </c>
      <c r="G839" s="228">
        <v>2.3999999999999998E-3</v>
      </c>
      <c r="H839" s="228">
        <f>YEAR(AVEU_Historical_Data__2[[#This Row],[Date]])</f>
        <v>2023</v>
      </c>
      <c r="I839" s="228">
        <f>ROUNDUP((MOD(MONTH(AVEU_Historical_Data__2[[#This Row],[Date]])+8,12)+1)/3,0)</f>
        <v>2</v>
      </c>
      <c r="J839" s="228">
        <f>MONTH(AVEU_Historical_Data__2[[#This Row],[Date]])</f>
        <v>8</v>
      </c>
      <c r="K839" s="228"/>
    </row>
    <row r="840" spans="1:11" x14ac:dyDescent="0.25">
      <c r="A840" s="227">
        <v>45156</v>
      </c>
      <c r="B840" s="228">
        <v>3540.95</v>
      </c>
      <c r="C840" s="228">
        <v>3510</v>
      </c>
      <c r="D840" s="228">
        <v>3594.15</v>
      </c>
      <c r="E840" s="228">
        <v>3501</v>
      </c>
      <c r="F840">
        <v>570310</v>
      </c>
      <c r="G840" s="228">
        <v>9.4999999999999998E-3</v>
      </c>
      <c r="H840" s="228">
        <f>YEAR(AVEU_Historical_Data__2[[#This Row],[Date]])</f>
        <v>2023</v>
      </c>
      <c r="I840" s="228">
        <f>ROUNDUP((MOD(MONTH(AVEU_Historical_Data__2[[#This Row],[Date]])+8,12)+1)/3,0)</f>
        <v>2</v>
      </c>
      <c r="J840" s="228">
        <f>MONTH(AVEU_Historical_Data__2[[#This Row],[Date]])</f>
        <v>8</v>
      </c>
      <c r="K840" s="228"/>
    </row>
    <row r="841" spans="1:11" x14ac:dyDescent="0.25">
      <c r="A841" s="227">
        <v>45159</v>
      </c>
      <c r="B841" s="228">
        <v>3547.7</v>
      </c>
      <c r="C841" s="228">
        <v>3540</v>
      </c>
      <c r="D841" s="228">
        <v>3565</v>
      </c>
      <c r="E841" s="228">
        <v>3522</v>
      </c>
      <c r="F841">
        <v>319920</v>
      </c>
      <c r="G841" s="228">
        <v>1.9E-3</v>
      </c>
      <c r="H841" s="228">
        <f>YEAR(AVEU_Historical_Data__2[[#This Row],[Date]])</f>
        <v>2023</v>
      </c>
      <c r="I841" s="228">
        <f>ROUNDUP((MOD(MONTH(AVEU_Historical_Data__2[[#This Row],[Date]])+8,12)+1)/3,0)</f>
        <v>2</v>
      </c>
      <c r="J841" s="228">
        <f>MONTH(AVEU_Historical_Data__2[[#This Row],[Date]])</f>
        <v>8</v>
      </c>
      <c r="K841" s="228"/>
    </row>
    <row r="842" spans="1:11" x14ac:dyDescent="0.25">
      <c r="A842" s="227">
        <v>45160</v>
      </c>
      <c r="B842" s="228">
        <v>3568.9</v>
      </c>
      <c r="C842" s="228">
        <v>3550</v>
      </c>
      <c r="D842" s="228">
        <v>3582.95</v>
      </c>
      <c r="E842" s="228">
        <v>3530.55</v>
      </c>
      <c r="F842">
        <v>258019.99999999997</v>
      </c>
      <c r="G842" s="228">
        <v>6.0000000000000001E-3</v>
      </c>
      <c r="H842" s="228">
        <f>YEAR(AVEU_Historical_Data__2[[#This Row],[Date]])</f>
        <v>2023</v>
      </c>
      <c r="I842" s="228">
        <f>ROUNDUP((MOD(MONTH(AVEU_Historical_Data__2[[#This Row],[Date]])+8,12)+1)/3,0)</f>
        <v>2</v>
      </c>
      <c r="J842" s="228">
        <f>MONTH(AVEU_Historical_Data__2[[#This Row],[Date]])</f>
        <v>8</v>
      </c>
      <c r="K842" s="228"/>
    </row>
    <row r="843" spans="1:11" x14ac:dyDescent="0.25">
      <c r="A843" s="227">
        <v>45161</v>
      </c>
      <c r="B843" s="228">
        <v>3539.3</v>
      </c>
      <c r="C843" s="228">
        <v>3582</v>
      </c>
      <c r="D843" s="228">
        <v>3582</v>
      </c>
      <c r="E843" s="228">
        <v>3531.5</v>
      </c>
      <c r="F843">
        <v>341110</v>
      </c>
      <c r="G843" s="228">
        <v>-8.3000000000000001E-3</v>
      </c>
      <c r="H843" s="228">
        <f>YEAR(AVEU_Historical_Data__2[[#This Row],[Date]])</f>
        <v>2023</v>
      </c>
      <c r="I843" s="228">
        <f>ROUNDUP((MOD(MONTH(AVEU_Historical_Data__2[[#This Row],[Date]])+8,12)+1)/3,0)</f>
        <v>2</v>
      </c>
      <c r="J843" s="228">
        <f>MONTH(AVEU_Historical_Data__2[[#This Row],[Date]])</f>
        <v>8</v>
      </c>
      <c r="K843" s="228"/>
    </row>
    <row r="844" spans="1:11" x14ac:dyDescent="0.25">
      <c r="A844" s="227">
        <v>45162</v>
      </c>
      <c r="B844" s="228">
        <v>3561.5</v>
      </c>
      <c r="C844" s="228">
        <v>3550</v>
      </c>
      <c r="D844" s="228">
        <v>3569.95</v>
      </c>
      <c r="E844" s="228">
        <v>3545</v>
      </c>
      <c r="F844">
        <v>352850</v>
      </c>
      <c r="G844" s="228">
        <v>6.3E-3</v>
      </c>
      <c r="H844" s="228">
        <f>YEAR(AVEU_Historical_Data__2[[#This Row],[Date]])</f>
        <v>2023</v>
      </c>
      <c r="I844" s="228">
        <f>ROUNDUP((MOD(MONTH(AVEU_Historical_Data__2[[#This Row],[Date]])+8,12)+1)/3,0)</f>
        <v>2</v>
      </c>
      <c r="J844" s="228">
        <f>MONTH(AVEU_Historical_Data__2[[#This Row],[Date]])</f>
        <v>8</v>
      </c>
      <c r="K844" s="228"/>
    </row>
    <row r="845" spans="1:11" x14ac:dyDescent="0.25">
      <c r="A845" s="227">
        <v>45163</v>
      </c>
      <c r="B845" s="228">
        <v>3534.6</v>
      </c>
      <c r="C845" s="228">
        <v>3554</v>
      </c>
      <c r="D845" s="228">
        <v>3573.65</v>
      </c>
      <c r="E845" s="228">
        <v>3530.05</v>
      </c>
      <c r="F845">
        <v>254510</v>
      </c>
      <c r="G845" s="228">
        <v>-7.6E-3</v>
      </c>
      <c r="H845" s="228">
        <f>YEAR(AVEU_Historical_Data__2[[#This Row],[Date]])</f>
        <v>2023</v>
      </c>
      <c r="I845" s="228">
        <f>ROUNDUP((MOD(MONTH(AVEU_Historical_Data__2[[#This Row],[Date]])+8,12)+1)/3,0)</f>
        <v>2</v>
      </c>
      <c r="J845" s="228">
        <f>MONTH(AVEU_Historical_Data__2[[#This Row],[Date]])</f>
        <v>8</v>
      </c>
      <c r="K845" s="228"/>
    </row>
    <row r="846" spans="1:11" x14ac:dyDescent="0.25">
      <c r="A846" s="227">
        <v>45166</v>
      </c>
      <c r="B846" s="228">
        <v>3592.9</v>
      </c>
      <c r="C846" s="228">
        <v>3533</v>
      </c>
      <c r="D846" s="228">
        <v>3635.95</v>
      </c>
      <c r="E846" s="228">
        <v>3533</v>
      </c>
      <c r="F846">
        <v>619100</v>
      </c>
      <c r="G846" s="228">
        <v>1.6500000000000001E-2</v>
      </c>
      <c r="H846" s="228">
        <f>YEAR(AVEU_Historical_Data__2[[#This Row],[Date]])</f>
        <v>2023</v>
      </c>
      <c r="I846" s="228">
        <f>ROUNDUP((MOD(MONTH(AVEU_Historical_Data__2[[#This Row],[Date]])+8,12)+1)/3,0)</f>
        <v>2</v>
      </c>
      <c r="J846" s="228">
        <f>MONTH(AVEU_Historical_Data__2[[#This Row],[Date]])</f>
        <v>8</v>
      </c>
      <c r="K846" s="228"/>
    </row>
    <row r="847" spans="1:11" x14ac:dyDescent="0.25">
      <c r="A847" s="227">
        <v>45167</v>
      </c>
      <c r="B847" s="228">
        <v>3664.35</v>
      </c>
      <c r="C847" s="228">
        <v>3632</v>
      </c>
      <c r="D847" s="228">
        <v>3675</v>
      </c>
      <c r="E847" s="228">
        <v>3615</v>
      </c>
      <c r="F847">
        <v>615530</v>
      </c>
      <c r="G847" s="228">
        <v>1.9900000000000001E-2</v>
      </c>
      <c r="H847" s="228">
        <f>YEAR(AVEU_Historical_Data__2[[#This Row],[Date]])</f>
        <v>2023</v>
      </c>
      <c r="I847" s="228">
        <f>ROUNDUP((MOD(MONTH(AVEU_Historical_Data__2[[#This Row],[Date]])+8,12)+1)/3,0)</f>
        <v>2</v>
      </c>
      <c r="J847" s="228">
        <f>MONTH(AVEU_Historical_Data__2[[#This Row],[Date]])</f>
        <v>8</v>
      </c>
      <c r="K847" s="228"/>
    </row>
    <row r="848" spans="1:11" x14ac:dyDescent="0.25">
      <c r="A848" s="227">
        <v>45168</v>
      </c>
      <c r="B848" s="228">
        <v>3736.3</v>
      </c>
      <c r="C848" s="228">
        <v>3693.95</v>
      </c>
      <c r="D848" s="228">
        <v>3742.75</v>
      </c>
      <c r="E848" s="228">
        <v>3684.55</v>
      </c>
      <c r="F848">
        <v>440060</v>
      </c>
      <c r="G848" s="228">
        <v>1.9599999999999999E-2</v>
      </c>
      <c r="H848" s="228">
        <f>YEAR(AVEU_Historical_Data__2[[#This Row],[Date]])</f>
        <v>2023</v>
      </c>
      <c r="I848" s="228">
        <f>ROUNDUP((MOD(MONTH(AVEU_Historical_Data__2[[#This Row],[Date]])+8,12)+1)/3,0)</f>
        <v>2</v>
      </c>
      <c r="J848" s="228">
        <f>MONTH(AVEU_Historical_Data__2[[#This Row],[Date]])</f>
        <v>8</v>
      </c>
      <c r="K848" s="228"/>
    </row>
    <row r="849" spans="1:11" x14ac:dyDescent="0.25">
      <c r="A849" s="227">
        <v>45169</v>
      </c>
      <c r="B849" s="228">
        <v>3720.4</v>
      </c>
      <c r="C849" s="228">
        <v>3736.3</v>
      </c>
      <c r="D849" s="228">
        <v>3750</v>
      </c>
      <c r="E849" s="228">
        <v>3680.1</v>
      </c>
      <c r="F849">
        <v>672800</v>
      </c>
      <c r="G849" s="228">
        <v>-4.3E-3</v>
      </c>
      <c r="H849" s="228">
        <f>YEAR(AVEU_Historical_Data__2[[#This Row],[Date]])</f>
        <v>2023</v>
      </c>
      <c r="I849" s="228">
        <f>ROUNDUP((MOD(MONTH(AVEU_Historical_Data__2[[#This Row],[Date]])+8,12)+1)/3,0)</f>
        <v>2</v>
      </c>
      <c r="J849" s="228">
        <f>MONTH(AVEU_Historical_Data__2[[#This Row],[Date]])</f>
        <v>8</v>
      </c>
      <c r="K849" s="228"/>
    </row>
    <row r="850" spans="1:11" x14ac:dyDescent="0.25">
      <c r="A850" s="227">
        <v>45170</v>
      </c>
      <c r="B850" s="228">
        <v>3761.05</v>
      </c>
      <c r="C850" s="228">
        <v>3730</v>
      </c>
      <c r="D850" s="228">
        <v>3765</v>
      </c>
      <c r="E850" s="228">
        <v>3716</v>
      </c>
      <c r="F850">
        <v>361000</v>
      </c>
      <c r="G850" s="228">
        <v>1.09E-2</v>
      </c>
      <c r="H850" s="228">
        <f>YEAR(AVEU_Historical_Data__2[[#This Row],[Date]])</f>
        <v>2023</v>
      </c>
      <c r="I850" s="228">
        <f>ROUNDUP((MOD(MONTH(AVEU_Historical_Data__2[[#This Row],[Date]])+8,12)+1)/3,0)</f>
        <v>2</v>
      </c>
      <c r="J850" s="228">
        <f>MONTH(AVEU_Historical_Data__2[[#This Row],[Date]])</f>
        <v>9</v>
      </c>
      <c r="K850" s="228"/>
    </row>
    <row r="851" spans="1:11" x14ac:dyDescent="0.25">
      <c r="A851" s="227">
        <v>45173</v>
      </c>
      <c r="B851" s="228">
        <v>3755.75</v>
      </c>
      <c r="C851" s="228">
        <v>3771.95</v>
      </c>
      <c r="D851" s="228">
        <v>3781.95</v>
      </c>
      <c r="E851" s="228">
        <v>3739.1</v>
      </c>
      <c r="F851">
        <v>145380</v>
      </c>
      <c r="G851" s="228">
        <v>-1.4E-3</v>
      </c>
      <c r="H851" s="228">
        <f>YEAR(AVEU_Historical_Data__2[[#This Row],[Date]])</f>
        <v>2023</v>
      </c>
      <c r="I851" s="228">
        <f>ROUNDUP((MOD(MONTH(AVEU_Historical_Data__2[[#This Row],[Date]])+8,12)+1)/3,0)</f>
        <v>2</v>
      </c>
      <c r="J851" s="228">
        <f>MONTH(AVEU_Historical_Data__2[[#This Row],[Date]])</f>
        <v>9</v>
      </c>
      <c r="K851" s="228"/>
    </row>
    <row r="852" spans="1:11" x14ac:dyDescent="0.25">
      <c r="A852" s="227">
        <v>45174</v>
      </c>
      <c r="B852" s="228">
        <v>3776.9</v>
      </c>
      <c r="C852" s="228">
        <v>3759.95</v>
      </c>
      <c r="D852" s="228">
        <v>3794.95</v>
      </c>
      <c r="E852" s="228">
        <v>3727.7</v>
      </c>
      <c r="F852">
        <v>232850</v>
      </c>
      <c r="G852" s="228">
        <v>5.5999999999999999E-3</v>
      </c>
      <c r="H852" s="228">
        <f>YEAR(AVEU_Historical_Data__2[[#This Row],[Date]])</f>
        <v>2023</v>
      </c>
      <c r="I852" s="228">
        <f>ROUNDUP((MOD(MONTH(AVEU_Historical_Data__2[[#This Row],[Date]])+8,12)+1)/3,0)</f>
        <v>2</v>
      </c>
      <c r="J852" s="228">
        <f>MONTH(AVEU_Historical_Data__2[[#This Row],[Date]])</f>
        <v>9</v>
      </c>
      <c r="K852" s="228"/>
    </row>
    <row r="853" spans="1:11" x14ac:dyDescent="0.25">
      <c r="A853" s="227">
        <v>45175</v>
      </c>
      <c r="B853" s="228">
        <v>3796.8</v>
      </c>
      <c r="C853" s="228">
        <v>3777</v>
      </c>
      <c r="D853" s="228">
        <v>3810.2</v>
      </c>
      <c r="E853" s="228">
        <v>3760.5</v>
      </c>
      <c r="F853">
        <v>224920</v>
      </c>
      <c r="G853" s="228">
        <v>5.3E-3</v>
      </c>
      <c r="H853" s="228">
        <f>YEAR(AVEU_Historical_Data__2[[#This Row],[Date]])</f>
        <v>2023</v>
      </c>
      <c r="I853" s="228">
        <f>ROUNDUP((MOD(MONTH(AVEU_Historical_Data__2[[#This Row],[Date]])+8,12)+1)/3,0)</f>
        <v>2</v>
      </c>
      <c r="J853" s="228">
        <f>MONTH(AVEU_Historical_Data__2[[#This Row],[Date]])</f>
        <v>9</v>
      </c>
      <c r="K853" s="228"/>
    </row>
    <row r="854" spans="1:11" x14ac:dyDescent="0.25">
      <c r="A854" s="227">
        <v>45176</v>
      </c>
      <c r="B854" s="228">
        <v>3785.1</v>
      </c>
      <c r="C854" s="228">
        <v>3815</v>
      </c>
      <c r="D854" s="228">
        <v>3856.8</v>
      </c>
      <c r="E854" s="228">
        <v>3770</v>
      </c>
      <c r="F854">
        <v>443560</v>
      </c>
      <c r="G854" s="228">
        <v>-3.0999999999999999E-3</v>
      </c>
      <c r="H854" s="228">
        <f>YEAR(AVEU_Historical_Data__2[[#This Row],[Date]])</f>
        <v>2023</v>
      </c>
      <c r="I854" s="228">
        <f>ROUNDUP((MOD(MONTH(AVEU_Historical_Data__2[[#This Row],[Date]])+8,12)+1)/3,0)</f>
        <v>2</v>
      </c>
      <c r="J854" s="228">
        <f>MONTH(AVEU_Historical_Data__2[[#This Row],[Date]])</f>
        <v>9</v>
      </c>
      <c r="K854" s="228"/>
    </row>
    <row r="855" spans="1:11" x14ac:dyDescent="0.25">
      <c r="A855" s="227">
        <v>45177</v>
      </c>
      <c r="B855" s="228">
        <v>3782.4</v>
      </c>
      <c r="C855" s="228">
        <v>3820</v>
      </c>
      <c r="D855" s="228">
        <v>3825</v>
      </c>
      <c r="E855" s="228">
        <v>3776</v>
      </c>
      <c r="F855">
        <v>155200</v>
      </c>
      <c r="G855" s="228">
        <v>-6.9999999999999999E-4</v>
      </c>
      <c r="H855" s="228">
        <f>YEAR(AVEU_Historical_Data__2[[#This Row],[Date]])</f>
        <v>2023</v>
      </c>
      <c r="I855" s="228">
        <f>ROUNDUP((MOD(MONTH(AVEU_Historical_Data__2[[#This Row],[Date]])+8,12)+1)/3,0)</f>
        <v>2</v>
      </c>
      <c r="J855" s="228">
        <f>MONTH(AVEU_Historical_Data__2[[#This Row],[Date]])</f>
        <v>9</v>
      </c>
      <c r="K855" s="228"/>
    </row>
    <row r="856" spans="1:11" x14ac:dyDescent="0.25">
      <c r="A856" s="227">
        <v>45180</v>
      </c>
      <c r="B856" s="228">
        <v>3810.75</v>
      </c>
      <c r="C856" s="228">
        <v>3791.7</v>
      </c>
      <c r="D856" s="228">
        <v>3815</v>
      </c>
      <c r="E856" s="228">
        <v>3772.4</v>
      </c>
      <c r="F856">
        <v>170280</v>
      </c>
      <c r="G856" s="228">
        <v>7.4999999999999997E-3</v>
      </c>
      <c r="H856" s="228">
        <f>YEAR(AVEU_Historical_Data__2[[#This Row],[Date]])</f>
        <v>2023</v>
      </c>
      <c r="I856" s="228">
        <f>ROUNDUP((MOD(MONTH(AVEU_Historical_Data__2[[#This Row],[Date]])+8,12)+1)/3,0)</f>
        <v>2</v>
      </c>
      <c r="J856" s="228">
        <f>MONTH(AVEU_Historical_Data__2[[#This Row],[Date]])</f>
        <v>9</v>
      </c>
      <c r="K856" s="228"/>
    </row>
    <row r="857" spans="1:11" x14ac:dyDescent="0.25">
      <c r="A857" s="227">
        <v>45181</v>
      </c>
      <c r="B857" s="228">
        <v>3753.25</v>
      </c>
      <c r="C857" s="228">
        <v>3836</v>
      </c>
      <c r="D857" s="228">
        <v>3847</v>
      </c>
      <c r="E857" s="228">
        <v>3740.05</v>
      </c>
      <c r="F857">
        <v>289750</v>
      </c>
      <c r="G857" s="228">
        <v>-1.5100000000000001E-2</v>
      </c>
      <c r="H857" s="228">
        <f>YEAR(AVEU_Historical_Data__2[[#This Row],[Date]])</f>
        <v>2023</v>
      </c>
      <c r="I857" s="228">
        <f>ROUNDUP((MOD(MONTH(AVEU_Historical_Data__2[[#This Row],[Date]])+8,12)+1)/3,0)</f>
        <v>2</v>
      </c>
      <c r="J857" s="228">
        <f>MONTH(AVEU_Historical_Data__2[[#This Row],[Date]])</f>
        <v>9</v>
      </c>
      <c r="K857" s="228"/>
    </row>
    <row r="858" spans="1:11" x14ac:dyDescent="0.25">
      <c r="A858" s="227">
        <v>45182</v>
      </c>
      <c r="B858" s="228">
        <v>3813.7</v>
      </c>
      <c r="C858" s="228">
        <v>3760.95</v>
      </c>
      <c r="D858" s="228">
        <v>3823.95</v>
      </c>
      <c r="E858" s="228">
        <v>3731.2</v>
      </c>
      <c r="F858">
        <v>282450</v>
      </c>
      <c r="G858" s="228">
        <v>1.61E-2</v>
      </c>
      <c r="H858" s="228">
        <f>YEAR(AVEU_Historical_Data__2[[#This Row],[Date]])</f>
        <v>2023</v>
      </c>
      <c r="I858" s="228">
        <f>ROUNDUP((MOD(MONTH(AVEU_Historical_Data__2[[#This Row],[Date]])+8,12)+1)/3,0)</f>
        <v>2</v>
      </c>
      <c r="J858" s="228">
        <f>MONTH(AVEU_Historical_Data__2[[#This Row],[Date]])</f>
        <v>9</v>
      </c>
      <c r="K858" s="228"/>
    </row>
    <row r="859" spans="1:11" x14ac:dyDescent="0.25">
      <c r="A859" s="227">
        <v>45183</v>
      </c>
      <c r="B859" s="228">
        <v>3808.05</v>
      </c>
      <c r="C859" s="228">
        <v>3845</v>
      </c>
      <c r="D859" s="228">
        <v>3850</v>
      </c>
      <c r="E859" s="228">
        <v>3775</v>
      </c>
      <c r="F859">
        <v>281680</v>
      </c>
      <c r="G859" s="228">
        <v>-1.5E-3</v>
      </c>
      <c r="H859" s="228">
        <f>YEAR(AVEU_Historical_Data__2[[#This Row],[Date]])</f>
        <v>2023</v>
      </c>
      <c r="I859" s="228">
        <f>ROUNDUP((MOD(MONTH(AVEU_Historical_Data__2[[#This Row],[Date]])+8,12)+1)/3,0)</f>
        <v>2</v>
      </c>
      <c r="J859" s="228">
        <f>MONTH(AVEU_Historical_Data__2[[#This Row],[Date]])</f>
        <v>9</v>
      </c>
      <c r="K859" s="228"/>
    </row>
    <row r="860" spans="1:11" x14ac:dyDescent="0.25">
      <c r="A860" s="227">
        <v>45184</v>
      </c>
      <c r="B860" s="228">
        <v>3796</v>
      </c>
      <c r="C860" s="228">
        <v>3819.85</v>
      </c>
      <c r="D860" s="228">
        <v>3820</v>
      </c>
      <c r="E860" s="228">
        <v>3770</v>
      </c>
      <c r="F860">
        <v>252020</v>
      </c>
      <c r="G860" s="228">
        <v>-3.2000000000000002E-3</v>
      </c>
      <c r="H860" s="228">
        <f>YEAR(AVEU_Historical_Data__2[[#This Row],[Date]])</f>
        <v>2023</v>
      </c>
      <c r="I860" s="228">
        <f>ROUNDUP((MOD(MONTH(AVEU_Historical_Data__2[[#This Row],[Date]])+8,12)+1)/3,0)</f>
        <v>2</v>
      </c>
      <c r="J860" s="228">
        <f>MONTH(AVEU_Historical_Data__2[[#This Row],[Date]])</f>
        <v>9</v>
      </c>
      <c r="K860" s="228"/>
    </row>
    <row r="861" spans="1:11" x14ac:dyDescent="0.25">
      <c r="A861" s="227">
        <v>45187</v>
      </c>
      <c r="B861" s="228">
        <v>3797.9</v>
      </c>
      <c r="C861" s="228">
        <v>3795.8</v>
      </c>
      <c r="D861" s="228">
        <v>3810</v>
      </c>
      <c r="E861" s="228">
        <v>3771.25</v>
      </c>
      <c r="F861">
        <v>114210</v>
      </c>
      <c r="G861" s="228">
        <v>5.0000000000000001E-4</v>
      </c>
      <c r="H861" s="228">
        <f>YEAR(AVEU_Historical_Data__2[[#This Row],[Date]])</f>
        <v>2023</v>
      </c>
      <c r="I861" s="228">
        <f>ROUNDUP((MOD(MONTH(AVEU_Historical_Data__2[[#This Row],[Date]])+8,12)+1)/3,0)</f>
        <v>2</v>
      </c>
      <c r="J861" s="228">
        <f>MONTH(AVEU_Historical_Data__2[[#This Row],[Date]])</f>
        <v>9</v>
      </c>
      <c r="K861" s="228"/>
    </row>
    <row r="862" spans="1:11" x14ac:dyDescent="0.25">
      <c r="A862" s="227">
        <v>45189</v>
      </c>
      <c r="B862" s="228">
        <v>3729.4</v>
      </c>
      <c r="C862" s="228">
        <v>3789.95</v>
      </c>
      <c r="D862" s="228">
        <v>3789.95</v>
      </c>
      <c r="E862" s="228">
        <v>3715.5</v>
      </c>
      <c r="F862">
        <v>182670</v>
      </c>
      <c r="G862" s="228">
        <v>-1.7999999999999999E-2</v>
      </c>
      <c r="H862" s="228">
        <f>YEAR(AVEU_Historical_Data__2[[#This Row],[Date]])</f>
        <v>2023</v>
      </c>
      <c r="I862" s="228">
        <f>ROUNDUP((MOD(MONTH(AVEU_Historical_Data__2[[#This Row],[Date]])+8,12)+1)/3,0)</f>
        <v>2</v>
      </c>
      <c r="J862" s="228">
        <f>MONTH(AVEU_Historical_Data__2[[#This Row],[Date]])</f>
        <v>9</v>
      </c>
      <c r="K862" s="228"/>
    </row>
    <row r="863" spans="1:11" x14ac:dyDescent="0.25">
      <c r="A863" s="227">
        <v>45190</v>
      </c>
      <c r="B863" s="228">
        <v>3686.95</v>
      </c>
      <c r="C863" s="228">
        <v>3747</v>
      </c>
      <c r="D863" s="228">
        <v>3775</v>
      </c>
      <c r="E863" s="228">
        <v>3679</v>
      </c>
      <c r="F863">
        <v>191010</v>
      </c>
      <c r="G863" s="228">
        <v>-1.14E-2</v>
      </c>
      <c r="H863" s="228">
        <f>YEAR(AVEU_Historical_Data__2[[#This Row],[Date]])</f>
        <v>2023</v>
      </c>
      <c r="I863" s="228">
        <f>ROUNDUP((MOD(MONTH(AVEU_Historical_Data__2[[#This Row],[Date]])+8,12)+1)/3,0)</f>
        <v>2</v>
      </c>
      <c r="J863" s="228">
        <f>MONTH(AVEU_Historical_Data__2[[#This Row],[Date]])</f>
        <v>9</v>
      </c>
      <c r="K863" s="228"/>
    </row>
    <row r="864" spans="1:11" x14ac:dyDescent="0.25">
      <c r="A864" s="227">
        <v>45191</v>
      </c>
      <c r="B864" s="228">
        <v>3689.1</v>
      </c>
      <c r="C864" s="228">
        <v>3687</v>
      </c>
      <c r="D864" s="228">
        <v>3717.55</v>
      </c>
      <c r="E864" s="228">
        <v>3653.95</v>
      </c>
      <c r="F864">
        <v>148100</v>
      </c>
      <c r="G864" s="228">
        <v>5.9999999999999995E-4</v>
      </c>
      <c r="H864" s="228">
        <f>YEAR(AVEU_Historical_Data__2[[#This Row],[Date]])</f>
        <v>2023</v>
      </c>
      <c r="I864" s="228">
        <f>ROUNDUP((MOD(MONTH(AVEU_Historical_Data__2[[#This Row],[Date]])+8,12)+1)/3,0)</f>
        <v>2</v>
      </c>
      <c r="J864" s="228">
        <f>MONTH(AVEU_Historical_Data__2[[#This Row],[Date]])</f>
        <v>9</v>
      </c>
      <c r="K864" s="228"/>
    </row>
    <row r="865" spans="1:11" x14ac:dyDescent="0.25">
      <c r="A865" s="227">
        <v>45194</v>
      </c>
      <c r="B865" s="228">
        <v>3664.1</v>
      </c>
      <c r="C865" s="228">
        <v>3700</v>
      </c>
      <c r="D865" s="228">
        <v>3702.95</v>
      </c>
      <c r="E865" s="228">
        <v>3656.2</v>
      </c>
      <c r="F865">
        <v>112470</v>
      </c>
      <c r="G865" s="228">
        <v>-6.7999999999999996E-3</v>
      </c>
      <c r="H865" s="228">
        <f>YEAR(AVEU_Historical_Data__2[[#This Row],[Date]])</f>
        <v>2023</v>
      </c>
      <c r="I865" s="228">
        <f>ROUNDUP((MOD(MONTH(AVEU_Historical_Data__2[[#This Row],[Date]])+8,12)+1)/3,0)</f>
        <v>2</v>
      </c>
      <c r="J865" s="228">
        <f>MONTH(AVEU_Historical_Data__2[[#This Row],[Date]])</f>
        <v>9</v>
      </c>
      <c r="K865" s="228"/>
    </row>
    <row r="866" spans="1:11" x14ac:dyDescent="0.25">
      <c r="A866" s="227">
        <v>45195</v>
      </c>
      <c r="B866" s="228">
        <v>3633.6</v>
      </c>
      <c r="C866" s="228">
        <v>3664.1</v>
      </c>
      <c r="D866" s="228">
        <v>3680.95</v>
      </c>
      <c r="E866" s="228">
        <v>3625</v>
      </c>
      <c r="F866">
        <v>170690</v>
      </c>
      <c r="G866" s="228">
        <v>-8.3000000000000001E-3</v>
      </c>
      <c r="H866" s="228">
        <f>YEAR(AVEU_Historical_Data__2[[#This Row],[Date]])</f>
        <v>2023</v>
      </c>
      <c r="I866" s="228">
        <f>ROUNDUP((MOD(MONTH(AVEU_Historical_Data__2[[#This Row],[Date]])+8,12)+1)/3,0)</f>
        <v>2</v>
      </c>
      <c r="J866" s="228">
        <f>MONTH(AVEU_Historical_Data__2[[#This Row],[Date]])</f>
        <v>9</v>
      </c>
      <c r="K866" s="228"/>
    </row>
    <row r="867" spans="1:11" x14ac:dyDescent="0.25">
      <c r="A867" s="227">
        <v>45196</v>
      </c>
      <c r="B867" s="228">
        <v>3640.7</v>
      </c>
      <c r="C867" s="228">
        <v>3650</v>
      </c>
      <c r="D867" s="228">
        <v>3669</v>
      </c>
      <c r="E867" s="228">
        <v>3625</v>
      </c>
      <c r="F867">
        <v>427210</v>
      </c>
      <c r="G867" s="228">
        <v>2E-3</v>
      </c>
      <c r="H867" s="228">
        <f>YEAR(AVEU_Historical_Data__2[[#This Row],[Date]])</f>
        <v>2023</v>
      </c>
      <c r="I867" s="228">
        <f>ROUNDUP((MOD(MONTH(AVEU_Historical_Data__2[[#This Row],[Date]])+8,12)+1)/3,0)</f>
        <v>2</v>
      </c>
      <c r="J867" s="228">
        <f>MONTH(AVEU_Historical_Data__2[[#This Row],[Date]])</f>
        <v>9</v>
      </c>
      <c r="K867" s="228"/>
    </row>
    <row r="868" spans="1:11" x14ac:dyDescent="0.25">
      <c r="A868" s="227">
        <v>45197</v>
      </c>
      <c r="B868" s="228">
        <v>3671.05</v>
      </c>
      <c r="C868" s="228">
        <v>3692</v>
      </c>
      <c r="D868" s="228">
        <v>3692</v>
      </c>
      <c r="E868" s="228">
        <v>3651</v>
      </c>
      <c r="F868">
        <v>451170</v>
      </c>
      <c r="G868" s="228">
        <v>8.3000000000000001E-3</v>
      </c>
      <c r="H868" s="228">
        <f>YEAR(AVEU_Historical_Data__2[[#This Row],[Date]])</f>
        <v>2023</v>
      </c>
      <c r="I868" s="228">
        <f>ROUNDUP((MOD(MONTH(AVEU_Historical_Data__2[[#This Row],[Date]])+8,12)+1)/3,0)</f>
        <v>2</v>
      </c>
      <c r="J868" s="228">
        <f>MONTH(AVEU_Historical_Data__2[[#This Row],[Date]])</f>
        <v>9</v>
      </c>
      <c r="K868" s="228"/>
    </row>
    <row r="869" spans="1:11" x14ac:dyDescent="0.25">
      <c r="A869" s="227">
        <v>45198</v>
      </c>
      <c r="B869" s="228">
        <v>3675.6</v>
      </c>
      <c r="C869" s="228">
        <v>3671.05</v>
      </c>
      <c r="D869" s="228">
        <v>3698</v>
      </c>
      <c r="E869" s="228">
        <v>3651.3</v>
      </c>
      <c r="F869">
        <v>321460</v>
      </c>
      <c r="G869" s="228">
        <v>1.1999999999999999E-3</v>
      </c>
      <c r="H869" s="228">
        <f>YEAR(AVEU_Historical_Data__2[[#This Row],[Date]])</f>
        <v>2023</v>
      </c>
      <c r="I869" s="228">
        <f>ROUNDUP((MOD(MONTH(AVEU_Historical_Data__2[[#This Row],[Date]])+8,12)+1)/3,0)</f>
        <v>2</v>
      </c>
      <c r="J869" s="228">
        <f>MONTH(AVEU_Historical_Data__2[[#This Row],[Date]])</f>
        <v>9</v>
      </c>
      <c r="K869" s="228"/>
    </row>
    <row r="870" spans="1:11" x14ac:dyDescent="0.25">
      <c r="A870" s="227">
        <v>45202</v>
      </c>
      <c r="B870" s="228">
        <v>3725.7</v>
      </c>
      <c r="C870" s="228">
        <v>3675.4</v>
      </c>
      <c r="D870" s="228">
        <v>3740.25</v>
      </c>
      <c r="E870" s="228">
        <v>3616</v>
      </c>
      <c r="F870">
        <v>235050</v>
      </c>
      <c r="G870" s="228">
        <v>1.3599999999999999E-2</v>
      </c>
      <c r="H870" s="228">
        <f>YEAR(AVEU_Historical_Data__2[[#This Row],[Date]])</f>
        <v>2023</v>
      </c>
      <c r="I870" s="228">
        <f>ROUNDUP((MOD(MONTH(AVEU_Historical_Data__2[[#This Row],[Date]])+8,12)+1)/3,0)</f>
        <v>3</v>
      </c>
      <c r="J870" s="228">
        <f>MONTH(AVEU_Historical_Data__2[[#This Row],[Date]])</f>
        <v>10</v>
      </c>
      <c r="K870" s="228"/>
    </row>
    <row r="871" spans="1:11" x14ac:dyDescent="0.25">
      <c r="A871" s="227">
        <v>45203</v>
      </c>
      <c r="B871" s="228">
        <v>3872.95</v>
      </c>
      <c r="C871" s="228">
        <v>3760</v>
      </c>
      <c r="D871" s="228">
        <v>3909.95</v>
      </c>
      <c r="E871" s="228">
        <v>3760</v>
      </c>
      <c r="F871">
        <v>1740000</v>
      </c>
      <c r="G871" s="228">
        <v>3.95E-2</v>
      </c>
      <c r="H871" s="228">
        <f>YEAR(AVEU_Historical_Data__2[[#This Row],[Date]])</f>
        <v>2023</v>
      </c>
      <c r="I871" s="228">
        <f>ROUNDUP((MOD(MONTH(AVEU_Historical_Data__2[[#This Row],[Date]])+8,12)+1)/3,0)</f>
        <v>3</v>
      </c>
      <c r="J871" s="228">
        <f>MONTH(AVEU_Historical_Data__2[[#This Row],[Date]])</f>
        <v>10</v>
      </c>
      <c r="K871" s="228"/>
    </row>
    <row r="872" spans="1:11" x14ac:dyDescent="0.25">
      <c r="A872" s="227">
        <v>45204</v>
      </c>
      <c r="B872" s="228">
        <v>3861.5</v>
      </c>
      <c r="C872" s="228">
        <v>3880</v>
      </c>
      <c r="D872" s="228">
        <v>3938.4</v>
      </c>
      <c r="E872" s="228">
        <v>3842.05</v>
      </c>
      <c r="F872">
        <v>607630</v>
      </c>
      <c r="G872" s="228">
        <v>-3.0000000000000001E-3</v>
      </c>
      <c r="H872" s="228">
        <f>YEAR(AVEU_Historical_Data__2[[#This Row],[Date]])</f>
        <v>2023</v>
      </c>
      <c r="I872" s="228">
        <f>ROUNDUP((MOD(MONTH(AVEU_Historical_Data__2[[#This Row],[Date]])+8,12)+1)/3,0)</f>
        <v>3</v>
      </c>
      <c r="J872" s="228">
        <f>MONTH(AVEU_Historical_Data__2[[#This Row],[Date]])</f>
        <v>10</v>
      </c>
      <c r="K872" s="228"/>
    </row>
    <row r="873" spans="1:11" x14ac:dyDescent="0.25">
      <c r="A873" s="227">
        <v>45205</v>
      </c>
      <c r="B873" s="228">
        <v>3833.95</v>
      </c>
      <c r="C873" s="228">
        <v>3860</v>
      </c>
      <c r="D873" s="228">
        <v>3890.8</v>
      </c>
      <c r="E873" s="228">
        <v>3786.75</v>
      </c>
      <c r="F873">
        <v>345060</v>
      </c>
      <c r="G873" s="228">
        <v>-7.1000000000000004E-3</v>
      </c>
      <c r="H873" s="228">
        <f>YEAR(AVEU_Historical_Data__2[[#This Row],[Date]])</f>
        <v>2023</v>
      </c>
      <c r="I873" s="228">
        <f>ROUNDUP((MOD(MONTH(AVEU_Historical_Data__2[[#This Row],[Date]])+8,12)+1)/3,0)</f>
        <v>3</v>
      </c>
      <c r="J873" s="228">
        <f>MONTH(AVEU_Historical_Data__2[[#This Row],[Date]])</f>
        <v>10</v>
      </c>
      <c r="K873" s="228"/>
    </row>
    <row r="874" spans="1:11" x14ac:dyDescent="0.25">
      <c r="A874" s="227">
        <v>45208</v>
      </c>
      <c r="B874" s="228">
        <v>3798.6</v>
      </c>
      <c r="C874" s="228">
        <v>3809.6</v>
      </c>
      <c r="D874" s="228">
        <v>3818</v>
      </c>
      <c r="E874" s="228">
        <v>3771</v>
      </c>
      <c r="F874">
        <v>278930</v>
      </c>
      <c r="G874" s="228">
        <v>-9.1999999999999998E-3</v>
      </c>
      <c r="H874" s="228">
        <f>YEAR(AVEU_Historical_Data__2[[#This Row],[Date]])</f>
        <v>2023</v>
      </c>
      <c r="I874" s="228">
        <f>ROUNDUP((MOD(MONTH(AVEU_Historical_Data__2[[#This Row],[Date]])+8,12)+1)/3,0)</f>
        <v>3</v>
      </c>
      <c r="J874" s="228">
        <f>MONTH(AVEU_Historical_Data__2[[#This Row],[Date]])</f>
        <v>10</v>
      </c>
      <c r="K874" s="228"/>
    </row>
    <row r="875" spans="1:11" x14ac:dyDescent="0.25">
      <c r="A875" s="227">
        <v>45209</v>
      </c>
      <c r="B875" s="228">
        <v>3793.8</v>
      </c>
      <c r="C875" s="228">
        <v>3809.95</v>
      </c>
      <c r="D875" s="228">
        <v>3829.85</v>
      </c>
      <c r="E875" s="228">
        <v>3775.55</v>
      </c>
      <c r="F875">
        <v>284840</v>
      </c>
      <c r="G875" s="228">
        <v>-1.2999999999999999E-3</v>
      </c>
      <c r="H875" s="228">
        <f>YEAR(AVEU_Historical_Data__2[[#This Row],[Date]])</f>
        <v>2023</v>
      </c>
      <c r="I875" s="228">
        <f>ROUNDUP((MOD(MONTH(AVEU_Historical_Data__2[[#This Row],[Date]])+8,12)+1)/3,0)</f>
        <v>3</v>
      </c>
      <c r="J875" s="228">
        <f>MONTH(AVEU_Historical_Data__2[[#This Row],[Date]])</f>
        <v>10</v>
      </c>
      <c r="K875" s="228"/>
    </row>
    <row r="876" spans="1:11" x14ac:dyDescent="0.25">
      <c r="A876" s="227">
        <v>45210</v>
      </c>
      <c r="B876" s="228">
        <v>3852.05</v>
      </c>
      <c r="C876" s="228">
        <v>3812.5</v>
      </c>
      <c r="D876" s="228">
        <v>3889</v>
      </c>
      <c r="E876" s="228">
        <v>3804.3</v>
      </c>
      <c r="F876">
        <v>304830</v>
      </c>
      <c r="G876" s="228">
        <v>1.54E-2</v>
      </c>
      <c r="H876" s="228">
        <f>YEAR(AVEU_Historical_Data__2[[#This Row],[Date]])</f>
        <v>2023</v>
      </c>
      <c r="I876" s="228">
        <f>ROUNDUP((MOD(MONTH(AVEU_Historical_Data__2[[#This Row],[Date]])+8,12)+1)/3,0)</f>
        <v>3</v>
      </c>
      <c r="J876" s="228">
        <f>MONTH(AVEU_Historical_Data__2[[#This Row],[Date]])</f>
        <v>10</v>
      </c>
      <c r="K876" s="228"/>
    </row>
    <row r="877" spans="1:11" x14ac:dyDescent="0.25">
      <c r="A877" s="227">
        <v>45211</v>
      </c>
      <c r="B877" s="228">
        <v>3862.75</v>
      </c>
      <c r="C877" s="228">
        <v>3874.8</v>
      </c>
      <c r="D877" s="228">
        <v>3890</v>
      </c>
      <c r="E877" s="228">
        <v>3820.3</v>
      </c>
      <c r="F877">
        <v>226260</v>
      </c>
      <c r="G877" s="228">
        <v>2.8E-3</v>
      </c>
      <c r="H877" s="228">
        <f>YEAR(AVEU_Historical_Data__2[[#This Row],[Date]])</f>
        <v>2023</v>
      </c>
      <c r="I877" s="228">
        <f>ROUNDUP((MOD(MONTH(AVEU_Historical_Data__2[[#This Row],[Date]])+8,12)+1)/3,0)</f>
        <v>3</v>
      </c>
      <c r="J877" s="228">
        <f>MONTH(AVEU_Historical_Data__2[[#This Row],[Date]])</f>
        <v>10</v>
      </c>
      <c r="K877" s="228"/>
    </row>
    <row r="878" spans="1:11" x14ac:dyDescent="0.25">
      <c r="A878" s="227">
        <v>45212</v>
      </c>
      <c r="B878" s="228">
        <v>3935.85</v>
      </c>
      <c r="C878" s="228">
        <v>3853.95</v>
      </c>
      <c r="D878" s="228">
        <v>3941</v>
      </c>
      <c r="E878" s="228">
        <v>3836.05</v>
      </c>
      <c r="F878">
        <v>554570</v>
      </c>
      <c r="G878" s="228">
        <v>1.89E-2</v>
      </c>
      <c r="H878" s="228">
        <f>YEAR(AVEU_Historical_Data__2[[#This Row],[Date]])</f>
        <v>2023</v>
      </c>
      <c r="I878" s="228">
        <f>ROUNDUP((MOD(MONTH(AVEU_Historical_Data__2[[#This Row],[Date]])+8,12)+1)/3,0)</f>
        <v>3</v>
      </c>
      <c r="J878" s="228">
        <f>MONTH(AVEU_Historical_Data__2[[#This Row],[Date]])</f>
        <v>10</v>
      </c>
      <c r="K878" s="228"/>
    </row>
    <row r="879" spans="1:11" x14ac:dyDescent="0.25">
      <c r="A879" s="227">
        <v>45215</v>
      </c>
      <c r="B879" s="228">
        <v>3856.8</v>
      </c>
      <c r="C879" s="228">
        <v>3825.05</v>
      </c>
      <c r="D879" s="228">
        <v>3873.9</v>
      </c>
      <c r="E879" s="228">
        <v>3772.75</v>
      </c>
      <c r="F879">
        <v>1100000</v>
      </c>
      <c r="G879" s="228">
        <v>-2.01E-2</v>
      </c>
      <c r="H879" s="228">
        <f>YEAR(AVEU_Historical_Data__2[[#This Row],[Date]])</f>
        <v>2023</v>
      </c>
      <c r="I879" s="228">
        <f>ROUNDUP((MOD(MONTH(AVEU_Historical_Data__2[[#This Row],[Date]])+8,12)+1)/3,0)</f>
        <v>3</v>
      </c>
      <c r="J879" s="228">
        <f>MONTH(AVEU_Historical_Data__2[[#This Row],[Date]])</f>
        <v>10</v>
      </c>
      <c r="K879" s="228"/>
    </row>
    <row r="880" spans="1:11" x14ac:dyDescent="0.25">
      <c r="A880" s="227">
        <v>45216</v>
      </c>
      <c r="B880" s="228">
        <v>3842.85</v>
      </c>
      <c r="C880" s="228">
        <v>3879.15</v>
      </c>
      <c r="D880" s="228">
        <v>3885</v>
      </c>
      <c r="E880" s="228">
        <v>3834.3</v>
      </c>
      <c r="F880">
        <v>394330</v>
      </c>
      <c r="G880" s="228">
        <v>-3.5999999999999999E-3</v>
      </c>
      <c r="H880" s="228">
        <f>YEAR(AVEU_Historical_Data__2[[#This Row],[Date]])</f>
        <v>2023</v>
      </c>
      <c r="I880" s="228">
        <f>ROUNDUP((MOD(MONTH(AVEU_Historical_Data__2[[#This Row],[Date]])+8,12)+1)/3,0)</f>
        <v>3</v>
      </c>
      <c r="J880" s="228">
        <f>MONTH(AVEU_Historical_Data__2[[#This Row],[Date]])</f>
        <v>10</v>
      </c>
      <c r="K880" s="228"/>
    </row>
    <row r="881" spans="1:11" x14ac:dyDescent="0.25">
      <c r="A881" s="227">
        <v>45217</v>
      </c>
      <c r="B881" s="228">
        <v>3795.95</v>
      </c>
      <c r="C881" s="228">
        <v>3842.85</v>
      </c>
      <c r="D881" s="228">
        <v>3853.1</v>
      </c>
      <c r="E881" s="228">
        <v>3776.25</v>
      </c>
      <c r="F881">
        <v>356320</v>
      </c>
      <c r="G881" s="228">
        <v>-1.2200000000000001E-2</v>
      </c>
      <c r="H881" s="228">
        <f>YEAR(AVEU_Historical_Data__2[[#This Row],[Date]])</f>
        <v>2023</v>
      </c>
      <c r="I881" s="228">
        <f>ROUNDUP((MOD(MONTH(AVEU_Historical_Data__2[[#This Row],[Date]])+8,12)+1)/3,0)</f>
        <v>3</v>
      </c>
      <c r="J881" s="228">
        <f>MONTH(AVEU_Historical_Data__2[[#This Row],[Date]])</f>
        <v>10</v>
      </c>
      <c r="K881" s="228"/>
    </row>
    <row r="882" spans="1:11" x14ac:dyDescent="0.25">
      <c r="A882" s="227">
        <v>45218</v>
      </c>
      <c r="B882" s="228">
        <v>3766.85</v>
      </c>
      <c r="C882" s="228">
        <v>3790</v>
      </c>
      <c r="D882" s="228">
        <v>3790</v>
      </c>
      <c r="E882" s="228">
        <v>3746.85</v>
      </c>
      <c r="F882">
        <v>168080</v>
      </c>
      <c r="G882" s="228">
        <v>-7.7000000000000002E-3</v>
      </c>
      <c r="H882" s="228">
        <f>YEAR(AVEU_Historical_Data__2[[#This Row],[Date]])</f>
        <v>2023</v>
      </c>
      <c r="I882" s="228">
        <f>ROUNDUP((MOD(MONTH(AVEU_Historical_Data__2[[#This Row],[Date]])+8,12)+1)/3,0)</f>
        <v>3</v>
      </c>
      <c r="J882" s="228">
        <f>MONTH(AVEU_Historical_Data__2[[#This Row],[Date]])</f>
        <v>10</v>
      </c>
      <c r="K882" s="228"/>
    </row>
    <row r="883" spans="1:11" x14ac:dyDescent="0.25">
      <c r="A883" s="227">
        <v>45219</v>
      </c>
      <c r="B883" s="228">
        <v>3749.5</v>
      </c>
      <c r="C883" s="228">
        <v>3760.05</v>
      </c>
      <c r="D883" s="228">
        <v>3780.95</v>
      </c>
      <c r="E883" s="228">
        <v>3742.1</v>
      </c>
      <c r="F883">
        <v>200040</v>
      </c>
      <c r="G883" s="228">
        <v>-4.5999999999999999E-3</v>
      </c>
      <c r="H883" s="228">
        <f>YEAR(AVEU_Historical_Data__2[[#This Row],[Date]])</f>
        <v>2023</v>
      </c>
      <c r="I883" s="228">
        <f>ROUNDUP((MOD(MONTH(AVEU_Historical_Data__2[[#This Row],[Date]])+8,12)+1)/3,0)</f>
        <v>3</v>
      </c>
      <c r="J883" s="228">
        <f>MONTH(AVEU_Historical_Data__2[[#This Row],[Date]])</f>
        <v>10</v>
      </c>
      <c r="K883" s="228"/>
    </row>
    <row r="884" spans="1:11" x14ac:dyDescent="0.25">
      <c r="A884" s="227">
        <v>45222</v>
      </c>
      <c r="B884" s="228">
        <v>3668.95</v>
      </c>
      <c r="C884" s="228">
        <v>3750.05</v>
      </c>
      <c r="D884" s="228">
        <v>3768</v>
      </c>
      <c r="E884" s="228">
        <v>3641.35</v>
      </c>
      <c r="F884">
        <v>297130</v>
      </c>
      <c r="G884" s="228">
        <v>-2.1499999999999998E-2</v>
      </c>
      <c r="H884" s="228">
        <f>YEAR(AVEU_Historical_Data__2[[#This Row],[Date]])</f>
        <v>2023</v>
      </c>
      <c r="I884" s="228">
        <f>ROUNDUP((MOD(MONTH(AVEU_Historical_Data__2[[#This Row],[Date]])+8,12)+1)/3,0)</f>
        <v>3</v>
      </c>
      <c r="J884" s="228">
        <f>MONTH(AVEU_Historical_Data__2[[#This Row],[Date]])</f>
        <v>10</v>
      </c>
      <c r="K884" s="228"/>
    </row>
    <row r="885" spans="1:11" x14ac:dyDescent="0.25">
      <c r="A885" s="227">
        <v>45224</v>
      </c>
      <c r="B885" s="228">
        <v>3740.55</v>
      </c>
      <c r="C885" s="228">
        <v>3685</v>
      </c>
      <c r="D885" s="228">
        <v>3755</v>
      </c>
      <c r="E885" s="228">
        <v>3620.1</v>
      </c>
      <c r="F885">
        <v>333020</v>
      </c>
      <c r="G885" s="228">
        <v>1.95E-2</v>
      </c>
      <c r="H885" s="228">
        <f>YEAR(AVEU_Historical_Data__2[[#This Row],[Date]])</f>
        <v>2023</v>
      </c>
      <c r="I885" s="228">
        <f>ROUNDUP((MOD(MONTH(AVEU_Historical_Data__2[[#This Row],[Date]])+8,12)+1)/3,0)</f>
        <v>3</v>
      </c>
      <c r="J885" s="228">
        <f>MONTH(AVEU_Historical_Data__2[[#This Row],[Date]])</f>
        <v>10</v>
      </c>
      <c r="K885" s="228"/>
    </row>
    <row r="886" spans="1:11" x14ac:dyDescent="0.25">
      <c r="A886" s="227">
        <v>45225</v>
      </c>
      <c r="B886" s="228">
        <v>3684.65</v>
      </c>
      <c r="C886" s="228">
        <v>3728.05</v>
      </c>
      <c r="D886" s="228">
        <v>3731.95</v>
      </c>
      <c r="E886" s="228">
        <v>3662</v>
      </c>
      <c r="F886">
        <v>289960</v>
      </c>
      <c r="G886" s="228">
        <v>-1.49E-2</v>
      </c>
      <c r="H886" s="228">
        <f>YEAR(AVEU_Historical_Data__2[[#This Row],[Date]])</f>
        <v>2023</v>
      </c>
      <c r="I886" s="228">
        <f>ROUNDUP((MOD(MONTH(AVEU_Historical_Data__2[[#This Row],[Date]])+8,12)+1)/3,0)</f>
        <v>3</v>
      </c>
      <c r="J886" s="228">
        <f>MONTH(AVEU_Historical_Data__2[[#This Row],[Date]])</f>
        <v>10</v>
      </c>
      <c r="K886" s="228"/>
    </row>
    <row r="887" spans="1:11" x14ac:dyDescent="0.25">
      <c r="A887" s="227">
        <v>45226</v>
      </c>
      <c r="B887" s="228">
        <v>3665.45</v>
      </c>
      <c r="C887" s="228">
        <v>3700</v>
      </c>
      <c r="D887" s="228">
        <v>3758</v>
      </c>
      <c r="E887" s="228">
        <v>3651</v>
      </c>
      <c r="F887">
        <v>365480</v>
      </c>
      <c r="G887" s="228">
        <v>-5.1999999999999998E-3</v>
      </c>
      <c r="H887" s="228">
        <f>YEAR(AVEU_Historical_Data__2[[#This Row],[Date]])</f>
        <v>2023</v>
      </c>
      <c r="I887" s="228">
        <f>ROUNDUP((MOD(MONTH(AVEU_Historical_Data__2[[#This Row],[Date]])+8,12)+1)/3,0)</f>
        <v>3</v>
      </c>
      <c r="J887" s="228">
        <f>MONTH(AVEU_Historical_Data__2[[#This Row],[Date]])</f>
        <v>10</v>
      </c>
      <c r="K887" s="228"/>
    </row>
    <row r="888" spans="1:11" x14ac:dyDescent="0.25">
      <c r="A888" s="227">
        <v>45229</v>
      </c>
      <c r="B888" s="228">
        <v>3646.65</v>
      </c>
      <c r="C888" s="228">
        <v>3686.7</v>
      </c>
      <c r="D888" s="228">
        <v>3688</v>
      </c>
      <c r="E888" s="228">
        <v>3624.25</v>
      </c>
      <c r="F888">
        <v>254300</v>
      </c>
      <c r="G888" s="228">
        <v>-5.1000000000000004E-3</v>
      </c>
      <c r="H888" s="228">
        <f>YEAR(AVEU_Historical_Data__2[[#This Row],[Date]])</f>
        <v>2023</v>
      </c>
      <c r="I888" s="228">
        <f>ROUNDUP((MOD(MONTH(AVEU_Historical_Data__2[[#This Row],[Date]])+8,12)+1)/3,0)</f>
        <v>3</v>
      </c>
      <c r="J888" s="228">
        <f>MONTH(AVEU_Historical_Data__2[[#This Row],[Date]])</f>
        <v>10</v>
      </c>
      <c r="K888" s="228"/>
    </row>
    <row r="889" spans="1:11" x14ac:dyDescent="0.25">
      <c r="A889" s="227">
        <v>45230</v>
      </c>
      <c r="B889" s="228">
        <v>3633.4</v>
      </c>
      <c r="C889" s="228">
        <v>3657.65</v>
      </c>
      <c r="D889" s="228">
        <v>3671.25</v>
      </c>
      <c r="E889" s="228">
        <v>3620</v>
      </c>
      <c r="F889">
        <v>820390</v>
      </c>
      <c r="G889" s="228">
        <v>-3.5999999999999999E-3</v>
      </c>
      <c r="H889" s="228">
        <f>YEAR(AVEU_Historical_Data__2[[#This Row],[Date]])</f>
        <v>2023</v>
      </c>
      <c r="I889" s="228">
        <f>ROUNDUP((MOD(MONTH(AVEU_Historical_Data__2[[#This Row],[Date]])+8,12)+1)/3,0)</f>
        <v>3</v>
      </c>
      <c r="J889" s="228">
        <f>MONTH(AVEU_Historical_Data__2[[#This Row],[Date]])</f>
        <v>10</v>
      </c>
      <c r="K889" s="228"/>
    </row>
    <row r="890" spans="1:11" x14ac:dyDescent="0.25">
      <c r="A890" s="227">
        <v>45231</v>
      </c>
      <c r="B890" s="228">
        <v>3639.45</v>
      </c>
      <c r="C890" s="228">
        <v>3637.5</v>
      </c>
      <c r="D890" s="228">
        <v>3660.6</v>
      </c>
      <c r="E890" s="228">
        <v>3621</v>
      </c>
      <c r="F890">
        <v>242470</v>
      </c>
      <c r="G890" s="228">
        <v>1.6999999999999999E-3</v>
      </c>
      <c r="H890" s="228">
        <f>YEAR(AVEU_Historical_Data__2[[#This Row],[Date]])</f>
        <v>2023</v>
      </c>
      <c r="I890" s="228">
        <f>ROUNDUP((MOD(MONTH(AVEU_Historical_Data__2[[#This Row],[Date]])+8,12)+1)/3,0)</f>
        <v>3</v>
      </c>
      <c r="J890" s="228">
        <f>MONTH(AVEU_Historical_Data__2[[#This Row],[Date]])</f>
        <v>11</v>
      </c>
      <c r="K890" s="228"/>
    </row>
    <row r="891" spans="1:11" x14ac:dyDescent="0.25">
      <c r="A891" s="227">
        <v>45232</v>
      </c>
      <c r="B891" s="228">
        <v>3647.45</v>
      </c>
      <c r="C891" s="228">
        <v>3639</v>
      </c>
      <c r="D891" s="228">
        <v>3677.95</v>
      </c>
      <c r="E891" s="228">
        <v>3624.15</v>
      </c>
      <c r="F891">
        <v>216100</v>
      </c>
      <c r="G891" s="228">
        <v>2.2000000000000001E-3</v>
      </c>
      <c r="H891" s="228">
        <f>YEAR(AVEU_Historical_Data__2[[#This Row],[Date]])</f>
        <v>2023</v>
      </c>
      <c r="I891" s="228">
        <f>ROUNDUP((MOD(MONTH(AVEU_Historical_Data__2[[#This Row],[Date]])+8,12)+1)/3,0)</f>
        <v>3</v>
      </c>
      <c r="J891" s="228">
        <f>MONTH(AVEU_Historical_Data__2[[#This Row],[Date]])</f>
        <v>11</v>
      </c>
      <c r="K891" s="228"/>
    </row>
    <row r="892" spans="1:11" x14ac:dyDescent="0.25">
      <c r="A892" s="227">
        <v>45233</v>
      </c>
      <c r="B892" s="228">
        <v>3649.7</v>
      </c>
      <c r="C892" s="228">
        <v>3667.6</v>
      </c>
      <c r="D892" s="228">
        <v>3667.6</v>
      </c>
      <c r="E892" s="228">
        <v>3621.25</v>
      </c>
      <c r="F892">
        <v>316180</v>
      </c>
      <c r="G892" s="228">
        <v>5.9999999999999995E-4</v>
      </c>
      <c r="H892" s="228">
        <f>YEAR(AVEU_Historical_Data__2[[#This Row],[Date]])</f>
        <v>2023</v>
      </c>
      <c r="I892" s="228">
        <f>ROUNDUP((MOD(MONTH(AVEU_Historical_Data__2[[#This Row],[Date]])+8,12)+1)/3,0)</f>
        <v>3</v>
      </c>
      <c r="J892" s="228">
        <f>MONTH(AVEU_Historical_Data__2[[#This Row],[Date]])</f>
        <v>11</v>
      </c>
      <c r="K892" s="228"/>
    </row>
    <row r="893" spans="1:11" x14ac:dyDescent="0.25">
      <c r="A893" s="227">
        <v>45236</v>
      </c>
      <c r="B893" s="228">
        <v>3649.55</v>
      </c>
      <c r="C893" s="228">
        <v>3654.55</v>
      </c>
      <c r="D893" s="228">
        <v>3692.9</v>
      </c>
      <c r="E893" s="228">
        <v>3635.3</v>
      </c>
      <c r="F893">
        <v>277250</v>
      </c>
      <c r="G893" s="228">
        <v>0</v>
      </c>
      <c r="H893" s="228">
        <f>YEAR(AVEU_Historical_Data__2[[#This Row],[Date]])</f>
        <v>2023</v>
      </c>
      <c r="I893" s="228">
        <f>ROUNDUP((MOD(MONTH(AVEU_Historical_Data__2[[#This Row],[Date]])+8,12)+1)/3,0)</f>
        <v>3</v>
      </c>
      <c r="J893" s="228">
        <f>MONTH(AVEU_Historical_Data__2[[#This Row],[Date]])</f>
        <v>11</v>
      </c>
      <c r="K893" s="228"/>
    </row>
    <row r="894" spans="1:11" x14ac:dyDescent="0.25">
      <c r="A894" s="227">
        <v>45237</v>
      </c>
      <c r="B894" s="228">
        <v>3653.3</v>
      </c>
      <c r="C894" s="228">
        <v>3649.5</v>
      </c>
      <c r="D894" s="228">
        <v>3667.95</v>
      </c>
      <c r="E894" s="228">
        <v>3636</v>
      </c>
      <c r="F894">
        <v>287030</v>
      </c>
      <c r="G894" s="228">
        <v>1E-3</v>
      </c>
      <c r="H894" s="228">
        <f>YEAR(AVEU_Historical_Data__2[[#This Row],[Date]])</f>
        <v>2023</v>
      </c>
      <c r="I894" s="228">
        <f>ROUNDUP((MOD(MONTH(AVEU_Historical_Data__2[[#This Row],[Date]])+8,12)+1)/3,0)</f>
        <v>3</v>
      </c>
      <c r="J894" s="228">
        <f>MONTH(AVEU_Historical_Data__2[[#This Row],[Date]])</f>
        <v>11</v>
      </c>
      <c r="K894" s="228"/>
    </row>
    <row r="895" spans="1:11" x14ac:dyDescent="0.25">
      <c r="A895" s="227">
        <v>45238</v>
      </c>
      <c r="B895" s="228">
        <v>3712.4</v>
      </c>
      <c r="C895" s="228">
        <v>3658</v>
      </c>
      <c r="D895" s="228">
        <v>3727.95</v>
      </c>
      <c r="E895" s="228">
        <v>3658</v>
      </c>
      <c r="F895">
        <v>246720</v>
      </c>
      <c r="G895" s="228">
        <v>1.6199999999999999E-2</v>
      </c>
      <c r="H895" s="228">
        <f>YEAR(AVEU_Historical_Data__2[[#This Row],[Date]])</f>
        <v>2023</v>
      </c>
      <c r="I895" s="228">
        <f>ROUNDUP((MOD(MONTH(AVEU_Historical_Data__2[[#This Row],[Date]])+8,12)+1)/3,0)</f>
        <v>3</v>
      </c>
      <c r="J895" s="228">
        <f>MONTH(AVEU_Historical_Data__2[[#This Row],[Date]])</f>
        <v>11</v>
      </c>
      <c r="K895" s="228"/>
    </row>
    <row r="896" spans="1:11" x14ac:dyDescent="0.25">
      <c r="A896" s="227">
        <v>45239</v>
      </c>
      <c r="B896" s="228">
        <v>3747.6</v>
      </c>
      <c r="C896" s="228">
        <v>3733.9</v>
      </c>
      <c r="D896" s="228">
        <v>3765</v>
      </c>
      <c r="E896" s="228">
        <v>3725</v>
      </c>
      <c r="F896">
        <v>248750</v>
      </c>
      <c r="G896" s="228">
        <v>9.4999999999999998E-3</v>
      </c>
      <c r="H896" s="228">
        <f>YEAR(AVEU_Historical_Data__2[[#This Row],[Date]])</f>
        <v>2023</v>
      </c>
      <c r="I896" s="228">
        <f>ROUNDUP((MOD(MONTH(AVEU_Historical_Data__2[[#This Row],[Date]])+8,12)+1)/3,0)</f>
        <v>3</v>
      </c>
      <c r="J896" s="228">
        <f>MONTH(AVEU_Historical_Data__2[[#This Row],[Date]])</f>
        <v>11</v>
      </c>
      <c r="K896" s="228"/>
    </row>
    <row r="897" spans="1:11" x14ac:dyDescent="0.25">
      <c r="A897" s="227">
        <v>45240</v>
      </c>
      <c r="B897" s="228">
        <v>3798.4</v>
      </c>
      <c r="C897" s="228">
        <v>3750</v>
      </c>
      <c r="D897" s="228">
        <v>3800</v>
      </c>
      <c r="E897" s="228">
        <v>3738.55</v>
      </c>
      <c r="F897">
        <v>205430</v>
      </c>
      <c r="G897" s="228">
        <v>1.3599999999999999E-2</v>
      </c>
      <c r="H897" s="228">
        <f>YEAR(AVEU_Historical_Data__2[[#This Row],[Date]])</f>
        <v>2023</v>
      </c>
      <c r="I897" s="228">
        <f>ROUNDUP((MOD(MONTH(AVEU_Historical_Data__2[[#This Row],[Date]])+8,12)+1)/3,0)</f>
        <v>3</v>
      </c>
      <c r="J897" s="228">
        <f>MONTH(AVEU_Historical_Data__2[[#This Row],[Date]])</f>
        <v>11</v>
      </c>
      <c r="K897" s="228"/>
    </row>
    <row r="898" spans="1:11" x14ac:dyDescent="0.25">
      <c r="A898" s="227">
        <v>45242</v>
      </c>
      <c r="B898" s="228">
        <v>3802.7</v>
      </c>
      <c r="C898" s="228">
        <v>3815</v>
      </c>
      <c r="D898" s="228">
        <v>3824.85</v>
      </c>
      <c r="E898" s="228">
        <v>3800</v>
      </c>
      <c r="F898">
        <v>40140</v>
      </c>
      <c r="G898" s="228">
        <v>1.1000000000000001E-3</v>
      </c>
      <c r="H898" s="228">
        <f>YEAR(AVEU_Historical_Data__2[[#This Row],[Date]])</f>
        <v>2023</v>
      </c>
      <c r="I898" s="228">
        <f>ROUNDUP((MOD(MONTH(AVEU_Historical_Data__2[[#This Row],[Date]])+8,12)+1)/3,0)</f>
        <v>3</v>
      </c>
      <c r="J898" s="228">
        <f>MONTH(AVEU_Historical_Data__2[[#This Row],[Date]])</f>
        <v>11</v>
      </c>
      <c r="K898" s="228"/>
    </row>
    <row r="899" spans="1:11" x14ac:dyDescent="0.25">
      <c r="A899" s="227">
        <v>45243</v>
      </c>
      <c r="B899" s="228">
        <v>3798.45</v>
      </c>
      <c r="C899" s="228">
        <v>3809.95</v>
      </c>
      <c r="D899" s="228">
        <v>3819.8</v>
      </c>
      <c r="E899" s="228">
        <v>3740.2</v>
      </c>
      <c r="F899">
        <v>166500</v>
      </c>
      <c r="G899" s="228">
        <v>-1.1000000000000001E-3</v>
      </c>
      <c r="H899" s="228">
        <f>YEAR(AVEU_Historical_Data__2[[#This Row],[Date]])</f>
        <v>2023</v>
      </c>
      <c r="I899" s="228">
        <f>ROUNDUP((MOD(MONTH(AVEU_Historical_Data__2[[#This Row],[Date]])+8,12)+1)/3,0)</f>
        <v>3</v>
      </c>
      <c r="J899" s="228">
        <f>MONTH(AVEU_Historical_Data__2[[#This Row],[Date]])</f>
        <v>11</v>
      </c>
      <c r="K899" s="228"/>
    </row>
    <row r="900" spans="1:11" x14ac:dyDescent="0.25">
      <c r="A900" s="227">
        <v>45245</v>
      </c>
      <c r="B900" s="228">
        <v>3791.95</v>
      </c>
      <c r="C900" s="228">
        <v>3810</v>
      </c>
      <c r="D900" s="228">
        <v>3814.95</v>
      </c>
      <c r="E900" s="228">
        <v>3750.1</v>
      </c>
      <c r="F900">
        <v>372290</v>
      </c>
      <c r="G900" s="228">
        <v>-1.6999999999999999E-3</v>
      </c>
      <c r="H900" s="228">
        <f>YEAR(AVEU_Historical_Data__2[[#This Row],[Date]])</f>
        <v>2023</v>
      </c>
      <c r="I900" s="228">
        <f>ROUNDUP((MOD(MONTH(AVEU_Historical_Data__2[[#This Row],[Date]])+8,12)+1)/3,0)</f>
        <v>3</v>
      </c>
      <c r="J900" s="228">
        <f>MONTH(AVEU_Historical_Data__2[[#This Row],[Date]])</f>
        <v>11</v>
      </c>
      <c r="K900" s="228"/>
    </row>
    <row r="901" spans="1:11" x14ac:dyDescent="0.25">
      <c r="A901" s="227">
        <v>45246</v>
      </c>
      <c r="B901" s="228">
        <v>3790.25</v>
      </c>
      <c r="C901" s="228">
        <v>3795</v>
      </c>
      <c r="D901" s="228">
        <v>3800</v>
      </c>
      <c r="E901" s="228">
        <v>3765</v>
      </c>
      <c r="F901">
        <v>148950</v>
      </c>
      <c r="G901" s="228">
        <v>-4.0000000000000002E-4</v>
      </c>
      <c r="H901" s="228">
        <f>YEAR(AVEU_Historical_Data__2[[#This Row],[Date]])</f>
        <v>2023</v>
      </c>
      <c r="I901" s="228">
        <f>ROUNDUP((MOD(MONTH(AVEU_Historical_Data__2[[#This Row],[Date]])+8,12)+1)/3,0)</f>
        <v>3</v>
      </c>
      <c r="J901" s="228">
        <f>MONTH(AVEU_Historical_Data__2[[#This Row],[Date]])</f>
        <v>11</v>
      </c>
      <c r="K901" s="228"/>
    </row>
    <row r="902" spans="1:11" x14ac:dyDescent="0.25">
      <c r="A902" s="227">
        <v>45247</v>
      </c>
      <c r="B902" s="228">
        <v>3810.9</v>
      </c>
      <c r="C902" s="228">
        <v>3794.95</v>
      </c>
      <c r="D902" s="228">
        <v>3843</v>
      </c>
      <c r="E902" s="228">
        <v>3780</v>
      </c>
      <c r="F902">
        <v>266480</v>
      </c>
      <c r="G902" s="228">
        <v>5.4000000000000003E-3</v>
      </c>
      <c r="H902" s="228">
        <f>YEAR(AVEU_Historical_Data__2[[#This Row],[Date]])</f>
        <v>2023</v>
      </c>
      <c r="I902" s="228">
        <f>ROUNDUP((MOD(MONTH(AVEU_Historical_Data__2[[#This Row],[Date]])+8,12)+1)/3,0)</f>
        <v>3</v>
      </c>
      <c r="J902" s="228">
        <f>MONTH(AVEU_Historical_Data__2[[#This Row],[Date]])</f>
        <v>11</v>
      </c>
      <c r="K902" s="228"/>
    </row>
    <row r="903" spans="1:11" x14ac:dyDescent="0.25">
      <c r="A903" s="227">
        <v>45250</v>
      </c>
      <c r="B903" s="228">
        <v>3792.9</v>
      </c>
      <c r="C903" s="228">
        <v>3810.9</v>
      </c>
      <c r="D903" s="228">
        <v>3833</v>
      </c>
      <c r="E903" s="228">
        <v>3771.7</v>
      </c>
      <c r="F903">
        <v>253000</v>
      </c>
      <c r="G903" s="228">
        <v>-4.7000000000000002E-3</v>
      </c>
      <c r="H903" s="228">
        <f>YEAR(AVEU_Historical_Data__2[[#This Row],[Date]])</f>
        <v>2023</v>
      </c>
      <c r="I903" s="228">
        <f>ROUNDUP((MOD(MONTH(AVEU_Historical_Data__2[[#This Row],[Date]])+8,12)+1)/3,0)</f>
        <v>3</v>
      </c>
      <c r="J903" s="228">
        <f>MONTH(AVEU_Historical_Data__2[[#This Row],[Date]])</f>
        <v>11</v>
      </c>
      <c r="K903" s="228"/>
    </row>
    <row r="904" spans="1:11" x14ac:dyDescent="0.25">
      <c r="A904" s="227">
        <v>45251</v>
      </c>
      <c r="B904" s="228">
        <v>3814.95</v>
      </c>
      <c r="C904" s="228">
        <v>3796</v>
      </c>
      <c r="D904" s="228">
        <v>3842</v>
      </c>
      <c r="E904" s="228">
        <v>3796</v>
      </c>
      <c r="F904">
        <v>196060</v>
      </c>
      <c r="G904" s="228">
        <v>5.7999999999999996E-3</v>
      </c>
      <c r="H904" s="228">
        <f>YEAR(AVEU_Historical_Data__2[[#This Row],[Date]])</f>
        <v>2023</v>
      </c>
      <c r="I904" s="228">
        <f>ROUNDUP((MOD(MONTH(AVEU_Historical_Data__2[[#This Row],[Date]])+8,12)+1)/3,0)</f>
        <v>3</v>
      </c>
      <c r="J904" s="228">
        <f>MONTH(AVEU_Historical_Data__2[[#This Row],[Date]])</f>
        <v>11</v>
      </c>
      <c r="K904" s="228"/>
    </row>
    <row r="905" spans="1:11" x14ac:dyDescent="0.25">
      <c r="A905" s="227">
        <v>45252</v>
      </c>
      <c r="B905" s="228">
        <v>3838.25</v>
      </c>
      <c r="C905" s="228">
        <v>3820</v>
      </c>
      <c r="D905" s="228">
        <v>3873.85</v>
      </c>
      <c r="E905" s="228">
        <v>3812.35</v>
      </c>
      <c r="F905">
        <v>200610</v>
      </c>
      <c r="G905" s="228">
        <v>6.1000000000000004E-3</v>
      </c>
      <c r="H905" s="228">
        <f>YEAR(AVEU_Historical_Data__2[[#This Row],[Date]])</f>
        <v>2023</v>
      </c>
      <c r="I905" s="228">
        <f>ROUNDUP((MOD(MONTH(AVEU_Historical_Data__2[[#This Row],[Date]])+8,12)+1)/3,0)</f>
        <v>3</v>
      </c>
      <c r="J905" s="228">
        <f>MONTH(AVEU_Historical_Data__2[[#This Row],[Date]])</f>
        <v>11</v>
      </c>
      <c r="K905" s="228"/>
    </row>
    <row r="906" spans="1:11" x14ac:dyDescent="0.25">
      <c r="A906" s="227">
        <v>45253</v>
      </c>
      <c r="B906" s="228">
        <v>3844.4</v>
      </c>
      <c r="C906" s="228">
        <v>3848</v>
      </c>
      <c r="D906" s="228">
        <v>3865</v>
      </c>
      <c r="E906" s="228">
        <v>3798.95</v>
      </c>
      <c r="F906">
        <v>201010</v>
      </c>
      <c r="G906" s="228">
        <v>1.6000000000000001E-3</v>
      </c>
      <c r="H906" s="228">
        <f>YEAR(AVEU_Historical_Data__2[[#This Row],[Date]])</f>
        <v>2023</v>
      </c>
      <c r="I906" s="228">
        <f>ROUNDUP((MOD(MONTH(AVEU_Historical_Data__2[[#This Row],[Date]])+8,12)+1)/3,0)</f>
        <v>3</v>
      </c>
      <c r="J906" s="228">
        <f>MONTH(AVEU_Historical_Data__2[[#This Row],[Date]])</f>
        <v>11</v>
      </c>
      <c r="K906" s="228"/>
    </row>
    <row r="907" spans="1:11" x14ac:dyDescent="0.25">
      <c r="A907" s="227">
        <v>45254</v>
      </c>
      <c r="B907" s="228">
        <v>3842.9</v>
      </c>
      <c r="C907" s="228">
        <v>3820</v>
      </c>
      <c r="D907" s="228">
        <v>3869</v>
      </c>
      <c r="E907" s="228">
        <v>3799</v>
      </c>
      <c r="F907">
        <v>96390</v>
      </c>
      <c r="G907" s="228">
        <v>-4.0000000000000002E-4</v>
      </c>
      <c r="H907" s="228">
        <f>YEAR(AVEU_Historical_Data__2[[#This Row],[Date]])</f>
        <v>2023</v>
      </c>
      <c r="I907" s="228">
        <f>ROUNDUP((MOD(MONTH(AVEU_Historical_Data__2[[#This Row],[Date]])+8,12)+1)/3,0)</f>
        <v>3</v>
      </c>
      <c r="J907" s="228">
        <f>MONTH(AVEU_Historical_Data__2[[#This Row],[Date]])</f>
        <v>11</v>
      </c>
      <c r="K907" s="228"/>
    </row>
    <row r="908" spans="1:11" x14ac:dyDescent="0.25">
      <c r="A908" s="227">
        <v>45258</v>
      </c>
      <c r="B908" s="228">
        <v>3912.15</v>
      </c>
      <c r="C908" s="228">
        <v>3815</v>
      </c>
      <c r="D908" s="228">
        <v>3934</v>
      </c>
      <c r="E908" s="228">
        <v>3815</v>
      </c>
      <c r="F908">
        <v>449710</v>
      </c>
      <c r="G908" s="228">
        <v>1.7999999999999999E-2</v>
      </c>
      <c r="H908" s="228">
        <f>YEAR(AVEU_Historical_Data__2[[#This Row],[Date]])</f>
        <v>2023</v>
      </c>
      <c r="I908" s="228">
        <f>ROUNDUP((MOD(MONTH(AVEU_Historical_Data__2[[#This Row],[Date]])+8,12)+1)/3,0)</f>
        <v>3</v>
      </c>
      <c r="J908" s="228">
        <f>MONTH(AVEU_Historical_Data__2[[#This Row],[Date]])</f>
        <v>11</v>
      </c>
      <c r="K908" s="228"/>
    </row>
    <row r="909" spans="1:11" x14ac:dyDescent="0.25">
      <c r="A909" s="227">
        <v>45259</v>
      </c>
      <c r="B909" s="228">
        <v>3861.5</v>
      </c>
      <c r="C909" s="228">
        <v>3915</v>
      </c>
      <c r="D909" s="228">
        <v>3937</v>
      </c>
      <c r="E909" s="228">
        <v>3841</v>
      </c>
      <c r="F909">
        <v>333850</v>
      </c>
      <c r="G909" s="228">
        <v>-1.29E-2</v>
      </c>
      <c r="H909" s="228">
        <f>YEAR(AVEU_Historical_Data__2[[#This Row],[Date]])</f>
        <v>2023</v>
      </c>
      <c r="I909" s="228">
        <f>ROUNDUP((MOD(MONTH(AVEU_Historical_Data__2[[#This Row],[Date]])+8,12)+1)/3,0)</f>
        <v>3</v>
      </c>
      <c r="J909" s="228">
        <f>MONTH(AVEU_Historical_Data__2[[#This Row],[Date]])</f>
        <v>11</v>
      </c>
      <c r="K909" s="228"/>
    </row>
    <row r="910" spans="1:11" x14ac:dyDescent="0.25">
      <c r="A910" s="227">
        <v>45260</v>
      </c>
      <c r="B910" s="228">
        <v>3949.75</v>
      </c>
      <c r="C910" s="228">
        <v>3878</v>
      </c>
      <c r="D910" s="228">
        <v>3962</v>
      </c>
      <c r="E910" s="228">
        <v>3834</v>
      </c>
      <c r="F910">
        <v>698850</v>
      </c>
      <c r="G910" s="228">
        <v>2.29E-2</v>
      </c>
      <c r="H910" s="228">
        <f>YEAR(AVEU_Historical_Data__2[[#This Row],[Date]])</f>
        <v>2023</v>
      </c>
      <c r="I910" s="228">
        <f>ROUNDUP((MOD(MONTH(AVEU_Historical_Data__2[[#This Row],[Date]])+8,12)+1)/3,0)</f>
        <v>3</v>
      </c>
      <c r="J910" s="228">
        <f>MONTH(AVEU_Historical_Data__2[[#This Row],[Date]])</f>
        <v>11</v>
      </c>
      <c r="K910" s="228"/>
    </row>
    <row r="911" spans="1:11" x14ac:dyDescent="0.25">
      <c r="A911" s="227">
        <v>45261</v>
      </c>
      <c r="B911" s="228">
        <v>3988.4</v>
      </c>
      <c r="C911" s="228">
        <v>3969.65</v>
      </c>
      <c r="D911" s="228">
        <v>3995</v>
      </c>
      <c r="E911" s="228">
        <v>3931.15</v>
      </c>
      <c r="F911">
        <v>380040</v>
      </c>
      <c r="G911" s="228">
        <v>9.7999999999999997E-3</v>
      </c>
      <c r="H911" s="228">
        <f>YEAR(AVEU_Historical_Data__2[[#This Row],[Date]])</f>
        <v>2023</v>
      </c>
      <c r="I911" s="228">
        <f>ROUNDUP((MOD(MONTH(AVEU_Historical_Data__2[[#This Row],[Date]])+8,12)+1)/3,0)</f>
        <v>3</v>
      </c>
      <c r="J911" s="228">
        <f>MONTH(AVEU_Historical_Data__2[[#This Row],[Date]])</f>
        <v>12</v>
      </c>
      <c r="K911" s="228"/>
    </row>
    <row r="912" spans="1:11" x14ac:dyDescent="0.25">
      <c r="A912" s="227">
        <v>45264</v>
      </c>
      <c r="B912" s="228">
        <v>3967.1</v>
      </c>
      <c r="C912" s="228">
        <v>4000</v>
      </c>
      <c r="D912" s="228">
        <v>4049</v>
      </c>
      <c r="E912" s="228">
        <v>3950.05</v>
      </c>
      <c r="F912">
        <v>389630</v>
      </c>
      <c r="G912" s="228">
        <v>-5.3E-3</v>
      </c>
      <c r="H912" s="228">
        <f>YEAR(AVEU_Historical_Data__2[[#This Row],[Date]])</f>
        <v>2023</v>
      </c>
      <c r="I912" s="228">
        <f>ROUNDUP((MOD(MONTH(AVEU_Historical_Data__2[[#This Row],[Date]])+8,12)+1)/3,0)</f>
        <v>3</v>
      </c>
      <c r="J912" s="228">
        <f>MONTH(AVEU_Historical_Data__2[[#This Row],[Date]])</f>
        <v>12</v>
      </c>
      <c r="K912" s="228"/>
    </row>
    <row r="913" spans="1:11" x14ac:dyDescent="0.25">
      <c r="A913" s="227">
        <v>45265</v>
      </c>
      <c r="B913" s="228">
        <v>4039.55</v>
      </c>
      <c r="C913" s="228">
        <v>3950</v>
      </c>
      <c r="D913" s="228">
        <v>4041</v>
      </c>
      <c r="E913" s="228">
        <v>3949</v>
      </c>
      <c r="F913">
        <v>443420</v>
      </c>
      <c r="G913" s="228">
        <v>1.83E-2</v>
      </c>
      <c r="H913" s="228">
        <f>YEAR(AVEU_Historical_Data__2[[#This Row],[Date]])</f>
        <v>2023</v>
      </c>
      <c r="I913" s="228">
        <f>ROUNDUP((MOD(MONTH(AVEU_Historical_Data__2[[#This Row],[Date]])+8,12)+1)/3,0)</f>
        <v>3</v>
      </c>
      <c r="J913" s="228">
        <f>MONTH(AVEU_Historical_Data__2[[#This Row],[Date]])</f>
        <v>12</v>
      </c>
      <c r="K913" s="228"/>
    </row>
    <row r="914" spans="1:11" x14ac:dyDescent="0.25">
      <c r="A914" s="227">
        <v>45266</v>
      </c>
      <c r="B914" s="228">
        <v>4137.1499999999996</v>
      </c>
      <c r="C914" s="228">
        <v>4039.55</v>
      </c>
      <c r="D914" s="228">
        <v>4175</v>
      </c>
      <c r="E914" s="228">
        <v>4039</v>
      </c>
      <c r="F914">
        <v>861090</v>
      </c>
      <c r="G914" s="228">
        <v>2.4199999999999999E-2</v>
      </c>
      <c r="H914" s="228">
        <f>YEAR(AVEU_Historical_Data__2[[#This Row],[Date]])</f>
        <v>2023</v>
      </c>
      <c r="I914" s="228">
        <f>ROUNDUP((MOD(MONTH(AVEU_Historical_Data__2[[#This Row],[Date]])+8,12)+1)/3,0)</f>
        <v>3</v>
      </c>
      <c r="J914" s="228">
        <f>MONTH(AVEU_Historical_Data__2[[#This Row],[Date]])</f>
        <v>12</v>
      </c>
      <c r="K914" s="228"/>
    </row>
    <row r="915" spans="1:11" x14ac:dyDescent="0.25">
      <c r="A915" s="227">
        <v>45267</v>
      </c>
      <c r="B915" s="228">
        <v>4115.45</v>
      </c>
      <c r="C915" s="228">
        <v>4140.05</v>
      </c>
      <c r="D915" s="228">
        <v>4206</v>
      </c>
      <c r="E915" s="228">
        <v>4095</v>
      </c>
      <c r="F915">
        <v>414580</v>
      </c>
      <c r="G915" s="228">
        <v>-5.1999999999999998E-3</v>
      </c>
      <c r="H915" s="228">
        <f>YEAR(AVEU_Historical_Data__2[[#This Row],[Date]])</f>
        <v>2023</v>
      </c>
      <c r="I915" s="228">
        <f>ROUNDUP((MOD(MONTH(AVEU_Historical_Data__2[[#This Row],[Date]])+8,12)+1)/3,0)</f>
        <v>3</v>
      </c>
      <c r="J915" s="228">
        <f>MONTH(AVEU_Historical_Data__2[[#This Row],[Date]])</f>
        <v>12</v>
      </c>
      <c r="K915" s="228"/>
    </row>
    <row r="916" spans="1:11" x14ac:dyDescent="0.25">
      <c r="A916" s="227">
        <v>45268</v>
      </c>
      <c r="B916" s="228">
        <v>4070.65</v>
      </c>
      <c r="C916" s="228">
        <v>4155.95</v>
      </c>
      <c r="D916" s="228">
        <v>4170</v>
      </c>
      <c r="E916" s="228">
        <v>4027.65</v>
      </c>
      <c r="F916">
        <v>495580</v>
      </c>
      <c r="G916" s="228">
        <v>-1.09E-2</v>
      </c>
      <c r="H916" s="228">
        <f>YEAR(AVEU_Historical_Data__2[[#This Row],[Date]])</f>
        <v>2023</v>
      </c>
      <c r="I916" s="228">
        <f>ROUNDUP((MOD(MONTH(AVEU_Historical_Data__2[[#This Row],[Date]])+8,12)+1)/3,0)</f>
        <v>3</v>
      </c>
      <c r="J916" s="228">
        <f>MONTH(AVEU_Historical_Data__2[[#This Row],[Date]])</f>
        <v>12</v>
      </c>
      <c r="K916" s="228"/>
    </row>
    <row r="917" spans="1:11" x14ac:dyDescent="0.25">
      <c r="A917" s="227">
        <v>45271</v>
      </c>
      <c r="B917" s="228">
        <v>4069.75</v>
      </c>
      <c r="C917" s="228">
        <v>4070.65</v>
      </c>
      <c r="D917" s="228">
        <v>4075</v>
      </c>
      <c r="E917" s="228">
        <v>4025.05</v>
      </c>
      <c r="F917">
        <v>239940</v>
      </c>
      <c r="G917" s="228">
        <v>-2.0000000000000001E-4</v>
      </c>
      <c r="H917" s="228">
        <f>YEAR(AVEU_Historical_Data__2[[#This Row],[Date]])</f>
        <v>2023</v>
      </c>
      <c r="I917" s="228">
        <f>ROUNDUP((MOD(MONTH(AVEU_Historical_Data__2[[#This Row],[Date]])+8,12)+1)/3,0)</f>
        <v>3</v>
      </c>
      <c r="J917" s="228">
        <f>MONTH(AVEU_Historical_Data__2[[#This Row],[Date]])</f>
        <v>12</v>
      </c>
      <c r="K917" s="228"/>
    </row>
    <row r="918" spans="1:11" x14ac:dyDescent="0.25">
      <c r="A918" s="227">
        <v>45272</v>
      </c>
      <c r="B918" s="228">
        <v>4075.4</v>
      </c>
      <c r="C918" s="228">
        <v>4080.9</v>
      </c>
      <c r="D918" s="228">
        <v>4100</v>
      </c>
      <c r="E918" s="228">
        <v>4038.1</v>
      </c>
      <c r="F918">
        <v>349450</v>
      </c>
      <c r="G918" s="228">
        <v>1.4E-3</v>
      </c>
      <c r="H918" s="228">
        <f>YEAR(AVEU_Historical_Data__2[[#This Row],[Date]])</f>
        <v>2023</v>
      </c>
      <c r="I918" s="228">
        <f>ROUNDUP((MOD(MONTH(AVEU_Historical_Data__2[[#This Row],[Date]])+8,12)+1)/3,0)</f>
        <v>3</v>
      </c>
      <c r="J918" s="228">
        <f>MONTH(AVEU_Historical_Data__2[[#This Row],[Date]])</f>
        <v>12</v>
      </c>
      <c r="K918" s="228"/>
    </row>
    <row r="919" spans="1:11" x14ac:dyDescent="0.25">
      <c r="A919" s="227">
        <v>45273</v>
      </c>
      <c r="B919" s="228">
        <v>4033.05</v>
      </c>
      <c r="C919" s="228">
        <v>4075</v>
      </c>
      <c r="D919" s="228">
        <v>4075.4</v>
      </c>
      <c r="E919" s="228">
        <v>3945.1</v>
      </c>
      <c r="F919">
        <v>388570</v>
      </c>
      <c r="G919" s="228">
        <v>-1.04E-2</v>
      </c>
      <c r="H919" s="228">
        <f>YEAR(AVEU_Historical_Data__2[[#This Row],[Date]])</f>
        <v>2023</v>
      </c>
      <c r="I919" s="228">
        <f>ROUNDUP((MOD(MONTH(AVEU_Historical_Data__2[[#This Row],[Date]])+8,12)+1)/3,0)</f>
        <v>3</v>
      </c>
      <c r="J919" s="228">
        <f>MONTH(AVEU_Historical_Data__2[[#This Row],[Date]])</f>
        <v>12</v>
      </c>
      <c r="K919" s="228"/>
    </row>
    <row r="920" spans="1:11" x14ac:dyDescent="0.25">
      <c r="A920" s="227">
        <v>45274</v>
      </c>
      <c r="B920" s="228">
        <v>4070.05</v>
      </c>
      <c r="C920" s="228">
        <v>4044.95</v>
      </c>
      <c r="D920" s="228">
        <v>4081</v>
      </c>
      <c r="E920" s="228">
        <v>3996.05</v>
      </c>
      <c r="F920">
        <v>264680</v>
      </c>
      <c r="G920" s="228">
        <v>9.1999999999999998E-3</v>
      </c>
      <c r="H920" s="228">
        <f>YEAR(AVEU_Historical_Data__2[[#This Row],[Date]])</f>
        <v>2023</v>
      </c>
      <c r="I920" s="228">
        <f>ROUNDUP((MOD(MONTH(AVEU_Historical_Data__2[[#This Row],[Date]])+8,12)+1)/3,0)</f>
        <v>3</v>
      </c>
      <c r="J920" s="228">
        <f>MONTH(AVEU_Historical_Data__2[[#This Row],[Date]])</f>
        <v>12</v>
      </c>
      <c r="K920" s="228"/>
    </row>
    <row r="921" spans="1:11" x14ac:dyDescent="0.25">
      <c r="A921" s="227">
        <v>45275</v>
      </c>
      <c r="B921" s="228">
        <v>4045.65</v>
      </c>
      <c r="C921" s="228">
        <v>4085</v>
      </c>
      <c r="D921" s="228">
        <v>4097.8999999999996</v>
      </c>
      <c r="E921" s="228">
        <v>4017</v>
      </c>
      <c r="F921">
        <v>300270</v>
      </c>
      <c r="G921" s="228">
        <v>-6.0000000000000001E-3</v>
      </c>
      <c r="H921" s="228">
        <f>YEAR(AVEU_Historical_Data__2[[#This Row],[Date]])</f>
        <v>2023</v>
      </c>
      <c r="I921" s="228">
        <f>ROUNDUP((MOD(MONTH(AVEU_Historical_Data__2[[#This Row],[Date]])+8,12)+1)/3,0)</f>
        <v>3</v>
      </c>
      <c r="J921" s="228">
        <f>MONTH(AVEU_Historical_Data__2[[#This Row],[Date]])</f>
        <v>12</v>
      </c>
      <c r="K921" s="228"/>
    </row>
    <row r="922" spans="1:11" x14ac:dyDescent="0.25">
      <c r="A922" s="227">
        <v>45278</v>
      </c>
      <c r="B922" s="228">
        <v>4010.15</v>
      </c>
      <c r="C922" s="228">
        <v>4045</v>
      </c>
      <c r="D922" s="228">
        <v>4079.8</v>
      </c>
      <c r="E922" s="228">
        <v>4000</v>
      </c>
      <c r="F922">
        <v>221530</v>
      </c>
      <c r="G922" s="228">
        <v>-8.8000000000000005E-3</v>
      </c>
      <c r="H922" s="228">
        <f>YEAR(AVEU_Historical_Data__2[[#This Row],[Date]])</f>
        <v>2023</v>
      </c>
      <c r="I922" s="228">
        <f>ROUNDUP((MOD(MONTH(AVEU_Historical_Data__2[[#This Row],[Date]])+8,12)+1)/3,0)</f>
        <v>3</v>
      </c>
      <c r="J922" s="228">
        <f>MONTH(AVEU_Historical_Data__2[[#This Row],[Date]])</f>
        <v>12</v>
      </c>
      <c r="K922" s="228"/>
    </row>
    <row r="923" spans="1:11" x14ac:dyDescent="0.25">
      <c r="A923" s="227">
        <v>45279</v>
      </c>
      <c r="B923" s="228">
        <v>4021.35</v>
      </c>
      <c r="C923" s="228">
        <v>4010</v>
      </c>
      <c r="D923" s="228">
        <v>4048.95</v>
      </c>
      <c r="E923" s="228">
        <v>3990.25</v>
      </c>
      <c r="F923">
        <v>185000</v>
      </c>
      <c r="G923" s="228">
        <v>2.8E-3</v>
      </c>
      <c r="H923" s="228">
        <f>YEAR(AVEU_Historical_Data__2[[#This Row],[Date]])</f>
        <v>2023</v>
      </c>
      <c r="I923" s="228">
        <f>ROUNDUP((MOD(MONTH(AVEU_Historical_Data__2[[#This Row],[Date]])+8,12)+1)/3,0)</f>
        <v>3</v>
      </c>
      <c r="J923" s="228">
        <f>MONTH(AVEU_Historical_Data__2[[#This Row],[Date]])</f>
        <v>12</v>
      </c>
      <c r="K923" s="228"/>
    </row>
    <row r="924" spans="1:11" x14ac:dyDescent="0.25">
      <c r="A924" s="227">
        <v>45280</v>
      </c>
      <c r="B924" s="228">
        <v>3965.9</v>
      </c>
      <c r="C924" s="228">
        <v>4011</v>
      </c>
      <c r="D924" s="228">
        <v>4046.45</v>
      </c>
      <c r="E924" s="228">
        <v>3905</v>
      </c>
      <c r="F924">
        <v>244860</v>
      </c>
      <c r="G924" s="228">
        <v>-1.38E-2</v>
      </c>
      <c r="H924" s="228">
        <f>YEAR(AVEU_Historical_Data__2[[#This Row],[Date]])</f>
        <v>2023</v>
      </c>
      <c r="I924" s="228">
        <f>ROUNDUP((MOD(MONTH(AVEU_Historical_Data__2[[#This Row],[Date]])+8,12)+1)/3,0)</f>
        <v>3</v>
      </c>
      <c r="J924" s="228">
        <f>MONTH(AVEU_Historical_Data__2[[#This Row],[Date]])</f>
        <v>12</v>
      </c>
      <c r="K924" s="228"/>
    </row>
    <row r="925" spans="1:11" x14ac:dyDescent="0.25">
      <c r="A925" s="227">
        <v>45281</v>
      </c>
      <c r="B925" s="228">
        <v>3954.5</v>
      </c>
      <c r="C925" s="228">
        <v>3950</v>
      </c>
      <c r="D925" s="228">
        <v>4009.9</v>
      </c>
      <c r="E925" s="228">
        <v>3920.05</v>
      </c>
      <c r="F925">
        <v>286850</v>
      </c>
      <c r="G925" s="228">
        <v>-2.8999999999999998E-3</v>
      </c>
      <c r="H925" s="228">
        <f>YEAR(AVEU_Historical_Data__2[[#This Row],[Date]])</f>
        <v>2023</v>
      </c>
      <c r="I925" s="228">
        <f>ROUNDUP((MOD(MONTH(AVEU_Historical_Data__2[[#This Row],[Date]])+8,12)+1)/3,0)</f>
        <v>3</v>
      </c>
      <c r="J925" s="228">
        <f>MONTH(AVEU_Historical_Data__2[[#This Row],[Date]])</f>
        <v>12</v>
      </c>
      <c r="K925" s="228"/>
    </row>
    <row r="926" spans="1:11" x14ac:dyDescent="0.25">
      <c r="A926" s="227">
        <v>45282</v>
      </c>
      <c r="B926" s="228">
        <v>4007.95</v>
      </c>
      <c r="C926" s="228">
        <v>3977.95</v>
      </c>
      <c r="D926" s="228">
        <v>4015</v>
      </c>
      <c r="E926" s="228">
        <v>3962.05</v>
      </c>
      <c r="F926">
        <v>224830</v>
      </c>
      <c r="G926" s="228">
        <v>1.35E-2</v>
      </c>
      <c r="H926" s="228">
        <f>YEAR(AVEU_Historical_Data__2[[#This Row],[Date]])</f>
        <v>2023</v>
      </c>
      <c r="I926" s="228">
        <f>ROUNDUP((MOD(MONTH(AVEU_Historical_Data__2[[#This Row],[Date]])+8,12)+1)/3,0)</f>
        <v>3</v>
      </c>
      <c r="J926" s="228">
        <f>MONTH(AVEU_Historical_Data__2[[#This Row],[Date]])</f>
        <v>12</v>
      </c>
      <c r="K926" s="228"/>
    </row>
    <row r="927" spans="1:11" x14ac:dyDescent="0.25">
      <c r="A927" s="227">
        <v>45286</v>
      </c>
      <c r="B927" s="228">
        <v>4023.45</v>
      </c>
      <c r="C927" s="228">
        <v>4009.95</v>
      </c>
      <c r="D927" s="228">
        <v>4038.2</v>
      </c>
      <c r="E927" s="228">
        <v>3995.35</v>
      </c>
      <c r="F927">
        <v>299140</v>
      </c>
      <c r="G927" s="228">
        <v>3.8999999999999998E-3</v>
      </c>
      <c r="H927" s="228">
        <f>YEAR(AVEU_Historical_Data__2[[#This Row],[Date]])</f>
        <v>2023</v>
      </c>
      <c r="I927" s="228">
        <f>ROUNDUP((MOD(MONTH(AVEU_Historical_Data__2[[#This Row],[Date]])+8,12)+1)/3,0)</f>
        <v>3</v>
      </c>
      <c r="J927" s="228">
        <f>MONTH(AVEU_Historical_Data__2[[#This Row],[Date]])</f>
        <v>12</v>
      </c>
      <c r="K927" s="228"/>
    </row>
    <row r="928" spans="1:11" x14ac:dyDescent="0.25">
      <c r="A928" s="227">
        <v>45287</v>
      </c>
      <c r="B928" s="228">
        <v>4027.45</v>
      </c>
      <c r="C928" s="228">
        <v>4020</v>
      </c>
      <c r="D928" s="228">
        <v>4063.3</v>
      </c>
      <c r="E928" s="228">
        <v>4000</v>
      </c>
      <c r="F928">
        <v>349030</v>
      </c>
      <c r="G928" s="228">
        <v>1E-3</v>
      </c>
      <c r="H928" s="228">
        <f>YEAR(AVEU_Historical_Data__2[[#This Row],[Date]])</f>
        <v>2023</v>
      </c>
      <c r="I928" s="228">
        <f>ROUNDUP((MOD(MONTH(AVEU_Historical_Data__2[[#This Row],[Date]])+8,12)+1)/3,0)</f>
        <v>3</v>
      </c>
      <c r="J928" s="228">
        <f>MONTH(AVEU_Historical_Data__2[[#This Row],[Date]])</f>
        <v>12</v>
      </c>
      <c r="K928" s="228"/>
    </row>
    <row r="929" spans="1:11" x14ac:dyDescent="0.25">
      <c r="A929" s="227">
        <v>45288</v>
      </c>
      <c r="B929" s="228">
        <v>4044.65</v>
      </c>
      <c r="C929" s="228">
        <v>4048.9</v>
      </c>
      <c r="D929" s="228">
        <v>4058.4</v>
      </c>
      <c r="E929" s="228">
        <v>4015</v>
      </c>
      <c r="F929">
        <v>403870</v>
      </c>
      <c r="G929" s="228">
        <v>4.3E-3</v>
      </c>
      <c r="H929" s="228">
        <f>YEAR(AVEU_Historical_Data__2[[#This Row],[Date]])</f>
        <v>2023</v>
      </c>
      <c r="I929" s="228">
        <f>ROUNDUP((MOD(MONTH(AVEU_Historical_Data__2[[#This Row],[Date]])+8,12)+1)/3,0)</f>
        <v>3</v>
      </c>
      <c r="J929" s="228">
        <f>MONTH(AVEU_Historical_Data__2[[#This Row],[Date]])</f>
        <v>12</v>
      </c>
      <c r="K929" s="228"/>
    </row>
    <row r="930" spans="1:11" x14ac:dyDescent="0.25">
      <c r="A930" s="227">
        <v>45289</v>
      </c>
      <c r="B930" s="228">
        <v>4082.65</v>
      </c>
      <c r="C930" s="228">
        <v>4045.1</v>
      </c>
      <c r="D930" s="228">
        <v>4098.8999999999996</v>
      </c>
      <c r="E930" s="228">
        <v>3984.2</v>
      </c>
      <c r="F930">
        <v>224990</v>
      </c>
      <c r="G930" s="228">
        <v>9.4000000000000004E-3</v>
      </c>
      <c r="H930" s="228">
        <f>YEAR(AVEU_Historical_Data__2[[#This Row],[Date]])</f>
        <v>2023</v>
      </c>
      <c r="I930" s="228">
        <f>ROUNDUP((MOD(MONTH(AVEU_Historical_Data__2[[#This Row],[Date]])+8,12)+1)/3,0)</f>
        <v>3</v>
      </c>
      <c r="J930" s="228">
        <f>MONTH(AVEU_Historical_Data__2[[#This Row],[Date]])</f>
        <v>12</v>
      </c>
      <c r="K930" s="228"/>
    </row>
    <row r="931" spans="1:11" x14ac:dyDescent="0.25">
      <c r="A931" s="227">
        <v>45292</v>
      </c>
      <c r="B931" s="228">
        <v>4064.75</v>
      </c>
      <c r="C931" s="228">
        <v>4075</v>
      </c>
      <c r="D931" s="228">
        <v>4080</v>
      </c>
      <c r="E931" s="228">
        <v>4042.1</v>
      </c>
      <c r="F931">
        <v>131610</v>
      </c>
      <c r="G931" s="228">
        <v>-4.4000000000000003E-3</v>
      </c>
      <c r="H931" s="228">
        <f>YEAR(AVEU_Historical_Data__2[[#This Row],[Date]])</f>
        <v>2024</v>
      </c>
      <c r="I931" s="228">
        <f>ROUNDUP((MOD(MONTH(AVEU_Historical_Data__2[[#This Row],[Date]])+8,12)+1)/3,0)</f>
        <v>4</v>
      </c>
      <c r="J931" s="228">
        <f>MONTH(AVEU_Historical_Data__2[[#This Row],[Date]])</f>
        <v>1</v>
      </c>
      <c r="K931" s="228"/>
    </row>
    <row r="932" spans="1:11" x14ac:dyDescent="0.25">
      <c r="A932" s="227">
        <v>45293</v>
      </c>
      <c r="B932" s="228">
        <v>4103.3500000000004</v>
      </c>
      <c r="C932" s="228">
        <v>4070</v>
      </c>
      <c r="D932" s="228">
        <v>4155</v>
      </c>
      <c r="E932" s="228">
        <v>4006.25</v>
      </c>
      <c r="F932">
        <v>843250</v>
      </c>
      <c r="G932" s="228">
        <v>9.4999999999999998E-3</v>
      </c>
      <c r="H932" s="228">
        <f>YEAR(AVEU_Historical_Data__2[[#This Row],[Date]])</f>
        <v>2024</v>
      </c>
      <c r="I932" s="228">
        <f>ROUNDUP((MOD(MONTH(AVEU_Historical_Data__2[[#This Row],[Date]])+8,12)+1)/3,0)</f>
        <v>4</v>
      </c>
      <c r="J932" s="228">
        <f>MONTH(AVEU_Historical_Data__2[[#This Row],[Date]])</f>
        <v>1</v>
      </c>
      <c r="K932" s="228"/>
    </row>
    <row r="933" spans="1:11" x14ac:dyDescent="0.25">
      <c r="A933" s="227">
        <v>45294</v>
      </c>
      <c r="B933" s="228">
        <v>3932.35</v>
      </c>
      <c r="C933" s="228">
        <v>4080</v>
      </c>
      <c r="D933" s="228">
        <v>4080</v>
      </c>
      <c r="E933" s="228">
        <v>3919.4</v>
      </c>
      <c r="F933">
        <v>964470</v>
      </c>
      <c r="G933" s="228">
        <v>-4.1700000000000001E-2</v>
      </c>
      <c r="H933" s="228">
        <f>YEAR(AVEU_Historical_Data__2[[#This Row],[Date]])</f>
        <v>2024</v>
      </c>
      <c r="I933" s="228">
        <f>ROUNDUP((MOD(MONTH(AVEU_Historical_Data__2[[#This Row],[Date]])+8,12)+1)/3,0)</f>
        <v>4</v>
      </c>
      <c r="J933" s="228">
        <f>MONTH(AVEU_Historical_Data__2[[#This Row],[Date]])</f>
        <v>1</v>
      </c>
      <c r="K933" s="228"/>
    </row>
    <row r="934" spans="1:11" x14ac:dyDescent="0.25">
      <c r="A934" s="227">
        <v>45295</v>
      </c>
      <c r="B934" s="228">
        <v>3897.85</v>
      </c>
      <c r="C934" s="228">
        <v>3965</v>
      </c>
      <c r="D934" s="228">
        <v>3965</v>
      </c>
      <c r="E934" s="228">
        <v>3888</v>
      </c>
      <c r="F934">
        <v>754490</v>
      </c>
      <c r="G934" s="228">
        <v>-8.8000000000000005E-3</v>
      </c>
      <c r="H934" s="228">
        <f>YEAR(AVEU_Historical_Data__2[[#This Row],[Date]])</f>
        <v>2024</v>
      </c>
      <c r="I934" s="228">
        <f>ROUNDUP((MOD(MONTH(AVEU_Historical_Data__2[[#This Row],[Date]])+8,12)+1)/3,0)</f>
        <v>4</v>
      </c>
      <c r="J934" s="228">
        <f>MONTH(AVEU_Historical_Data__2[[#This Row],[Date]])</f>
        <v>1</v>
      </c>
      <c r="K934" s="228"/>
    </row>
    <row r="935" spans="1:11" x14ac:dyDescent="0.25">
      <c r="A935" s="227">
        <v>45296</v>
      </c>
      <c r="B935" s="228">
        <v>3863.5</v>
      </c>
      <c r="C935" s="228">
        <v>3902</v>
      </c>
      <c r="D935" s="228">
        <v>3940</v>
      </c>
      <c r="E935" s="228">
        <v>3810</v>
      </c>
      <c r="F935">
        <v>513820.00000000006</v>
      </c>
      <c r="G935" s="228">
        <v>-8.8000000000000005E-3</v>
      </c>
      <c r="H935" s="228">
        <f>YEAR(AVEU_Historical_Data__2[[#This Row],[Date]])</f>
        <v>2024</v>
      </c>
      <c r="I935" s="228">
        <f>ROUNDUP((MOD(MONTH(AVEU_Historical_Data__2[[#This Row],[Date]])+8,12)+1)/3,0)</f>
        <v>4</v>
      </c>
      <c r="J935" s="228">
        <f>MONTH(AVEU_Historical_Data__2[[#This Row],[Date]])</f>
        <v>1</v>
      </c>
      <c r="K935" s="228"/>
    </row>
    <row r="936" spans="1:11" x14ac:dyDescent="0.25">
      <c r="A936" s="227">
        <v>45299</v>
      </c>
      <c r="B936" s="228">
        <v>3804.4</v>
      </c>
      <c r="C936" s="228">
        <v>3893.95</v>
      </c>
      <c r="D936" s="228">
        <v>3919.9</v>
      </c>
      <c r="E936" s="228">
        <v>3791</v>
      </c>
      <c r="F936">
        <v>692900</v>
      </c>
      <c r="G936" s="228">
        <v>-1.5299999999999999E-2</v>
      </c>
      <c r="H936" s="228">
        <f>YEAR(AVEU_Historical_Data__2[[#This Row],[Date]])</f>
        <v>2024</v>
      </c>
      <c r="I936" s="228">
        <f>ROUNDUP((MOD(MONTH(AVEU_Historical_Data__2[[#This Row],[Date]])+8,12)+1)/3,0)</f>
        <v>4</v>
      </c>
      <c r="J936" s="228">
        <f>MONTH(AVEU_Historical_Data__2[[#This Row],[Date]])</f>
        <v>1</v>
      </c>
      <c r="K936" s="228"/>
    </row>
    <row r="937" spans="1:11" x14ac:dyDescent="0.25">
      <c r="A937" s="227">
        <v>45300</v>
      </c>
      <c r="B937" s="228">
        <v>3810.75</v>
      </c>
      <c r="C937" s="228">
        <v>3810.1</v>
      </c>
      <c r="D937" s="228">
        <v>3850</v>
      </c>
      <c r="E937" s="228">
        <v>3787</v>
      </c>
      <c r="F937">
        <v>440690</v>
      </c>
      <c r="G937" s="228">
        <v>1.6999999999999999E-3</v>
      </c>
      <c r="H937" s="228">
        <f>YEAR(AVEU_Historical_Data__2[[#This Row],[Date]])</f>
        <v>2024</v>
      </c>
      <c r="I937" s="228">
        <f>ROUNDUP((MOD(MONTH(AVEU_Historical_Data__2[[#This Row],[Date]])+8,12)+1)/3,0)</f>
        <v>4</v>
      </c>
      <c r="J937" s="228">
        <f>MONTH(AVEU_Historical_Data__2[[#This Row],[Date]])</f>
        <v>1</v>
      </c>
      <c r="K937" s="228"/>
    </row>
    <row r="938" spans="1:11" x14ac:dyDescent="0.25">
      <c r="A938" s="227">
        <v>45301</v>
      </c>
      <c r="B938" s="228">
        <v>3822</v>
      </c>
      <c r="C938" s="228">
        <v>3818.9</v>
      </c>
      <c r="D938" s="228">
        <v>3837.95</v>
      </c>
      <c r="E938" s="228">
        <v>3792.35</v>
      </c>
      <c r="F938">
        <v>338250</v>
      </c>
      <c r="G938" s="228">
        <v>3.0000000000000001E-3</v>
      </c>
      <c r="H938" s="228">
        <f>YEAR(AVEU_Historical_Data__2[[#This Row],[Date]])</f>
        <v>2024</v>
      </c>
      <c r="I938" s="228">
        <f>ROUNDUP((MOD(MONTH(AVEU_Historical_Data__2[[#This Row],[Date]])+8,12)+1)/3,0)</f>
        <v>4</v>
      </c>
      <c r="J938" s="228">
        <f>MONTH(AVEU_Historical_Data__2[[#This Row],[Date]])</f>
        <v>1</v>
      </c>
      <c r="K938" s="228"/>
    </row>
    <row r="939" spans="1:11" x14ac:dyDescent="0.25">
      <c r="A939" s="227">
        <v>45302</v>
      </c>
      <c r="B939" s="228">
        <v>3821.35</v>
      </c>
      <c r="C939" s="228">
        <v>3845</v>
      </c>
      <c r="D939" s="228">
        <v>3845</v>
      </c>
      <c r="E939" s="228">
        <v>3805</v>
      </c>
      <c r="F939">
        <v>213490</v>
      </c>
      <c r="G939" s="228">
        <v>-2.0000000000000001E-4</v>
      </c>
      <c r="H939" s="228">
        <f>YEAR(AVEU_Historical_Data__2[[#This Row],[Date]])</f>
        <v>2024</v>
      </c>
      <c r="I939" s="228">
        <f>ROUNDUP((MOD(MONTH(AVEU_Historical_Data__2[[#This Row],[Date]])+8,12)+1)/3,0)</f>
        <v>4</v>
      </c>
      <c r="J939" s="228">
        <f>MONTH(AVEU_Historical_Data__2[[#This Row],[Date]])</f>
        <v>1</v>
      </c>
      <c r="K939" s="228"/>
    </row>
    <row r="940" spans="1:11" x14ac:dyDescent="0.25">
      <c r="A940" s="227">
        <v>45303</v>
      </c>
      <c r="B940" s="228">
        <v>3841</v>
      </c>
      <c r="C940" s="228">
        <v>3827.95</v>
      </c>
      <c r="D940" s="228">
        <v>3848</v>
      </c>
      <c r="E940" s="228">
        <v>3794.1</v>
      </c>
      <c r="F940">
        <v>456630</v>
      </c>
      <c r="G940" s="228">
        <v>5.1000000000000004E-3</v>
      </c>
      <c r="H940" s="228">
        <f>YEAR(AVEU_Historical_Data__2[[#This Row],[Date]])</f>
        <v>2024</v>
      </c>
      <c r="I940" s="228">
        <f>ROUNDUP((MOD(MONTH(AVEU_Historical_Data__2[[#This Row],[Date]])+8,12)+1)/3,0)</f>
        <v>4</v>
      </c>
      <c r="J940" s="228">
        <f>MONTH(AVEU_Historical_Data__2[[#This Row],[Date]])</f>
        <v>1</v>
      </c>
      <c r="K940" s="228"/>
    </row>
    <row r="941" spans="1:11" x14ac:dyDescent="0.25">
      <c r="A941" s="227">
        <v>45306</v>
      </c>
      <c r="B941" s="228">
        <v>3858.25</v>
      </c>
      <c r="C941" s="228">
        <v>3924.95</v>
      </c>
      <c r="D941" s="228">
        <v>3933</v>
      </c>
      <c r="E941" s="228">
        <v>3851</v>
      </c>
      <c r="F941">
        <v>505100</v>
      </c>
      <c r="G941" s="228">
        <v>4.4999999999999997E-3</v>
      </c>
      <c r="H941" s="228">
        <f>YEAR(AVEU_Historical_Data__2[[#This Row],[Date]])</f>
        <v>2024</v>
      </c>
      <c r="I941" s="228">
        <f>ROUNDUP((MOD(MONTH(AVEU_Historical_Data__2[[#This Row],[Date]])+8,12)+1)/3,0)</f>
        <v>4</v>
      </c>
      <c r="J941" s="228">
        <f>MONTH(AVEU_Historical_Data__2[[#This Row],[Date]])</f>
        <v>1</v>
      </c>
      <c r="K941" s="228"/>
    </row>
    <row r="942" spans="1:11" x14ac:dyDescent="0.25">
      <c r="A942" s="227">
        <v>45307</v>
      </c>
      <c r="B942" s="228">
        <v>3828.3</v>
      </c>
      <c r="C942" s="228">
        <v>3860</v>
      </c>
      <c r="D942" s="228">
        <v>3865</v>
      </c>
      <c r="E942" s="228">
        <v>3807</v>
      </c>
      <c r="F942">
        <v>445670</v>
      </c>
      <c r="G942" s="228">
        <v>-7.7999999999999996E-3</v>
      </c>
      <c r="H942" s="228">
        <f>YEAR(AVEU_Historical_Data__2[[#This Row],[Date]])</f>
        <v>2024</v>
      </c>
      <c r="I942" s="228">
        <f>ROUNDUP((MOD(MONTH(AVEU_Historical_Data__2[[#This Row],[Date]])+8,12)+1)/3,0)</f>
        <v>4</v>
      </c>
      <c r="J942" s="228">
        <f>MONTH(AVEU_Historical_Data__2[[#This Row],[Date]])</f>
        <v>1</v>
      </c>
      <c r="K942" s="228"/>
    </row>
    <row r="943" spans="1:11" x14ac:dyDescent="0.25">
      <c r="A943" s="227">
        <v>45308</v>
      </c>
      <c r="B943" s="228">
        <v>3786.45</v>
      </c>
      <c r="C943" s="228">
        <v>3750</v>
      </c>
      <c r="D943" s="228">
        <v>3811.9</v>
      </c>
      <c r="E943" s="228">
        <v>3750</v>
      </c>
      <c r="F943">
        <v>516400</v>
      </c>
      <c r="G943" s="228">
        <v>-1.09E-2</v>
      </c>
      <c r="H943" s="228">
        <f>YEAR(AVEU_Historical_Data__2[[#This Row],[Date]])</f>
        <v>2024</v>
      </c>
      <c r="I943" s="228">
        <f>ROUNDUP((MOD(MONTH(AVEU_Historical_Data__2[[#This Row],[Date]])+8,12)+1)/3,0)</f>
        <v>4</v>
      </c>
      <c r="J943" s="228">
        <f>MONTH(AVEU_Historical_Data__2[[#This Row],[Date]])</f>
        <v>1</v>
      </c>
      <c r="K943" s="228"/>
    </row>
    <row r="944" spans="1:11" x14ac:dyDescent="0.25">
      <c r="A944" s="227">
        <v>45309</v>
      </c>
      <c r="B944" s="228">
        <v>3748.85</v>
      </c>
      <c r="C944" s="228">
        <v>3786.45</v>
      </c>
      <c r="D944" s="228">
        <v>3790</v>
      </c>
      <c r="E944" s="228">
        <v>3740</v>
      </c>
      <c r="F944">
        <v>489750</v>
      </c>
      <c r="G944" s="228">
        <v>-9.9000000000000008E-3</v>
      </c>
      <c r="H944" s="228">
        <f>YEAR(AVEU_Historical_Data__2[[#This Row],[Date]])</f>
        <v>2024</v>
      </c>
      <c r="I944" s="228">
        <f>ROUNDUP((MOD(MONTH(AVEU_Historical_Data__2[[#This Row],[Date]])+8,12)+1)/3,0)</f>
        <v>4</v>
      </c>
      <c r="J944" s="228">
        <f>MONTH(AVEU_Historical_Data__2[[#This Row],[Date]])</f>
        <v>1</v>
      </c>
      <c r="K944" s="228"/>
    </row>
    <row r="945" spans="1:11" x14ac:dyDescent="0.25">
      <c r="A945" s="227">
        <v>45310</v>
      </c>
      <c r="B945" s="228">
        <v>3731.7</v>
      </c>
      <c r="C945" s="228">
        <v>3762.95</v>
      </c>
      <c r="D945" s="228">
        <v>3768.7</v>
      </c>
      <c r="E945" s="228">
        <v>3704.5</v>
      </c>
      <c r="F945">
        <v>565530</v>
      </c>
      <c r="G945" s="228">
        <v>-4.5999999999999999E-3</v>
      </c>
      <c r="H945" s="228">
        <f>YEAR(AVEU_Historical_Data__2[[#This Row],[Date]])</f>
        <v>2024</v>
      </c>
      <c r="I945" s="228">
        <f>ROUNDUP((MOD(MONTH(AVEU_Historical_Data__2[[#This Row],[Date]])+8,12)+1)/3,0)</f>
        <v>4</v>
      </c>
      <c r="J945" s="228">
        <f>MONTH(AVEU_Historical_Data__2[[#This Row],[Date]])</f>
        <v>1</v>
      </c>
      <c r="K945" s="228"/>
    </row>
    <row r="946" spans="1:11" x14ac:dyDescent="0.25">
      <c r="A946" s="227">
        <v>45311</v>
      </c>
      <c r="B946" s="228">
        <v>3681</v>
      </c>
      <c r="C946" s="228">
        <v>3714.7</v>
      </c>
      <c r="D946" s="228">
        <v>3714.7</v>
      </c>
      <c r="E946" s="228">
        <v>3667.2</v>
      </c>
      <c r="F946">
        <v>340140</v>
      </c>
      <c r="G946" s="228">
        <v>-1.3599999999999999E-2</v>
      </c>
      <c r="H946" s="228">
        <f>YEAR(AVEU_Historical_Data__2[[#This Row],[Date]])</f>
        <v>2024</v>
      </c>
      <c r="I946" s="228">
        <f>ROUNDUP((MOD(MONTH(AVEU_Historical_Data__2[[#This Row],[Date]])+8,12)+1)/3,0)</f>
        <v>4</v>
      </c>
      <c r="J946" s="228">
        <f>MONTH(AVEU_Historical_Data__2[[#This Row],[Date]])</f>
        <v>1</v>
      </c>
      <c r="K946" s="228"/>
    </row>
    <row r="947" spans="1:11" x14ac:dyDescent="0.25">
      <c r="A947" s="227">
        <v>45314</v>
      </c>
      <c r="B947" s="228">
        <v>3675.9</v>
      </c>
      <c r="C947" s="228">
        <v>3675</v>
      </c>
      <c r="D947" s="228">
        <v>3714</v>
      </c>
      <c r="E947" s="228">
        <v>3651.05</v>
      </c>
      <c r="F947">
        <v>299750</v>
      </c>
      <c r="G947" s="228">
        <v>-1.4E-3</v>
      </c>
      <c r="H947" s="228">
        <f>YEAR(AVEU_Historical_Data__2[[#This Row],[Date]])</f>
        <v>2024</v>
      </c>
      <c r="I947" s="228">
        <f>ROUNDUP((MOD(MONTH(AVEU_Historical_Data__2[[#This Row],[Date]])+8,12)+1)/3,0)</f>
        <v>4</v>
      </c>
      <c r="J947" s="228">
        <f>MONTH(AVEU_Historical_Data__2[[#This Row],[Date]])</f>
        <v>1</v>
      </c>
      <c r="K947" s="228"/>
    </row>
    <row r="948" spans="1:11" x14ac:dyDescent="0.25">
      <c r="A948" s="227">
        <v>45315</v>
      </c>
      <c r="B948" s="228">
        <v>3727.75</v>
      </c>
      <c r="C948" s="228">
        <v>3675.9</v>
      </c>
      <c r="D948" s="228">
        <v>3748</v>
      </c>
      <c r="E948" s="228">
        <v>3646.05</v>
      </c>
      <c r="F948">
        <v>316650</v>
      </c>
      <c r="G948" s="228">
        <v>1.41E-2</v>
      </c>
      <c r="H948" s="228">
        <f>YEAR(AVEU_Historical_Data__2[[#This Row],[Date]])</f>
        <v>2024</v>
      </c>
      <c r="I948" s="228">
        <f>ROUNDUP((MOD(MONTH(AVEU_Historical_Data__2[[#This Row],[Date]])+8,12)+1)/3,0)</f>
        <v>4</v>
      </c>
      <c r="J948" s="228">
        <f>MONTH(AVEU_Historical_Data__2[[#This Row],[Date]])</f>
        <v>1</v>
      </c>
      <c r="K948" s="228"/>
    </row>
    <row r="949" spans="1:11" x14ac:dyDescent="0.25">
      <c r="A949" s="227">
        <v>45316</v>
      </c>
      <c r="B949" s="228">
        <v>3734.25</v>
      </c>
      <c r="C949" s="228">
        <v>3731</v>
      </c>
      <c r="D949" s="228">
        <v>3750</v>
      </c>
      <c r="E949" s="228">
        <v>3695.5</v>
      </c>
      <c r="F949">
        <v>200270</v>
      </c>
      <c r="G949" s="228">
        <v>1.6999999999999999E-3</v>
      </c>
      <c r="H949" s="228">
        <f>YEAR(AVEU_Historical_Data__2[[#This Row],[Date]])</f>
        <v>2024</v>
      </c>
      <c r="I949" s="228">
        <f>ROUNDUP((MOD(MONTH(AVEU_Historical_Data__2[[#This Row],[Date]])+8,12)+1)/3,0)</f>
        <v>4</v>
      </c>
      <c r="J949" s="228">
        <f>MONTH(AVEU_Historical_Data__2[[#This Row],[Date]])</f>
        <v>1</v>
      </c>
      <c r="K949" s="228"/>
    </row>
    <row r="950" spans="1:11" x14ac:dyDescent="0.25">
      <c r="A950" s="227">
        <v>45320</v>
      </c>
      <c r="B950" s="228">
        <v>3749.4</v>
      </c>
      <c r="C950" s="228">
        <v>3700</v>
      </c>
      <c r="D950" s="228">
        <v>3764.2</v>
      </c>
      <c r="E950" s="228">
        <v>3689</v>
      </c>
      <c r="F950">
        <v>216520</v>
      </c>
      <c r="G950" s="228">
        <v>4.1000000000000003E-3</v>
      </c>
      <c r="H950" s="228">
        <f>YEAR(AVEU_Historical_Data__2[[#This Row],[Date]])</f>
        <v>2024</v>
      </c>
      <c r="I950" s="228">
        <f>ROUNDUP((MOD(MONTH(AVEU_Historical_Data__2[[#This Row],[Date]])+8,12)+1)/3,0)</f>
        <v>4</v>
      </c>
      <c r="J950" s="228">
        <f>MONTH(AVEU_Historical_Data__2[[#This Row],[Date]])</f>
        <v>1</v>
      </c>
      <c r="K950" s="228"/>
    </row>
    <row r="951" spans="1:11" x14ac:dyDescent="0.25">
      <c r="A951" s="227">
        <v>45321</v>
      </c>
      <c r="B951" s="228">
        <v>3687.3</v>
      </c>
      <c r="C951" s="228">
        <v>3740</v>
      </c>
      <c r="D951" s="228">
        <v>3772.85</v>
      </c>
      <c r="E951" s="228">
        <v>3680</v>
      </c>
      <c r="F951">
        <v>263270</v>
      </c>
      <c r="G951" s="228">
        <v>-1.66E-2</v>
      </c>
      <c r="H951" s="228">
        <f>YEAR(AVEU_Historical_Data__2[[#This Row],[Date]])</f>
        <v>2024</v>
      </c>
      <c r="I951" s="228">
        <f>ROUNDUP((MOD(MONTH(AVEU_Historical_Data__2[[#This Row],[Date]])+8,12)+1)/3,0)</f>
        <v>4</v>
      </c>
      <c r="J951" s="228">
        <f>MONTH(AVEU_Historical_Data__2[[#This Row],[Date]])</f>
        <v>1</v>
      </c>
      <c r="K951" s="228"/>
    </row>
    <row r="952" spans="1:11" x14ac:dyDescent="0.25">
      <c r="A952" s="227">
        <v>45322</v>
      </c>
      <c r="B952" s="228">
        <v>3792.7</v>
      </c>
      <c r="C952" s="228">
        <v>3680</v>
      </c>
      <c r="D952" s="228">
        <v>3821.4</v>
      </c>
      <c r="E952" s="228">
        <v>3652.75</v>
      </c>
      <c r="F952">
        <v>353880</v>
      </c>
      <c r="G952" s="228">
        <v>2.86E-2</v>
      </c>
      <c r="H952" s="228">
        <f>YEAR(AVEU_Historical_Data__2[[#This Row],[Date]])</f>
        <v>2024</v>
      </c>
      <c r="I952" s="228">
        <f>ROUNDUP((MOD(MONTH(AVEU_Historical_Data__2[[#This Row],[Date]])+8,12)+1)/3,0)</f>
        <v>4</v>
      </c>
      <c r="J952" s="228">
        <f>MONTH(AVEU_Historical_Data__2[[#This Row],[Date]])</f>
        <v>1</v>
      </c>
      <c r="K952" s="228"/>
    </row>
    <row r="953" spans="1:11" x14ac:dyDescent="0.25">
      <c r="A953" s="227">
        <v>45323</v>
      </c>
      <c r="B953" s="228">
        <v>3808.2</v>
      </c>
      <c r="C953" s="228">
        <v>3810</v>
      </c>
      <c r="D953" s="228">
        <v>3826.6</v>
      </c>
      <c r="E953" s="228">
        <v>3772</v>
      </c>
      <c r="F953">
        <v>188300</v>
      </c>
      <c r="G953" s="228">
        <v>4.1000000000000003E-3</v>
      </c>
      <c r="H953" s="228">
        <f>YEAR(AVEU_Historical_Data__2[[#This Row],[Date]])</f>
        <v>2024</v>
      </c>
      <c r="I953" s="228">
        <f>ROUNDUP((MOD(MONTH(AVEU_Historical_Data__2[[#This Row],[Date]])+8,12)+1)/3,0)</f>
        <v>4</v>
      </c>
      <c r="J953" s="228">
        <f>MONTH(AVEU_Historical_Data__2[[#This Row],[Date]])</f>
        <v>2</v>
      </c>
      <c r="K953" s="228"/>
    </row>
    <row r="954" spans="1:11" x14ac:dyDescent="0.25">
      <c r="A954" s="227">
        <v>45324</v>
      </c>
      <c r="B954" s="228">
        <v>3784.3</v>
      </c>
      <c r="C954" s="228">
        <v>3808.2</v>
      </c>
      <c r="D954" s="228">
        <v>3815</v>
      </c>
      <c r="E954" s="228">
        <v>3770</v>
      </c>
      <c r="F954">
        <v>186320</v>
      </c>
      <c r="G954" s="228">
        <v>-6.3E-3</v>
      </c>
      <c r="H954" s="228">
        <f>YEAR(AVEU_Historical_Data__2[[#This Row],[Date]])</f>
        <v>2024</v>
      </c>
      <c r="I954" s="228">
        <f>ROUNDUP((MOD(MONTH(AVEU_Historical_Data__2[[#This Row],[Date]])+8,12)+1)/3,0)</f>
        <v>4</v>
      </c>
      <c r="J954" s="228">
        <f>MONTH(AVEU_Historical_Data__2[[#This Row],[Date]])</f>
        <v>2</v>
      </c>
      <c r="K954" s="228"/>
    </row>
    <row r="955" spans="1:11" x14ac:dyDescent="0.25">
      <c r="A955" s="227">
        <v>45327</v>
      </c>
      <c r="B955" s="228">
        <v>3729.6</v>
      </c>
      <c r="C955" s="228">
        <v>3785</v>
      </c>
      <c r="D955" s="228">
        <v>3791.55</v>
      </c>
      <c r="E955" s="228">
        <v>3720.05</v>
      </c>
      <c r="F955">
        <v>216050</v>
      </c>
      <c r="G955" s="228">
        <v>-1.4500000000000001E-2</v>
      </c>
      <c r="H955" s="228">
        <f>YEAR(AVEU_Historical_Data__2[[#This Row],[Date]])</f>
        <v>2024</v>
      </c>
      <c r="I955" s="228">
        <f>ROUNDUP((MOD(MONTH(AVEU_Historical_Data__2[[#This Row],[Date]])+8,12)+1)/3,0)</f>
        <v>4</v>
      </c>
      <c r="J955" s="228">
        <f>MONTH(AVEU_Historical_Data__2[[#This Row],[Date]])</f>
        <v>2</v>
      </c>
      <c r="K955" s="228"/>
    </row>
    <row r="956" spans="1:11" x14ac:dyDescent="0.25">
      <c r="A956" s="227">
        <v>45328</v>
      </c>
      <c r="B956" s="228">
        <v>3727.4</v>
      </c>
      <c r="C956" s="228">
        <v>3730</v>
      </c>
      <c r="D956" s="228">
        <v>3737.7</v>
      </c>
      <c r="E956" s="228">
        <v>3702.05</v>
      </c>
      <c r="F956">
        <v>148110</v>
      </c>
      <c r="G956" s="228">
        <v>-5.9999999999999995E-4</v>
      </c>
      <c r="H956" s="228">
        <f>YEAR(AVEU_Historical_Data__2[[#This Row],[Date]])</f>
        <v>2024</v>
      </c>
      <c r="I956" s="228">
        <f>ROUNDUP((MOD(MONTH(AVEU_Historical_Data__2[[#This Row],[Date]])+8,12)+1)/3,0)</f>
        <v>4</v>
      </c>
      <c r="J956" s="228">
        <f>MONTH(AVEU_Historical_Data__2[[#This Row],[Date]])</f>
        <v>2</v>
      </c>
      <c r="K956" s="228"/>
    </row>
    <row r="957" spans="1:11" x14ac:dyDescent="0.25">
      <c r="A957" s="227">
        <v>45329</v>
      </c>
      <c r="B957" s="228">
        <v>3717.7</v>
      </c>
      <c r="C957" s="228">
        <v>3759</v>
      </c>
      <c r="D957" s="228">
        <v>3785</v>
      </c>
      <c r="E957" s="228">
        <v>3703</v>
      </c>
      <c r="F957">
        <v>173090</v>
      </c>
      <c r="G957" s="228">
        <v>-2.5999999999999999E-3</v>
      </c>
      <c r="H957" s="228">
        <f>YEAR(AVEU_Historical_Data__2[[#This Row],[Date]])</f>
        <v>2024</v>
      </c>
      <c r="I957" s="228">
        <f>ROUNDUP((MOD(MONTH(AVEU_Historical_Data__2[[#This Row],[Date]])+8,12)+1)/3,0)</f>
        <v>4</v>
      </c>
      <c r="J957" s="228">
        <f>MONTH(AVEU_Historical_Data__2[[#This Row],[Date]])</f>
        <v>2</v>
      </c>
      <c r="K957" s="228"/>
    </row>
    <row r="958" spans="1:11" x14ac:dyDescent="0.25">
      <c r="A958" s="227">
        <v>45330</v>
      </c>
      <c r="B958" s="228">
        <v>3731.05</v>
      </c>
      <c r="C958" s="228">
        <v>3718.95</v>
      </c>
      <c r="D958" s="228">
        <v>3787.95</v>
      </c>
      <c r="E958" s="228">
        <v>3715</v>
      </c>
      <c r="F958">
        <v>261690</v>
      </c>
      <c r="G958" s="228">
        <v>3.5999999999999999E-3</v>
      </c>
      <c r="H958" s="228">
        <f>YEAR(AVEU_Historical_Data__2[[#This Row],[Date]])</f>
        <v>2024</v>
      </c>
      <c r="I958" s="228">
        <f>ROUNDUP((MOD(MONTH(AVEU_Historical_Data__2[[#This Row],[Date]])+8,12)+1)/3,0)</f>
        <v>4</v>
      </c>
      <c r="J958" s="228">
        <f>MONTH(AVEU_Historical_Data__2[[#This Row],[Date]])</f>
        <v>2</v>
      </c>
      <c r="K958" s="228"/>
    </row>
    <row r="959" spans="1:11" x14ac:dyDescent="0.25">
      <c r="A959" s="227">
        <v>45331</v>
      </c>
      <c r="B959" s="228">
        <v>3719.2</v>
      </c>
      <c r="C959" s="228">
        <v>3732.15</v>
      </c>
      <c r="D959" s="228">
        <v>3758</v>
      </c>
      <c r="E959" s="228">
        <v>3699</v>
      </c>
      <c r="F959">
        <v>306430</v>
      </c>
      <c r="G959" s="228">
        <v>-3.2000000000000002E-3</v>
      </c>
      <c r="H959" s="228">
        <f>YEAR(AVEU_Historical_Data__2[[#This Row],[Date]])</f>
        <v>2024</v>
      </c>
      <c r="I959" s="228">
        <f>ROUNDUP((MOD(MONTH(AVEU_Historical_Data__2[[#This Row],[Date]])+8,12)+1)/3,0)</f>
        <v>4</v>
      </c>
      <c r="J959" s="228">
        <f>MONTH(AVEU_Historical_Data__2[[#This Row],[Date]])</f>
        <v>2</v>
      </c>
      <c r="K959" s="228"/>
    </row>
    <row r="960" spans="1:11" x14ac:dyDescent="0.25">
      <c r="A960" s="227">
        <v>45334</v>
      </c>
      <c r="B960" s="228">
        <v>3675.6</v>
      </c>
      <c r="C960" s="228">
        <v>3719.2</v>
      </c>
      <c r="D960" s="228">
        <v>3734.95</v>
      </c>
      <c r="E960" s="228">
        <v>3644.3</v>
      </c>
      <c r="F960">
        <v>199150</v>
      </c>
      <c r="G960" s="228">
        <v>-1.17E-2</v>
      </c>
      <c r="H960" s="228">
        <f>YEAR(AVEU_Historical_Data__2[[#This Row],[Date]])</f>
        <v>2024</v>
      </c>
      <c r="I960" s="228">
        <f>ROUNDUP((MOD(MONTH(AVEU_Historical_Data__2[[#This Row],[Date]])+8,12)+1)/3,0)</f>
        <v>4</v>
      </c>
      <c r="J960" s="228">
        <f>MONTH(AVEU_Historical_Data__2[[#This Row],[Date]])</f>
        <v>2</v>
      </c>
      <c r="K960" s="228"/>
    </row>
    <row r="961" spans="1:11" x14ac:dyDescent="0.25">
      <c r="A961" s="227">
        <v>45335</v>
      </c>
      <c r="B961" s="228">
        <v>3703.2</v>
      </c>
      <c r="C961" s="228">
        <v>3685.05</v>
      </c>
      <c r="D961" s="228">
        <v>3728</v>
      </c>
      <c r="E961" s="228">
        <v>3660.9</v>
      </c>
      <c r="F961">
        <v>294140</v>
      </c>
      <c r="G961" s="228">
        <v>7.4999999999999997E-3</v>
      </c>
      <c r="H961" s="228">
        <f>YEAR(AVEU_Historical_Data__2[[#This Row],[Date]])</f>
        <v>2024</v>
      </c>
      <c r="I961" s="228">
        <f>ROUNDUP((MOD(MONTH(AVEU_Historical_Data__2[[#This Row],[Date]])+8,12)+1)/3,0)</f>
        <v>4</v>
      </c>
      <c r="J961" s="228">
        <f>MONTH(AVEU_Historical_Data__2[[#This Row],[Date]])</f>
        <v>2</v>
      </c>
      <c r="K961" s="228"/>
    </row>
    <row r="962" spans="1:11" x14ac:dyDescent="0.25">
      <c r="A962" s="227">
        <v>45336</v>
      </c>
      <c r="B962" s="228">
        <v>3722.4</v>
      </c>
      <c r="C962" s="228">
        <v>3700</v>
      </c>
      <c r="D962" s="228">
        <v>3739</v>
      </c>
      <c r="E962" s="228">
        <v>3691.05</v>
      </c>
      <c r="F962">
        <v>257690</v>
      </c>
      <c r="G962" s="228">
        <v>5.1999999999999998E-3</v>
      </c>
      <c r="H962" s="228">
        <f>YEAR(AVEU_Historical_Data__2[[#This Row],[Date]])</f>
        <v>2024</v>
      </c>
      <c r="I962" s="228">
        <f>ROUNDUP((MOD(MONTH(AVEU_Historical_Data__2[[#This Row],[Date]])+8,12)+1)/3,0)</f>
        <v>4</v>
      </c>
      <c r="J962" s="228">
        <f>MONTH(AVEU_Historical_Data__2[[#This Row],[Date]])</f>
        <v>2</v>
      </c>
      <c r="K962" s="228"/>
    </row>
    <row r="963" spans="1:11" x14ac:dyDescent="0.25">
      <c r="A963" s="227">
        <v>45337</v>
      </c>
      <c r="B963" s="228">
        <v>3678.6</v>
      </c>
      <c r="C963" s="228">
        <v>3722.4</v>
      </c>
      <c r="D963" s="228">
        <v>3729.95</v>
      </c>
      <c r="E963" s="228">
        <v>3671.35</v>
      </c>
      <c r="F963">
        <v>507420</v>
      </c>
      <c r="G963" s="228">
        <v>-1.18E-2</v>
      </c>
      <c r="H963" s="228">
        <f>YEAR(AVEU_Historical_Data__2[[#This Row],[Date]])</f>
        <v>2024</v>
      </c>
      <c r="I963" s="228">
        <f>ROUNDUP((MOD(MONTH(AVEU_Historical_Data__2[[#This Row],[Date]])+8,12)+1)/3,0)</f>
        <v>4</v>
      </c>
      <c r="J963" s="228">
        <f>MONTH(AVEU_Historical_Data__2[[#This Row],[Date]])</f>
        <v>2</v>
      </c>
      <c r="K963" s="228"/>
    </row>
    <row r="964" spans="1:11" x14ac:dyDescent="0.25">
      <c r="A964" s="227">
        <v>45338</v>
      </c>
      <c r="B964" s="228">
        <v>3693.3</v>
      </c>
      <c r="C964" s="228">
        <v>3698.6</v>
      </c>
      <c r="D964" s="228">
        <v>3724.65</v>
      </c>
      <c r="E964" s="228">
        <v>3665.1</v>
      </c>
      <c r="F964">
        <v>726600</v>
      </c>
      <c r="G964" s="228">
        <v>4.0000000000000001E-3</v>
      </c>
      <c r="H964" s="228">
        <f>YEAR(AVEU_Historical_Data__2[[#This Row],[Date]])</f>
        <v>2024</v>
      </c>
      <c r="I964" s="228">
        <f>ROUNDUP((MOD(MONTH(AVEU_Historical_Data__2[[#This Row],[Date]])+8,12)+1)/3,0)</f>
        <v>4</v>
      </c>
      <c r="J964" s="228">
        <f>MONTH(AVEU_Historical_Data__2[[#This Row],[Date]])</f>
        <v>2</v>
      </c>
      <c r="K964" s="228"/>
    </row>
    <row r="965" spans="1:11" x14ac:dyDescent="0.25">
      <c r="A965" s="227">
        <v>45341</v>
      </c>
      <c r="B965" s="228">
        <v>3707.25</v>
      </c>
      <c r="C965" s="228">
        <v>3673.3</v>
      </c>
      <c r="D965" s="228">
        <v>3722</v>
      </c>
      <c r="E965" s="228">
        <v>3673.3</v>
      </c>
      <c r="F965">
        <v>226670</v>
      </c>
      <c r="G965" s="228">
        <v>3.8E-3</v>
      </c>
      <c r="H965" s="228">
        <f>YEAR(AVEU_Historical_Data__2[[#This Row],[Date]])</f>
        <v>2024</v>
      </c>
      <c r="I965" s="228">
        <f>ROUNDUP((MOD(MONTH(AVEU_Historical_Data__2[[#This Row],[Date]])+8,12)+1)/3,0)</f>
        <v>4</v>
      </c>
      <c r="J965" s="228">
        <f>MONTH(AVEU_Historical_Data__2[[#This Row],[Date]])</f>
        <v>2</v>
      </c>
      <c r="K965" s="228"/>
    </row>
    <row r="966" spans="1:11" x14ac:dyDescent="0.25">
      <c r="A966" s="227">
        <v>45342</v>
      </c>
      <c r="B966" s="228">
        <v>3756.2</v>
      </c>
      <c r="C966" s="228">
        <v>3701</v>
      </c>
      <c r="D966" s="228">
        <v>3784</v>
      </c>
      <c r="E966" s="228">
        <v>3691.4</v>
      </c>
      <c r="F966">
        <v>316520</v>
      </c>
      <c r="G966" s="228">
        <v>1.32E-2</v>
      </c>
      <c r="H966" s="228">
        <f>YEAR(AVEU_Historical_Data__2[[#This Row],[Date]])</f>
        <v>2024</v>
      </c>
      <c r="I966" s="228">
        <f>ROUNDUP((MOD(MONTH(AVEU_Historical_Data__2[[#This Row],[Date]])+8,12)+1)/3,0)</f>
        <v>4</v>
      </c>
      <c r="J966" s="228">
        <f>MONTH(AVEU_Historical_Data__2[[#This Row],[Date]])</f>
        <v>2</v>
      </c>
      <c r="K966" s="228"/>
    </row>
    <row r="967" spans="1:11" x14ac:dyDescent="0.25">
      <c r="A967" s="227">
        <v>45343</v>
      </c>
      <c r="B967" s="228">
        <v>3835.75</v>
      </c>
      <c r="C967" s="228">
        <v>3752</v>
      </c>
      <c r="D967" s="228">
        <v>3889</v>
      </c>
      <c r="E967" s="228">
        <v>3752</v>
      </c>
      <c r="F967">
        <v>592510</v>
      </c>
      <c r="G967" s="228">
        <v>2.12E-2</v>
      </c>
      <c r="H967" s="228">
        <f>YEAR(AVEU_Historical_Data__2[[#This Row],[Date]])</f>
        <v>2024</v>
      </c>
      <c r="I967" s="228">
        <f>ROUNDUP((MOD(MONTH(AVEU_Historical_Data__2[[#This Row],[Date]])+8,12)+1)/3,0)</f>
        <v>4</v>
      </c>
      <c r="J967" s="228">
        <f>MONTH(AVEU_Historical_Data__2[[#This Row],[Date]])</f>
        <v>2</v>
      </c>
      <c r="K967" s="228"/>
    </row>
    <row r="968" spans="1:11" x14ac:dyDescent="0.25">
      <c r="A968" s="227">
        <v>45344</v>
      </c>
      <c r="B968" s="228">
        <v>3851.45</v>
      </c>
      <c r="C968" s="228">
        <v>3860</v>
      </c>
      <c r="D968" s="228">
        <v>3869</v>
      </c>
      <c r="E968" s="228">
        <v>3801.85</v>
      </c>
      <c r="F968">
        <v>237410</v>
      </c>
      <c r="G968" s="228">
        <v>4.1000000000000003E-3</v>
      </c>
      <c r="H968" s="228">
        <f>YEAR(AVEU_Historical_Data__2[[#This Row],[Date]])</f>
        <v>2024</v>
      </c>
      <c r="I968" s="228">
        <f>ROUNDUP((MOD(MONTH(AVEU_Historical_Data__2[[#This Row],[Date]])+8,12)+1)/3,0)</f>
        <v>4</v>
      </c>
      <c r="J968" s="228">
        <f>MONTH(AVEU_Historical_Data__2[[#This Row],[Date]])</f>
        <v>2</v>
      </c>
      <c r="K968" s="228"/>
    </row>
    <row r="969" spans="1:11" x14ac:dyDescent="0.25">
      <c r="A969" s="227">
        <v>45345</v>
      </c>
      <c r="B969" s="228">
        <v>3840.55</v>
      </c>
      <c r="C969" s="228">
        <v>3860</v>
      </c>
      <c r="D969" s="228">
        <v>3872</v>
      </c>
      <c r="E969" s="228">
        <v>3828.65</v>
      </c>
      <c r="F969">
        <v>226730</v>
      </c>
      <c r="G969" s="228">
        <v>-2.8E-3</v>
      </c>
      <c r="H969" s="228">
        <f>YEAR(AVEU_Historical_Data__2[[#This Row],[Date]])</f>
        <v>2024</v>
      </c>
      <c r="I969" s="228">
        <f>ROUNDUP((MOD(MONTH(AVEU_Historical_Data__2[[#This Row],[Date]])+8,12)+1)/3,0)</f>
        <v>4</v>
      </c>
      <c r="J969" s="228">
        <f>MONTH(AVEU_Historical_Data__2[[#This Row],[Date]])</f>
        <v>2</v>
      </c>
      <c r="K969" s="228"/>
    </row>
    <row r="970" spans="1:11" x14ac:dyDescent="0.25">
      <c r="A970" s="227">
        <v>45348</v>
      </c>
      <c r="B970" s="228">
        <v>3850.35</v>
      </c>
      <c r="C970" s="228">
        <v>3840.55</v>
      </c>
      <c r="D970" s="228">
        <v>3859</v>
      </c>
      <c r="E970" s="228">
        <v>3796.25</v>
      </c>
      <c r="F970">
        <v>346650</v>
      </c>
      <c r="G970" s="228">
        <v>2.5999999999999999E-3</v>
      </c>
      <c r="H970" s="228">
        <f>YEAR(AVEU_Historical_Data__2[[#This Row],[Date]])</f>
        <v>2024</v>
      </c>
      <c r="I970" s="228">
        <f>ROUNDUP((MOD(MONTH(AVEU_Historical_Data__2[[#This Row],[Date]])+8,12)+1)/3,0)</f>
        <v>4</v>
      </c>
      <c r="J970" s="228">
        <f>MONTH(AVEU_Historical_Data__2[[#This Row],[Date]])</f>
        <v>2</v>
      </c>
      <c r="K970" s="228"/>
    </row>
    <row r="971" spans="1:11" x14ac:dyDescent="0.25">
      <c r="A971" s="227">
        <v>45349</v>
      </c>
      <c r="B971" s="228">
        <v>3852.2</v>
      </c>
      <c r="C971" s="228">
        <v>3859</v>
      </c>
      <c r="D971" s="228">
        <v>3885</v>
      </c>
      <c r="E971" s="228">
        <v>3818.05</v>
      </c>
      <c r="F971">
        <v>256240</v>
      </c>
      <c r="G971" s="228">
        <v>5.0000000000000001E-4</v>
      </c>
      <c r="H971" s="228">
        <f>YEAR(AVEU_Historical_Data__2[[#This Row],[Date]])</f>
        <v>2024</v>
      </c>
      <c r="I971" s="228">
        <f>ROUNDUP((MOD(MONTH(AVEU_Historical_Data__2[[#This Row],[Date]])+8,12)+1)/3,0)</f>
        <v>4</v>
      </c>
      <c r="J971" s="228">
        <f>MONTH(AVEU_Historical_Data__2[[#This Row],[Date]])</f>
        <v>2</v>
      </c>
      <c r="K971" s="228"/>
    </row>
    <row r="972" spans="1:11" x14ac:dyDescent="0.25">
      <c r="A972" s="227">
        <v>45350</v>
      </c>
      <c r="B972" s="228">
        <v>3850</v>
      </c>
      <c r="C972" s="228">
        <v>3856.4</v>
      </c>
      <c r="D972" s="228">
        <v>3948.3</v>
      </c>
      <c r="E972" s="228">
        <v>3838.1</v>
      </c>
      <c r="F972">
        <v>505410</v>
      </c>
      <c r="G972" s="228">
        <v>-5.9999999999999995E-4</v>
      </c>
      <c r="H972" s="228">
        <f>YEAR(AVEU_Historical_Data__2[[#This Row],[Date]])</f>
        <v>2024</v>
      </c>
      <c r="I972" s="228">
        <f>ROUNDUP((MOD(MONTH(AVEU_Historical_Data__2[[#This Row],[Date]])+8,12)+1)/3,0)</f>
        <v>4</v>
      </c>
      <c r="J972" s="228">
        <f>MONTH(AVEU_Historical_Data__2[[#This Row],[Date]])</f>
        <v>2</v>
      </c>
      <c r="K972" s="228"/>
    </row>
    <row r="973" spans="1:11" x14ac:dyDescent="0.25">
      <c r="A973" s="227">
        <v>45351</v>
      </c>
      <c r="B973" s="228">
        <v>3918.9</v>
      </c>
      <c r="C973" s="228">
        <v>3818.4</v>
      </c>
      <c r="D973" s="228">
        <v>3940</v>
      </c>
      <c r="E973" s="228">
        <v>3797.05</v>
      </c>
      <c r="F973">
        <v>499780</v>
      </c>
      <c r="G973" s="228">
        <v>1.7899999999999999E-2</v>
      </c>
      <c r="H973" s="228">
        <f>YEAR(AVEU_Historical_Data__2[[#This Row],[Date]])</f>
        <v>2024</v>
      </c>
      <c r="I973" s="228">
        <f>ROUNDUP((MOD(MONTH(AVEU_Historical_Data__2[[#This Row],[Date]])+8,12)+1)/3,0)</f>
        <v>4</v>
      </c>
      <c r="J973" s="228">
        <f>MONTH(AVEU_Historical_Data__2[[#This Row],[Date]])</f>
        <v>2</v>
      </c>
      <c r="K973" s="228"/>
    </row>
    <row r="974" spans="1:11" x14ac:dyDescent="0.25">
      <c r="A974" s="227">
        <v>45352</v>
      </c>
      <c r="B974" s="228">
        <v>3884.15</v>
      </c>
      <c r="C974" s="228">
        <v>3925</v>
      </c>
      <c r="D974" s="228">
        <v>3936.75</v>
      </c>
      <c r="E974" s="228">
        <v>3867</v>
      </c>
      <c r="F974">
        <v>261670.00000000003</v>
      </c>
      <c r="G974" s="228">
        <v>-8.8999999999999999E-3</v>
      </c>
      <c r="H974" s="228">
        <f>YEAR(AVEU_Historical_Data__2[[#This Row],[Date]])</f>
        <v>2024</v>
      </c>
      <c r="I974" s="228">
        <f>ROUNDUP((MOD(MONTH(AVEU_Historical_Data__2[[#This Row],[Date]])+8,12)+1)/3,0)</f>
        <v>4</v>
      </c>
      <c r="J974" s="228">
        <f>MONTH(AVEU_Historical_Data__2[[#This Row],[Date]])</f>
        <v>3</v>
      </c>
      <c r="K974" s="228"/>
    </row>
    <row r="975" spans="1:11" x14ac:dyDescent="0.25">
      <c r="A975" s="227">
        <v>45353</v>
      </c>
      <c r="B975" s="228">
        <v>3868.25</v>
      </c>
      <c r="C975" s="228">
        <v>3908.05</v>
      </c>
      <c r="D975" s="228">
        <v>3913</v>
      </c>
      <c r="E975" s="228">
        <v>3858.45</v>
      </c>
      <c r="F975">
        <v>11560</v>
      </c>
      <c r="G975" s="228">
        <v>-4.1000000000000003E-3</v>
      </c>
      <c r="H975" s="228">
        <f>YEAR(AVEU_Historical_Data__2[[#This Row],[Date]])</f>
        <v>2024</v>
      </c>
      <c r="I975" s="228">
        <f>ROUNDUP((MOD(MONTH(AVEU_Historical_Data__2[[#This Row],[Date]])+8,12)+1)/3,0)</f>
        <v>4</v>
      </c>
      <c r="J975" s="228">
        <f>MONTH(AVEU_Historical_Data__2[[#This Row],[Date]])</f>
        <v>3</v>
      </c>
      <c r="K975" s="228"/>
    </row>
    <row r="976" spans="1:11" x14ac:dyDescent="0.25">
      <c r="A976" s="227">
        <v>45355</v>
      </c>
      <c r="B976" s="228">
        <v>3846.35</v>
      </c>
      <c r="C976" s="228">
        <v>3870.95</v>
      </c>
      <c r="D976" s="228">
        <v>3878.65</v>
      </c>
      <c r="E976" s="228">
        <v>3831</v>
      </c>
      <c r="F976">
        <v>153060</v>
      </c>
      <c r="G976" s="228">
        <v>-5.7000000000000002E-3</v>
      </c>
      <c r="H976" s="228">
        <f>YEAR(AVEU_Historical_Data__2[[#This Row],[Date]])</f>
        <v>2024</v>
      </c>
      <c r="I976" s="228">
        <f>ROUNDUP((MOD(MONTH(AVEU_Historical_Data__2[[#This Row],[Date]])+8,12)+1)/3,0)</f>
        <v>4</v>
      </c>
      <c r="J976" s="228">
        <f>MONTH(AVEU_Historical_Data__2[[#This Row],[Date]])</f>
        <v>3</v>
      </c>
      <c r="K976" s="228"/>
    </row>
    <row r="977" spans="1:11" x14ac:dyDescent="0.25">
      <c r="A977" s="227">
        <v>45356</v>
      </c>
      <c r="B977" s="228">
        <v>3834.5</v>
      </c>
      <c r="C977" s="228">
        <v>3830</v>
      </c>
      <c r="D977" s="228">
        <v>3884.35</v>
      </c>
      <c r="E977" s="228">
        <v>3811.3</v>
      </c>
      <c r="F977">
        <v>185830</v>
      </c>
      <c r="G977" s="228">
        <v>-3.0999999999999999E-3</v>
      </c>
      <c r="H977" s="228">
        <f>YEAR(AVEU_Historical_Data__2[[#This Row],[Date]])</f>
        <v>2024</v>
      </c>
      <c r="I977" s="228">
        <f>ROUNDUP((MOD(MONTH(AVEU_Historical_Data__2[[#This Row],[Date]])+8,12)+1)/3,0)</f>
        <v>4</v>
      </c>
      <c r="J977" s="228">
        <f>MONTH(AVEU_Historical_Data__2[[#This Row],[Date]])</f>
        <v>3</v>
      </c>
      <c r="K977" s="228"/>
    </row>
    <row r="978" spans="1:11" x14ac:dyDescent="0.25">
      <c r="A978" s="227">
        <v>45357</v>
      </c>
      <c r="B978" s="228">
        <v>3888.65</v>
      </c>
      <c r="C978" s="228">
        <v>3834.5</v>
      </c>
      <c r="D978" s="228">
        <v>3895</v>
      </c>
      <c r="E978" s="228">
        <v>3825.15</v>
      </c>
      <c r="F978">
        <v>308890</v>
      </c>
      <c r="G978" s="228">
        <v>1.41E-2</v>
      </c>
      <c r="H978" s="228">
        <f>YEAR(AVEU_Historical_Data__2[[#This Row],[Date]])</f>
        <v>2024</v>
      </c>
      <c r="I978" s="228">
        <f>ROUNDUP((MOD(MONTH(AVEU_Historical_Data__2[[#This Row],[Date]])+8,12)+1)/3,0)</f>
        <v>4</v>
      </c>
      <c r="J978" s="228">
        <f>MONTH(AVEU_Historical_Data__2[[#This Row],[Date]])</f>
        <v>3</v>
      </c>
      <c r="K978" s="228"/>
    </row>
    <row r="979" spans="1:11" x14ac:dyDescent="0.25">
      <c r="A979" s="227">
        <v>45358</v>
      </c>
      <c r="B979" s="228">
        <v>3925.95</v>
      </c>
      <c r="C979" s="228">
        <v>3888.65</v>
      </c>
      <c r="D979" s="228">
        <v>3942.65</v>
      </c>
      <c r="E979" s="228">
        <v>3877.2</v>
      </c>
      <c r="F979">
        <v>330460</v>
      </c>
      <c r="G979" s="228">
        <v>9.5999999999999992E-3</v>
      </c>
      <c r="H979" s="228">
        <f>YEAR(AVEU_Historical_Data__2[[#This Row],[Date]])</f>
        <v>2024</v>
      </c>
      <c r="I979" s="228">
        <f>ROUNDUP((MOD(MONTH(AVEU_Historical_Data__2[[#This Row],[Date]])+8,12)+1)/3,0)</f>
        <v>4</v>
      </c>
      <c r="J979" s="228">
        <f>MONTH(AVEU_Historical_Data__2[[#This Row],[Date]])</f>
        <v>3</v>
      </c>
      <c r="K979" s="228"/>
    </row>
    <row r="980" spans="1:11" x14ac:dyDescent="0.25">
      <c r="A980" s="227">
        <v>45362</v>
      </c>
      <c r="B980" s="228">
        <v>3979.65</v>
      </c>
      <c r="C980" s="228">
        <v>3948.85</v>
      </c>
      <c r="D980" s="228">
        <v>4025</v>
      </c>
      <c r="E980" s="228">
        <v>3936.05</v>
      </c>
      <c r="F980">
        <v>689780</v>
      </c>
      <c r="G980" s="228">
        <v>1.37E-2</v>
      </c>
      <c r="H980" s="228">
        <f>YEAR(AVEU_Historical_Data__2[[#This Row],[Date]])</f>
        <v>2024</v>
      </c>
      <c r="I980" s="228">
        <f>ROUNDUP((MOD(MONTH(AVEU_Historical_Data__2[[#This Row],[Date]])+8,12)+1)/3,0)</f>
        <v>4</v>
      </c>
      <c r="J980" s="228">
        <f>MONTH(AVEU_Historical_Data__2[[#This Row],[Date]])</f>
        <v>3</v>
      </c>
      <c r="K980" s="228"/>
    </row>
    <row r="981" spans="1:11" x14ac:dyDescent="0.25">
      <c r="A981" s="227">
        <v>45363</v>
      </c>
      <c r="B981" s="228">
        <v>4031.7</v>
      </c>
      <c r="C981" s="228">
        <v>3999</v>
      </c>
      <c r="D981" s="228">
        <v>4042</v>
      </c>
      <c r="E981" s="228">
        <v>3900</v>
      </c>
      <c r="F981">
        <v>500000</v>
      </c>
      <c r="G981" s="228">
        <v>1.3100000000000001E-2</v>
      </c>
      <c r="H981" s="228">
        <f>YEAR(AVEU_Historical_Data__2[[#This Row],[Date]])</f>
        <v>2024</v>
      </c>
      <c r="I981" s="228">
        <f>ROUNDUP((MOD(MONTH(AVEU_Historical_Data__2[[#This Row],[Date]])+8,12)+1)/3,0)</f>
        <v>4</v>
      </c>
      <c r="J981" s="228">
        <f>MONTH(AVEU_Historical_Data__2[[#This Row],[Date]])</f>
        <v>3</v>
      </c>
      <c r="K981" s="228"/>
    </row>
    <row r="982" spans="1:11" x14ac:dyDescent="0.25">
      <c r="A982" s="227">
        <v>45364</v>
      </c>
      <c r="B982" s="228">
        <v>3967.8</v>
      </c>
      <c r="C982" s="228">
        <v>4055</v>
      </c>
      <c r="D982" s="228">
        <v>4056</v>
      </c>
      <c r="E982" s="228">
        <v>3932.05</v>
      </c>
      <c r="F982">
        <v>521700.00000000006</v>
      </c>
      <c r="G982" s="228">
        <v>-1.5800000000000002E-2</v>
      </c>
      <c r="H982" s="228">
        <f>YEAR(AVEU_Historical_Data__2[[#This Row],[Date]])</f>
        <v>2024</v>
      </c>
      <c r="I982" s="228">
        <f>ROUNDUP((MOD(MONTH(AVEU_Historical_Data__2[[#This Row],[Date]])+8,12)+1)/3,0)</f>
        <v>4</v>
      </c>
      <c r="J982" s="228">
        <f>MONTH(AVEU_Historical_Data__2[[#This Row],[Date]])</f>
        <v>3</v>
      </c>
      <c r="K982" s="228"/>
    </row>
    <row r="983" spans="1:11" x14ac:dyDescent="0.25">
      <c r="A983" s="227">
        <v>45365</v>
      </c>
      <c r="B983" s="228">
        <v>4019.25</v>
      </c>
      <c r="C983" s="228">
        <v>3966.95</v>
      </c>
      <c r="D983" s="228">
        <v>4040</v>
      </c>
      <c r="E983" s="228">
        <v>3890</v>
      </c>
      <c r="F983">
        <v>355230</v>
      </c>
      <c r="G983" s="228">
        <v>1.2999999999999999E-2</v>
      </c>
      <c r="H983" s="228">
        <f>YEAR(AVEU_Historical_Data__2[[#This Row],[Date]])</f>
        <v>2024</v>
      </c>
      <c r="I983" s="228">
        <f>ROUNDUP((MOD(MONTH(AVEU_Historical_Data__2[[#This Row],[Date]])+8,12)+1)/3,0)</f>
        <v>4</v>
      </c>
      <c r="J983" s="228">
        <f>MONTH(AVEU_Historical_Data__2[[#This Row],[Date]])</f>
        <v>3</v>
      </c>
      <c r="K983" s="228"/>
    </row>
    <row r="984" spans="1:11" x14ac:dyDescent="0.25">
      <c r="A984" s="227">
        <v>45366</v>
      </c>
      <c r="B984" s="228">
        <v>3932.1</v>
      </c>
      <c r="C984" s="228">
        <v>4019.45</v>
      </c>
      <c r="D984" s="228">
        <v>4035</v>
      </c>
      <c r="E984" s="228">
        <v>3904</v>
      </c>
      <c r="F984">
        <v>348200</v>
      </c>
      <c r="G984" s="228">
        <v>-2.1700000000000001E-2</v>
      </c>
      <c r="H984" s="228">
        <f>YEAR(AVEU_Historical_Data__2[[#This Row],[Date]])</f>
        <v>2024</v>
      </c>
      <c r="I984" s="228">
        <f>ROUNDUP((MOD(MONTH(AVEU_Historical_Data__2[[#This Row],[Date]])+8,12)+1)/3,0)</f>
        <v>4</v>
      </c>
      <c r="J984" s="228">
        <f>MONTH(AVEU_Historical_Data__2[[#This Row],[Date]])</f>
        <v>3</v>
      </c>
      <c r="K984" s="228"/>
    </row>
    <row r="985" spans="1:11" x14ac:dyDescent="0.25">
      <c r="A985" s="227">
        <v>45369</v>
      </c>
      <c r="B985" s="228">
        <v>4010.55</v>
      </c>
      <c r="C985" s="228">
        <v>3932.1</v>
      </c>
      <c r="D985" s="228">
        <v>4019</v>
      </c>
      <c r="E985" s="228">
        <v>3918.7</v>
      </c>
      <c r="F985">
        <v>230450</v>
      </c>
      <c r="G985" s="228">
        <v>0.02</v>
      </c>
      <c r="H985" s="228">
        <f>YEAR(AVEU_Historical_Data__2[[#This Row],[Date]])</f>
        <v>2024</v>
      </c>
      <c r="I985" s="228">
        <f>ROUNDUP((MOD(MONTH(AVEU_Historical_Data__2[[#This Row],[Date]])+8,12)+1)/3,0)</f>
        <v>4</v>
      </c>
      <c r="J985" s="228">
        <f>MONTH(AVEU_Historical_Data__2[[#This Row],[Date]])</f>
        <v>3</v>
      </c>
      <c r="K985" s="228"/>
    </row>
    <row r="986" spans="1:11" x14ac:dyDescent="0.25">
      <c r="A986" s="227">
        <v>45370</v>
      </c>
      <c r="B986" s="228">
        <v>4014.1</v>
      </c>
      <c r="C986" s="228">
        <v>4008</v>
      </c>
      <c r="D986" s="228">
        <v>4046.05</v>
      </c>
      <c r="E986" s="228">
        <v>3983.05</v>
      </c>
      <c r="F986">
        <v>451330</v>
      </c>
      <c r="G986" s="228">
        <v>8.9999999999999998E-4</v>
      </c>
      <c r="H986" s="228">
        <f>YEAR(AVEU_Historical_Data__2[[#This Row],[Date]])</f>
        <v>2024</v>
      </c>
      <c r="I986" s="228">
        <f>ROUNDUP((MOD(MONTH(AVEU_Historical_Data__2[[#This Row],[Date]])+8,12)+1)/3,0)</f>
        <v>4</v>
      </c>
      <c r="J986" s="228">
        <f>MONTH(AVEU_Historical_Data__2[[#This Row],[Date]])</f>
        <v>3</v>
      </c>
      <c r="K986" s="228"/>
    </row>
    <row r="987" spans="1:11" x14ac:dyDescent="0.25">
      <c r="A987" s="227">
        <v>45371</v>
      </c>
      <c r="B987" s="228">
        <v>4056.35</v>
      </c>
      <c r="C987" s="228">
        <v>4015</v>
      </c>
      <c r="D987" s="228">
        <v>4068</v>
      </c>
      <c r="E987" s="228">
        <v>4009.25</v>
      </c>
      <c r="F987">
        <v>346430</v>
      </c>
      <c r="G987" s="228">
        <v>1.0500000000000001E-2</v>
      </c>
      <c r="H987" s="228">
        <f>YEAR(AVEU_Historical_Data__2[[#This Row],[Date]])</f>
        <v>2024</v>
      </c>
      <c r="I987" s="228">
        <f>ROUNDUP((MOD(MONTH(AVEU_Historical_Data__2[[#This Row],[Date]])+8,12)+1)/3,0)</f>
        <v>4</v>
      </c>
      <c r="J987" s="228">
        <f>MONTH(AVEU_Historical_Data__2[[#This Row],[Date]])</f>
        <v>3</v>
      </c>
      <c r="K987" s="228"/>
    </row>
    <row r="988" spans="1:11" x14ac:dyDescent="0.25">
      <c r="A988" s="227">
        <v>45372</v>
      </c>
      <c r="B988" s="228">
        <v>4163.1000000000004</v>
      </c>
      <c r="C988" s="228">
        <v>4117</v>
      </c>
      <c r="D988" s="228">
        <v>4238</v>
      </c>
      <c r="E988" s="228">
        <v>4091.5</v>
      </c>
      <c r="F988">
        <v>1130000</v>
      </c>
      <c r="G988" s="228">
        <v>2.63E-2</v>
      </c>
      <c r="H988" s="228">
        <f>YEAR(AVEU_Historical_Data__2[[#This Row],[Date]])</f>
        <v>2024</v>
      </c>
      <c r="I988" s="228">
        <f>ROUNDUP((MOD(MONTH(AVEU_Historical_Data__2[[#This Row],[Date]])+8,12)+1)/3,0)</f>
        <v>4</v>
      </c>
      <c r="J988" s="228">
        <f>MONTH(AVEU_Historical_Data__2[[#This Row],[Date]])</f>
        <v>3</v>
      </c>
      <c r="K988" s="228"/>
    </row>
    <row r="989" spans="1:11" x14ac:dyDescent="0.25">
      <c r="A989" s="227">
        <v>45373</v>
      </c>
      <c r="B989" s="228">
        <v>4297.6000000000004</v>
      </c>
      <c r="C989" s="228">
        <v>4159.8</v>
      </c>
      <c r="D989" s="228">
        <v>4330.5</v>
      </c>
      <c r="E989" s="228">
        <v>4151.1499999999996</v>
      </c>
      <c r="F989">
        <v>921650</v>
      </c>
      <c r="G989" s="228">
        <v>3.2300000000000002E-2</v>
      </c>
      <c r="H989" s="228">
        <f>YEAR(AVEU_Historical_Data__2[[#This Row],[Date]])</f>
        <v>2024</v>
      </c>
      <c r="I989" s="228">
        <f>ROUNDUP((MOD(MONTH(AVEU_Historical_Data__2[[#This Row],[Date]])+8,12)+1)/3,0)</f>
        <v>4</v>
      </c>
      <c r="J989" s="228">
        <f>MONTH(AVEU_Historical_Data__2[[#This Row],[Date]])</f>
        <v>3</v>
      </c>
      <c r="K989" s="228"/>
    </row>
    <row r="990" spans="1:11" x14ac:dyDescent="0.25">
      <c r="A990" s="227">
        <v>45377</v>
      </c>
      <c r="B990" s="228">
        <v>4486.2</v>
      </c>
      <c r="C990" s="228">
        <v>4315.75</v>
      </c>
      <c r="D990" s="228">
        <v>4509.45</v>
      </c>
      <c r="E990" s="228">
        <v>4297.25</v>
      </c>
      <c r="F990">
        <v>1840000</v>
      </c>
      <c r="G990" s="228">
        <v>4.3900000000000002E-2</v>
      </c>
      <c r="H990" s="228">
        <f>YEAR(AVEU_Historical_Data__2[[#This Row],[Date]])</f>
        <v>2024</v>
      </c>
      <c r="I990" s="228">
        <f>ROUNDUP((MOD(MONTH(AVEU_Historical_Data__2[[#This Row],[Date]])+8,12)+1)/3,0)</f>
        <v>4</v>
      </c>
      <c r="J990" s="228">
        <f>MONTH(AVEU_Historical_Data__2[[#This Row],[Date]])</f>
        <v>3</v>
      </c>
      <c r="K990" s="228"/>
    </row>
    <row r="991" spans="1:11" x14ac:dyDescent="0.25">
      <c r="A991" s="227">
        <v>45378</v>
      </c>
      <c r="B991" s="228">
        <v>4420.55</v>
      </c>
      <c r="C991" s="228">
        <v>4480.5</v>
      </c>
      <c r="D991" s="228">
        <v>4533</v>
      </c>
      <c r="E991" s="228">
        <v>4387.05</v>
      </c>
      <c r="F991">
        <v>814040</v>
      </c>
      <c r="G991" s="228">
        <v>-1.46E-2</v>
      </c>
      <c r="H991" s="228">
        <f>YEAR(AVEU_Historical_Data__2[[#This Row],[Date]])</f>
        <v>2024</v>
      </c>
      <c r="I991" s="228">
        <f>ROUNDUP((MOD(MONTH(AVEU_Historical_Data__2[[#This Row],[Date]])+8,12)+1)/3,0)</f>
        <v>4</v>
      </c>
      <c r="J991" s="228">
        <f>MONTH(AVEU_Historical_Data__2[[#This Row],[Date]])</f>
        <v>3</v>
      </c>
      <c r="K991" s="228"/>
    </row>
    <row r="992" spans="1:11" x14ac:dyDescent="0.25">
      <c r="A992" s="227">
        <v>45379</v>
      </c>
      <c r="B992" s="228">
        <v>4525.6000000000004</v>
      </c>
      <c r="C992" s="228">
        <v>4424.95</v>
      </c>
      <c r="D992" s="228">
        <v>4560</v>
      </c>
      <c r="E992" s="228">
        <v>4397.05</v>
      </c>
      <c r="F992">
        <v>892570</v>
      </c>
      <c r="G992" s="228">
        <v>2.3800000000000002E-2</v>
      </c>
      <c r="H992" s="228">
        <f>YEAR(AVEU_Historical_Data__2[[#This Row],[Date]])</f>
        <v>2024</v>
      </c>
      <c r="I992" s="228">
        <f>ROUNDUP((MOD(MONTH(AVEU_Historical_Data__2[[#This Row],[Date]])+8,12)+1)/3,0)</f>
        <v>4</v>
      </c>
      <c r="J992" s="228">
        <f>MONTH(AVEU_Historical_Data__2[[#This Row],[Date]])</f>
        <v>3</v>
      </c>
      <c r="K992" s="228"/>
    </row>
    <row r="993" spans="1:11" x14ac:dyDescent="0.25">
      <c r="A993" s="227">
        <v>45383</v>
      </c>
      <c r="B993" s="228">
        <v>4483.3</v>
      </c>
      <c r="C993" s="228">
        <v>4570</v>
      </c>
      <c r="D993" s="228">
        <v>4592</v>
      </c>
      <c r="E993" s="228">
        <v>4456.3</v>
      </c>
      <c r="F993">
        <v>410980</v>
      </c>
      <c r="G993" s="228">
        <v>-9.2999999999999992E-3</v>
      </c>
      <c r="H993" s="228">
        <f>YEAR(AVEU_Historical_Data__2[[#This Row],[Date]])</f>
        <v>2024</v>
      </c>
      <c r="I993" s="228">
        <f>ROUNDUP((MOD(MONTH(AVEU_Historical_Data__2[[#This Row],[Date]])+8,12)+1)/3,0)</f>
        <v>1</v>
      </c>
      <c r="J993" s="228">
        <f>MONTH(AVEU_Historical_Data__2[[#This Row],[Date]])</f>
        <v>4</v>
      </c>
      <c r="K993" s="228"/>
    </row>
    <row r="994" spans="1:11" x14ac:dyDescent="0.25">
      <c r="A994" s="227">
        <v>45384</v>
      </c>
      <c r="B994" s="228">
        <v>4411.8500000000004</v>
      </c>
      <c r="C994" s="228">
        <v>4503</v>
      </c>
      <c r="D994" s="228">
        <v>4563</v>
      </c>
      <c r="E994" s="228">
        <v>4400.05</v>
      </c>
      <c r="F994">
        <v>442910</v>
      </c>
      <c r="G994" s="228">
        <v>-1.5900000000000001E-2</v>
      </c>
      <c r="H994" s="228">
        <f>YEAR(AVEU_Historical_Data__2[[#This Row],[Date]])</f>
        <v>2024</v>
      </c>
      <c r="I994" s="228">
        <f>ROUNDUP((MOD(MONTH(AVEU_Historical_Data__2[[#This Row],[Date]])+8,12)+1)/3,0)</f>
        <v>1</v>
      </c>
      <c r="J994" s="228">
        <f>MONTH(AVEU_Historical_Data__2[[#This Row],[Date]])</f>
        <v>4</v>
      </c>
      <c r="K994" s="228"/>
    </row>
    <row r="995" spans="1:11" x14ac:dyDescent="0.25">
      <c r="A995" s="227">
        <v>45385</v>
      </c>
      <c r="B995" s="228">
        <v>4460.8999999999996</v>
      </c>
      <c r="C995" s="228">
        <v>4455</v>
      </c>
      <c r="D995" s="228">
        <v>4494.45</v>
      </c>
      <c r="E995" s="228">
        <v>4415</v>
      </c>
      <c r="F995">
        <v>257329.99999999997</v>
      </c>
      <c r="G995" s="228">
        <v>1.11E-2</v>
      </c>
      <c r="H995" s="228">
        <f>YEAR(AVEU_Historical_Data__2[[#This Row],[Date]])</f>
        <v>2024</v>
      </c>
      <c r="I995" s="228">
        <f>ROUNDUP((MOD(MONTH(AVEU_Historical_Data__2[[#This Row],[Date]])+8,12)+1)/3,0)</f>
        <v>1</v>
      </c>
      <c r="J995" s="228">
        <f>MONTH(AVEU_Historical_Data__2[[#This Row],[Date]])</f>
        <v>4</v>
      </c>
      <c r="K995" s="228"/>
    </row>
    <row r="996" spans="1:11" x14ac:dyDescent="0.25">
      <c r="A996" s="227">
        <v>45386</v>
      </c>
      <c r="B996" s="228">
        <v>4645.05</v>
      </c>
      <c r="C996" s="228">
        <v>4562</v>
      </c>
      <c r="D996" s="228">
        <v>4715</v>
      </c>
      <c r="E996" s="228">
        <v>4540</v>
      </c>
      <c r="F996">
        <v>1560000</v>
      </c>
      <c r="G996" s="228">
        <v>4.1300000000000003E-2</v>
      </c>
      <c r="H996" s="228">
        <f>YEAR(AVEU_Historical_Data__2[[#This Row],[Date]])</f>
        <v>2024</v>
      </c>
      <c r="I996" s="228">
        <f>ROUNDUP((MOD(MONTH(AVEU_Historical_Data__2[[#This Row],[Date]])+8,12)+1)/3,0)</f>
        <v>1</v>
      </c>
      <c r="J996" s="228">
        <f>MONTH(AVEU_Historical_Data__2[[#This Row],[Date]])</f>
        <v>4</v>
      </c>
      <c r="K996" s="228"/>
    </row>
    <row r="997" spans="1:11" x14ac:dyDescent="0.25">
      <c r="A997" s="227">
        <v>45387</v>
      </c>
      <c r="B997" s="228">
        <v>4619.25</v>
      </c>
      <c r="C997" s="228">
        <v>4645</v>
      </c>
      <c r="D997" s="228">
        <v>4685</v>
      </c>
      <c r="E997" s="228">
        <v>4557</v>
      </c>
      <c r="F997">
        <v>418020</v>
      </c>
      <c r="G997" s="228">
        <v>-5.5999999999999999E-3</v>
      </c>
      <c r="H997" s="228">
        <f>YEAR(AVEU_Historical_Data__2[[#This Row],[Date]])</f>
        <v>2024</v>
      </c>
      <c r="I997" s="228">
        <f>ROUNDUP((MOD(MONTH(AVEU_Historical_Data__2[[#This Row],[Date]])+8,12)+1)/3,0)</f>
        <v>1</v>
      </c>
      <c r="J997" s="228">
        <f>MONTH(AVEU_Historical_Data__2[[#This Row],[Date]])</f>
        <v>4</v>
      </c>
      <c r="K997" s="228"/>
    </row>
    <row r="998" spans="1:11" x14ac:dyDescent="0.25">
      <c r="A998" s="227">
        <v>45390</v>
      </c>
      <c r="B998" s="228">
        <v>4672.8</v>
      </c>
      <c r="C998" s="228">
        <v>4648.1499999999996</v>
      </c>
      <c r="D998" s="228">
        <v>4748</v>
      </c>
      <c r="E998" s="228">
        <v>4640</v>
      </c>
      <c r="F998">
        <v>461320</v>
      </c>
      <c r="G998" s="228">
        <v>1.1599999999999999E-2</v>
      </c>
      <c r="H998" s="228">
        <f>YEAR(AVEU_Historical_Data__2[[#This Row],[Date]])</f>
        <v>2024</v>
      </c>
      <c r="I998" s="228">
        <f>ROUNDUP((MOD(MONTH(AVEU_Historical_Data__2[[#This Row],[Date]])+8,12)+1)/3,0)</f>
        <v>1</v>
      </c>
      <c r="J998" s="228">
        <f>MONTH(AVEU_Historical_Data__2[[#This Row],[Date]])</f>
        <v>4</v>
      </c>
      <c r="K998" s="228"/>
    </row>
    <row r="999" spans="1:11" x14ac:dyDescent="0.25">
      <c r="A999" s="227">
        <v>45391</v>
      </c>
      <c r="B999" s="228">
        <v>4716.1499999999996</v>
      </c>
      <c r="C999" s="228">
        <v>4671.95</v>
      </c>
      <c r="D999" s="228">
        <v>4747.8</v>
      </c>
      <c r="E999" s="228">
        <v>4622</v>
      </c>
      <c r="F999">
        <v>285670</v>
      </c>
      <c r="G999" s="228">
        <v>9.2999999999999992E-3</v>
      </c>
      <c r="H999" s="228">
        <f>YEAR(AVEU_Historical_Data__2[[#This Row],[Date]])</f>
        <v>2024</v>
      </c>
      <c r="I999" s="228">
        <f>ROUNDUP((MOD(MONTH(AVEU_Historical_Data__2[[#This Row],[Date]])+8,12)+1)/3,0)</f>
        <v>1</v>
      </c>
      <c r="J999" s="228">
        <f>MONTH(AVEU_Historical_Data__2[[#This Row],[Date]])</f>
        <v>4</v>
      </c>
      <c r="K999" s="228"/>
    </row>
    <row r="1000" spans="1:11" x14ac:dyDescent="0.25">
      <c r="A1000" s="227">
        <v>45392</v>
      </c>
      <c r="B1000" s="228">
        <v>4754</v>
      </c>
      <c r="C1000" s="228">
        <v>4736.6000000000004</v>
      </c>
      <c r="D1000" s="228">
        <v>4831.8500000000004</v>
      </c>
      <c r="E1000" s="228">
        <v>4711</v>
      </c>
      <c r="F1000">
        <v>728450</v>
      </c>
      <c r="G1000" s="228">
        <v>8.0000000000000002E-3</v>
      </c>
      <c r="H1000" s="228">
        <f>YEAR(AVEU_Historical_Data__2[[#This Row],[Date]])</f>
        <v>2024</v>
      </c>
      <c r="I1000" s="228">
        <f>ROUNDUP((MOD(MONTH(AVEU_Historical_Data__2[[#This Row],[Date]])+8,12)+1)/3,0)</f>
        <v>1</v>
      </c>
      <c r="J1000" s="228">
        <f>MONTH(AVEU_Historical_Data__2[[#This Row],[Date]])</f>
        <v>4</v>
      </c>
      <c r="K1000" s="228"/>
    </row>
    <row r="1001" spans="1:11" x14ac:dyDescent="0.25">
      <c r="A1001" s="227">
        <v>45394</v>
      </c>
      <c r="B1001" s="228">
        <v>4765.05</v>
      </c>
      <c r="C1001" s="228">
        <v>4753.8999999999996</v>
      </c>
      <c r="D1001" s="228">
        <v>4806.75</v>
      </c>
      <c r="E1001" s="228">
        <v>4725</v>
      </c>
      <c r="F1001">
        <v>676860</v>
      </c>
      <c r="G1001" s="228">
        <v>2.3E-3</v>
      </c>
      <c r="H1001" s="228">
        <f>YEAR(AVEU_Historical_Data__2[[#This Row],[Date]])</f>
        <v>2024</v>
      </c>
      <c r="I1001" s="228">
        <f>ROUNDUP((MOD(MONTH(AVEU_Historical_Data__2[[#This Row],[Date]])+8,12)+1)/3,0)</f>
        <v>1</v>
      </c>
      <c r="J1001" s="228">
        <f>MONTH(AVEU_Historical_Data__2[[#This Row],[Date]])</f>
        <v>4</v>
      </c>
      <c r="K1001" s="228"/>
    </row>
    <row r="1002" spans="1:11" x14ac:dyDescent="0.25">
      <c r="A1002" s="227">
        <v>45397</v>
      </c>
      <c r="B1002" s="228">
        <v>4686.8</v>
      </c>
      <c r="C1002" s="228">
        <v>4680</v>
      </c>
      <c r="D1002" s="228">
        <v>4736.55</v>
      </c>
      <c r="E1002" s="228">
        <v>4620.6000000000004</v>
      </c>
      <c r="F1002">
        <v>358710</v>
      </c>
      <c r="G1002" s="228">
        <v>-1.6400000000000001E-2</v>
      </c>
      <c r="H1002" s="228">
        <f>YEAR(AVEU_Historical_Data__2[[#This Row],[Date]])</f>
        <v>2024</v>
      </c>
      <c r="I1002" s="228">
        <f>ROUNDUP((MOD(MONTH(AVEU_Historical_Data__2[[#This Row],[Date]])+8,12)+1)/3,0)</f>
        <v>1</v>
      </c>
      <c r="J1002" s="228">
        <f>MONTH(AVEU_Historical_Data__2[[#This Row],[Date]])</f>
        <v>4</v>
      </c>
      <c r="K1002" s="228"/>
    </row>
    <row r="1003" spans="1:11" x14ac:dyDescent="0.25">
      <c r="A1003" s="227">
        <v>45398</v>
      </c>
      <c r="B1003" s="228">
        <v>4644.3</v>
      </c>
      <c r="C1003" s="228">
        <v>4650</v>
      </c>
      <c r="D1003" s="228">
        <v>4689.3</v>
      </c>
      <c r="E1003" s="228">
        <v>4611.3500000000004</v>
      </c>
      <c r="F1003">
        <v>245230</v>
      </c>
      <c r="G1003" s="228">
        <v>-9.1000000000000004E-3</v>
      </c>
      <c r="H1003" s="228">
        <f>YEAR(AVEU_Historical_Data__2[[#This Row],[Date]])</f>
        <v>2024</v>
      </c>
      <c r="I1003" s="228">
        <f>ROUNDUP((MOD(MONTH(AVEU_Historical_Data__2[[#This Row],[Date]])+8,12)+1)/3,0)</f>
        <v>1</v>
      </c>
      <c r="J1003" s="228">
        <f>MONTH(AVEU_Historical_Data__2[[#This Row],[Date]])</f>
        <v>4</v>
      </c>
      <c r="K1003" s="228"/>
    </row>
    <row r="1004" spans="1:11" x14ac:dyDescent="0.25">
      <c r="A1004" s="227">
        <v>45400</v>
      </c>
      <c r="B1004" s="228">
        <v>4627.1000000000004</v>
      </c>
      <c r="C1004" s="228">
        <v>4644.3</v>
      </c>
      <c r="D1004" s="228">
        <v>4694.3</v>
      </c>
      <c r="E1004" s="228">
        <v>4605</v>
      </c>
      <c r="F1004">
        <v>417770</v>
      </c>
      <c r="G1004" s="228">
        <v>-3.7000000000000002E-3</v>
      </c>
      <c r="H1004" s="228">
        <f>YEAR(AVEU_Historical_Data__2[[#This Row],[Date]])</f>
        <v>2024</v>
      </c>
      <c r="I1004" s="228">
        <f>ROUNDUP((MOD(MONTH(AVEU_Historical_Data__2[[#This Row],[Date]])+8,12)+1)/3,0)</f>
        <v>1</v>
      </c>
      <c r="J1004" s="228">
        <f>MONTH(AVEU_Historical_Data__2[[#This Row],[Date]])</f>
        <v>4</v>
      </c>
      <c r="K1004" s="228"/>
    </row>
    <row r="1005" spans="1:11" x14ac:dyDescent="0.25">
      <c r="A1005" s="227">
        <v>45401</v>
      </c>
      <c r="B1005" s="228">
        <v>4696</v>
      </c>
      <c r="C1005" s="228">
        <v>4766.95</v>
      </c>
      <c r="D1005" s="228">
        <v>4836.7</v>
      </c>
      <c r="E1005" s="228">
        <v>4651.1000000000004</v>
      </c>
      <c r="F1005">
        <v>778080</v>
      </c>
      <c r="G1005" s="228">
        <v>1.49E-2</v>
      </c>
      <c r="H1005" s="228">
        <f>YEAR(AVEU_Historical_Data__2[[#This Row],[Date]])</f>
        <v>2024</v>
      </c>
      <c r="I1005" s="228">
        <f>ROUNDUP((MOD(MONTH(AVEU_Historical_Data__2[[#This Row],[Date]])+8,12)+1)/3,0)</f>
        <v>1</v>
      </c>
      <c r="J1005" s="228">
        <f>MONTH(AVEU_Historical_Data__2[[#This Row],[Date]])</f>
        <v>4</v>
      </c>
      <c r="K1005" s="228"/>
    </row>
    <row r="1006" spans="1:11" x14ac:dyDescent="0.25">
      <c r="A1006" s="227">
        <v>45404</v>
      </c>
      <c r="B1006" s="228">
        <v>4758</v>
      </c>
      <c r="C1006" s="228">
        <v>4743</v>
      </c>
      <c r="D1006" s="228">
        <v>4815.95</v>
      </c>
      <c r="E1006" s="228">
        <v>4692.05</v>
      </c>
      <c r="F1006">
        <v>257709.99999999997</v>
      </c>
      <c r="G1006" s="228">
        <v>1.32E-2</v>
      </c>
      <c r="H1006" s="228">
        <f>YEAR(AVEU_Historical_Data__2[[#This Row],[Date]])</f>
        <v>2024</v>
      </c>
      <c r="I1006" s="228">
        <f>ROUNDUP((MOD(MONTH(AVEU_Historical_Data__2[[#This Row],[Date]])+8,12)+1)/3,0)</f>
        <v>1</v>
      </c>
      <c r="J1006" s="228">
        <f>MONTH(AVEU_Historical_Data__2[[#This Row],[Date]])</f>
        <v>4</v>
      </c>
      <c r="K1006" s="228"/>
    </row>
    <row r="1007" spans="1:11" x14ac:dyDescent="0.25">
      <c r="A1007" s="227">
        <v>45405</v>
      </c>
      <c r="B1007" s="228">
        <v>4800.55</v>
      </c>
      <c r="C1007" s="228">
        <v>4804.5</v>
      </c>
      <c r="D1007" s="228">
        <v>4890</v>
      </c>
      <c r="E1007" s="228">
        <v>4773</v>
      </c>
      <c r="F1007">
        <v>458150</v>
      </c>
      <c r="G1007" s="228">
        <v>8.8999999999999999E-3</v>
      </c>
      <c r="H1007" s="228">
        <f>YEAR(AVEU_Historical_Data__2[[#This Row],[Date]])</f>
        <v>2024</v>
      </c>
      <c r="I1007" s="228">
        <f>ROUNDUP((MOD(MONTH(AVEU_Historical_Data__2[[#This Row],[Date]])+8,12)+1)/3,0)</f>
        <v>1</v>
      </c>
      <c r="J1007" s="228">
        <f>MONTH(AVEU_Historical_Data__2[[#This Row],[Date]])</f>
        <v>4</v>
      </c>
      <c r="K1007" s="228"/>
    </row>
    <row r="1008" spans="1:11" x14ac:dyDescent="0.25">
      <c r="A1008" s="227">
        <v>45406</v>
      </c>
      <c r="B1008" s="228">
        <v>4797.55</v>
      </c>
      <c r="C1008" s="228">
        <v>4820</v>
      </c>
      <c r="D1008" s="228">
        <v>4835.7</v>
      </c>
      <c r="E1008" s="228">
        <v>4778</v>
      </c>
      <c r="F1008">
        <v>199880</v>
      </c>
      <c r="G1008" s="228">
        <v>-5.9999999999999995E-4</v>
      </c>
      <c r="H1008" s="228">
        <f>YEAR(AVEU_Historical_Data__2[[#This Row],[Date]])</f>
        <v>2024</v>
      </c>
      <c r="I1008" s="228">
        <f>ROUNDUP((MOD(MONTH(AVEU_Historical_Data__2[[#This Row],[Date]])+8,12)+1)/3,0)</f>
        <v>1</v>
      </c>
      <c r="J1008" s="228">
        <f>MONTH(AVEU_Historical_Data__2[[#This Row],[Date]])</f>
        <v>4</v>
      </c>
      <c r="K1008" s="228"/>
    </row>
    <row r="1009" spans="1:11" x14ac:dyDescent="0.25">
      <c r="A1009" s="227">
        <v>45407</v>
      </c>
      <c r="B1009" s="228">
        <v>4657.1000000000004</v>
      </c>
      <c r="C1009" s="228">
        <v>4801</v>
      </c>
      <c r="D1009" s="228">
        <v>4817.6499999999996</v>
      </c>
      <c r="E1009" s="228">
        <v>4615.1499999999996</v>
      </c>
      <c r="F1009">
        <v>462020</v>
      </c>
      <c r="G1009" s="228">
        <v>-2.93E-2</v>
      </c>
      <c r="H1009" s="228">
        <f>YEAR(AVEU_Historical_Data__2[[#This Row],[Date]])</f>
        <v>2024</v>
      </c>
      <c r="I1009" s="228">
        <f>ROUNDUP((MOD(MONTH(AVEU_Historical_Data__2[[#This Row],[Date]])+8,12)+1)/3,0)</f>
        <v>1</v>
      </c>
      <c r="J1009" s="228">
        <f>MONTH(AVEU_Historical_Data__2[[#This Row],[Date]])</f>
        <v>4</v>
      </c>
      <c r="K1009" s="228"/>
    </row>
    <row r="1010" spans="1:11" x14ac:dyDescent="0.25">
      <c r="A1010" s="227">
        <v>45408</v>
      </c>
      <c r="B1010" s="228">
        <v>4553.1499999999996</v>
      </c>
      <c r="C1010" s="228">
        <v>4657.05</v>
      </c>
      <c r="D1010" s="228">
        <v>4719.95</v>
      </c>
      <c r="E1010" s="228">
        <v>4531.5</v>
      </c>
      <c r="F1010">
        <v>254510</v>
      </c>
      <c r="G1010" s="228">
        <v>-2.23E-2</v>
      </c>
      <c r="H1010" s="228">
        <f>YEAR(AVEU_Historical_Data__2[[#This Row],[Date]])</f>
        <v>2024</v>
      </c>
      <c r="I1010" s="228">
        <f>ROUNDUP((MOD(MONTH(AVEU_Historical_Data__2[[#This Row],[Date]])+8,12)+1)/3,0)</f>
        <v>1</v>
      </c>
      <c r="J1010" s="228">
        <f>MONTH(AVEU_Historical_Data__2[[#This Row],[Date]])</f>
        <v>4</v>
      </c>
      <c r="K1010" s="228"/>
    </row>
    <row r="1011" spans="1:11" x14ac:dyDescent="0.25">
      <c r="A1011" s="227">
        <v>45411</v>
      </c>
      <c r="B1011" s="228">
        <v>4483.8</v>
      </c>
      <c r="C1011" s="228">
        <v>4560.5</v>
      </c>
      <c r="D1011" s="228">
        <v>4562.45</v>
      </c>
      <c r="E1011" s="228">
        <v>4450</v>
      </c>
      <c r="F1011">
        <v>385600</v>
      </c>
      <c r="G1011" s="228">
        <v>-1.52E-2</v>
      </c>
      <c r="H1011" s="228">
        <f>YEAR(AVEU_Historical_Data__2[[#This Row],[Date]])</f>
        <v>2024</v>
      </c>
      <c r="I1011" s="228">
        <f>ROUNDUP((MOD(MONTH(AVEU_Historical_Data__2[[#This Row],[Date]])+8,12)+1)/3,0)</f>
        <v>1</v>
      </c>
      <c r="J1011" s="228">
        <f>MONTH(AVEU_Historical_Data__2[[#This Row],[Date]])</f>
        <v>4</v>
      </c>
      <c r="K1011" s="228"/>
    </row>
    <row r="1012" spans="1:11" x14ac:dyDescent="0.25">
      <c r="A1012" s="227">
        <v>45412</v>
      </c>
      <c r="B1012" s="228">
        <v>4603.8</v>
      </c>
      <c r="C1012" s="228">
        <v>4455.1499999999996</v>
      </c>
      <c r="D1012" s="228">
        <v>4650</v>
      </c>
      <c r="E1012" s="228">
        <v>4455.1499999999996</v>
      </c>
      <c r="F1012">
        <v>637700</v>
      </c>
      <c r="G1012" s="228">
        <v>2.6800000000000001E-2</v>
      </c>
      <c r="H1012" s="228">
        <f>YEAR(AVEU_Historical_Data__2[[#This Row],[Date]])</f>
        <v>2024</v>
      </c>
      <c r="I1012" s="228">
        <f>ROUNDUP((MOD(MONTH(AVEU_Historical_Data__2[[#This Row],[Date]])+8,12)+1)/3,0)</f>
        <v>1</v>
      </c>
      <c r="J1012" s="228">
        <f>MONTH(AVEU_Historical_Data__2[[#This Row],[Date]])</f>
        <v>4</v>
      </c>
      <c r="K1012" s="228"/>
    </row>
    <row r="1013" spans="1:11" x14ac:dyDescent="0.25">
      <c r="A1013" s="227">
        <v>45414</v>
      </c>
      <c r="B1013" s="228">
        <v>4605.05</v>
      </c>
      <c r="C1013" s="228">
        <v>4609.95</v>
      </c>
      <c r="D1013" s="228">
        <v>4642.45</v>
      </c>
      <c r="E1013" s="228">
        <v>4578</v>
      </c>
      <c r="F1013">
        <v>256070</v>
      </c>
      <c r="G1013" s="228">
        <v>2.9999999999999997E-4</v>
      </c>
      <c r="H1013" s="228">
        <f>YEAR(AVEU_Historical_Data__2[[#This Row],[Date]])</f>
        <v>2024</v>
      </c>
      <c r="I1013" s="228">
        <f>ROUNDUP((MOD(MONTH(AVEU_Historical_Data__2[[#This Row],[Date]])+8,12)+1)/3,0)</f>
        <v>1</v>
      </c>
      <c r="J1013" s="228">
        <f>MONTH(AVEU_Historical_Data__2[[#This Row],[Date]])</f>
        <v>5</v>
      </c>
      <c r="K1013" s="228"/>
    </row>
    <row r="1014" spans="1:11" x14ac:dyDescent="0.25">
      <c r="A1014" s="227">
        <v>45415</v>
      </c>
      <c r="B1014" s="228">
        <v>4612.3500000000004</v>
      </c>
      <c r="C1014" s="228">
        <v>4626.95</v>
      </c>
      <c r="D1014" s="228">
        <v>4627</v>
      </c>
      <c r="E1014" s="228">
        <v>4545.05</v>
      </c>
      <c r="F1014">
        <v>436790</v>
      </c>
      <c r="G1014" s="228">
        <v>1.6000000000000001E-3</v>
      </c>
      <c r="H1014" s="228">
        <f>YEAR(AVEU_Historical_Data__2[[#This Row],[Date]])</f>
        <v>2024</v>
      </c>
      <c r="I1014" s="228">
        <f>ROUNDUP((MOD(MONTH(AVEU_Historical_Data__2[[#This Row],[Date]])+8,12)+1)/3,0)</f>
        <v>1</v>
      </c>
      <c r="J1014" s="228">
        <f>MONTH(AVEU_Historical_Data__2[[#This Row],[Date]])</f>
        <v>5</v>
      </c>
      <c r="K1014" s="228"/>
    </row>
    <row r="1015" spans="1:11" x14ac:dyDescent="0.25">
      <c r="A1015" s="227">
        <v>45418</v>
      </c>
      <c r="B1015" s="228">
        <v>4600.6000000000004</v>
      </c>
      <c r="C1015" s="228">
        <v>4620</v>
      </c>
      <c r="D1015" s="228">
        <v>4739.8999999999996</v>
      </c>
      <c r="E1015" s="228">
        <v>4576</v>
      </c>
      <c r="F1015">
        <v>643040</v>
      </c>
      <c r="G1015" s="228">
        <v>-2.5000000000000001E-3</v>
      </c>
      <c r="H1015" s="228">
        <f>YEAR(AVEU_Historical_Data__2[[#This Row],[Date]])</f>
        <v>2024</v>
      </c>
      <c r="I1015" s="228">
        <f>ROUNDUP((MOD(MONTH(AVEU_Historical_Data__2[[#This Row],[Date]])+8,12)+1)/3,0)</f>
        <v>1</v>
      </c>
      <c r="J1015" s="228">
        <f>MONTH(AVEU_Historical_Data__2[[#This Row],[Date]])</f>
        <v>5</v>
      </c>
      <c r="K1015" s="228"/>
    </row>
    <row r="1016" spans="1:11" x14ac:dyDescent="0.25">
      <c r="A1016" s="227">
        <v>45419</v>
      </c>
      <c r="B1016" s="228">
        <v>4660.45</v>
      </c>
      <c r="C1016" s="228">
        <v>4619.95</v>
      </c>
      <c r="D1016" s="228">
        <v>4698</v>
      </c>
      <c r="E1016" s="228">
        <v>4581</v>
      </c>
      <c r="F1016">
        <v>431030</v>
      </c>
      <c r="G1016" s="228">
        <v>1.2999999999999999E-2</v>
      </c>
      <c r="H1016" s="228">
        <f>YEAR(AVEU_Historical_Data__2[[#This Row],[Date]])</f>
        <v>2024</v>
      </c>
      <c r="I1016" s="228">
        <f>ROUNDUP((MOD(MONTH(AVEU_Historical_Data__2[[#This Row],[Date]])+8,12)+1)/3,0)</f>
        <v>1</v>
      </c>
      <c r="J1016" s="228">
        <f>MONTH(AVEU_Historical_Data__2[[#This Row],[Date]])</f>
        <v>5</v>
      </c>
      <c r="K1016" s="228"/>
    </row>
    <row r="1017" spans="1:11" x14ac:dyDescent="0.25">
      <c r="A1017" s="227">
        <v>45420</v>
      </c>
      <c r="B1017" s="228">
        <v>4806.75</v>
      </c>
      <c r="C1017" s="228">
        <v>4674.8</v>
      </c>
      <c r="D1017" s="228">
        <v>4863.8</v>
      </c>
      <c r="E1017" s="228">
        <v>4670</v>
      </c>
      <c r="F1017">
        <v>829720</v>
      </c>
      <c r="G1017" s="228">
        <v>3.1399999999999997E-2</v>
      </c>
      <c r="H1017" s="228">
        <f>YEAR(AVEU_Historical_Data__2[[#This Row],[Date]])</f>
        <v>2024</v>
      </c>
      <c r="I1017" s="228">
        <f>ROUNDUP((MOD(MONTH(AVEU_Historical_Data__2[[#This Row],[Date]])+8,12)+1)/3,0)</f>
        <v>1</v>
      </c>
      <c r="J1017" s="228">
        <f>MONTH(AVEU_Historical_Data__2[[#This Row],[Date]])</f>
        <v>5</v>
      </c>
      <c r="K1017" s="228"/>
    </row>
    <row r="1018" spans="1:11" x14ac:dyDescent="0.25">
      <c r="A1018" s="227">
        <v>45421</v>
      </c>
      <c r="B1018" s="228">
        <v>4798.6499999999996</v>
      </c>
      <c r="C1018" s="228">
        <v>4806.75</v>
      </c>
      <c r="D1018" s="228">
        <v>4895.6000000000004</v>
      </c>
      <c r="E1018" s="228">
        <v>4730</v>
      </c>
      <c r="F1018">
        <v>618010</v>
      </c>
      <c r="G1018" s="228">
        <v>-1.6999999999999999E-3</v>
      </c>
      <c r="H1018" s="228">
        <f>YEAR(AVEU_Historical_Data__2[[#This Row],[Date]])</f>
        <v>2024</v>
      </c>
      <c r="I1018" s="228">
        <f>ROUNDUP((MOD(MONTH(AVEU_Historical_Data__2[[#This Row],[Date]])+8,12)+1)/3,0)</f>
        <v>1</v>
      </c>
      <c r="J1018" s="228">
        <f>MONTH(AVEU_Historical_Data__2[[#This Row],[Date]])</f>
        <v>5</v>
      </c>
      <c r="K1018" s="228"/>
    </row>
    <row r="1019" spans="1:11" x14ac:dyDescent="0.25">
      <c r="A1019" s="227">
        <v>45422</v>
      </c>
      <c r="B1019" s="228">
        <v>4796.8</v>
      </c>
      <c r="C1019" s="228">
        <v>4798.6499999999996</v>
      </c>
      <c r="D1019" s="228">
        <v>4852</v>
      </c>
      <c r="E1019" s="228">
        <v>4735.8500000000004</v>
      </c>
      <c r="F1019">
        <v>290600</v>
      </c>
      <c r="G1019" s="228">
        <v>-4.0000000000000002E-4</v>
      </c>
      <c r="H1019" s="228">
        <f>YEAR(AVEU_Historical_Data__2[[#This Row],[Date]])</f>
        <v>2024</v>
      </c>
      <c r="I1019" s="228">
        <f>ROUNDUP((MOD(MONTH(AVEU_Historical_Data__2[[#This Row],[Date]])+8,12)+1)/3,0)</f>
        <v>1</v>
      </c>
      <c r="J1019" s="228">
        <f>MONTH(AVEU_Historical_Data__2[[#This Row],[Date]])</f>
        <v>5</v>
      </c>
      <c r="K1019" s="228"/>
    </row>
    <row r="1020" spans="1:11" x14ac:dyDescent="0.25">
      <c r="A1020" s="227">
        <v>45425</v>
      </c>
      <c r="B1020" s="228">
        <v>4693.7</v>
      </c>
      <c r="C1020" s="228">
        <v>4799.95</v>
      </c>
      <c r="D1020" s="228">
        <v>4809</v>
      </c>
      <c r="E1020" s="228">
        <v>4667</v>
      </c>
      <c r="F1020">
        <v>190780</v>
      </c>
      <c r="G1020" s="228">
        <v>-2.1499999999999998E-2</v>
      </c>
      <c r="H1020" s="228">
        <f>YEAR(AVEU_Historical_Data__2[[#This Row],[Date]])</f>
        <v>2024</v>
      </c>
      <c r="I1020" s="228">
        <f>ROUNDUP((MOD(MONTH(AVEU_Historical_Data__2[[#This Row],[Date]])+8,12)+1)/3,0)</f>
        <v>1</v>
      </c>
      <c r="J1020" s="228">
        <f>MONTH(AVEU_Historical_Data__2[[#This Row],[Date]])</f>
        <v>5</v>
      </c>
      <c r="K1020" s="228"/>
    </row>
    <row r="1021" spans="1:11" x14ac:dyDescent="0.25">
      <c r="A1021" s="227">
        <v>45426</v>
      </c>
      <c r="B1021" s="228">
        <v>4597.05</v>
      </c>
      <c r="C1021" s="228">
        <v>4739</v>
      </c>
      <c r="D1021" s="228">
        <v>4755</v>
      </c>
      <c r="E1021" s="228">
        <v>4550.3500000000004</v>
      </c>
      <c r="F1021">
        <v>376740</v>
      </c>
      <c r="G1021" s="228">
        <v>-2.06E-2</v>
      </c>
      <c r="H1021" s="228">
        <f>YEAR(AVEU_Historical_Data__2[[#This Row],[Date]])</f>
        <v>2024</v>
      </c>
      <c r="I1021" s="228">
        <f>ROUNDUP((MOD(MONTH(AVEU_Historical_Data__2[[#This Row],[Date]])+8,12)+1)/3,0)</f>
        <v>1</v>
      </c>
      <c r="J1021" s="228">
        <f>MONTH(AVEU_Historical_Data__2[[#This Row],[Date]])</f>
        <v>5</v>
      </c>
      <c r="K1021" s="228"/>
    </row>
    <row r="1022" spans="1:11" x14ac:dyDescent="0.25">
      <c r="A1022" s="227">
        <v>45427</v>
      </c>
      <c r="B1022" s="228">
        <v>4652.45</v>
      </c>
      <c r="C1022" s="228">
        <v>4614.95</v>
      </c>
      <c r="D1022" s="228">
        <v>4680</v>
      </c>
      <c r="E1022" s="228">
        <v>4597.1000000000004</v>
      </c>
      <c r="F1022">
        <v>298260</v>
      </c>
      <c r="G1022" s="228">
        <v>1.21E-2</v>
      </c>
      <c r="H1022" s="228">
        <f>YEAR(AVEU_Historical_Data__2[[#This Row],[Date]])</f>
        <v>2024</v>
      </c>
      <c r="I1022" s="228">
        <f>ROUNDUP((MOD(MONTH(AVEU_Historical_Data__2[[#This Row],[Date]])+8,12)+1)/3,0)</f>
        <v>1</v>
      </c>
      <c r="J1022" s="228">
        <f>MONTH(AVEU_Historical_Data__2[[#This Row],[Date]])</f>
        <v>5</v>
      </c>
      <c r="K1022" s="228"/>
    </row>
    <row r="1023" spans="1:11" x14ac:dyDescent="0.25">
      <c r="A1023" s="227">
        <v>45428</v>
      </c>
      <c r="B1023" s="228">
        <v>4671.25</v>
      </c>
      <c r="C1023" s="228">
        <v>4674.3</v>
      </c>
      <c r="D1023" s="228">
        <v>4699</v>
      </c>
      <c r="E1023" s="228">
        <v>4660.05</v>
      </c>
      <c r="F1023">
        <v>519289.99999999994</v>
      </c>
      <c r="G1023" s="228">
        <v>4.0000000000000001E-3</v>
      </c>
      <c r="H1023" s="228">
        <f>YEAR(AVEU_Historical_Data__2[[#This Row],[Date]])</f>
        <v>2024</v>
      </c>
      <c r="I1023" s="228">
        <f>ROUNDUP((MOD(MONTH(AVEU_Historical_Data__2[[#This Row],[Date]])+8,12)+1)/3,0)</f>
        <v>1</v>
      </c>
      <c r="J1023" s="228">
        <f>MONTH(AVEU_Historical_Data__2[[#This Row],[Date]])</f>
        <v>5</v>
      </c>
      <c r="K1023" s="228"/>
    </row>
    <row r="1024" spans="1:11" x14ac:dyDescent="0.25">
      <c r="A1024" s="227">
        <v>45429</v>
      </c>
      <c r="B1024" s="228">
        <v>4682.8999999999996</v>
      </c>
      <c r="C1024" s="228">
        <v>4680</v>
      </c>
      <c r="D1024" s="228">
        <v>4710</v>
      </c>
      <c r="E1024" s="228">
        <v>4665.05</v>
      </c>
      <c r="F1024">
        <v>203110</v>
      </c>
      <c r="G1024" s="228">
        <v>2.5000000000000001E-3</v>
      </c>
      <c r="H1024" s="228">
        <f>YEAR(AVEU_Historical_Data__2[[#This Row],[Date]])</f>
        <v>2024</v>
      </c>
      <c r="I1024" s="228">
        <f>ROUNDUP((MOD(MONTH(AVEU_Historical_Data__2[[#This Row],[Date]])+8,12)+1)/3,0)</f>
        <v>1</v>
      </c>
      <c r="J1024" s="228">
        <f>MONTH(AVEU_Historical_Data__2[[#This Row],[Date]])</f>
        <v>5</v>
      </c>
      <c r="K1024" s="228"/>
    </row>
    <row r="1025" spans="1:11" x14ac:dyDescent="0.25">
      <c r="A1025" s="227">
        <v>45430</v>
      </c>
      <c r="B1025" s="228">
        <v>4670.6499999999996</v>
      </c>
      <c r="C1025" s="228">
        <v>4670.6499999999996</v>
      </c>
      <c r="D1025" s="228">
        <v>4670.6499999999996</v>
      </c>
      <c r="E1025" s="228">
        <v>4670.6499999999996</v>
      </c>
      <c r="F1025" t="s">
        <v>294</v>
      </c>
      <c r="G1025" s="228">
        <v>-2.5999999999999999E-3</v>
      </c>
      <c r="H1025" s="228">
        <f>YEAR(AVEU_Historical_Data__2[[#This Row],[Date]])</f>
        <v>2024</v>
      </c>
      <c r="I1025" s="228">
        <f>ROUNDUP((MOD(MONTH(AVEU_Historical_Data__2[[#This Row],[Date]])+8,12)+1)/3,0)</f>
        <v>1</v>
      </c>
      <c r="J1025" s="228">
        <f>MONTH(AVEU_Historical_Data__2[[#This Row],[Date]])</f>
        <v>5</v>
      </c>
      <c r="K1025" s="228"/>
    </row>
    <row r="1026" spans="1:11" x14ac:dyDescent="0.25">
      <c r="A1026" s="227">
        <v>45433</v>
      </c>
      <c r="B1026" s="228">
        <v>4705.8999999999996</v>
      </c>
      <c r="C1026" s="228">
        <v>4670</v>
      </c>
      <c r="D1026" s="228">
        <v>4737.45</v>
      </c>
      <c r="E1026" s="228">
        <v>4605.45</v>
      </c>
      <c r="F1026">
        <v>179170</v>
      </c>
      <c r="G1026" s="228">
        <v>7.4999999999999997E-3</v>
      </c>
      <c r="H1026" s="228">
        <f>YEAR(AVEU_Historical_Data__2[[#This Row],[Date]])</f>
        <v>2024</v>
      </c>
      <c r="I1026" s="228">
        <f>ROUNDUP((MOD(MONTH(AVEU_Historical_Data__2[[#This Row],[Date]])+8,12)+1)/3,0)</f>
        <v>1</v>
      </c>
      <c r="J1026" s="228">
        <f>MONTH(AVEU_Historical_Data__2[[#This Row],[Date]])</f>
        <v>5</v>
      </c>
      <c r="K1026" s="228"/>
    </row>
    <row r="1027" spans="1:11" x14ac:dyDescent="0.25">
      <c r="A1027" s="227">
        <v>45434</v>
      </c>
      <c r="B1027" s="228">
        <v>4798.8</v>
      </c>
      <c r="C1027" s="228">
        <v>4763.1499999999996</v>
      </c>
      <c r="D1027" s="228">
        <v>4924.2</v>
      </c>
      <c r="E1027" s="228">
        <v>4737.1499999999996</v>
      </c>
      <c r="F1027">
        <v>716980</v>
      </c>
      <c r="G1027" s="228">
        <v>1.9699999999999999E-2</v>
      </c>
      <c r="H1027" s="228">
        <f>YEAR(AVEU_Historical_Data__2[[#This Row],[Date]])</f>
        <v>2024</v>
      </c>
      <c r="I1027" s="228">
        <f>ROUNDUP((MOD(MONTH(AVEU_Historical_Data__2[[#This Row],[Date]])+8,12)+1)/3,0)</f>
        <v>1</v>
      </c>
      <c r="J1027" s="228">
        <f>MONTH(AVEU_Historical_Data__2[[#This Row],[Date]])</f>
        <v>5</v>
      </c>
      <c r="K1027" s="228"/>
    </row>
    <row r="1028" spans="1:11" x14ac:dyDescent="0.25">
      <c r="A1028" s="227">
        <v>45435</v>
      </c>
      <c r="B1028" s="228">
        <v>4793.55</v>
      </c>
      <c r="C1028" s="228">
        <v>4794.5</v>
      </c>
      <c r="D1028" s="228">
        <v>4812</v>
      </c>
      <c r="E1028" s="228">
        <v>4755.8</v>
      </c>
      <c r="F1028">
        <v>151030</v>
      </c>
      <c r="G1028" s="228">
        <v>-1.1000000000000001E-3</v>
      </c>
      <c r="H1028" s="228">
        <f>YEAR(AVEU_Historical_Data__2[[#This Row],[Date]])</f>
        <v>2024</v>
      </c>
      <c r="I1028" s="228">
        <f>ROUNDUP((MOD(MONTH(AVEU_Historical_Data__2[[#This Row],[Date]])+8,12)+1)/3,0)</f>
        <v>1</v>
      </c>
      <c r="J1028" s="228">
        <f>MONTH(AVEU_Historical_Data__2[[#This Row],[Date]])</f>
        <v>5</v>
      </c>
      <c r="K1028" s="228"/>
    </row>
    <row r="1029" spans="1:11" x14ac:dyDescent="0.25">
      <c r="A1029" s="227">
        <v>45436</v>
      </c>
      <c r="B1029" s="228">
        <v>4684.5</v>
      </c>
      <c r="C1029" s="228">
        <v>4797.8999999999996</v>
      </c>
      <c r="D1029" s="228">
        <v>4841.3999999999996</v>
      </c>
      <c r="E1029" s="228">
        <v>4674.1000000000004</v>
      </c>
      <c r="F1029">
        <v>307320</v>
      </c>
      <c r="G1029" s="228">
        <v>-2.2700000000000001E-2</v>
      </c>
      <c r="H1029" s="228">
        <f>YEAR(AVEU_Historical_Data__2[[#This Row],[Date]])</f>
        <v>2024</v>
      </c>
      <c r="I1029" s="228">
        <f>ROUNDUP((MOD(MONTH(AVEU_Historical_Data__2[[#This Row],[Date]])+8,12)+1)/3,0)</f>
        <v>1</v>
      </c>
      <c r="J1029" s="228">
        <f>MONTH(AVEU_Historical_Data__2[[#This Row],[Date]])</f>
        <v>5</v>
      </c>
      <c r="K1029" s="228"/>
    </row>
    <row r="1030" spans="1:11" x14ac:dyDescent="0.25">
      <c r="A1030" s="227">
        <v>45439</v>
      </c>
      <c r="B1030" s="228">
        <v>4537.3500000000004</v>
      </c>
      <c r="C1030" s="228">
        <v>4651.55</v>
      </c>
      <c r="D1030" s="228">
        <v>4669</v>
      </c>
      <c r="E1030" s="228">
        <v>4508</v>
      </c>
      <c r="F1030">
        <v>392850</v>
      </c>
      <c r="G1030" s="228">
        <v>-3.1399999999999997E-2</v>
      </c>
      <c r="H1030" s="228">
        <f>YEAR(AVEU_Historical_Data__2[[#This Row],[Date]])</f>
        <v>2024</v>
      </c>
      <c r="I1030" s="228">
        <f>ROUNDUP((MOD(MONTH(AVEU_Historical_Data__2[[#This Row],[Date]])+8,12)+1)/3,0)</f>
        <v>1</v>
      </c>
      <c r="J1030" s="228">
        <f>MONTH(AVEU_Historical_Data__2[[#This Row],[Date]])</f>
        <v>5</v>
      </c>
      <c r="K1030" s="228"/>
    </row>
    <row r="1031" spans="1:11" x14ac:dyDescent="0.25">
      <c r="A1031" s="227">
        <v>45440</v>
      </c>
      <c r="B1031" s="228">
        <v>4474.45</v>
      </c>
      <c r="C1031" s="228">
        <v>4551.8999999999996</v>
      </c>
      <c r="D1031" s="228">
        <v>4588.8500000000004</v>
      </c>
      <c r="E1031" s="228">
        <v>4440.2</v>
      </c>
      <c r="F1031">
        <v>224690</v>
      </c>
      <c r="G1031" s="228">
        <v>-1.3899999999999999E-2</v>
      </c>
      <c r="H1031" s="228">
        <f>YEAR(AVEU_Historical_Data__2[[#This Row],[Date]])</f>
        <v>2024</v>
      </c>
      <c r="I1031" s="228">
        <f>ROUNDUP((MOD(MONTH(AVEU_Historical_Data__2[[#This Row],[Date]])+8,12)+1)/3,0)</f>
        <v>1</v>
      </c>
      <c r="J1031" s="228">
        <f>MONTH(AVEU_Historical_Data__2[[#This Row],[Date]])</f>
        <v>5</v>
      </c>
      <c r="K1031" s="228"/>
    </row>
    <row r="1032" spans="1:11" x14ac:dyDescent="0.25">
      <c r="A1032" s="227">
        <v>45441</v>
      </c>
      <c r="B1032" s="228">
        <v>4476.8500000000004</v>
      </c>
      <c r="C1032" s="228">
        <v>4474</v>
      </c>
      <c r="D1032" s="228">
        <v>4564.8500000000004</v>
      </c>
      <c r="E1032" s="228">
        <v>4435.1000000000004</v>
      </c>
      <c r="F1032">
        <v>234520</v>
      </c>
      <c r="G1032" s="228">
        <v>5.0000000000000001E-4</v>
      </c>
      <c r="H1032" s="228">
        <f>YEAR(AVEU_Historical_Data__2[[#This Row],[Date]])</f>
        <v>2024</v>
      </c>
      <c r="I1032" s="228">
        <f>ROUNDUP((MOD(MONTH(AVEU_Historical_Data__2[[#This Row],[Date]])+8,12)+1)/3,0)</f>
        <v>1</v>
      </c>
      <c r="J1032" s="228">
        <f>MONTH(AVEU_Historical_Data__2[[#This Row],[Date]])</f>
        <v>5</v>
      </c>
      <c r="K1032" s="228"/>
    </row>
    <row r="1033" spans="1:11" x14ac:dyDescent="0.25">
      <c r="A1033" s="227">
        <v>45442</v>
      </c>
      <c r="B1033" s="228">
        <v>4444.95</v>
      </c>
      <c r="C1033" s="228">
        <v>4475.8999999999996</v>
      </c>
      <c r="D1033" s="228">
        <v>4497.25</v>
      </c>
      <c r="E1033" s="228">
        <v>4410</v>
      </c>
      <c r="F1033">
        <v>141710</v>
      </c>
      <c r="G1033" s="228">
        <v>-7.1000000000000004E-3</v>
      </c>
      <c r="H1033" s="228">
        <f>YEAR(AVEU_Historical_Data__2[[#This Row],[Date]])</f>
        <v>2024</v>
      </c>
      <c r="I1033" s="228">
        <f>ROUNDUP((MOD(MONTH(AVEU_Historical_Data__2[[#This Row],[Date]])+8,12)+1)/3,0)</f>
        <v>1</v>
      </c>
      <c r="J1033" s="228">
        <f>MONTH(AVEU_Historical_Data__2[[#This Row],[Date]])</f>
        <v>5</v>
      </c>
      <c r="K1033" s="228"/>
    </row>
    <row r="1034" spans="1:11" x14ac:dyDescent="0.25">
      <c r="A1034" s="227">
        <v>45443</v>
      </c>
      <c r="B1034" s="228">
        <v>4302.1499999999996</v>
      </c>
      <c r="C1034" s="228">
        <v>4440</v>
      </c>
      <c r="D1034" s="228">
        <v>4450</v>
      </c>
      <c r="E1034" s="228">
        <v>4250.3999999999996</v>
      </c>
      <c r="F1034">
        <v>866440</v>
      </c>
      <c r="G1034" s="228">
        <v>-3.2099999999999997E-2</v>
      </c>
      <c r="H1034" s="228">
        <f>YEAR(AVEU_Historical_Data__2[[#This Row],[Date]])</f>
        <v>2024</v>
      </c>
      <c r="I1034" s="228">
        <f>ROUNDUP((MOD(MONTH(AVEU_Historical_Data__2[[#This Row],[Date]])+8,12)+1)/3,0)</f>
        <v>1</v>
      </c>
      <c r="J1034" s="228">
        <f>MONTH(AVEU_Historical_Data__2[[#This Row],[Date]])</f>
        <v>5</v>
      </c>
      <c r="K1034" s="228"/>
    </row>
    <row r="1035" spans="1:11" x14ac:dyDescent="0.25">
      <c r="A1035" s="227">
        <v>45446</v>
      </c>
      <c r="B1035" s="228">
        <v>4349.3500000000004</v>
      </c>
      <c r="C1035" s="228">
        <v>4392.95</v>
      </c>
      <c r="D1035" s="228">
        <v>4400</v>
      </c>
      <c r="E1035" s="228">
        <v>4301</v>
      </c>
      <c r="F1035">
        <v>279800</v>
      </c>
      <c r="G1035" s="228">
        <v>1.0999999999999999E-2</v>
      </c>
      <c r="H1035" s="228">
        <f>YEAR(AVEU_Historical_Data__2[[#This Row],[Date]])</f>
        <v>2024</v>
      </c>
      <c r="I1035" s="228">
        <f>ROUNDUP((MOD(MONTH(AVEU_Historical_Data__2[[#This Row],[Date]])+8,12)+1)/3,0)</f>
        <v>1</v>
      </c>
      <c r="J1035" s="228">
        <f>MONTH(AVEU_Historical_Data__2[[#This Row],[Date]])</f>
        <v>6</v>
      </c>
      <c r="K1035" s="228"/>
    </row>
    <row r="1036" spans="1:11" x14ac:dyDescent="0.25">
      <c r="A1036" s="227">
        <v>45447</v>
      </c>
      <c r="B1036" s="228">
        <v>4548.75</v>
      </c>
      <c r="C1036" s="228">
        <v>4399</v>
      </c>
      <c r="D1036" s="228">
        <v>4590</v>
      </c>
      <c r="E1036" s="228">
        <v>4355.6499999999996</v>
      </c>
      <c r="F1036">
        <v>1090000</v>
      </c>
      <c r="G1036" s="228">
        <v>4.58E-2</v>
      </c>
      <c r="H1036" s="228">
        <f>YEAR(AVEU_Historical_Data__2[[#This Row],[Date]])</f>
        <v>2024</v>
      </c>
      <c r="I1036" s="228">
        <f>ROUNDUP((MOD(MONTH(AVEU_Historical_Data__2[[#This Row],[Date]])+8,12)+1)/3,0)</f>
        <v>1</v>
      </c>
      <c r="J1036" s="228">
        <f>MONTH(AVEU_Historical_Data__2[[#This Row],[Date]])</f>
        <v>6</v>
      </c>
      <c r="K1036" s="228"/>
    </row>
    <row r="1037" spans="1:11" x14ac:dyDescent="0.25">
      <c r="A1037" s="227">
        <v>45448</v>
      </c>
      <c r="B1037" s="228">
        <v>4862.25</v>
      </c>
      <c r="C1037" s="228">
        <v>4590</v>
      </c>
      <c r="D1037" s="228">
        <v>4900</v>
      </c>
      <c r="E1037" s="228">
        <v>4562.2</v>
      </c>
      <c r="F1037">
        <v>1500000</v>
      </c>
      <c r="G1037" s="228">
        <v>6.8900000000000003E-2</v>
      </c>
      <c r="H1037" s="228">
        <f>YEAR(AVEU_Historical_Data__2[[#This Row],[Date]])</f>
        <v>2024</v>
      </c>
      <c r="I1037" s="228">
        <f>ROUNDUP((MOD(MONTH(AVEU_Historical_Data__2[[#This Row],[Date]])+8,12)+1)/3,0)</f>
        <v>1</v>
      </c>
      <c r="J1037" s="228">
        <f>MONTH(AVEU_Historical_Data__2[[#This Row],[Date]])</f>
        <v>6</v>
      </c>
      <c r="K1037" s="228"/>
    </row>
    <row r="1038" spans="1:11" x14ac:dyDescent="0.25">
      <c r="A1038" s="227">
        <v>45449</v>
      </c>
      <c r="B1038" s="228">
        <v>4687.05</v>
      </c>
      <c r="C1038" s="228">
        <v>4861.95</v>
      </c>
      <c r="D1038" s="228">
        <v>4861.95</v>
      </c>
      <c r="E1038" s="228">
        <v>4675.25</v>
      </c>
      <c r="F1038">
        <v>664300</v>
      </c>
      <c r="G1038" s="228">
        <v>-3.5999999999999997E-2</v>
      </c>
      <c r="H1038" s="228">
        <f>YEAR(AVEU_Historical_Data__2[[#This Row],[Date]])</f>
        <v>2024</v>
      </c>
      <c r="I1038" s="228">
        <f>ROUNDUP((MOD(MONTH(AVEU_Historical_Data__2[[#This Row],[Date]])+8,12)+1)/3,0)</f>
        <v>1</v>
      </c>
      <c r="J1038" s="228">
        <f>MONTH(AVEU_Historical_Data__2[[#This Row],[Date]])</f>
        <v>6</v>
      </c>
      <c r="K1038" s="228"/>
    </row>
    <row r="1039" spans="1:11" x14ac:dyDescent="0.25">
      <c r="A1039" s="227">
        <v>45450</v>
      </c>
      <c r="B1039" s="228">
        <v>4747.25</v>
      </c>
      <c r="C1039" s="228">
        <v>4700</v>
      </c>
      <c r="D1039" s="228">
        <v>4806.3500000000004</v>
      </c>
      <c r="E1039" s="228">
        <v>4690.75</v>
      </c>
      <c r="F1039">
        <v>352970</v>
      </c>
      <c r="G1039" s="228">
        <v>1.2800000000000001E-2</v>
      </c>
      <c r="H1039" s="228">
        <f>YEAR(AVEU_Historical_Data__2[[#This Row],[Date]])</f>
        <v>2024</v>
      </c>
      <c r="I1039" s="228">
        <f>ROUNDUP((MOD(MONTH(AVEU_Historical_Data__2[[#This Row],[Date]])+8,12)+1)/3,0)</f>
        <v>1</v>
      </c>
      <c r="J1039" s="228">
        <f>MONTH(AVEU_Historical_Data__2[[#This Row],[Date]])</f>
        <v>6</v>
      </c>
      <c r="K1039" s="228"/>
    </row>
    <row r="1040" spans="1:11" x14ac:dyDescent="0.25">
      <c r="A1040" s="227">
        <v>45453</v>
      </c>
      <c r="B1040" s="228">
        <v>4778.3999999999996</v>
      </c>
      <c r="C1040" s="228">
        <v>4769.05</v>
      </c>
      <c r="D1040" s="228">
        <v>4812</v>
      </c>
      <c r="E1040" s="228">
        <v>4688</v>
      </c>
      <c r="F1040">
        <v>276910</v>
      </c>
      <c r="G1040" s="228">
        <v>6.6E-3</v>
      </c>
      <c r="H1040" s="228">
        <f>YEAR(AVEU_Historical_Data__2[[#This Row],[Date]])</f>
        <v>2024</v>
      </c>
      <c r="I1040" s="228">
        <f>ROUNDUP((MOD(MONTH(AVEU_Historical_Data__2[[#This Row],[Date]])+8,12)+1)/3,0)</f>
        <v>1</v>
      </c>
      <c r="J1040" s="228">
        <f>MONTH(AVEU_Historical_Data__2[[#This Row],[Date]])</f>
        <v>6</v>
      </c>
      <c r="K1040" s="228"/>
    </row>
    <row r="1041" spans="1:11" x14ac:dyDescent="0.25">
      <c r="A1041" s="227">
        <v>45454</v>
      </c>
      <c r="B1041" s="228">
        <v>4701.45</v>
      </c>
      <c r="C1041" s="228">
        <v>4800</v>
      </c>
      <c r="D1041" s="228">
        <v>4829.8999999999996</v>
      </c>
      <c r="E1041" s="228">
        <v>4676</v>
      </c>
      <c r="F1041">
        <v>266810</v>
      </c>
      <c r="G1041" s="228">
        <v>-1.61E-2</v>
      </c>
      <c r="H1041" s="228">
        <f>YEAR(AVEU_Historical_Data__2[[#This Row],[Date]])</f>
        <v>2024</v>
      </c>
      <c r="I1041" s="228">
        <f>ROUNDUP((MOD(MONTH(AVEU_Historical_Data__2[[#This Row],[Date]])+8,12)+1)/3,0)</f>
        <v>1</v>
      </c>
      <c r="J1041" s="228">
        <f>MONTH(AVEU_Historical_Data__2[[#This Row],[Date]])</f>
        <v>6</v>
      </c>
      <c r="K1041" s="228"/>
    </row>
    <row r="1042" spans="1:11" x14ac:dyDescent="0.25">
      <c r="A1042" s="227">
        <v>45455</v>
      </c>
      <c r="B1042" s="228">
        <v>4666.75</v>
      </c>
      <c r="C1042" s="228">
        <v>4710.05</v>
      </c>
      <c r="D1042" s="228">
        <v>4740</v>
      </c>
      <c r="E1042" s="228">
        <v>4645</v>
      </c>
      <c r="F1042">
        <v>555090</v>
      </c>
      <c r="G1042" s="228">
        <v>-7.4000000000000003E-3</v>
      </c>
      <c r="H1042" s="228">
        <f>YEAR(AVEU_Historical_Data__2[[#This Row],[Date]])</f>
        <v>2024</v>
      </c>
      <c r="I1042" s="228">
        <f>ROUNDUP((MOD(MONTH(AVEU_Historical_Data__2[[#This Row],[Date]])+8,12)+1)/3,0)</f>
        <v>1</v>
      </c>
      <c r="J1042" s="228">
        <f>MONTH(AVEU_Historical_Data__2[[#This Row],[Date]])</f>
        <v>6</v>
      </c>
      <c r="K1042" s="228"/>
    </row>
    <row r="1043" spans="1:11" x14ac:dyDescent="0.25">
      <c r="A1043" s="227">
        <v>45456</v>
      </c>
      <c r="B1043" s="228">
        <v>4656.6499999999996</v>
      </c>
      <c r="C1043" s="228">
        <v>4697.25</v>
      </c>
      <c r="D1043" s="228">
        <v>4739.95</v>
      </c>
      <c r="E1043" s="228">
        <v>4640.05</v>
      </c>
      <c r="F1043">
        <v>238270</v>
      </c>
      <c r="G1043" s="228">
        <v>-2.2000000000000001E-3</v>
      </c>
      <c r="H1043" s="228">
        <f>YEAR(AVEU_Historical_Data__2[[#This Row],[Date]])</f>
        <v>2024</v>
      </c>
      <c r="I1043" s="228">
        <f>ROUNDUP((MOD(MONTH(AVEU_Historical_Data__2[[#This Row],[Date]])+8,12)+1)/3,0)</f>
        <v>1</v>
      </c>
      <c r="J1043" s="228">
        <f>MONTH(AVEU_Historical_Data__2[[#This Row],[Date]])</f>
        <v>6</v>
      </c>
      <c r="K1043" s="228"/>
    </row>
    <row r="1044" spans="1:11" x14ac:dyDescent="0.25">
      <c r="A1044" s="227">
        <v>45457</v>
      </c>
      <c r="B1044" s="228">
        <v>4739.95</v>
      </c>
      <c r="C1044" s="228">
        <v>4692</v>
      </c>
      <c r="D1044" s="228">
        <v>4759.95</v>
      </c>
      <c r="E1044" s="228">
        <v>4671.05</v>
      </c>
      <c r="F1044">
        <v>258980.00000000003</v>
      </c>
      <c r="G1044" s="228">
        <v>1.7899999999999999E-2</v>
      </c>
      <c r="H1044" s="228">
        <f>YEAR(AVEU_Historical_Data__2[[#This Row],[Date]])</f>
        <v>2024</v>
      </c>
      <c r="I1044" s="228">
        <f>ROUNDUP((MOD(MONTH(AVEU_Historical_Data__2[[#This Row],[Date]])+8,12)+1)/3,0)</f>
        <v>1</v>
      </c>
      <c r="J1044" s="228">
        <f>MONTH(AVEU_Historical_Data__2[[#This Row],[Date]])</f>
        <v>6</v>
      </c>
      <c r="K1044" s="228"/>
    </row>
    <row r="1045" spans="1:11" x14ac:dyDescent="0.25">
      <c r="A1045" s="227">
        <v>45461</v>
      </c>
      <c r="B1045" s="228">
        <v>5039.3</v>
      </c>
      <c r="C1045" s="228">
        <v>4739.95</v>
      </c>
      <c r="D1045" s="228">
        <v>5080</v>
      </c>
      <c r="E1045" s="228">
        <v>4734.8</v>
      </c>
      <c r="F1045">
        <v>2049999.9999999998</v>
      </c>
      <c r="G1045" s="228">
        <v>6.3200000000000006E-2</v>
      </c>
      <c r="H1045" s="228">
        <f>YEAR(AVEU_Historical_Data__2[[#This Row],[Date]])</f>
        <v>2024</v>
      </c>
      <c r="I1045" s="228">
        <f>ROUNDUP((MOD(MONTH(AVEU_Historical_Data__2[[#This Row],[Date]])+8,12)+1)/3,0)</f>
        <v>1</v>
      </c>
      <c r="J1045" s="228">
        <f>MONTH(AVEU_Historical_Data__2[[#This Row],[Date]])</f>
        <v>6</v>
      </c>
      <c r="K1045" s="228"/>
    </row>
    <row r="1046" spans="1:11" x14ac:dyDescent="0.25">
      <c r="A1046" s="227">
        <v>45462</v>
      </c>
      <c r="B1046" s="228">
        <v>4933.8999999999996</v>
      </c>
      <c r="C1046" s="228">
        <v>5079</v>
      </c>
      <c r="D1046" s="228">
        <v>5219</v>
      </c>
      <c r="E1046" s="228">
        <v>4901.3500000000004</v>
      </c>
      <c r="F1046">
        <v>1440000</v>
      </c>
      <c r="G1046" s="228">
        <v>-2.0899999999999998E-2</v>
      </c>
      <c r="H1046" s="228">
        <f>YEAR(AVEU_Historical_Data__2[[#This Row],[Date]])</f>
        <v>2024</v>
      </c>
      <c r="I1046" s="228">
        <f>ROUNDUP((MOD(MONTH(AVEU_Historical_Data__2[[#This Row],[Date]])+8,12)+1)/3,0)</f>
        <v>1</v>
      </c>
      <c r="J1046" s="228">
        <f>MONTH(AVEU_Historical_Data__2[[#This Row],[Date]])</f>
        <v>6</v>
      </c>
      <c r="K1046" s="228"/>
    </row>
    <row r="1047" spans="1:11" x14ac:dyDescent="0.25">
      <c r="A1047" s="227">
        <v>45463</v>
      </c>
      <c r="B1047" s="228">
        <v>4861.7</v>
      </c>
      <c r="C1047" s="228">
        <v>4947.45</v>
      </c>
      <c r="D1047" s="228">
        <v>5022.5</v>
      </c>
      <c r="E1047" s="228">
        <v>4832.2</v>
      </c>
      <c r="F1047">
        <v>577840</v>
      </c>
      <c r="G1047" s="228">
        <v>-1.46E-2</v>
      </c>
      <c r="H1047" s="228">
        <f>YEAR(AVEU_Historical_Data__2[[#This Row],[Date]])</f>
        <v>2024</v>
      </c>
      <c r="I1047" s="228">
        <f>ROUNDUP((MOD(MONTH(AVEU_Historical_Data__2[[#This Row],[Date]])+8,12)+1)/3,0)</f>
        <v>1</v>
      </c>
      <c r="J1047" s="228">
        <f>MONTH(AVEU_Historical_Data__2[[#This Row],[Date]])</f>
        <v>6</v>
      </c>
      <c r="K1047" s="228"/>
    </row>
    <row r="1048" spans="1:11" x14ac:dyDescent="0.25">
      <c r="A1048" s="227">
        <v>45464</v>
      </c>
      <c r="B1048" s="228">
        <v>4804.8500000000004</v>
      </c>
      <c r="C1048" s="228">
        <v>4928</v>
      </c>
      <c r="D1048" s="228">
        <v>5082.95</v>
      </c>
      <c r="E1048" s="228">
        <v>4763</v>
      </c>
      <c r="F1048">
        <v>726520</v>
      </c>
      <c r="G1048" s="228">
        <v>-1.17E-2</v>
      </c>
      <c r="H1048" s="228">
        <f>YEAR(AVEU_Historical_Data__2[[#This Row],[Date]])</f>
        <v>2024</v>
      </c>
      <c r="I1048" s="228">
        <f>ROUNDUP((MOD(MONTH(AVEU_Historical_Data__2[[#This Row],[Date]])+8,12)+1)/3,0)</f>
        <v>1</v>
      </c>
      <c r="J1048" s="228">
        <f>MONTH(AVEU_Historical_Data__2[[#This Row],[Date]])</f>
        <v>6</v>
      </c>
      <c r="K1048" s="228"/>
    </row>
    <row r="1049" spans="1:11" x14ac:dyDescent="0.25">
      <c r="A1049" s="227">
        <v>45467</v>
      </c>
      <c r="B1049" s="228">
        <v>4833.7</v>
      </c>
      <c r="C1049" s="228">
        <v>4792</v>
      </c>
      <c r="D1049" s="228">
        <v>4875</v>
      </c>
      <c r="E1049" s="228">
        <v>4765.8500000000004</v>
      </c>
      <c r="F1049">
        <v>356820</v>
      </c>
      <c r="G1049" s="228">
        <v>6.0000000000000001E-3</v>
      </c>
      <c r="H1049" s="228">
        <f>YEAR(AVEU_Historical_Data__2[[#This Row],[Date]])</f>
        <v>2024</v>
      </c>
      <c r="I1049" s="228">
        <f>ROUNDUP((MOD(MONTH(AVEU_Historical_Data__2[[#This Row],[Date]])+8,12)+1)/3,0)</f>
        <v>1</v>
      </c>
      <c r="J1049" s="228">
        <f>MONTH(AVEU_Historical_Data__2[[#This Row],[Date]])</f>
        <v>6</v>
      </c>
      <c r="K1049" s="228"/>
    </row>
    <row r="1050" spans="1:11" x14ac:dyDescent="0.25">
      <c r="A1050" s="227">
        <v>45468</v>
      </c>
      <c r="B1050" s="228">
        <v>4783.3500000000004</v>
      </c>
      <c r="C1050" s="228">
        <v>4850</v>
      </c>
      <c r="D1050" s="228">
        <v>4905</v>
      </c>
      <c r="E1050" s="228">
        <v>4755</v>
      </c>
      <c r="F1050">
        <v>376890</v>
      </c>
      <c r="G1050" s="228">
        <v>-1.04E-2</v>
      </c>
      <c r="H1050" s="228">
        <f>YEAR(AVEU_Historical_Data__2[[#This Row],[Date]])</f>
        <v>2024</v>
      </c>
      <c r="I1050" s="228">
        <f>ROUNDUP((MOD(MONTH(AVEU_Historical_Data__2[[#This Row],[Date]])+8,12)+1)/3,0)</f>
        <v>1</v>
      </c>
      <c r="J1050" s="228">
        <f>MONTH(AVEU_Historical_Data__2[[#This Row],[Date]])</f>
        <v>6</v>
      </c>
      <c r="K1050" s="228"/>
    </row>
    <row r="1051" spans="1:11" x14ac:dyDescent="0.25">
      <c r="A1051" s="227">
        <v>45469</v>
      </c>
      <c r="B1051" s="228">
        <v>4801</v>
      </c>
      <c r="C1051" s="228">
        <v>4775</v>
      </c>
      <c r="D1051" s="228">
        <v>4823.95</v>
      </c>
      <c r="E1051" s="228">
        <v>4690</v>
      </c>
      <c r="F1051">
        <v>546310</v>
      </c>
      <c r="G1051" s="228">
        <v>3.7000000000000002E-3</v>
      </c>
      <c r="H1051" s="228">
        <f>YEAR(AVEU_Historical_Data__2[[#This Row],[Date]])</f>
        <v>2024</v>
      </c>
      <c r="I1051" s="228">
        <f>ROUNDUP((MOD(MONTH(AVEU_Historical_Data__2[[#This Row],[Date]])+8,12)+1)/3,0)</f>
        <v>1</v>
      </c>
      <c r="J1051" s="228">
        <f>MONTH(AVEU_Historical_Data__2[[#This Row],[Date]])</f>
        <v>6</v>
      </c>
      <c r="K1051" s="228"/>
    </row>
    <row r="1052" spans="1:11" x14ac:dyDescent="0.25">
      <c r="A1052" s="227">
        <v>45470</v>
      </c>
      <c r="B1052" s="228">
        <v>4900.1000000000004</v>
      </c>
      <c r="C1052" s="228">
        <v>4819.95</v>
      </c>
      <c r="D1052" s="228">
        <v>4960</v>
      </c>
      <c r="E1052" s="228">
        <v>4738</v>
      </c>
      <c r="F1052">
        <v>503720</v>
      </c>
      <c r="G1052" s="228">
        <v>2.06E-2</v>
      </c>
      <c r="H1052" s="228">
        <f>YEAR(AVEU_Historical_Data__2[[#This Row],[Date]])</f>
        <v>2024</v>
      </c>
      <c r="I1052" s="228">
        <f>ROUNDUP((MOD(MONTH(AVEU_Historical_Data__2[[#This Row],[Date]])+8,12)+1)/3,0)</f>
        <v>1</v>
      </c>
      <c r="J1052" s="228">
        <f>MONTH(AVEU_Historical_Data__2[[#This Row],[Date]])</f>
        <v>6</v>
      </c>
      <c r="K1052" s="228"/>
    </row>
    <row r="1053" spans="1:11" x14ac:dyDescent="0.25">
      <c r="A1053" s="227">
        <v>45471</v>
      </c>
      <c r="B1053" s="228">
        <v>4716.75</v>
      </c>
      <c r="C1053" s="228">
        <v>4900</v>
      </c>
      <c r="D1053" s="228">
        <v>4921.95</v>
      </c>
      <c r="E1053" s="228">
        <v>4680</v>
      </c>
      <c r="F1053">
        <v>685010</v>
      </c>
      <c r="G1053" s="228">
        <v>-3.7400000000000003E-2</v>
      </c>
      <c r="H1053" s="228">
        <f>YEAR(AVEU_Historical_Data__2[[#This Row],[Date]])</f>
        <v>2024</v>
      </c>
      <c r="I1053" s="228">
        <f>ROUNDUP((MOD(MONTH(AVEU_Historical_Data__2[[#This Row],[Date]])+8,12)+1)/3,0)</f>
        <v>1</v>
      </c>
      <c r="J1053" s="228">
        <f>MONTH(AVEU_Historical_Data__2[[#This Row],[Date]])</f>
        <v>6</v>
      </c>
      <c r="K1053" s="228"/>
    </row>
    <row r="1054" spans="1:11" x14ac:dyDescent="0.25">
      <c r="A1054" s="227">
        <v>45474</v>
      </c>
      <c r="B1054" s="228">
        <v>4735.8999999999996</v>
      </c>
      <c r="C1054" s="228">
        <v>4725.1000000000004</v>
      </c>
      <c r="D1054" s="228">
        <v>4754.45</v>
      </c>
      <c r="E1054" s="228">
        <v>4612.5</v>
      </c>
      <c r="F1054">
        <v>642170</v>
      </c>
      <c r="G1054" s="228">
        <v>4.1000000000000003E-3</v>
      </c>
      <c r="H1054" s="228">
        <f>YEAR(AVEU_Historical_Data__2[[#This Row],[Date]])</f>
        <v>2024</v>
      </c>
      <c r="I1054" s="228">
        <f>ROUNDUP((MOD(MONTH(AVEU_Historical_Data__2[[#This Row],[Date]])+8,12)+1)/3,0)</f>
        <v>2</v>
      </c>
      <c r="J1054" s="228">
        <f>MONTH(AVEU_Historical_Data__2[[#This Row],[Date]])</f>
        <v>7</v>
      </c>
      <c r="K1054" s="228"/>
    </row>
    <row r="1055" spans="1:11" x14ac:dyDescent="0.25">
      <c r="A1055" s="227">
        <v>45475</v>
      </c>
      <c r="B1055" s="228">
        <v>4773.8500000000004</v>
      </c>
      <c r="C1055" s="228">
        <v>4759.1000000000004</v>
      </c>
      <c r="D1055" s="228">
        <v>4825.25</v>
      </c>
      <c r="E1055" s="228">
        <v>4719.55</v>
      </c>
      <c r="F1055">
        <v>360010</v>
      </c>
      <c r="G1055" s="228">
        <v>8.0000000000000002E-3</v>
      </c>
      <c r="H1055" s="228">
        <f>YEAR(AVEU_Historical_Data__2[[#This Row],[Date]])</f>
        <v>2024</v>
      </c>
      <c r="I1055" s="228">
        <f>ROUNDUP((MOD(MONTH(AVEU_Historical_Data__2[[#This Row],[Date]])+8,12)+1)/3,0)</f>
        <v>2</v>
      </c>
      <c r="J1055" s="228">
        <f>MONTH(AVEU_Historical_Data__2[[#This Row],[Date]])</f>
        <v>7</v>
      </c>
      <c r="K1055" s="228"/>
    </row>
    <row r="1056" spans="1:11" x14ac:dyDescent="0.25">
      <c r="A1056" s="227">
        <v>45476</v>
      </c>
      <c r="B1056" s="228">
        <v>4792.8999999999996</v>
      </c>
      <c r="C1056" s="228">
        <v>4760</v>
      </c>
      <c r="D1056" s="228">
        <v>4810.8999999999996</v>
      </c>
      <c r="E1056" s="228">
        <v>4700.7</v>
      </c>
      <c r="F1056">
        <v>799110</v>
      </c>
      <c r="G1056" s="228">
        <v>4.0000000000000001E-3</v>
      </c>
      <c r="H1056" s="228">
        <f>YEAR(AVEU_Historical_Data__2[[#This Row],[Date]])</f>
        <v>2024</v>
      </c>
      <c r="I1056" s="228">
        <f>ROUNDUP((MOD(MONTH(AVEU_Historical_Data__2[[#This Row],[Date]])+8,12)+1)/3,0)</f>
        <v>2</v>
      </c>
      <c r="J1056" s="228">
        <f>MONTH(AVEU_Historical_Data__2[[#This Row],[Date]])</f>
        <v>7</v>
      </c>
      <c r="K1056" s="228"/>
    </row>
    <row r="1057" spans="1:11" x14ac:dyDescent="0.25">
      <c r="A1057" s="227">
        <v>45477</v>
      </c>
      <c r="B1057" s="228">
        <v>4768.1000000000004</v>
      </c>
      <c r="C1057" s="228">
        <v>4785.1000000000004</v>
      </c>
      <c r="D1057" s="228">
        <v>4825</v>
      </c>
      <c r="E1057" s="228">
        <v>4725</v>
      </c>
      <c r="F1057">
        <v>317760</v>
      </c>
      <c r="G1057" s="228">
        <v>-5.1999999999999998E-3</v>
      </c>
      <c r="H1057" s="228">
        <f>YEAR(AVEU_Historical_Data__2[[#This Row],[Date]])</f>
        <v>2024</v>
      </c>
      <c r="I1057" s="228">
        <f>ROUNDUP((MOD(MONTH(AVEU_Historical_Data__2[[#This Row],[Date]])+8,12)+1)/3,0)</f>
        <v>2</v>
      </c>
      <c r="J1057" s="228">
        <f>MONTH(AVEU_Historical_Data__2[[#This Row],[Date]])</f>
        <v>7</v>
      </c>
      <c r="K1057" s="228"/>
    </row>
    <row r="1058" spans="1:11" x14ac:dyDescent="0.25">
      <c r="A1058" s="227">
        <v>45478</v>
      </c>
      <c r="B1058" s="228">
        <v>4853.1000000000004</v>
      </c>
      <c r="C1058" s="228">
        <v>4768.8500000000004</v>
      </c>
      <c r="D1058" s="228">
        <v>4871</v>
      </c>
      <c r="E1058" s="228">
        <v>4742.8</v>
      </c>
      <c r="F1058">
        <v>359690</v>
      </c>
      <c r="G1058" s="228">
        <v>1.78E-2</v>
      </c>
      <c r="H1058" s="228">
        <f>YEAR(AVEU_Historical_Data__2[[#This Row],[Date]])</f>
        <v>2024</v>
      </c>
      <c r="I1058" s="228">
        <f>ROUNDUP((MOD(MONTH(AVEU_Historical_Data__2[[#This Row],[Date]])+8,12)+1)/3,0)</f>
        <v>2</v>
      </c>
      <c r="J1058" s="228">
        <f>MONTH(AVEU_Historical_Data__2[[#This Row],[Date]])</f>
        <v>7</v>
      </c>
      <c r="K1058" s="228"/>
    </row>
    <row r="1059" spans="1:11" x14ac:dyDescent="0.25">
      <c r="A1059" s="227">
        <v>45481</v>
      </c>
      <c r="B1059" s="228">
        <v>4851.55</v>
      </c>
      <c r="C1059" s="228">
        <v>4860</v>
      </c>
      <c r="D1059" s="228">
        <v>4935.2</v>
      </c>
      <c r="E1059" s="228">
        <v>4820</v>
      </c>
      <c r="F1059">
        <v>706770</v>
      </c>
      <c r="G1059" s="228">
        <v>-2.9999999999999997E-4</v>
      </c>
      <c r="H1059" s="228">
        <f>YEAR(AVEU_Historical_Data__2[[#This Row],[Date]])</f>
        <v>2024</v>
      </c>
      <c r="I1059" s="228">
        <f>ROUNDUP((MOD(MONTH(AVEU_Historical_Data__2[[#This Row],[Date]])+8,12)+1)/3,0)</f>
        <v>2</v>
      </c>
      <c r="J1059" s="228">
        <f>MONTH(AVEU_Historical_Data__2[[#This Row],[Date]])</f>
        <v>7</v>
      </c>
      <c r="K1059" s="228"/>
    </row>
    <row r="1060" spans="1:11" x14ac:dyDescent="0.25">
      <c r="A1060" s="227">
        <v>45482</v>
      </c>
      <c r="B1060" s="228">
        <v>4806.3500000000004</v>
      </c>
      <c r="C1060" s="228">
        <v>4853.1000000000004</v>
      </c>
      <c r="D1060" s="228">
        <v>4893.95</v>
      </c>
      <c r="E1060" s="228">
        <v>4780</v>
      </c>
      <c r="F1060">
        <v>421550</v>
      </c>
      <c r="G1060" s="228">
        <v>-9.2999999999999992E-3</v>
      </c>
      <c r="H1060" s="228">
        <f>YEAR(AVEU_Historical_Data__2[[#This Row],[Date]])</f>
        <v>2024</v>
      </c>
      <c r="I1060" s="228">
        <f>ROUNDUP((MOD(MONTH(AVEU_Historical_Data__2[[#This Row],[Date]])+8,12)+1)/3,0)</f>
        <v>2</v>
      </c>
      <c r="J1060" s="228">
        <f>MONTH(AVEU_Historical_Data__2[[#This Row],[Date]])</f>
        <v>7</v>
      </c>
      <c r="K1060" s="228"/>
    </row>
    <row r="1061" spans="1:11" x14ac:dyDescent="0.25">
      <c r="A1061" s="227">
        <v>45483</v>
      </c>
      <c r="B1061" s="228">
        <v>4834.45</v>
      </c>
      <c r="C1061" s="228">
        <v>4825</v>
      </c>
      <c r="D1061" s="228">
        <v>4894.3500000000004</v>
      </c>
      <c r="E1061" s="228">
        <v>4731.1000000000004</v>
      </c>
      <c r="F1061">
        <v>284150</v>
      </c>
      <c r="G1061" s="228">
        <v>5.7999999999999996E-3</v>
      </c>
      <c r="H1061" s="228">
        <f>YEAR(AVEU_Historical_Data__2[[#This Row],[Date]])</f>
        <v>2024</v>
      </c>
      <c r="I1061" s="228">
        <f>ROUNDUP((MOD(MONTH(AVEU_Historical_Data__2[[#This Row],[Date]])+8,12)+1)/3,0)</f>
        <v>2</v>
      </c>
      <c r="J1061" s="228">
        <f>MONTH(AVEU_Historical_Data__2[[#This Row],[Date]])</f>
        <v>7</v>
      </c>
      <c r="K1061" s="228"/>
    </row>
    <row r="1062" spans="1:11" x14ac:dyDescent="0.25">
      <c r="A1062" s="227">
        <v>45484</v>
      </c>
      <c r="B1062" s="228">
        <v>4898.8999999999996</v>
      </c>
      <c r="C1062" s="228">
        <v>4853.8999999999996</v>
      </c>
      <c r="D1062" s="228">
        <v>4969</v>
      </c>
      <c r="E1062" s="228">
        <v>4832.25</v>
      </c>
      <c r="F1062">
        <v>568250</v>
      </c>
      <c r="G1062" s="228">
        <v>1.3299999999999999E-2</v>
      </c>
      <c r="H1062" s="228">
        <f>YEAR(AVEU_Historical_Data__2[[#This Row],[Date]])</f>
        <v>2024</v>
      </c>
      <c r="I1062" s="228">
        <f>ROUNDUP((MOD(MONTH(AVEU_Historical_Data__2[[#This Row],[Date]])+8,12)+1)/3,0)</f>
        <v>2</v>
      </c>
      <c r="J1062" s="228">
        <f>MONTH(AVEU_Historical_Data__2[[#This Row],[Date]])</f>
        <v>7</v>
      </c>
      <c r="K1062" s="228"/>
    </row>
    <row r="1063" spans="1:11" x14ac:dyDescent="0.25">
      <c r="A1063" s="227">
        <v>45485</v>
      </c>
      <c r="B1063" s="228">
        <v>4943.6499999999996</v>
      </c>
      <c r="C1063" s="228">
        <v>4939.8999999999996</v>
      </c>
      <c r="D1063" s="228">
        <v>5016.95</v>
      </c>
      <c r="E1063" s="228">
        <v>4909</v>
      </c>
      <c r="F1063">
        <v>598090</v>
      </c>
      <c r="G1063" s="228">
        <v>9.1000000000000004E-3</v>
      </c>
      <c r="H1063" s="228">
        <f>YEAR(AVEU_Historical_Data__2[[#This Row],[Date]])</f>
        <v>2024</v>
      </c>
      <c r="I1063" s="228">
        <f>ROUNDUP((MOD(MONTH(AVEU_Historical_Data__2[[#This Row],[Date]])+8,12)+1)/3,0)</f>
        <v>2</v>
      </c>
      <c r="J1063" s="228">
        <f>MONTH(AVEU_Historical_Data__2[[#This Row],[Date]])</f>
        <v>7</v>
      </c>
      <c r="K1063" s="228"/>
    </row>
    <row r="1064" spans="1:11" x14ac:dyDescent="0.25">
      <c r="A1064" s="227">
        <v>45488</v>
      </c>
      <c r="B1064" s="228">
        <v>4988.8500000000004</v>
      </c>
      <c r="C1064" s="228">
        <v>5126.45</v>
      </c>
      <c r="D1064" s="228">
        <v>5164</v>
      </c>
      <c r="E1064" s="228">
        <v>4943.6499999999996</v>
      </c>
      <c r="F1064">
        <v>1410000</v>
      </c>
      <c r="G1064" s="228">
        <v>9.1000000000000004E-3</v>
      </c>
      <c r="H1064" s="228">
        <f>YEAR(AVEU_Historical_Data__2[[#This Row],[Date]])</f>
        <v>2024</v>
      </c>
      <c r="I1064" s="228">
        <f>ROUNDUP((MOD(MONTH(AVEU_Historical_Data__2[[#This Row],[Date]])+8,12)+1)/3,0)</f>
        <v>2</v>
      </c>
      <c r="J1064" s="228">
        <f>MONTH(AVEU_Historical_Data__2[[#This Row],[Date]])</f>
        <v>7</v>
      </c>
      <c r="K1064" s="228"/>
    </row>
    <row r="1065" spans="1:11" x14ac:dyDescent="0.25">
      <c r="A1065" s="227">
        <v>45489</v>
      </c>
      <c r="B1065" s="228">
        <v>5039.8500000000004</v>
      </c>
      <c r="C1065" s="228">
        <v>5000</v>
      </c>
      <c r="D1065" s="228">
        <v>5104</v>
      </c>
      <c r="E1065" s="228">
        <v>4979</v>
      </c>
      <c r="F1065">
        <v>1060000</v>
      </c>
      <c r="G1065" s="228">
        <v>1.0200000000000001E-2</v>
      </c>
      <c r="H1065" s="228">
        <f>YEAR(AVEU_Historical_Data__2[[#This Row],[Date]])</f>
        <v>2024</v>
      </c>
      <c r="I1065" s="228">
        <f>ROUNDUP((MOD(MONTH(AVEU_Historical_Data__2[[#This Row],[Date]])+8,12)+1)/3,0)</f>
        <v>2</v>
      </c>
      <c r="J1065" s="228">
        <f>MONTH(AVEU_Historical_Data__2[[#This Row],[Date]])</f>
        <v>7</v>
      </c>
      <c r="K1065" s="228"/>
    </row>
    <row r="1066" spans="1:11" x14ac:dyDescent="0.25">
      <c r="A1066" s="227">
        <v>45491</v>
      </c>
      <c r="B1066" s="228">
        <v>5083.45</v>
      </c>
      <c r="C1066" s="228">
        <v>5039.8500000000004</v>
      </c>
      <c r="D1066" s="228">
        <v>5096.95</v>
      </c>
      <c r="E1066" s="228">
        <v>5028</v>
      </c>
      <c r="F1066">
        <v>837640</v>
      </c>
      <c r="G1066" s="228">
        <v>8.6999999999999994E-3</v>
      </c>
      <c r="H1066" s="228">
        <f>YEAR(AVEU_Historical_Data__2[[#This Row],[Date]])</f>
        <v>2024</v>
      </c>
      <c r="I1066" s="228">
        <f>ROUNDUP((MOD(MONTH(AVEU_Historical_Data__2[[#This Row],[Date]])+8,12)+1)/3,0)</f>
        <v>2</v>
      </c>
      <c r="J1066" s="228">
        <f>MONTH(AVEU_Historical_Data__2[[#This Row],[Date]])</f>
        <v>7</v>
      </c>
      <c r="K1066" s="228"/>
    </row>
    <row r="1067" spans="1:11" x14ac:dyDescent="0.25">
      <c r="A1067" s="227">
        <v>45492</v>
      </c>
      <c r="B1067" s="228">
        <v>5010.7</v>
      </c>
      <c r="C1067" s="228">
        <v>5062.1000000000004</v>
      </c>
      <c r="D1067" s="228">
        <v>5078.5</v>
      </c>
      <c r="E1067" s="228">
        <v>4955</v>
      </c>
      <c r="F1067">
        <v>444960</v>
      </c>
      <c r="G1067" s="228">
        <v>-1.43E-2</v>
      </c>
      <c r="H1067" s="228">
        <f>YEAR(AVEU_Historical_Data__2[[#This Row],[Date]])</f>
        <v>2024</v>
      </c>
      <c r="I1067" s="228">
        <f>ROUNDUP((MOD(MONTH(AVEU_Historical_Data__2[[#This Row],[Date]])+8,12)+1)/3,0)</f>
        <v>2</v>
      </c>
      <c r="J1067" s="228">
        <f>MONTH(AVEU_Historical_Data__2[[#This Row],[Date]])</f>
        <v>7</v>
      </c>
      <c r="K1067" s="228"/>
    </row>
    <row r="1068" spans="1:11" x14ac:dyDescent="0.25">
      <c r="A1068" s="227">
        <v>45495</v>
      </c>
      <c r="B1068" s="228">
        <v>5012.8500000000004</v>
      </c>
      <c r="C1068" s="228">
        <v>4955</v>
      </c>
      <c r="D1068" s="228">
        <v>5031.95</v>
      </c>
      <c r="E1068" s="228">
        <v>4922.75</v>
      </c>
      <c r="F1068">
        <v>559760</v>
      </c>
      <c r="G1068" s="228">
        <v>4.0000000000000002E-4</v>
      </c>
      <c r="H1068" s="228">
        <f>YEAR(AVEU_Historical_Data__2[[#This Row],[Date]])</f>
        <v>2024</v>
      </c>
      <c r="I1068" s="228">
        <f>ROUNDUP((MOD(MONTH(AVEU_Historical_Data__2[[#This Row],[Date]])+8,12)+1)/3,0)</f>
        <v>2</v>
      </c>
      <c r="J1068" s="228">
        <f>MONTH(AVEU_Historical_Data__2[[#This Row],[Date]])</f>
        <v>7</v>
      </c>
      <c r="K1068" s="228"/>
    </row>
    <row r="1069" spans="1:11" x14ac:dyDescent="0.25">
      <c r="A1069" s="227">
        <v>45496</v>
      </c>
      <c r="B1069" s="228">
        <v>5065.25</v>
      </c>
      <c r="C1069" s="228">
        <v>5013</v>
      </c>
      <c r="D1069" s="228">
        <v>5095.45</v>
      </c>
      <c r="E1069" s="228">
        <v>4925.1000000000004</v>
      </c>
      <c r="F1069">
        <v>431810</v>
      </c>
      <c r="G1069" s="228">
        <v>1.0500000000000001E-2</v>
      </c>
      <c r="H1069" s="228">
        <f>YEAR(AVEU_Historical_Data__2[[#This Row],[Date]])</f>
        <v>2024</v>
      </c>
      <c r="I1069" s="228">
        <f>ROUNDUP((MOD(MONTH(AVEU_Historical_Data__2[[#This Row],[Date]])+8,12)+1)/3,0)</f>
        <v>2</v>
      </c>
      <c r="J1069" s="228">
        <f>MONTH(AVEU_Historical_Data__2[[#This Row],[Date]])</f>
        <v>7</v>
      </c>
      <c r="K1069" s="228"/>
    </row>
    <row r="1070" spans="1:11" x14ac:dyDescent="0.25">
      <c r="A1070" s="227">
        <v>45497</v>
      </c>
      <c r="B1070" s="228">
        <v>5158.45</v>
      </c>
      <c r="C1070" s="228">
        <v>5100</v>
      </c>
      <c r="D1070" s="228">
        <v>5205</v>
      </c>
      <c r="E1070" s="228">
        <v>5082.6499999999996</v>
      </c>
      <c r="F1070">
        <v>630160</v>
      </c>
      <c r="G1070" s="228">
        <v>1.84E-2</v>
      </c>
      <c r="H1070" s="228">
        <f>YEAR(AVEU_Historical_Data__2[[#This Row],[Date]])</f>
        <v>2024</v>
      </c>
      <c r="I1070" s="228">
        <f>ROUNDUP((MOD(MONTH(AVEU_Historical_Data__2[[#This Row],[Date]])+8,12)+1)/3,0)</f>
        <v>2</v>
      </c>
      <c r="J1070" s="228">
        <f>MONTH(AVEU_Historical_Data__2[[#This Row],[Date]])</f>
        <v>7</v>
      </c>
      <c r="K1070" s="228"/>
    </row>
    <row r="1071" spans="1:11" x14ac:dyDescent="0.25">
      <c r="A1071" s="227">
        <v>45498</v>
      </c>
      <c r="B1071" s="228">
        <v>5171.3500000000004</v>
      </c>
      <c r="C1071" s="228">
        <v>5148</v>
      </c>
      <c r="D1071" s="228">
        <v>5184.8999999999996</v>
      </c>
      <c r="E1071" s="228">
        <v>5058.1000000000004</v>
      </c>
      <c r="F1071">
        <v>393010</v>
      </c>
      <c r="G1071" s="228">
        <v>2.5000000000000001E-3</v>
      </c>
      <c r="H1071" s="228">
        <f>YEAR(AVEU_Historical_Data__2[[#This Row],[Date]])</f>
        <v>2024</v>
      </c>
      <c r="I1071" s="228">
        <f>ROUNDUP((MOD(MONTH(AVEU_Historical_Data__2[[#This Row],[Date]])+8,12)+1)/3,0)</f>
        <v>2</v>
      </c>
      <c r="J1071" s="228">
        <f>MONTH(AVEU_Historical_Data__2[[#This Row],[Date]])</f>
        <v>7</v>
      </c>
      <c r="K1071" s="228"/>
    </row>
    <row r="1072" spans="1:11" x14ac:dyDescent="0.25">
      <c r="A1072" s="227">
        <v>45499</v>
      </c>
      <c r="B1072" s="228">
        <v>5071.6000000000004</v>
      </c>
      <c r="C1072" s="228">
        <v>5199</v>
      </c>
      <c r="D1072" s="228">
        <v>5199</v>
      </c>
      <c r="E1072" s="228">
        <v>5040</v>
      </c>
      <c r="F1072">
        <v>234450</v>
      </c>
      <c r="G1072" s="228">
        <v>-1.9300000000000001E-2</v>
      </c>
      <c r="H1072" s="228">
        <f>YEAR(AVEU_Historical_Data__2[[#This Row],[Date]])</f>
        <v>2024</v>
      </c>
      <c r="I1072" s="228">
        <f>ROUNDUP((MOD(MONTH(AVEU_Historical_Data__2[[#This Row],[Date]])+8,12)+1)/3,0)</f>
        <v>2</v>
      </c>
      <c r="J1072" s="228">
        <f>MONTH(AVEU_Historical_Data__2[[#This Row],[Date]])</f>
        <v>7</v>
      </c>
      <c r="K1072" s="228"/>
    </row>
    <row r="1073" spans="1:11" x14ac:dyDescent="0.25">
      <c r="A1073" s="227">
        <v>45502</v>
      </c>
      <c r="B1073" s="228">
        <v>5112.8500000000004</v>
      </c>
      <c r="C1073" s="228">
        <v>5144</v>
      </c>
      <c r="D1073" s="228">
        <v>5144</v>
      </c>
      <c r="E1073" s="228">
        <v>5041.8</v>
      </c>
      <c r="F1073">
        <v>206610</v>
      </c>
      <c r="G1073" s="228">
        <v>8.0999999999999996E-3</v>
      </c>
      <c r="H1073" s="228">
        <f>YEAR(AVEU_Historical_Data__2[[#This Row],[Date]])</f>
        <v>2024</v>
      </c>
      <c r="I1073" s="228">
        <f>ROUNDUP((MOD(MONTH(AVEU_Historical_Data__2[[#This Row],[Date]])+8,12)+1)/3,0)</f>
        <v>2</v>
      </c>
      <c r="J1073" s="228">
        <f>MONTH(AVEU_Historical_Data__2[[#This Row],[Date]])</f>
        <v>7</v>
      </c>
      <c r="K1073" s="228"/>
    </row>
    <row r="1074" spans="1:11" x14ac:dyDescent="0.25">
      <c r="A1074" s="227">
        <v>45503</v>
      </c>
      <c r="B1074" s="228">
        <v>5027.2</v>
      </c>
      <c r="C1074" s="228">
        <v>5140</v>
      </c>
      <c r="D1074" s="228">
        <v>5175.55</v>
      </c>
      <c r="E1074" s="228">
        <v>5000.1000000000004</v>
      </c>
      <c r="F1074">
        <v>299950</v>
      </c>
      <c r="G1074" s="228">
        <v>-1.6799999999999999E-2</v>
      </c>
      <c r="H1074" s="228">
        <f>YEAR(AVEU_Historical_Data__2[[#This Row],[Date]])</f>
        <v>2024</v>
      </c>
      <c r="I1074" s="228">
        <f>ROUNDUP((MOD(MONTH(AVEU_Historical_Data__2[[#This Row],[Date]])+8,12)+1)/3,0)</f>
        <v>2</v>
      </c>
      <c r="J1074" s="228">
        <f>MONTH(AVEU_Historical_Data__2[[#This Row],[Date]])</f>
        <v>7</v>
      </c>
      <c r="K1074" s="228"/>
    </row>
    <row r="1075" spans="1:11" x14ac:dyDescent="0.25">
      <c r="A1075" s="227">
        <v>45504</v>
      </c>
      <c r="B1075" s="228">
        <v>4935.95</v>
      </c>
      <c r="C1075" s="228">
        <v>5040</v>
      </c>
      <c r="D1075" s="228">
        <v>5068.8999999999996</v>
      </c>
      <c r="E1075" s="228">
        <v>4910.2</v>
      </c>
      <c r="F1075">
        <v>912330</v>
      </c>
      <c r="G1075" s="228">
        <v>-1.8200000000000001E-2</v>
      </c>
      <c r="H1075" s="228">
        <f>YEAR(AVEU_Historical_Data__2[[#This Row],[Date]])</f>
        <v>2024</v>
      </c>
      <c r="I1075" s="228">
        <f>ROUNDUP((MOD(MONTH(AVEU_Historical_Data__2[[#This Row],[Date]])+8,12)+1)/3,0)</f>
        <v>2</v>
      </c>
      <c r="J1075" s="228">
        <f>MONTH(AVEU_Historical_Data__2[[#This Row],[Date]])</f>
        <v>7</v>
      </c>
      <c r="K1075" s="228"/>
    </row>
    <row r="1076" spans="1:11" x14ac:dyDescent="0.25">
      <c r="A1076" s="227">
        <v>45505</v>
      </c>
      <c r="B1076" s="228">
        <v>4993.8</v>
      </c>
      <c r="C1076" s="228">
        <v>4949</v>
      </c>
      <c r="D1076" s="228">
        <v>5008</v>
      </c>
      <c r="E1076" s="228">
        <v>4883</v>
      </c>
      <c r="F1076">
        <v>202180</v>
      </c>
      <c r="G1076" s="228">
        <v>1.17E-2</v>
      </c>
      <c r="H1076" s="228">
        <f>YEAR(AVEU_Historical_Data__2[[#This Row],[Date]])</f>
        <v>2024</v>
      </c>
      <c r="I1076" s="228">
        <f>ROUNDUP((MOD(MONTH(AVEU_Historical_Data__2[[#This Row],[Date]])+8,12)+1)/3,0)</f>
        <v>2</v>
      </c>
      <c r="J1076" s="228">
        <f>MONTH(AVEU_Historical_Data__2[[#This Row],[Date]])</f>
        <v>8</v>
      </c>
      <c r="K1076" s="228"/>
    </row>
    <row r="1077" spans="1:11" x14ac:dyDescent="0.25">
      <c r="A1077" s="227">
        <v>45506</v>
      </c>
      <c r="B1077" s="228">
        <v>4909.7</v>
      </c>
      <c r="C1077" s="228">
        <v>4950</v>
      </c>
      <c r="D1077" s="228">
        <v>5029.75</v>
      </c>
      <c r="E1077" s="228">
        <v>4890.1499999999996</v>
      </c>
      <c r="F1077">
        <v>486360</v>
      </c>
      <c r="G1077" s="228">
        <v>-1.6799999999999999E-2</v>
      </c>
      <c r="H1077" s="228">
        <f>YEAR(AVEU_Historical_Data__2[[#This Row],[Date]])</f>
        <v>2024</v>
      </c>
      <c r="I1077" s="228">
        <f>ROUNDUP((MOD(MONTH(AVEU_Historical_Data__2[[#This Row],[Date]])+8,12)+1)/3,0)</f>
        <v>2</v>
      </c>
      <c r="J1077" s="228">
        <f>MONTH(AVEU_Historical_Data__2[[#This Row],[Date]])</f>
        <v>8</v>
      </c>
      <c r="K1077" s="228"/>
    </row>
    <row r="1078" spans="1:11" x14ac:dyDescent="0.25">
      <c r="A1078" s="227">
        <v>45509</v>
      </c>
      <c r="B1078" s="228">
        <v>4817.45</v>
      </c>
      <c r="C1078" s="228">
        <v>4861.5</v>
      </c>
      <c r="D1078" s="228">
        <v>5010</v>
      </c>
      <c r="E1078" s="228">
        <v>4801</v>
      </c>
      <c r="F1078">
        <v>715440</v>
      </c>
      <c r="G1078" s="228">
        <v>-1.8800000000000001E-2</v>
      </c>
      <c r="H1078" s="228">
        <f>YEAR(AVEU_Historical_Data__2[[#This Row],[Date]])</f>
        <v>2024</v>
      </c>
      <c r="I1078" s="228">
        <f>ROUNDUP((MOD(MONTH(AVEU_Historical_Data__2[[#This Row],[Date]])+8,12)+1)/3,0)</f>
        <v>2</v>
      </c>
      <c r="J1078" s="228">
        <f>MONTH(AVEU_Historical_Data__2[[#This Row],[Date]])</f>
        <v>8</v>
      </c>
      <c r="K1078" s="228"/>
    </row>
    <row r="1079" spans="1:11" x14ac:dyDescent="0.25">
      <c r="A1079" s="227">
        <v>45510</v>
      </c>
      <c r="B1079" s="228">
        <v>4909.8999999999996</v>
      </c>
      <c r="C1079" s="228">
        <v>4818.1499999999996</v>
      </c>
      <c r="D1079" s="228">
        <v>5045.25</v>
      </c>
      <c r="E1079" s="228">
        <v>4818.1499999999996</v>
      </c>
      <c r="F1079">
        <v>798720</v>
      </c>
      <c r="G1079" s="228">
        <v>1.9199999999999998E-2</v>
      </c>
      <c r="H1079" s="228">
        <f>YEAR(AVEU_Historical_Data__2[[#This Row],[Date]])</f>
        <v>2024</v>
      </c>
      <c r="I1079" s="228">
        <f>ROUNDUP((MOD(MONTH(AVEU_Historical_Data__2[[#This Row],[Date]])+8,12)+1)/3,0)</f>
        <v>2</v>
      </c>
      <c r="J1079" s="228">
        <f>MONTH(AVEU_Historical_Data__2[[#This Row],[Date]])</f>
        <v>8</v>
      </c>
      <c r="K1079" s="228"/>
    </row>
    <row r="1080" spans="1:11" x14ac:dyDescent="0.25">
      <c r="A1080" s="227">
        <v>45511</v>
      </c>
      <c r="B1080" s="228">
        <v>5018.5</v>
      </c>
      <c r="C1080" s="228">
        <v>4960</v>
      </c>
      <c r="D1080" s="228">
        <v>5063.55</v>
      </c>
      <c r="E1080" s="228">
        <v>4954.45</v>
      </c>
      <c r="F1080">
        <v>322150</v>
      </c>
      <c r="G1080" s="228">
        <v>2.2100000000000002E-2</v>
      </c>
      <c r="H1080" s="228">
        <f>YEAR(AVEU_Historical_Data__2[[#This Row],[Date]])</f>
        <v>2024</v>
      </c>
      <c r="I1080" s="228">
        <f>ROUNDUP((MOD(MONTH(AVEU_Historical_Data__2[[#This Row],[Date]])+8,12)+1)/3,0)</f>
        <v>2</v>
      </c>
      <c r="J1080" s="228">
        <f>MONTH(AVEU_Historical_Data__2[[#This Row],[Date]])</f>
        <v>8</v>
      </c>
      <c r="K1080" s="228"/>
    </row>
    <row r="1081" spans="1:11" x14ac:dyDescent="0.25">
      <c r="A1081" s="227">
        <v>45512</v>
      </c>
      <c r="B1081" s="228">
        <v>4980.1000000000004</v>
      </c>
      <c r="C1081" s="228">
        <v>5049.95</v>
      </c>
      <c r="D1081" s="228">
        <v>5063.8999999999996</v>
      </c>
      <c r="E1081" s="228">
        <v>4942</v>
      </c>
      <c r="F1081">
        <v>348300</v>
      </c>
      <c r="G1081" s="228">
        <v>-7.7000000000000002E-3</v>
      </c>
      <c r="H1081" s="228">
        <f>YEAR(AVEU_Historical_Data__2[[#This Row],[Date]])</f>
        <v>2024</v>
      </c>
      <c r="I1081" s="228">
        <f>ROUNDUP((MOD(MONTH(AVEU_Historical_Data__2[[#This Row],[Date]])+8,12)+1)/3,0)</f>
        <v>2</v>
      </c>
      <c r="J1081" s="228">
        <f>MONTH(AVEU_Historical_Data__2[[#This Row],[Date]])</f>
        <v>8</v>
      </c>
      <c r="K1081" s="228"/>
    </row>
    <row r="1082" spans="1:11" x14ac:dyDescent="0.25">
      <c r="A1082" s="227">
        <v>45513</v>
      </c>
      <c r="B1082" s="228">
        <v>4989.95</v>
      </c>
      <c r="C1082" s="228">
        <v>5033</v>
      </c>
      <c r="D1082" s="228">
        <v>5063.8</v>
      </c>
      <c r="E1082" s="228">
        <v>4971.3500000000004</v>
      </c>
      <c r="F1082">
        <v>102060</v>
      </c>
      <c r="G1082" s="228">
        <v>2E-3</v>
      </c>
      <c r="H1082" s="228">
        <f>YEAR(AVEU_Historical_Data__2[[#This Row],[Date]])</f>
        <v>2024</v>
      </c>
      <c r="I1082" s="228">
        <f>ROUNDUP((MOD(MONTH(AVEU_Historical_Data__2[[#This Row],[Date]])+8,12)+1)/3,0)</f>
        <v>2</v>
      </c>
      <c r="J1082" s="228">
        <f>MONTH(AVEU_Historical_Data__2[[#This Row],[Date]])</f>
        <v>8</v>
      </c>
      <c r="K1082" s="228"/>
    </row>
    <row r="1083" spans="1:11" x14ac:dyDescent="0.25">
      <c r="A1083" s="227">
        <v>45516</v>
      </c>
      <c r="B1083" s="228">
        <v>5013.8</v>
      </c>
      <c r="C1083" s="228">
        <v>4999</v>
      </c>
      <c r="D1083" s="228">
        <v>5025</v>
      </c>
      <c r="E1083" s="228">
        <v>4960.55</v>
      </c>
      <c r="F1083">
        <v>167410</v>
      </c>
      <c r="G1083" s="228">
        <v>4.7999999999999996E-3</v>
      </c>
      <c r="H1083" s="228">
        <f>YEAR(AVEU_Historical_Data__2[[#This Row],[Date]])</f>
        <v>2024</v>
      </c>
      <c r="I1083" s="228">
        <f>ROUNDUP((MOD(MONTH(AVEU_Historical_Data__2[[#This Row],[Date]])+8,12)+1)/3,0)</f>
        <v>2</v>
      </c>
      <c r="J1083" s="228">
        <f>MONTH(AVEU_Historical_Data__2[[#This Row],[Date]])</f>
        <v>8</v>
      </c>
      <c r="K1083" s="228"/>
    </row>
    <row r="1084" spans="1:11" x14ac:dyDescent="0.25">
      <c r="A1084" s="227">
        <v>45517</v>
      </c>
      <c r="B1084" s="228">
        <v>4929.5</v>
      </c>
      <c r="C1084" s="228">
        <v>5039.95</v>
      </c>
      <c r="D1084" s="228">
        <v>5048</v>
      </c>
      <c r="E1084" s="228">
        <v>4905.5</v>
      </c>
      <c r="F1084">
        <v>138440</v>
      </c>
      <c r="G1084" s="228">
        <v>-1.6799999999999999E-2</v>
      </c>
      <c r="H1084" s="228">
        <f>YEAR(AVEU_Historical_Data__2[[#This Row],[Date]])</f>
        <v>2024</v>
      </c>
      <c r="I1084" s="228">
        <f>ROUNDUP((MOD(MONTH(AVEU_Historical_Data__2[[#This Row],[Date]])+8,12)+1)/3,0)</f>
        <v>2</v>
      </c>
      <c r="J1084" s="228">
        <f>MONTH(AVEU_Historical_Data__2[[#This Row],[Date]])</f>
        <v>8</v>
      </c>
      <c r="K1084" s="228"/>
    </row>
    <row r="1085" spans="1:11" x14ac:dyDescent="0.25">
      <c r="A1085" s="227">
        <v>45518</v>
      </c>
      <c r="B1085" s="228">
        <v>4960.3</v>
      </c>
      <c r="C1085" s="228">
        <v>4950</v>
      </c>
      <c r="D1085" s="228">
        <v>5020</v>
      </c>
      <c r="E1085" s="228">
        <v>4913.3</v>
      </c>
      <c r="F1085">
        <v>282580</v>
      </c>
      <c r="G1085" s="228">
        <v>6.1999999999999998E-3</v>
      </c>
      <c r="H1085" s="228">
        <f>YEAR(AVEU_Historical_Data__2[[#This Row],[Date]])</f>
        <v>2024</v>
      </c>
      <c r="I1085" s="228">
        <f>ROUNDUP((MOD(MONTH(AVEU_Historical_Data__2[[#This Row],[Date]])+8,12)+1)/3,0)</f>
        <v>2</v>
      </c>
      <c r="J1085" s="228">
        <f>MONTH(AVEU_Historical_Data__2[[#This Row],[Date]])</f>
        <v>8</v>
      </c>
      <c r="K1085" s="228"/>
    </row>
    <row r="1086" spans="1:11" x14ac:dyDescent="0.25">
      <c r="A1086" s="227">
        <v>45520</v>
      </c>
      <c r="B1086" s="228">
        <v>5021.3</v>
      </c>
      <c r="C1086" s="228">
        <v>4995</v>
      </c>
      <c r="D1086" s="228">
        <v>5025</v>
      </c>
      <c r="E1086" s="228">
        <v>4902.7</v>
      </c>
      <c r="F1086">
        <v>193830</v>
      </c>
      <c r="G1086" s="228">
        <v>1.23E-2</v>
      </c>
      <c r="H1086" s="228">
        <f>YEAR(AVEU_Historical_Data__2[[#This Row],[Date]])</f>
        <v>2024</v>
      </c>
      <c r="I1086" s="228">
        <f>ROUNDUP((MOD(MONTH(AVEU_Historical_Data__2[[#This Row],[Date]])+8,12)+1)/3,0)</f>
        <v>2</v>
      </c>
      <c r="J1086" s="228">
        <f>MONTH(AVEU_Historical_Data__2[[#This Row],[Date]])</f>
        <v>8</v>
      </c>
      <c r="K1086" s="228"/>
    </row>
    <row r="1087" spans="1:11" x14ac:dyDescent="0.25">
      <c r="A1087" s="227">
        <v>45523</v>
      </c>
      <c r="B1087" s="228">
        <v>5002.7</v>
      </c>
      <c r="C1087" s="228">
        <v>5040</v>
      </c>
      <c r="D1087" s="228">
        <v>5048</v>
      </c>
      <c r="E1087" s="228">
        <v>4982.05</v>
      </c>
      <c r="F1087">
        <v>171800</v>
      </c>
      <c r="G1087" s="228">
        <v>-3.7000000000000002E-3</v>
      </c>
      <c r="H1087" s="228">
        <f>YEAR(AVEU_Historical_Data__2[[#This Row],[Date]])</f>
        <v>2024</v>
      </c>
      <c r="I1087" s="228">
        <f>ROUNDUP((MOD(MONTH(AVEU_Historical_Data__2[[#This Row],[Date]])+8,12)+1)/3,0)</f>
        <v>2</v>
      </c>
      <c r="J1087" s="228">
        <f>MONTH(AVEU_Historical_Data__2[[#This Row],[Date]])</f>
        <v>8</v>
      </c>
      <c r="K1087" s="228"/>
    </row>
    <row r="1088" spans="1:11" x14ac:dyDescent="0.25">
      <c r="A1088" s="227">
        <v>45524</v>
      </c>
      <c r="B1088" s="228">
        <v>5079.2</v>
      </c>
      <c r="C1088" s="228">
        <v>5008</v>
      </c>
      <c r="D1088" s="228">
        <v>5095.95</v>
      </c>
      <c r="E1088" s="228">
        <v>4987.7</v>
      </c>
      <c r="F1088">
        <v>320090</v>
      </c>
      <c r="G1088" s="228">
        <v>1.5299999999999999E-2</v>
      </c>
      <c r="H1088" s="228">
        <f>YEAR(AVEU_Historical_Data__2[[#This Row],[Date]])</f>
        <v>2024</v>
      </c>
      <c r="I1088" s="228">
        <f>ROUNDUP((MOD(MONTH(AVEU_Historical_Data__2[[#This Row],[Date]])+8,12)+1)/3,0)</f>
        <v>2</v>
      </c>
      <c r="J1088" s="228">
        <f>MONTH(AVEU_Historical_Data__2[[#This Row],[Date]])</f>
        <v>8</v>
      </c>
      <c r="K1088" s="228"/>
    </row>
    <row r="1089" spans="1:11" x14ac:dyDescent="0.25">
      <c r="A1089" s="227">
        <v>45525</v>
      </c>
      <c r="B1089" s="228">
        <v>5099.45</v>
      </c>
      <c r="C1089" s="228">
        <v>5095</v>
      </c>
      <c r="D1089" s="228">
        <v>5164</v>
      </c>
      <c r="E1089" s="228">
        <v>5051.8500000000004</v>
      </c>
      <c r="F1089">
        <v>796490</v>
      </c>
      <c r="G1089" s="228">
        <v>4.0000000000000001E-3</v>
      </c>
      <c r="H1089" s="228">
        <f>YEAR(AVEU_Historical_Data__2[[#This Row],[Date]])</f>
        <v>2024</v>
      </c>
      <c r="I1089" s="228">
        <f>ROUNDUP((MOD(MONTH(AVEU_Historical_Data__2[[#This Row],[Date]])+8,12)+1)/3,0)</f>
        <v>2</v>
      </c>
      <c r="J1089" s="228">
        <f>MONTH(AVEU_Historical_Data__2[[#This Row],[Date]])</f>
        <v>8</v>
      </c>
      <c r="K1089" s="228"/>
    </row>
    <row r="1090" spans="1:11" x14ac:dyDescent="0.25">
      <c r="A1090" s="227">
        <v>45526</v>
      </c>
      <c r="B1090" s="228">
        <v>5057.8500000000004</v>
      </c>
      <c r="C1090" s="228">
        <v>5145</v>
      </c>
      <c r="D1090" s="228">
        <v>5145</v>
      </c>
      <c r="E1090" s="228">
        <v>5021.1499999999996</v>
      </c>
      <c r="F1090">
        <v>353200</v>
      </c>
      <c r="G1090" s="228">
        <v>-8.2000000000000007E-3</v>
      </c>
      <c r="H1090" s="228">
        <f>YEAR(AVEU_Historical_Data__2[[#This Row],[Date]])</f>
        <v>2024</v>
      </c>
      <c r="I1090" s="228">
        <f>ROUNDUP((MOD(MONTH(AVEU_Historical_Data__2[[#This Row],[Date]])+8,12)+1)/3,0)</f>
        <v>2</v>
      </c>
      <c r="J1090" s="228">
        <f>MONTH(AVEU_Historical_Data__2[[#This Row],[Date]])</f>
        <v>8</v>
      </c>
      <c r="K1090" s="228"/>
    </row>
    <row r="1091" spans="1:11" x14ac:dyDescent="0.25">
      <c r="A1091" s="227">
        <v>45527</v>
      </c>
      <c r="B1091" s="228">
        <v>4901.5</v>
      </c>
      <c r="C1091" s="228">
        <v>5045</v>
      </c>
      <c r="D1091" s="228">
        <v>5088.8</v>
      </c>
      <c r="E1091" s="228">
        <v>4880</v>
      </c>
      <c r="F1091">
        <v>802970</v>
      </c>
      <c r="G1091" s="228">
        <v>-3.09E-2</v>
      </c>
      <c r="H1091" s="228">
        <f>YEAR(AVEU_Historical_Data__2[[#This Row],[Date]])</f>
        <v>2024</v>
      </c>
      <c r="I1091" s="228">
        <f>ROUNDUP((MOD(MONTH(AVEU_Historical_Data__2[[#This Row],[Date]])+8,12)+1)/3,0)</f>
        <v>2</v>
      </c>
      <c r="J1091" s="228">
        <f>MONTH(AVEU_Historical_Data__2[[#This Row],[Date]])</f>
        <v>8</v>
      </c>
      <c r="K1091" s="228"/>
    </row>
    <row r="1092" spans="1:11" x14ac:dyDescent="0.25">
      <c r="A1092" s="227">
        <v>45530</v>
      </c>
      <c r="B1092" s="228">
        <v>4959.3999999999996</v>
      </c>
      <c r="C1092" s="228">
        <v>4903</v>
      </c>
      <c r="D1092" s="228">
        <v>4978.75</v>
      </c>
      <c r="E1092" s="228">
        <v>4900.1000000000004</v>
      </c>
      <c r="F1092">
        <v>475100</v>
      </c>
      <c r="G1092" s="228">
        <v>1.18E-2</v>
      </c>
      <c r="H1092" s="228">
        <f>YEAR(AVEU_Historical_Data__2[[#This Row],[Date]])</f>
        <v>2024</v>
      </c>
      <c r="I1092" s="228">
        <f>ROUNDUP((MOD(MONTH(AVEU_Historical_Data__2[[#This Row],[Date]])+8,12)+1)/3,0)</f>
        <v>2</v>
      </c>
      <c r="J1092" s="228">
        <f>MONTH(AVEU_Historical_Data__2[[#This Row],[Date]])</f>
        <v>8</v>
      </c>
      <c r="K1092" s="228"/>
    </row>
    <row r="1093" spans="1:11" x14ac:dyDescent="0.25">
      <c r="A1093" s="227">
        <v>45531</v>
      </c>
      <c r="B1093" s="228">
        <v>4958.55</v>
      </c>
      <c r="C1093" s="228">
        <v>5010</v>
      </c>
      <c r="D1093" s="228">
        <v>5010</v>
      </c>
      <c r="E1093" s="228">
        <v>4925.6499999999996</v>
      </c>
      <c r="F1093">
        <v>144910</v>
      </c>
      <c r="G1093" s="228">
        <v>-2.0000000000000001E-4</v>
      </c>
      <c r="H1093" s="228">
        <f>YEAR(AVEU_Historical_Data__2[[#This Row],[Date]])</f>
        <v>2024</v>
      </c>
      <c r="I1093" s="228">
        <f>ROUNDUP((MOD(MONTH(AVEU_Historical_Data__2[[#This Row],[Date]])+8,12)+1)/3,0)</f>
        <v>2</v>
      </c>
      <c r="J1093" s="228">
        <f>MONTH(AVEU_Historical_Data__2[[#This Row],[Date]])</f>
        <v>8</v>
      </c>
      <c r="K1093" s="228"/>
    </row>
    <row r="1094" spans="1:11" x14ac:dyDescent="0.25">
      <c r="A1094" s="227">
        <v>45532</v>
      </c>
      <c r="B1094" s="228">
        <v>4964.8500000000004</v>
      </c>
      <c r="C1094" s="228">
        <v>4995.5</v>
      </c>
      <c r="D1094" s="228">
        <v>4995.5</v>
      </c>
      <c r="E1094" s="228">
        <v>4905</v>
      </c>
      <c r="F1094">
        <v>504520</v>
      </c>
      <c r="G1094" s="228">
        <v>1.2999999999999999E-3</v>
      </c>
      <c r="H1094" s="228">
        <f>YEAR(AVEU_Historical_Data__2[[#This Row],[Date]])</f>
        <v>2024</v>
      </c>
      <c r="I1094" s="228">
        <f>ROUNDUP((MOD(MONTH(AVEU_Historical_Data__2[[#This Row],[Date]])+8,12)+1)/3,0)</f>
        <v>2</v>
      </c>
      <c r="J1094" s="228">
        <f>MONTH(AVEU_Historical_Data__2[[#This Row],[Date]])</f>
        <v>8</v>
      </c>
      <c r="K1094" s="228"/>
    </row>
    <row r="1095" spans="1:11" x14ac:dyDescent="0.25">
      <c r="A1095" s="227">
        <v>45533</v>
      </c>
      <c r="B1095" s="228">
        <v>5008.8</v>
      </c>
      <c r="C1095" s="228">
        <v>4991.5</v>
      </c>
      <c r="D1095" s="228">
        <v>5155.55</v>
      </c>
      <c r="E1095" s="228">
        <v>4980.6499999999996</v>
      </c>
      <c r="F1095">
        <v>939640</v>
      </c>
      <c r="G1095" s="228">
        <v>8.8999999999999999E-3</v>
      </c>
      <c r="H1095" s="228">
        <f>YEAR(AVEU_Historical_Data__2[[#This Row],[Date]])</f>
        <v>2024</v>
      </c>
      <c r="I1095" s="228">
        <f>ROUNDUP((MOD(MONTH(AVEU_Historical_Data__2[[#This Row],[Date]])+8,12)+1)/3,0)</f>
        <v>2</v>
      </c>
      <c r="J1095" s="228">
        <f>MONTH(AVEU_Historical_Data__2[[#This Row],[Date]])</f>
        <v>8</v>
      </c>
      <c r="K1095" s="228"/>
    </row>
    <row r="1096" spans="1:11" x14ac:dyDescent="0.25">
      <c r="A1096" s="227">
        <v>45534</v>
      </c>
      <c r="B1096" s="228">
        <v>4927.45</v>
      </c>
      <c r="C1096" s="228">
        <v>5020</v>
      </c>
      <c r="D1096" s="228">
        <v>5042</v>
      </c>
      <c r="E1096" s="228">
        <v>4900</v>
      </c>
      <c r="F1096">
        <v>564040</v>
      </c>
      <c r="G1096" s="228">
        <v>-1.6199999999999999E-2</v>
      </c>
      <c r="H1096" s="228">
        <f>YEAR(AVEU_Historical_Data__2[[#This Row],[Date]])</f>
        <v>2024</v>
      </c>
      <c r="I1096" s="228">
        <f>ROUNDUP((MOD(MONTH(AVEU_Historical_Data__2[[#This Row],[Date]])+8,12)+1)/3,0)</f>
        <v>2</v>
      </c>
      <c r="J1096" s="228">
        <f>MONTH(AVEU_Historical_Data__2[[#This Row],[Date]])</f>
        <v>8</v>
      </c>
      <c r="K1096" s="228"/>
    </row>
    <row r="1097" spans="1:11" x14ac:dyDescent="0.25">
      <c r="A1097" s="227">
        <v>45537</v>
      </c>
      <c r="B1097" s="228">
        <v>4999.8500000000004</v>
      </c>
      <c r="C1097" s="228">
        <v>4977</v>
      </c>
      <c r="D1097" s="228">
        <v>5023.95</v>
      </c>
      <c r="E1097" s="228">
        <v>4951</v>
      </c>
      <c r="F1097">
        <v>290600</v>
      </c>
      <c r="G1097" s="228">
        <v>1.47E-2</v>
      </c>
      <c r="H1097" s="228">
        <f>YEAR(AVEU_Historical_Data__2[[#This Row],[Date]])</f>
        <v>2024</v>
      </c>
      <c r="I1097" s="228">
        <f>ROUNDUP((MOD(MONTH(AVEU_Historical_Data__2[[#This Row],[Date]])+8,12)+1)/3,0)</f>
        <v>2</v>
      </c>
      <c r="J1097" s="228">
        <f>MONTH(AVEU_Historical_Data__2[[#This Row],[Date]])</f>
        <v>9</v>
      </c>
      <c r="K1097" s="228"/>
    </row>
    <row r="1098" spans="1:11" x14ac:dyDescent="0.25">
      <c r="A1098" s="227">
        <v>45538</v>
      </c>
      <c r="B1098" s="228">
        <v>4980.6000000000004</v>
      </c>
      <c r="C1098" s="228">
        <v>5029</v>
      </c>
      <c r="D1098" s="228">
        <v>5039.8</v>
      </c>
      <c r="E1098" s="228">
        <v>4965</v>
      </c>
      <c r="F1098">
        <v>222030</v>
      </c>
      <c r="G1098" s="228">
        <v>-3.8999999999999998E-3</v>
      </c>
      <c r="H1098" s="228">
        <f>YEAR(AVEU_Historical_Data__2[[#This Row],[Date]])</f>
        <v>2024</v>
      </c>
      <c r="I1098" s="228">
        <f>ROUNDUP((MOD(MONTH(AVEU_Historical_Data__2[[#This Row],[Date]])+8,12)+1)/3,0)</f>
        <v>2</v>
      </c>
      <c r="J1098" s="228">
        <f>MONTH(AVEU_Historical_Data__2[[#This Row],[Date]])</f>
        <v>9</v>
      </c>
      <c r="K1098" s="228"/>
    </row>
    <row r="1099" spans="1:11" x14ac:dyDescent="0.25">
      <c r="A1099" s="227">
        <v>45539</v>
      </c>
      <c r="B1099" s="228">
        <v>5100.8999999999996</v>
      </c>
      <c r="C1099" s="228">
        <v>4974</v>
      </c>
      <c r="D1099" s="228">
        <v>5109</v>
      </c>
      <c r="E1099" s="228">
        <v>4960.3500000000004</v>
      </c>
      <c r="F1099">
        <v>319840</v>
      </c>
      <c r="G1099" s="228">
        <v>2.4199999999999999E-2</v>
      </c>
      <c r="H1099" s="228">
        <f>YEAR(AVEU_Historical_Data__2[[#This Row],[Date]])</f>
        <v>2024</v>
      </c>
      <c r="I1099" s="228">
        <f>ROUNDUP((MOD(MONTH(AVEU_Historical_Data__2[[#This Row],[Date]])+8,12)+1)/3,0)</f>
        <v>2</v>
      </c>
      <c r="J1099" s="228">
        <f>MONTH(AVEU_Historical_Data__2[[#This Row],[Date]])</f>
        <v>9</v>
      </c>
      <c r="K1099" s="228"/>
    </row>
    <row r="1100" spans="1:11" x14ac:dyDescent="0.25">
      <c r="A1100" s="227">
        <v>45540</v>
      </c>
      <c r="B1100" s="228">
        <v>5308.15</v>
      </c>
      <c r="C1100" s="228">
        <v>5084.1000000000004</v>
      </c>
      <c r="D1100" s="228">
        <v>5361.15</v>
      </c>
      <c r="E1100" s="228">
        <v>5077.1000000000004</v>
      </c>
      <c r="F1100">
        <v>1320000</v>
      </c>
      <c r="G1100" s="228">
        <v>4.0599999999999997E-2</v>
      </c>
      <c r="H1100" s="228">
        <f>YEAR(AVEU_Historical_Data__2[[#This Row],[Date]])</f>
        <v>2024</v>
      </c>
      <c r="I1100" s="228">
        <f>ROUNDUP((MOD(MONTH(AVEU_Historical_Data__2[[#This Row],[Date]])+8,12)+1)/3,0)</f>
        <v>2</v>
      </c>
      <c r="J1100" s="228">
        <f>MONTH(AVEU_Historical_Data__2[[#This Row],[Date]])</f>
        <v>9</v>
      </c>
      <c r="K1100" s="228"/>
    </row>
    <row r="1101" spans="1:11" x14ac:dyDescent="0.25">
      <c r="A1101" s="227">
        <v>45541</v>
      </c>
      <c r="B1101" s="228">
        <v>5303.45</v>
      </c>
      <c r="C1101" s="228">
        <v>5293</v>
      </c>
      <c r="D1101" s="228">
        <v>5354.55</v>
      </c>
      <c r="E1101" s="228">
        <v>5202</v>
      </c>
      <c r="F1101">
        <v>721160</v>
      </c>
      <c r="G1101" s="228">
        <v>-8.9999999999999998E-4</v>
      </c>
      <c r="H1101" s="228">
        <f>YEAR(AVEU_Historical_Data__2[[#This Row],[Date]])</f>
        <v>2024</v>
      </c>
      <c r="I1101" s="228">
        <f>ROUNDUP((MOD(MONTH(AVEU_Historical_Data__2[[#This Row],[Date]])+8,12)+1)/3,0)</f>
        <v>2</v>
      </c>
      <c r="J1101" s="228">
        <f>MONTH(AVEU_Historical_Data__2[[#This Row],[Date]])</f>
        <v>9</v>
      </c>
      <c r="K1101" s="228"/>
    </row>
    <row r="1102" spans="1:11" x14ac:dyDescent="0.25">
      <c r="A1102" s="227">
        <v>45544</v>
      </c>
      <c r="B1102" s="228">
        <v>5361.4</v>
      </c>
      <c r="C1102" s="228">
        <v>5303.45</v>
      </c>
      <c r="D1102" s="228">
        <v>5395</v>
      </c>
      <c r="E1102" s="228">
        <v>5216.05</v>
      </c>
      <c r="F1102">
        <v>594880</v>
      </c>
      <c r="G1102" s="228">
        <v>1.09E-2</v>
      </c>
      <c r="H1102" s="228">
        <f>YEAR(AVEU_Historical_Data__2[[#This Row],[Date]])</f>
        <v>2024</v>
      </c>
      <c r="I1102" s="228">
        <f>ROUNDUP((MOD(MONTH(AVEU_Historical_Data__2[[#This Row],[Date]])+8,12)+1)/3,0)</f>
        <v>2</v>
      </c>
      <c r="J1102" s="228">
        <f>MONTH(AVEU_Historical_Data__2[[#This Row],[Date]])</f>
        <v>9</v>
      </c>
      <c r="K1102" s="228"/>
    </row>
    <row r="1103" spans="1:11" x14ac:dyDescent="0.25">
      <c r="A1103" s="227">
        <v>45545</v>
      </c>
      <c r="B1103" s="228">
        <v>5344.4</v>
      </c>
      <c r="C1103" s="228">
        <v>5361.4</v>
      </c>
      <c r="D1103" s="228">
        <v>5422.45</v>
      </c>
      <c r="E1103" s="228">
        <v>5315</v>
      </c>
      <c r="F1103">
        <v>400990</v>
      </c>
      <c r="G1103" s="228">
        <v>-3.2000000000000002E-3</v>
      </c>
      <c r="H1103" s="228">
        <f>YEAR(AVEU_Historical_Data__2[[#This Row],[Date]])</f>
        <v>2024</v>
      </c>
      <c r="I1103" s="228">
        <f>ROUNDUP((MOD(MONTH(AVEU_Historical_Data__2[[#This Row],[Date]])+8,12)+1)/3,0)</f>
        <v>2</v>
      </c>
      <c r="J1103" s="228">
        <f>MONTH(AVEU_Historical_Data__2[[#This Row],[Date]])</f>
        <v>9</v>
      </c>
      <c r="K1103" s="228"/>
    </row>
    <row r="1104" spans="1:11" x14ac:dyDescent="0.25">
      <c r="A1104" s="227">
        <v>45546</v>
      </c>
      <c r="B1104" s="228">
        <v>5299.1</v>
      </c>
      <c r="C1104" s="228">
        <v>5357.9</v>
      </c>
      <c r="D1104" s="228">
        <v>5449</v>
      </c>
      <c r="E1104" s="228">
        <v>5279.1</v>
      </c>
      <c r="F1104">
        <v>461780</v>
      </c>
      <c r="G1104" s="228">
        <v>-8.5000000000000006E-3</v>
      </c>
      <c r="H1104" s="228">
        <f>YEAR(AVEU_Historical_Data__2[[#This Row],[Date]])</f>
        <v>2024</v>
      </c>
      <c r="I1104" s="228">
        <f>ROUNDUP((MOD(MONTH(AVEU_Historical_Data__2[[#This Row],[Date]])+8,12)+1)/3,0)</f>
        <v>2</v>
      </c>
      <c r="J1104" s="228">
        <f>MONTH(AVEU_Historical_Data__2[[#This Row],[Date]])</f>
        <v>9</v>
      </c>
      <c r="K1104" s="228"/>
    </row>
    <row r="1105" spans="1:11" x14ac:dyDescent="0.25">
      <c r="A1105" s="227">
        <v>45547</v>
      </c>
      <c r="B1105" s="228">
        <v>5238.55</v>
      </c>
      <c r="C1105" s="228">
        <v>5330</v>
      </c>
      <c r="D1105" s="228">
        <v>5376.05</v>
      </c>
      <c r="E1105" s="228">
        <v>5216.8999999999996</v>
      </c>
      <c r="F1105">
        <v>380590</v>
      </c>
      <c r="G1105" s="228">
        <v>-1.14E-2</v>
      </c>
      <c r="H1105" s="228">
        <f>YEAR(AVEU_Historical_Data__2[[#This Row],[Date]])</f>
        <v>2024</v>
      </c>
      <c r="I1105" s="228">
        <f>ROUNDUP((MOD(MONTH(AVEU_Historical_Data__2[[#This Row],[Date]])+8,12)+1)/3,0)</f>
        <v>2</v>
      </c>
      <c r="J1105" s="228">
        <f>MONTH(AVEU_Historical_Data__2[[#This Row],[Date]])</f>
        <v>9</v>
      </c>
      <c r="K1105" s="228"/>
    </row>
    <row r="1106" spans="1:11" x14ac:dyDescent="0.25">
      <c r="A1106" s="227">
        <v>45548</v>
      </c>
      <c r="B1106" s="228">
        <v>5187.05</v>
      </c>
      <c r="C1106" s="228">
        <v>5250.9</v>
      </c>
      <c r="D1106" s="228">
        <v>5255.85</v>
      </c>
      <c r="E1106" s="228">
        <v>5155</v>
      </c>
      <c r="F1106">
        <v>395550</v>
      </c>
      <c r="G1106" s="228">
        <v>-9.7999999999999997E-3</v>
      </c>
      <c r="H1106" s="228">
        <f>YEAR(AVEU_Historical_Data__2[[#This Row],[Date]])</f>
        <v>2024</v>
      </c>
      <c r="I1106" s="228">
        <f>ROUNDUP((MOD(MONTH(AVEU_Historical_Data__2[[#This Row],[Date]])+8,12)+1)/3,0)</f>
        <v>2</v>
      </c>
      <c r="J1106" s="228">
        <f>MONTH(AVEU_Historical_Data__2[[#This Row],[Date]])</f>
        <v>9</v>
      </c>
      <c r="K1106" s="228"/>
    </row>
    <row r="1107" spans="1:11" x14ac:dyDescent="0.25">
      <c r="A1107" s="227">
        <v>45551</v>
      </c>
      <c r="B1107" s="228">
        <v>5204.8</v>
      </c>
      <c r="C1107" s="228">
        <v>5188.05</v>
      </c>
      <c r="D1107" s="228">
        <v>5260</v>
      </c>
      <c r="E1107" s="228">
        <v>5176.1499999999996</v>
      </c>
      <c r="F1107">
        <v>198480</v>
      </c>
      <c r="G1107" s="228">
        <v>3.3999999999999998E-3</v>
      </c>
      <c r="H1107" s="228">
        <f>YEAR(AVEU_Historical_Data__2[[#This Row],[Date]])</f>
        <v>2024</v>
      </c>
      <c r="I1107" s="228">
        <f>ROUNDUP((MOD(MONTH(AVEU_Historical_Data__2[[#This Row],[Date]])+8,12)+1)/3,0)</f>
        <v>2</v>
      </c>
      <c r="J1107" s="228">
        <f>MONTH(AVEU_Historical_Data__2[[#This Row],[Date]])</f>
        <v>9</v>
      </c>
      <c r="K1107" s="228"/>
    </row>
    <row r="1108" spans="1:11" x14ac:dyDescent="0.25">
      <c r="A1108" s="227">
        <v>45552</v>
      </c>
      <c r="B1108" s="228">
        <v>5219.8500000000004</v>
      </c>
      <c r="C1108" s="228">
        <v>5227</v>
      </c>
      <c r="D1108" s="228">
        <v>5254</v>
      </c>
      <c r="E1108" s="228">
        <v>5200.1000000000004</v>
      </c>
      <c r="F1108">
        <v>155980</v>
      </c>
      <c r="G1108" s="228">
        <v>2.8999999999999998E-3</v>
      </c>
      <c r="H1108" s="228">
        <f>YEAR(AVEU_Historical_Data__2[[#This Row],[Date]])</f>
        <v>2024</v>
      </c>
      <c r="I1108" s="228">
        <f>ROUNDUP((MOD(MONTH(AVEU_Historical_Data__2[[#This Row],[Date]])+8,12)+1)/3,0)</f>
        <v>2</v>
      </c>
      <c r="J1108" s="228">
        <f>MONTH(AVEU_Historical_Data__2[[#This Row],[Date]])</f>
        <v>9</v>
      </c>
      <c r="K1108" s="228"/>
    </row>
    <row r="1109" spans="1:11" x14ac:dyDescent="0.25">
      <c r="A1109" s="227">
        <v>45553</v>
      </c>
      <c r="B1109" s="228">
        <v>5265.2</v>
      </c>
      <c r="C1109" s="228">
        <v>5225</v>
      </c>
      <c r="D1109" s="228">
        <v>5289</v>
      </c>
      <c r="E1109" s="228">
        <v>5219.8999999999996</v>
      </c>
      <c r="F1109">
        <v>201980</v>
      </c>
      <c r="G1109" s="228">
        <v>8.6999999999999994E-3</v>
      </c>
      <c r="H1109" s="228">
        <f>YEAR(AVEU_Historical_Data__2[[#This Row],[Date]])</f>
        <v>2024</v>
      </c>
      <c r="I1109" s="228">
        <f>ROUNDUP((MOD(MONTH(AVEU_Historical_Data__2[[#This Row],[Date]])+8,12)+1)/3,0)</f>
        <v>2</v>
      </c>
      <c r="J1109" s="228">
        <f>MONTH(AVEU_Historical_Data__2[[#This Row],[Date]])</f>
        <v>9</v>
      </c>
      <c r="K1109" s="228"/>
    </row>
    <row r="1110" spans="1:11" x14ac:dyDescent="0.25">
      <c r="A1110" s="227">
        <v>45554</v>
      </c>
      <c r="B1110" s="228">
        <v>5342.5</v>
      </c>
      <c r="C1110" s="228">
        <v>5295</v>
      </c>
      <c r="D1110" s="228">
        <v>5443.95</v>
      </c>
      <c r="E1110" s="228">
        <v>5180</v>
      </c>
      <c r="F1110">
        <v>392200</v>
      </c>
      <c r="G1110" s="228">
        <v>1.47E-2</v>
      </c>
      <c r="H1110" s="228">
        <f>YEAR(AVEU_Historical_Data__2[[#This Row],[Date]])</f>
        <v>2024</v>
      </c>
      <c r="I1110" s="228">
        <f>ROUNDUP((MOD(MONTH(AVEU_Historical_Data__2[[#This Row],[Date]])+8,12)+1)/3,0)</f>
        <v>2</v>
      </c>
      <c r="J1110" s="228">
        <f>MONTH(AVEU_Historical_Data__2[[#This Row],[Date]])</f>
        <v>9</v>
      </c>
      <c r="K1110" s="228"/>
    </row>
    <row r="1111" spans="1:11" x14ac:dyDescent="0.25">
      <c r="A1111" s="227">
        <v>45555</v>
      </c>
      <c r="B1111" s="228">
        <v>5320.55</v>
      </c>
      <c r="C1111" s="228">
        <v>5360</v>
      </c>
      <c r="D1111" s="228">
        <v>5417.95</v>
      </c>
      <c r="E1111" s="228">
        <v>5225.1000000000004</v>
      </c>
      <c r="F1111">
        <v>598430</v>
      </c>
      <c r="G1111" s="228">
        <v>-4.1000000000000003E-3</v>
      </c>
      <c r="H1111" s="228">
        <f>YEAR(AVEU_Historical_Data__2[[#This Row],[Date]])</f>
        <v>2024</v>
      </c>
      <c r="I1111" s="228">
        <f>ROUNDUP((MOD(MONTH(AVEU_Historical_Data__2[[#This Row],[Date]])+8,12)+1)/3,0)</f>
        <v>2</v>
      </c>
      <c r="J1111" s="228">
        <f>MONTH(AVEU_Historical_Data__2[[#This Row],[Date]])</f>
        <v>9</v>
      </c>
      <c r="K1111" s="228"/>
    </row>
    <row r="1112" spans="1:11" x14ac:dyDescent="0.25">
      <c r="A1112" s="227">
        <v>45558</v>
      </c>
      <c r="B1112" s="228">
        <v>5297.45</v>
      </c>
      <c r="C1112" s="228">
        <v>5355.15</v>
      </c>
      <c r="D1112" s="228">
        <v>5363</v>
      </c>
      <c r="E1112" s="228">
        <v>5260.25</v>
      </c>
      <c r="F1112">
        <v>179530</v>
      </c>
      <c r="G1112" s="228">
        <v>-4.3E-3</v>
      </c>
      <c r="H1112" s="228">
        <f>YEAR(AVEU_Historical_Data__2[[#This Row],[Date]])</f>
        <v>2024</v>
      </c>
      <c r="I1112" s="228">
        <f>ROUNDUP((MOD(MONTH(AVEU_Historical_Data__2[[#This Row],[Date]])+8,12)+1)/3,0)</f>
        <v>2</v>
      </c>
      <c r="J1112" s="228">
        <f>MONTH(AVEU_Historical_Data__2[[#This Row],[Date]])</f>
        <v>9</v>
      </c>
      <c r="K1112" s="228"/>
    </row>
    <row r="1113" spans="1:11" x14ac:dyDescent="0.25">
      <c r="A1113" s="227">
        <v>45559</v>
      </c>
      <c r="B1113" s="228">
        <v>5391.45</v>
      </c>
      <c r="C1113" s="228">
        <v>5304.95</v>
      </c>
      <c r="D1113" s="228">
        <v>5484.85</v>
      </c>
      <c r="E1113" s="228">
        <v>5231.1499999999996</v>
      </c>
      <c r="F1113">
        <v>672940</v>
      </c>
      <c r="G1113" s="228">
        <v>1.77E-2</v>
      </c>
      <c r="H1113" s="228">
        <f>YEAR(AVEU_Historical_Data__2[[#This Row],[Date]])</f>
        <v>2024</v>
      </c>
      <c r="I1113" s="228">
        <f>ROUNDUP((MOD(MONTH(AVEU_Historical_Data__2[[#This Row],[Date]])+8,12)+1)/3,0)</f>
        <v>2</v>
      </c>
      <c r="J1113" s="228">
        <f>MONTH(AVEU_Historical_Data__2[[#This Row],[Date]])</f>
        <v>9</v>
      </c>
      <c r="K1113" s="228"/>
    </row>
    <row r="1114" spans="1:11" x14ac:dyDescent="0.25">
      <c r="A1114" s="227">
        <v>45560</v>
      </c>
      <c r="B1114" s="228">
        <v>5265.5</v>
      </c>
      <c r="C1114" s="228">
        <v>5400</v>
      </c>
      <c r="D1114" s="228">
        <v>5417.5</v>
      </c>
      <c r="E1114" s="228">
        <v>5232</v>
      </c>
      <c r="F1114">
        <v>529350</v>
      </c>
      <c r="G1114" s="228">
        <v>-2.3400000000000001E-2</v>
      </c>
      <c r="H1114" s="228">
        <f>YEAR(AVEU_Historical_Data__2[[#This Row],[Date]])</f>
        <v>2024</v>
      </c>
      <c r="I1114" s="228">
        <f>ROUNDUP((MOD(MONTH(AVEU_Historical_Data__2[[#This Row],[Date]])+8,12)+1)/3,0)</f>
        <v>2</v>
      </c>
      <c r="J1114" s="228">
        <f>MONTH(AVEU_Historical_Data__2[[#This Row],[Date]])</f>
        <v>9</v>
      </c>
      <c r="K1114" s="228"/>
    </row>
    <row r="1115" spans="1:11" x14ac:dyDescent="0.25">
      <c r="A1115" s="227">
        <v>45561</v>
      </c>
      <c r="B1115" s="228">
        <v>5198.05</v>
      </c>
      <c r="C1115" s="228">
        <v>5313.45</v>
      </c>
      <c r="D1115" s="228">
        <v>5313.45</v>
      </c>
      <c r="E1115" s="228">
        <v>5164</v>
      </c>
      <c r="F1115">
        <v>372440</v>
      </c>
      <c r="G1115" s="228">
        <v>-1.2800000000000001E-2</v>
      </c>
      <c r="H1115" s="228">
        <f>YEAR(AVEU_Historical_Data__2[[#This Row],[Date]])</f>
        <v>2024</v>
      </c>
      <c r="I1115" s="228">
        <f>ROUNDUP((MOD(MONTH(AVEU_Historical_Data__2[[#This Row],[Date]])+8,12)+1)/3,0)</f>
        <v>2</v>
      </c>
      <c r="J1115" s="228">
        <f>MONTH(AVEU_Historical_Data__2[[#This Row],[Date]])</f>
        <v>9</v>
      </c>
      <c r="K1115" s="228"/>
    </row>
    <row r="1116" spans="1:11" x14ac:dyDescent="0.25">
      <c r="A1116" s="227">
        <v>45562</v>
      </c>
      <c r="B1116" s="228">
        <v>5102.3</v>
      </c>
      <c r="C1116" s="228">
        <v>5224.6000000000004</v>
      </c>
      <c r="D1116" s="228">
        <v>5226</v>
      </c>
      <c r="E1116" s="228">
        <v>5090</v>
      </c>
      <c r="F1116">
        <v>566690</v>
      </c>
      <c r="G1116" s="228">
        <v>-1.84E-2</v>
      </c>
      <c r="H1116" s="228">
        <f>YEAR(AVEU_Historical_Data__2[[#This Row],[Date]])</f>
        <v>2024</v>
      </c>
      <c r="I1116" s="228">
        <f>ROUNDUP((MOD(MONTH(AVEU_Historical_Data__2[[#This Row],[Date]])+8,12)+1)/3,0)</f>
        <v>2</v>
      </c>
      <c r="J1116" s="228">
        <f>MONTH(AVEU_Historical_Data__2[[#This Row],[Date]])</f>
        <v>9</v>
      </c>
      <c r="K1116" s="228"/>
    </row>
    <row r="1117" spans="1:11" x14ac:dyDescent="0.25">
      <c r="A1117" s="227">
        <v>45565</v>
      </c>
      <c r="B1117" s="228">
        <v>5096.3</v>
      </c>
      <c r="C1117" s="228">
        <v>5102.3</v>
      </c>
      <c r="D1117" s="228">
        <v>5215</v>
      </c>
      <c r="E1117" s="228">
        <v>5080</v>
      </c>
      <c r="F1117">
        <v>437170</v>
      </c>
      <c r="G1117" s="228">
        <v>-1.1999999999999999E-3</v>
      </c>
      <c r="H1117" s="228">
        <f>YEAR(AVEU_Historical_Data__2[[#This Row],[Date]])</f>
        <v>2024</v>
      </c>
      <c r="I1117" s="228">
        <f>ROUNDUP((MOD(MONTH(AVEU_Historical_Data__2[[#This Row],[Date]])+8,12)+1)/3,0)</f>
        <v>2</v>
      </c>
      <c r="J1117" s="228">
        <f>MONTH(AVEU_Historical_Data__2[[#This Row],[Date]])</f>
        <v>9</v>
      </c>
      <c r="K1117" s="228"/>
    </row>
    <row r="1118" spans="1:11" x14ac:dyDescent="0.25">
      <c r="A1118" s="227">
        <v>45566</v>
      </c>
      <c r="B1118" s="228">
        <v>4954.3500000000004</v>
      </c>
      <c r="C1118" s="228">
        <v>5095</v>
      </c>
      <c r="D1118" s="228">
        <v>5138</v>
      </c>
      <c r="E1118" s="228">
        <v>4936.1000000000004</v>
      </c>
      <c r="F1118">
        <v>562720</v>
      </c>
      <c r="G1118" s="228">
        <v>-2.7900000000000001E-2</v>
      </c>
      <c r="H1118" s="228">
        <f>YEAR(AVEU_Historical_Data__2[[#This Row],[Date]])</f>
        <v>2024</v>
      </c>
      <c r="I1118" s="228">
        <f>ROUNDUP((MOD(MONTH(AVEU_Historical_Data__2[[#This Row],[Date]])+8,12)+1)/3,0)</f>
        <v>3</v>
      </c>
      <c r="J1118" s="228">
        <f>MONTH(AVEU_Historical_Data__2[[#This Row],[Date]])</f>
        <v>10</v>
      </c>
      <c r="K1118" s="228"/>
    </row>
    <row r="1119" spans="1:11" x14ac:dyDescent="0.25">
      <c r="A1119" s="227">
        <v>45568</v>
      </c>
      <c r="B1119" s="228">
        <v>4942.6000000000004</v>
      </c>
      <c r="C1119" s="228">
        <v>4924.55</v>
      </c>
      <c r="D1119" s="228">
        <v>5015</v>
      </c>
      <c r="E1119" s="228">
        <v>4881</v>
      </c>
      <c r="F1119">
        <v>615250</v>
      </c>
      <c r="G1119" s="228">
        <v>-2.3999999999999998E-3</v>
      </c>
      <c r="H1119" s="228">
        <f>YEAR(AVEU_Historical_Data__2[[#This Row],[Date]])</f>
        <v>2024</v>
      </c>
      <c r="I1119" s="228">
        <f>ROUNDUP((MOD(MONTH(AVEU_Historical_Data__2[[#This Row],[Date]])+8,12)+1)/3,0)</f>
        <v>3</v>
      </c>
      <c r="J1119" s="228">
        <f>MONTH(AVEU_Historical_Data__2[[#This Row],[Date]])</f>
        <v>10</v>
      </c>
      <c r="K1119" s="228"/>
    </row>
    <row r="1120" spans="1:11" x14ac:dyDescent="0.25">
      <c r="A1120" s="227">
        <v>45569</v>
      </c>
      <c r="B1120" s="228">
        <v>4737.55</v>
      </c>
      <c r="C1120" s="228">
        <v>4875</v>
      </c>
      <c r="D1120" s="228">
        <v>4875</v>
      </c>
      <c r="E1120" s="228">
        <v>4696.1000000000004</v>
      </c>
      <c r="F1120">
        <v>2980000</v>
      </c>
      <c r="G1120" s="228">
        <v>-4.1500000000000002E-2</v>
      </c>
      <c r="H1120" s="228">
        <f>YEAR(AVEU_Historical_Data__2[[#This Row],[Date]])</f>
        <v>2024</v>
      </c>
      <c r="I1120" s="228">
        <f>ROUNDUP((MOD(MONTH(AVEU_Historical_Data__2[[#This Row],[Date]])+8,12)+1)/3,0)</f>
        <v>3</v>
      </c>
      <c r="J1120" s="228">
        <f>MONTH(AVEU_Historical_Data__2[[#This Row],[Date]])</f>
        <v>10</v>
      </c>
      <c r="K1120" s="228"/>
    </row>
    <row r="1121" spans="1:11" x14ac:dyDescent="0.25">
      <c r="A1121" s="227">
        <v>45572</v>
      </c>
      <c r="B1121" s="228">
        <v>4544.1499999999996</v>
      </c>
      <c r="C1121" s="228">
        <v>4741</v>
      </c>
      <c r="D1121" s="228">
        <v>4752.8999999999996</v>
      </c>
      <c r="E1121" s="228">
        <v>4518</v>
      </c>
      <c r="F1121">
        <v>1860000</v>
      </c>
      <c r="G1121" s="228">
        <v>-4.0800000000000003E-2</v>
      </c>
      <c r="H1121" s="228">
        <f>YEAR(AVEU_Historical_Data__2[[#This Row],[Date]])</f>
        <v>2024</v>
      </c>
      <c r="I1121" s="228">
        <f>ROUNDUP((MOD(MONTH(AVEU_Historical_Data__2[[#This Row],[Date]])+8,12)+1)/3,0)</f>
        <v>3</v>
      </c>
      <c r="J1121" s="228">
        <f>MONTH(AVEU_Historical_Data__2[[#This Row],[Date]])</f>
        <v>10</v>
      </c>
      <c r="K1121" s="228"/>
    </row>
    <row r="1122" spans="1:11" x14ac:dyDescent="0.25">
      <c r="A1122" s="227">
        <v>45573</v>
      </c>
      <c r="B1122" s="228">
        <v>4465.45</v>
      </c>
      <c r="C1122" s="228">
        <v>4544.1499999999996</v>
      </c>
      <c r="D1122" s="228">
        <v>4619.8999999999996</v>
      </c>
      <c r="E1122" s="228">
        <v>4435</v>
      </c>
      <c r="F1122">
        <v>1010000</v>
      </c>
      <c r="G1122" s="228">
        <v>-1.7299999999999999E-2</v>
      </c>
      <c r="H1122" s="228">
        <f>YEAR(AVEU_Historical_Data__2[[#This Row],[Date]])</f>
        <v>2024</v>
      </c>
      <c r="I1122" s="228">
        <f>ROUNDUP((MOD(MONTH(AVEU_Historical_Data__2[[#This Row],[Date]])+8,12)+1)/3,0)</f>
        <v>3</v>
      </c>
      <c r="J1122" s="228">
        <f>MONTH(AVEU_Historical_Data__2[[#This Row],[Date]])</f>
        <v>10</v>
      </c>
      <c r="K1122" s="228"/>
    </row>
    <row r="1123" spans="1:11" x14ac:dyDescent="0.25">
      <c r="A1123" s="227">
        <v>45574</v>
      </c>
      <c r="B1123" s="228">
        <v>4645.3999999999996</v>
      </c>
      <c r="C1123" s="228">
        <v>4510</v>
      </c>
      <c r="D1123" s="228">
        <v>4688.75</v>
      </c>
      <c r="E1123" s="228">
        <v>4481.6499999999996</v>
      </c>
      <c r="F1123">
        <v>1060000</v>
      </c>
      <c r="G1123" s="228">
        <v>4.0300000000000002E-2</v>
      </c>
      <c r="H1123" s="228">
        <f>YEAR(AVEU_Historical_Data__2[[#This Row],[Date]])</f>
        <v>2024</v>
      </c>
      <c r="I1123" s="228">
        <f>ROUNDUP((MOD(MONTH(AVEU_Historical_Data__2[[#This Row],[Date]])+8,12)+1)/3,0)</f>
        <v>3</v>
      </c>
      <c r="J1123" s="228">
        <f>MONTH(AVEU_Historical_Data__2[[#This Row],[Date]])</f>
        <v>10</v>
      </c>
      <c r="K1123" s="228"/>
    </row>
    <row r="1124" spans="1:11" x14ac:dyDescent="0.25">
      <c r="A1124" s="227">
        <v>45575</v>
      </c>
      <c r="B1124" s="228">
        <v>4607.5</v>
      </c>
      <c r="C1124" s="228">
        <v>4664.8</v>
      </c>
      <c r="D1124" s="228">
        <v>4698.8999999999996</v>
      </c>
      <c r="E1124" s="228">
        <v>4572</v>
      </c>
      <c r="F1124">
        <v>316730</v>
      </c>
      <c r="G1124" s="228">
        <v>-8.2000000000000007E-3</v>
      </c>
      <c r="H1124" s="228">
        <f>YEAR(AVEU_Historical_Data__2[[#This Row],[Date]])</f>
        <v>2024</v>
      </c>
      <c r="I1124" s="228">
        <f>ROUNDUP((MOD(MONTH(AVEU_Historical_Data__2[[#This Row],[Date]])+8,12)+1)/3,0)</f>
        <v>3</v>
      </c>
      <c r="J1124" s="228">
        <f>MONTH(AVEU_Historical_Data__2[[#This Row],[Date]])</f>
        <v>10</v>
      </c>
      <c r="K1124" s="228"/>
    </row>
    <row r="1125" spans="1:11" x14ac:dyDescent="0.25">
      <c r="A1125" s="227">
        <v>45576</v>
      </c>
      <c r="B1125" s="228">
        <v>4572.7</v>
      </c>
      <c r="C1125" s="228">
        <v>4643.1000000000004</v>
      </c>
      <c r="D1125" s="228">
        <v>4643.1000000000004</v>
      </c>
      <c r="E1125" s="228">
        <v>4529</v>
      </c>
      <c r="F1125">
        <v>410580</v>
      </c>
      <c r="G1125" s="228">
        <v>-7.6E-3</v>
      </c>
      <c r="H1125" s="228">
        <f>YEAR(AVEU_Historical_Data__2[[#This Row],[Date]])</f>
        <v>2024</v>
      </c>
      <c r="I1125" s="228">
        <f>ROUNDUP((MOD(MONTH(AVEU_Historical_Data__2[[#This Row],[Date]])+8,12)+1)/3,0)</f>
        <v>3</v>
      </c>
      <c r="J1125" s="228">
        <f>MONTH(AVEU_Historical_Data__2[[#This Row],[Date]])</f>
        <v>10</v>
      </c>
      <c r="K1125" s="228"/>
    </row>
    <row r="1126" spans="1:11" x14ac:dyDescent="0.25">
      <c r="A1126" s="227">
        <v>45579</v>
      </c>
      <c r="B1126" s="228">
        <v>4183.6000000000004</v>
      </c>
      <c r="C1126" s="228">
        <v>4204</v>
      </c>
      <c r="D1126" s="228">
        <v>4299</v>
      </c>
      <c r="E1126" s="228">
        <v>4139.95</v>
      </c>
      <c r="F1126">
        <v>4880000</v>
      </c>
      <c r="G1126" s="228">
        <v>-8.5099999999999995E-2</v>
      </c>
      <c r="H1126" s="228">
        <f>YEAR(AVEU_Historical_Data__2[[#This Row],[Date]])</f>
        <v>2024</v>
      </c>
      <c r="I1126" s="228">
        <f>ROUNDUP((MOD(MONTH(AVEU_Historical_Data__2[[#This Row],[Date]])+8,12)+1)/3,0)</f>
        <v>3</v>
      </c>
      <c r="J1126" s="228">
        <f>MONTH(AVEU_Historical_Data__2[[#This Row],[Date]])</f>
        <v>10</v>
      </c>
      <c r="K1126" s="228"/>
    </row>
    <row r="1127" spans="1:11" x14ac:dyDescent="0.25">
      <c r="A1127" s="227">
        <v>45580</v>
      </c>
      <c r="B1127" s="228">
        <v>4193.55</v>
      </c>
      <c r="C1127" s="228">
        <v>4230</v>
      </c>
      <c r="D1127" s="228">
        <v>4238.95</v>
      </c>
      <c r="E1127" s="228">
        <v>4180.6000000000004</v>
      </c>
      <c r="F1127">
        <v>1360000</v>
      </c>
      <c r="G1127" s="228">
        <v>2.3999999999999998E-3</v>
      </c>
      <c r="H1127" s="228">
        <f>YEAR(AVEU_Historical_Data__2[[#This Row],[Date]])</f>
        <v>2024</v>
      </c>
      <c r="I1127" s="228">
        <f>ROUNDUP((MOD(MONTH(AVEU_Historical_Data__2[[#This Row],[Date]])+8,12)+1)/3,0)</f>
        <v>3</v>
      </c>
      <c r="J1127" s="228">
        <f>MONTH(AVEU_Historical_Data__2[[#This Row],[Date]])</f>
        <v>10</v>
      </c>
      <c r="K1127" s="228"/>
    </row>
    <row r="1128" spans="1:11" x14ac:dyDescent="0.25">
      <c r="A1128" s="227">
        <v>45581</v>
      </c>
      <c r="B1128" s="228">
        <v>4173.8</v>
      </c>
      <c r="C1128" s="228">
        <v>4209</v>
      </c>
      <c r="D1128" s="228">
        <v>4215</v>
      </c>
      <c r="E1128" s="228">
        <v>4149</v>
      </c>
      <c r="F1128">
        <v>688900</v>
      </c>
      <c r="G1128" s="228">
        <v>-4.7000000000000002E-3</v>
      </c>
      <c r="H1128" s="228">
        <f>YEAR(AVEU_Historical_Data__2[[#This Row],[Date]])</f>
        <v>2024</v>
      </c>
      <c r="I1128" s="228">
        <f>ROUNDUP((MOD(MONTH(AVEU_Historical_Data__2[[#This Row],[Date]])+8,12)+1)/3,0)</f>
        <v>3</v>
      </c>
      <c r="J1128" s="228">
        <f>MONTH(AVEU_Historical_Data__2[[#This Row],[Date]])</f>
        <v>10</v>
      </c>
      <c r="K1128" s="228"/>
    </row>
    <row r="1129" spans="1:11" x14ac:dyDescent="0.25">
      <c r="A1129" s="227">
        <v>45582</v>
      </c>
      <c r="B1129" s="228">
        <v>4087.7</v>
      </c>
      <c r="C1129" s="228">
        <v>4175</v>
      </c>
      <c r="D1129" s="228">
        <v>4180</v>
      </c>
      <c r="E1129" s="228">
        <v>4044</v>
      </c>
      <c r="F1129">
        <v>731370</v>
      </c>
      <c r="G1129" s="228">
        <v>-2.06E-2</v>
      </c>
      <c r="H1129" s="228">
        <f>YEAR(AVEU_Historical_Data__2[[#This Row],[Date]])</f>
        <v>2024</v>
      </c>
      <c r="I1129" s="228">
        <f>ROUNDUP((MOD(MONTH(AVEU_Historical_Data__2[[#This Row],[Date]])+8,12)+1)/3,0)</f>
        <v>3</v>
      </c>
      <c r="J1129" s="228">
        <f>MONTH(AVEU_Historical_Data__2[[#This Row],[Date]])</f>
        <v>10</v>
      </c>
      <c r="K1129" s="228"/>
    </row>
    <row r="1130" spans="1:11" x14ac:dyDescent="0.25">
      <c r="A1130" s="227">
        <v>45583</v>
      </c>
      <c r="B1130" s="228">
        <v>3986.7</v>
      </c>
      <c r="C1130" s="228">
        <v>4100</v>
      </c>
      <c r="D1130" s="228">
        <v>4114</v>
      </c>
      <c r="E1130" s="228">
        <v>3975.1</v>
      </c>
      <c r="F1130">
        <v>1090000</v>
      </c>
      <c r="G1130" s="228">
        <v>-2.47E-2</v>
      </c>
      <c r="H1130" s="228">
        <f>YEAR(AVEU_Historical_Data__2[[#This Row],[Date]])</f>
        <v>2024</v>
      </c>
      <c r="I1130" s="228">
        <f>ROUNDUP((MOD(MONTH(AVEU_Historical_Data__2[[#This Row],[Date]])+8,12)+1)/3,0)</f>
        <v>3</v>
      </c>
      <c r="J1130" s="228">
        <f>MONTH(AVEU_Historical_Data__2[[#This Row],[Date]])</f>
        <v>10</v>
      </c>
      <c r="K1130" s="228"/>
    </row>
    <row r="1131" spans="1:11" x14ac:dyDescent="0.25">
      <c r="A1131" s="227">
        <v>45586</v>
      </c>
      <c r="B1131" s="228">
        <v>3973.45</v>
      </c>
      <c r="C1131" s="228">
        <v>4000.05</v>
      </c>
      <c r="D1131" s="228">
        <v>4073</v>
      </c>
      <c r="E1131" s="228">
        <v>3961</v>
      </c>
      <c r="F1131">
        <v>494820</v>
      </c>
      <c r="G1131" s="228">
        <v>-3.3E-3</v>
      </c>
      <c r="H1131" s="228">
        <f>YEAR(AVEU_Historical_Data__2[[#This Row],[Date]])</f>
        <v>2024</v>
      </c>
      <c r="I1131" s="228">
        <f>ROUNDUP((MOD(MONTH(AVEU_Historical_Data__2[[#This Row],[Date]])+8,12)+1)/3,0)</f>
        <v>3</v>
      </c>
      <c r="J1131" s="228">
        <f>MONTH(AVEU_Historical_Data__2[[#This Row],[Date]])</f>
        <v>10</v>
      </c>
      <c r="K1131" s="228"/>
    </row>
    <row r="1132" spans="1:11" x14ac:dyDescent="0.25">
      <c r="A1132" s="227">
        <v>45587</v>
      </c>
      <c r="B1132" s="228">
        <v>4005.2</v>
      </c>
      <c r="C1132" s="228">
        <v>3999.9</v>
      </c>
      <c r="D1132" s="228">
        <v>4057</v>
      </c>
      <c r="E1132" s="228">
        <v>3965.9</v>
      </c>
      <c r="F1132">
        <v>698100</v>
      </c>
      <c r="G1132" s="228">
        <v>8.0000000000000002E-3</v>
      </c>
      <c r="H1132" s="228">
        <f>YEAR(AVEU_Historical_Data__2[[#This Row],[Date]])</f>
        <v>2024</v>
      </c>
      <c r="I1132" s="228">
        <f>ROUNDUP((MOD(MONTH(AVEU_Historical_Data__2[[#This Row],[Date]])+8,12)+1)/3,0)</f>
        <v>3</v>
      </c>
      <c r="J1132" s="228">
        <f>MONTH(AVEU_Historical_Data__2[[#This Row],[Date]])</f>
        <v>10</v>
      </c>
      <c r="K1132" s="228"/>
    </row>
    <row r="1133" spans="1:11" x14ac:dyDescent="0.25">
      <c r="A1133" s="227">
        <v>45588</v>
      </c>
      <c r="B1133" s="228">
        <v>4156.1000000000004</v>
      </c>
      <c r="C1133" s="228">
        <v>4009</v>
      </c>
      <c r="D1133" s="228">
        <v>4224.8</v>
      </c>
      <c r="E1133" s="228">
        <v>3978</v>
      </c>
      <c r="F1133">
        <v>686720</v>
      </c>
      <c r="G1133" s="228">
        <v>3.7699999999999997E-2</v>
      </c>
      <c r="H1133" s="228">
        <f>YEAR(AVEU_Historical_Data__2[[#This Row],[Date]])</f>
        <v>2024</v>
      </c>
      <c r="I1133" s="228">
        <f>ROUNDUP((MOD(MONTH(AVEU_Historical_Data__2[[#This Row],[Date]])+8,12)+1)/3,0)</f>
        <v>3</v>
      </c>
      <c r="J1133" s="228">
        <f>MONTH(AVEU_Historical_Data__2[[#This Row],[Date]])</f>
        <v>10</v>
      </c>
      <c r="K1133" s="228"/>
    </row>
    <row r="1134" spans="1:11" x14ac:dyDescent="0.25">
      <c r="A1134" s="227">
        <v>45589</v>
      </c>
      <c r="B1134" s="228">
        <v>4060.1</v>
      </c>
      <c r="C1134" s="228">
        <v>4155.75</v>
      </c>
      <c r="D1134" s="228">
        <v>4187.8999999999996</v>
      </c>
      <c r="E1134" s="228">
        <v>4044.65</v>
      </c>
      <c r="F1134">
        <v>435990</v>
      </c>
      <c r="G1134" s="228">
        <v>-2.3099999999999999E-2</v>
      </c>
      <c r="H1134" s="228">
        <f>YEAR(AVEU_Historical_Data__2[[#This Row],[Date]])</f>
        <v>2024</v>
      </c>
      <c r="I1134" s="228">
        <f>ROUNDUP((MOD(MONTH(AVEU_Historical_Data__2[[#This Row],[Date]])+8,12)+1)/3,0)</f>
        <v>3</v>
      </c>
      <c r="J1134" s="228">
        <f>MONTH(AVEU_Historical_Data__2[[#This Row],[Date]])</f>
        <v>10</v>
      </c>
      <c r="K1134" s="228"/>
    </row>
    <row r="1135" spans="1:11" x14ac:dyDescent="0.25">
      <c r="A1135" s="227">
        <v>45590</v>
      </c>
      <c r="B1135" s="228">
        <v>4052.2</v>
      </c>
      <c r="C1135" s="228">
        <v>4061.95</v>
      </c>
      <c r="D1135" s="228">
        <v>4125</v>
      </c>
      <c r="E1135" s="228">
        <v>3985.45</v>
      </c>
      <c r="F1135">
        <v>423220</v>
      </c>
      <c r="G1135" s="228">
        <v>-1.9E-3</v>
      </c>
      <c r="H1135" s="228">
        <f>YEAR(AVEU_Historical_Data__2[[#This Row],[Date]])</f>
        <v>2024</v>
      </c>
      <c r="I1135" s="228">
        <f>ROUNDUP((MOD(MONTH(AVEU_Historical_Data__2[[#This Row],[Date]])+8,12)+1)/3,0)</f>
        <v>3</v>
      </c>
      <c r="J1135" s="228">
        <f>MONTH(AVEU_Historical_Data__2[[#This Row],[Date]])</f>
        <v>10</v>
      </c>
      <c r="K1135" s="228"/>
    </row>
    <row r="1136" spans="1:11" x14ac:dyDescent="0.25">
      <c r="A1136" s="227">
        <v>45593</v>
      </c>
      <c r="B1136" s="228">
        <v>3987.5</v>
      </c>
      <c r="C1136" s="228">
        <v>4052.2</v>
      </c>
      <c r="D1136" s="228">
        <v>4094.3</v>
      </c>
      <c r="E1136" s="228">
        <v>3975</v>
      </c>
      <c r="F1136">
        <v>297230</v>
      </c>
      <c r="G1136" s="228">
        <v>-1.6E-2</v>
      </c>
      <c r="H1136" s="228">
        <f>YEAR(AVEU_Historical_Data__2[[#This Row],[Date]])</f>
        <v>2024</v>
      </c>
      <c r="I1136" s="228">
        <f>ROUNDUP((MOD(MONTH(AVEU_Historical_Data__2[[#This Row],[Date]])+8,12)+1)/3,0)</f>
        <v>3</v>
      </c>
      <c r="J1136" s="228">
        <f>MONTH(AVEU_Historical_Data__2[[#This Row],[Date]])</f>
        <v>10</v>
      </c>
      <c r="K1136" s="228"/>
    </row>
    <row r="1137" spans="1:11" x14ac:dyDescent="0.25">
      <c r="A1137" s="227">
        <v>45594</v>
      </c>
      <c r="B1137" s="228">
        <v>3965.15</v>
      </c>
      <c r="C1137" s="228">
        <v>4000</v>
      </c>
      <c r="D1137" s="228">
        <v>4010</v>
      </c>
      <c r="E1137" s="228">
        <v>3940.2</v>
      </c>
      <c r="F1137">
        <v>304480</v>
      </c>
      <c r="G1137" s="228">
        <v>-5.5999999999999999E-3</v>
      </c>
      <c r="H1137" s="228">
        <f>YEAR(AVEU_Historical_Data__2[[#This Row],[Date]])</f>
        <v>2024</v>
      </c>
      <c r="I1137" s="228">
        <f>ROUNDUP((MOD(MONTH(AVEU_Historical_Data__2[[#This Row],[Date]])+8,12)+1)/3,0)</f>
        <v>3</v>
      </c>
      <c r="J1137" s="228">
        <f>MONTH(AVEU_Historical_Data__2[[#This Row],[Date]])</f>
        <v>10</v>
      </c>
      <c r="K1137" s="228"/>
    </row>
    <row r="1138" spans="1:11" x14ac:dyDescent="0.25">
      <c r="A1138" s="227">
        <v>45595</v>
      </c>
      <c r="B1138" s="228">
        <v>3932.45</v>
      </c>
      <c r="C1138" s="228">
        <v>4000</v>
      </c>
      <c r="D1138" s="228">
        <v>4036.95</v>
      </c>
      <c r="E1138" s="228">
        <v>3920</v>
      </c>
      <c r="F1138">
        <v>651050</v>
      </c>
      <c r="G1138" s="228">
        <v>-8.2000000000000007E-3</v>
      </c>
      <c r="H1138" s="228">
        <f>YEAR(AVEU_Historical_Data__2[[#This Row],[Date]])</f>
        <v>2024</v>
      </c>
      <c r="I1138" s="228">
        <f>ROUNDUP((MOD(MONTH(AVEU_Historical_Data__2[[#This Row],[Date]])+8,12)+1)/3,0)</f>
        <v>3</v>
      </c>
      <c r="J1138" s="228">
        <f>MONTH(AVEU_Historical_Data__2[[#This Row],[Date]])</f>
        <v>10</v>
      </c>
      <c r="K1138" s="228"/>
    </row>
    <row r="1139" spans="1:11" x14ac:dyDescent="0.25">
      <c r="A1139" s="227">
        <v>45596</v>
      </c>
      <c r="B1139" s="228">
        <v>3930.7</v>
      </c>
      <c r="C1139" s="228">
        <v>3930</v>
      </c>
      <c r="D1139" s="228">
        <v>3939.35</v>
      </c>
      <c r="E1139" s="228">
        <v>3876</v>
      </c>
      <c r="F1139">
        <v>267670</v>
      </c>
      <c r="G1139" s="228">
        <v>-4.0000000000000002E-4</v>
      </c>
      <c r="H1139" s="228">
        <f>YEAR(AVEU_Historical_Data__2[[#This Row],[Date]])</f>
        <v>2024</v>
      </c>
      <c r="I1139" s="228">
        <f>ROUNDUP((MOD(MONTH(AVEU_Historical_Data__2[[#This Row],[Date]])+8,12)+1)/3,0)</f>
        <v>3</v>
      </c>
      <c r="J1139" s="228">
        <f>MONTH(AVEU_Historical_Data__2[[#This Row],[Date]])</f>
        <v>10</v>
      </c>
      <c r="K1139" s="228"/>
    </row>
    <row r="1140" spans="1:11" x14ac:dyDescent="0.25">
      <c r="A1140" s="227">
        <v>45597</v>
      </c>
      <c r="B1140" s="228">
        <v>4001.6</v>
      </c>
      <c r="C1140" s="228">
        <v>3949.95</v>
      </c>
      <c r="D1140" s="228">
        <v>4010</v>
      </c>
      <c r="E1140" s="228">
        <v>3939.95</v>
      </c>
      <c r="F1140">
        <v>67510</v>
      </c>
      <c r="G1140" s="228">
        <v>1.7999999999999999E-2</v>
      </c>
      <c r="H1140" s="228">
        <f>YEAR(AVEU_Historical_Data__2[[#This Row],[Date]])</f>
        <v>2024</v>
      </c>
      <c r="I1140" s="228">
        <f>ROUNDUP((MOD(MONTH(AVEU_Historical_Data__2[[#This Row],[Date]])+8,12)+1)/3,0)</f>
        <v>3</v>
      </c>
      <c r="J1140" s="228">
        <f>MONTH(AVEU_Historical_Data__2[[#This Row],[Date]])</f>
        <v>11</v>
      </c>
      <c r="K1140" s="228"/>
    </row>
    <row r="1141" spans="1:11" x14ac:dyDescent="0.25">
      <c r="A1141" s="227">
        <v>45600</v>
      </c>
      <c r="B1141" s="228">
        <v>3945.85</v>
      </c>
      <c r="C1141" s="228">
        <v>4000.75</v>
      </c>
      <c r="D1141" s="228">
        <v>4006.1</v>
      </c>
      <c r="E1141" s="228">
        <v>3899.65</v>
      </c>
      <c r="F1141">
        <v>391410</v>
      </c>
      <c r="G1141" s="228">
        <v>-1.3899999999999999E-2</v>
      </c>
      <c r="H1141" s="228">
        <f>YEAR(AVEU_Historical_Data__2[[#This Row],[Date]])</f>
        <v>2024</v>
      </c>
      <c r="I1141" s="228">
        <f>ROUNDUP((MOD(MONTH(AVEU_Historical_Data__2[[#This Row],[Date]])+8,12)+1)/3,0)</f>
        <v>3</v>
      </c>
      <c r="J1141" s="228">
        <f>MONTH(AVEU_Historical_Data__2[[#This Row],[Date]])</f>
        <v>11</v>
      </c>
      <c r="K1141" s="228"/>
    </row>
    <row r="1142" spans="1:11" x14ac:dyDescent="0.25">
      <c r="A1142" s="227">
        <v>45601</v>
      </c>
      <c r="B1142" s="228">
        <v>3926.55</v>
      </c>
      <c r="C1142" s="228">
        <v>3945.85</v>
      </c>
      <c r="D1142" s="228">
        <v>3958.85</v>
      </c>
      <c r="E1142" s="228">
        <v>3905.05</v>
      </c>
      <c r="F1142">
        <v>353930</v>
      </c>
      <c r="G1142" s="228">
        <v>-4.8999999999999998E-3</v>
      </c>
      <c r="H1142" s="228">
        <f>YEAR(AVEU_Historical_Data__2[[#This Row],[Date]])</f>
        <v>2024</v>
      </c>
      <c r="I1142" s="228">
        <f>ROUNDUP((MOD(MONTH(AVEU_Historical_Data__2[[#This Row],[Date]])+8,12)+1)/3,0)</f>
        <v>3</v>
      </c>
      <c r="J1142" s="228">
        <f>MONTH(AVEU_Historical_Data__2[[#This Row],[Date]])</f>
        <v>11</v>
      </c>
      <c r="K1142" s="228"/>
    </row>
    <row r="1143" spans="1:11" x14ac:dyDescent="0.25">
      <c r="A1143" s="227">
        <v>45602</v>
      </c>
      <c r="B1143" s="228">
        <v>3922.3</v>
      </c>
      <c r="C1143" s="228">
        <v>3925</v>
      </c>
      <c r="D1143" s="228">
        <v>3950</v>
      </c>
      <c r="E1143" s="228">
        <v>3915.65</v>
      </c>
      <c r="F1143">
        <v>357730</v>
      </c>
      <c r="G1143" s="228">
        <v>-1.1000000000000001E-3</v>
      </c>
      <c r="H1143" s="228">
        <f>YEAR(AVEU_Historical_Data__2[[#This Row],[Date]])</f>
        <v>2024</v>
      </c>
      <c r="I1143" s="228">
        <f>ROUNDUP((MOD(MONTH(AVEU_Historical_Data__2[[#This Row],[Date]])+8,12)+1)/3,0)</f>
        <v>3</v>
      </c>
      <c r="J1143" s="228">
        <f>MONTH(AVEU_Historical_Data__2[[#This Row],[Date]])</f>
        <v>11</v>
      </c>
      <c r="K1143" s="228"/>
    </row>
    <row r="1144" spans="1:11" x14ac:dyDescent="0.25">
      <c r="A1144" s="227">
        <v>45603</v>
      </c>
      <c r="B1144" s="228">
        <v>3889.1</v>
      </c>
      <c r="C1144" s="228">
        <v>3940</v>
      </c>
      <c r="D1144" s="228">
        <v>3943.2</v>
      </c>
      <c r="E1144" s="228">
        <v>3871</v>
      </c>
      <c r="F1144">
        <v>279830</v>
      </c>
      <c r="G1144" s="228">
        <v>-8.5000000000000006E-3</v>
      </c>
      <c r="H1144" s="228">
        <f>YEAR(AVEU_Historical_Data__2[[#This Row],[Date]])</f>
        <v>2024</v>
      </c>
      <c r="I1144" s="228">
        <f>ROUNDUP((MOD(MONTH(AVEU_Historical_Data__2[[#This Row],[Date]])+8,12)+1)/3,0)</f>
        <v>3</v>
      </c>
      <c r="J1144" s="228">
        <f>MONTH(AVEU_Historical_Data__2[[#This Row],[Date]])</f>
        <v>11</v>
      </c>
      <c r="K1144" s="228"/>
    </row>
    <row r="1145" spans="1:11" x14ac:dyDescent="0.25">
      <c r="A1145" s="227">
        <v>45604</v>
      </c>
      <c r="B1145" s="228">
        <v>3874.5</v>
      </c>
      <c r="C1145" s="228">
        <v>3873.05</v>
      </c>
      <c r="D1145" s="228">
        <v>3910.1</v>
      </c>
      <c r="E1145" s="228">
        <v>3860.15</v>
      </c>
      <c r="F1145">
        <v>428070</v>
      </c>
      <c r="G1145" s="228">
        <v>-3.8E-3</v>
      </c>
      <c r="H1145" s="228">
        <f>YEAR(AVEU_Historical_Data__2[[#This Row],[Date]])</f>
        <v>2024</v>
      </c>
      <c r="I1145" s="228">
        <f>ROUNDUP((MOD(MONTH(AVEU_Historical_Data__2[[#This Row],[Date]])+8,12)+1)/3,0)</f>
        <v>3</v>
      </c>
      <c r="J1145" s="228">
        <f>MONTH(AVEU_Historical_Data__2[[#This Row],[Date]])</f>
        <v>11</v>
      </c>
      <c r="K1145" s="228"/>
    </row>
    <row r="1146" spans="1:11" x14ac:dyDescent="0.25">
      <c r="A1146" s="227">
        <v>45607</v>
      </c>
      <c r="B1146" s="228">
        <v>3885.7</v>
      </c>
      <c r="C1146" s="228">
        <v>3899.65</v>
      </c>
      <c r="D1146" s="228">
        <v>3940</v>
      </c>
      <c r="E1146" s="228">
        <v>3814.3</v>
      </c>
      <c r="F1146">
        <v>417670</v>
      </c>
      <c r="G1146" s="228">
        <v>2.8999999999999998E-3</v>
      </c>
      <c r="H1146" s="228">
        <f>YEAR(AVEU_Historical_Data__2[[#This Row],[Date]])</f>
        <v>2024</v>
      </c>
      <c r="I1146" s="228">
        <f>ROUNDUP((MOD(MONTH(AVEU_Historical_Data__2[[#This Row],[Date]])+8,12)+1)/3,0)</f>
        <v>3</v>
      </c>
      <c r="J1146" s="228">
        <f>MONTH(AVEU_Historical_Data__2[[#This Row],[Date]])</f>
        <v>11</v>
      </c>
      <c r="K1146" s="228"/>
    </row>
    <row r="1147" spans="1:11" x14ac:dyDescent="0.25">
      <c r="A1147" s="227">
        <v>45608</v>
      </c>
      <c r="B1147" s="228">
        <v>3777</v>
      </c>
      <c r="C1147" s="228">
        <v>3910</v>
      </c>
      <c r="D1147" s="228">
        <v>3910</v>
      </c>
      <c r="E1147" s="228">
        <v>3762.55</v>
      </c>
      <c r="F1147">
        <v>683990</v>
      </c>
      <c r="G1147" s="228">
        <v>-2.8000000000000001E-2</v>
      </c>
      <c r="H1147" s="228">
        <f>YEAR(AVEU_Historical_Data__2[[#This Row],[Date]])</f>
        <v>2024</v>
      </c>
      <c r="I1147" s="228">
        <f>ROUNDUP((MOD(MONTH(AVEU_Historical_Data__2[[#This Row],[Date]])+8,12)+1)/3,0)</f>
        <v>3</v>
      </c>
      <c r="J1147" s="228">
        <f>MONTH(AVEU_Historical_Data__2[[#This Row],[Date]])</f>
        <v>11</v>
      </c>
      <c r="K1147" s="228"/>
    </row>
    <row r="1148" spans="1:11" x14ac:dyDescent="0.25">
      <c r="A1148" s="227">
        <v>45609</v>
      </c>
      <c r="B1148" s="228">
        <v>3759.55</v>
      </c>
      <c r="C1148" s="228">
        <v>3774</v>
      </c>
      <c r="D1148" s="228">
        <v>3874.95</v>
      </c>
      <c r="E1148" s="228">
        <v>3751</v>
      </c>
      <c r="F1148">
        <v>419500</v>
      </c>
      <c r="G1148" s="228">
        <v>-4.5999999999999999E-3</v>
      </c>
      <c r="H1148" s="228">
        <f>YEAR(AVEU_Historical_Data__2[[#This Row],[Date]])</f>
        <v>2024</v>
      </c>
      <c r="I1148" s="228">
        <f>ROUNDUP((MOD(MONTH(AVEU_Historical_Data__2[[#This Row],[Date]])+8,12)+1)/3,0)</f>
        <v>3</v>
      </c>
      <c r="J1148" s="228">
        <f>MONTH(AVEU_Historical_Data__2[[#This Row],[Date]])</f>
        <v>11</v>
      </c>
      <c r="K1148" s="228"/>
    </row>
    <row r="1149" spans="1:11" x14ac:dyDescent="0.25">
      <c r="A1149" s="227">
        <v>45610</v>
      </c>
      <c r="B1149" s="228">
        <v>3823.85</v>
      </c>
      <c r="C1149" s="228">
        <v>3785.2</v>
      </c>
      <c r="D1149" s="228">
        <v>3858.85</v>
      </c>
      <c r="E1149" s="228">
        <v>3769</v>
      </c>
      <c r="F1149">
        <v>305990</v>
      </c>
      <c r="G1149" s="228">
        <v>1.7100000000000001E-2</v>
      </c>
      <c r="H1149" s="228">
        <f>YEAR(AVEU_Historical_Data__2[[#This Row],[Date]])</f>
        <v>2024</v>
      </c>
      <c r="I1149" s="228">
        <f>ROUNDUP((MOD(MONTH(AVEU_Historical_Data__2[[#This Row],[Date]])+8,12)+1)/3,0)</f>
        <v>3</v>
      </c>
      <c r="J1149" s="228">
        <f>MONTH(AVEU_Historical_Data__2[[#This Row],[Date]])</f>
        <v>11</v>
      </c>
      <c r="K1149" s="228"/>
    </row>
    <row r="1150" spans="1:11" x14ac:dyDescent="0.25">
      <c r="A1150" s="227">
        <v>45614</v>
      </c>
      <c r="B1150" s="228">
        <v>3790.55</v>
      </c>
      <c r="C1150" s="228">
        <v>3948</v>
      </c>
      <c r="D1150" s="228">
        <v>3948</v>
      </c>
      <c r="E1150" s="228">
        <v>3757.6</v>
      </c>
      <c r="F1150">
        <v>656070</v>
      </c>
      <c r="G1150" s="228">
        <v>-8.6999999999999994E-3</v>
      </c>
      <c r="H1150" s="228">
        <f>YEAR(AVEU_Historical_Data__2[[#This Row],[Date]])</f>
        <v>2024</v>
      </c>
      <c r="I1150" s="228">
        <f>ROUNDUP((MOD(MONTH(AVEU_Historical_Data__2[[#This Row],[Date]])+8,12)+1)/3,0)</f>
        <v>3</v>
      </c>
      <c r="J1150" s="228">
        <f>MONTH(AVEU_Historical_Data__2[[#This Row],[Date]])</f>
        <v>11</v>
      </c>
      <c r="K1150" s="228"/>
    </row>
    <row r="1151" spans="1:11" x14ac:dyDescent="0.25">
      <c r="A1151" s="227">
        <v>45615</v>
      </c>
      <c r="B1151" s="228">
        <v>3752.45</v>
      </c>
      <c r="C1151" s="228">
        <v>3792.5</v>
      </c>
      <c r="D1151" s="228">
        <v>3794.55</v>
      </c>
      <c r="E1151" s="228">
        <v>3737.65</v>
      </c>
      <c r="F1151">
        <v>813370</v>
      </c>
      <c r="G1151" s="228">
        <v>-1.01E-2</v>
      </c>
      <c r="H1151" s="228">
        <f>YEAR(AVEU_Historical_Data__2[[#This Row],[Date]])</f>
        <v>2024</v>
      </c>
      <c r="I1151" s="228">
        <f>ROUNDUP((MOD(MONTH(AVEU_Historical_Data__2[[#This Row],[Date]])+8,12)+1)/3,0)</f>
        <v>3</v>
      </c>
      <c r="J1151" s="228">
        <f>MONTH(AVEU_Historical_Data__2[[#This Row],[Date]])</f>
        <v>11</v>
      </c>
      <c r="K1151" s="228"/>
    </row>
    <row r="1152" spans="1:11" x14ac:dyDescent="0.25">
      <c r="A1152" s="227">
        <v>45617</v>
      </c>
      <c r="B1152" s="228">
        <v>3622.9</v>
      </c>
      <c r="C1152" s="228">
        <v>3765.05</v>
      </c>
      <c r="D1152" s="228">
        <v>3774.55</v>
      </c>
      <c r="E1152" s="228">
        <v>3604.05</v>
      </c>
      <c r="F1152">
        <v>934130</v>
      </c>
      <c r="G1152" s="228">
        <v>-3.4500000000000003E-2</v>
      </c>
      <c r="H1152" s="228">
        <f>YEAR(AVEU_Historical_Data__2[[#This Row],[Date]])</f>
        <v>2024</v>
      </c>
      <c r="I1152" s="228">
        <f>ROUNDUP((MOD(MONTH(AVEU_Historical_Data__2[[#This Row],[Date]])+8,12)+1)/3,0)</f>
        <v>3</v>
      </c>
      <c r="J1152" s="228">
        <f>MONTH(AVEU_Historical_Data__2[[#This Row],[Date]])</f>
        <v>11</v>
      </c>
      <c r="K1152" s="228"/>
    </row>
    <row r="1153" spans="1:11" x14ac:dyDescent="0.25">
      <c r="A1153" s="227">
        <v>45618</v>
      </c>
      <c r="B1153" s="228">
        <v>3613.65</v>
      </c>
      <c r="C1153" s="228">
        <v>3615.85</v>
      </c>
      <c r="D1153" s="228">
        <v>3656.1</v>
      </c>
      <c r="E1153" s="228">
        <v>3564</v>
      </c>
      <c r="F1153">
        <v>940870</v>
      </c>
      <c r="G1153" s="228">
        <v>-2.5999999999999999E-3</v>
      </c>
      <c r="H1153" s="228">
        <f>YEAR(AVEU_Historical_Data__2[[#This Row],[Date]])</f>
        <v>2024</v>
      </c>
      <c r="I1153" s="228">
        <f>ROUNDUP((MOD(MONTH(AVEU_Historical_Data__2[[#This Row],[Date]])+8,12)+1)/3,0)</f>
        <v>3</v>
      </c>
      <c r="J1153" s="228">
        <f>MONTH(AVEU_Historical_Data__2[[#This Row],[Date]])</f>
        <v>11</v>
      </c>
      <c r="K1153" s="228"/>
    </row>
    <row r="1154" spans="1:11" x14ac:dyDescent="0.25">
      <c r="A1154" s="227">
        <v>45621</v>
      </c>
      <c r="B1154" s="228">
        <v>3621.05</v>
      </c>
      <c r="C1154" s="228">
        <v>3686</v>
      </c>
      <c r="D1154" s="228">
        <v>3738.6</v>
      </c>
      <c r="E1154" s="228">
        <v>3592.1</v>
      </c>
      <c r="F1154">
        <v>1140000</v>
      </c>
      <c r="G1154" s="228">
        <v>2E-3</v>
      </c>
      <c r="H1154" s="228">
        <f>YEAR(AVEU_Historical_Data__2[[#This Row],[Date]])</f>
        <v>2024</v>
      </c>
      <c r="I1154" s="228">
        <f>ROUNDUP((MOD(MONTH(AVEU_Historical_Data__2[[#This Row],[Date]])+8,12)+1)/3,0)</f>
        <v>3</v>
      </c>
      <c r="J1154" s="228">
        <f>MONTH(AVEU_Historical_Data__2[[#This Row],[Date]])</f>
        <v>11</v>
      </c>
      <c r="K1154" s="228"/>
    </row>
    <row r="1155" spans="1:11" x14ac:dyDescent="0.25">
      <c r="A1155" s="227">
        <v>45622</v>
      </c>
      <c r="B1155" s="228">
        <v>3659.15</v>
      </c>
      <c r="C1155" s="228">
        <v>3635</v>
      </c>
      <c r="D1155" s="228">
        <v>3681</v>
      </c>
      <c r="E1155" s="228">
        <v>3622</v>
      </c>
      <c r="F1155">
        <v>444830</v>
      </c>
      <c r="G1155" s="228">
        <v>1.0500000000000001E-2</v>
      </c>
      <c r="H1155" s="228">
        <f>YEAR(AVEU_Historical_Data__2[[#This Row],[Date]])</f>
        <v>2024</v>
      </c>
      <c r="I1155" s="228">
        <f>ROUNDUP((MOD(MONTH(AVEU_Historical_Data__2[[#This Row],[Date]])+8,12)+1)/3,0)</f>
        <v>3</v>
      </c>
      <c r="J1155" s="228">
        <f>MONTH(AVEU_Historical_Data__2[[#This Row],[Date]])</f>
        <v>11</v>
      </c>
      <c r="K1155" s="228"/>
    </row>
    <row r="1156" spans="1:11" x14ac:dyDescent="0.25">
      <c r="A1156" s="227">
        <v>45623</v>
      </c>
      <c r="B1156" s="228">
        <v>3661.25</v>
      </c>
      <c r="C1156" s="228">
        <v>3674</v>
      </c>
      <c r="D1156" s="228">
        <v>3692.5</v>
      </c>
      <c r="E1156" s="228">
        <v>3610.05</v>
      </c>
      <c r="F1156">
        <v>361530</v>
      </c>
      <c r="G1156" s="228">
        <v>5.9999999999999995E-4</v>
      </c>
      <c r="H1156" s="228">
        <f>YEAR(AVEU_Historical_Data__2[[#This Row],[Date]])</f>
        <v>2024</v>
      </c>
      <c r="I1156" s="228">
        <f>ROUNDUP((MOD(MONTH(AVEU_Historical_Data__2[[#This Row],[Date]])+8,12)+1)/3,0)</f>
        <v>3</v>
      </c>
      <c r="J1156" s="228">
        <f>MONTH(AVEU_Historical_Data__2[[#This Row],[Date]])</f>
        <v>11</v>
      </c>
      <c r="K1156" s="228"/>
    </row>
    <row r="1157" spans="1:11" x14ac:dyDescent="0.25">
      <c r="A1157" s="227">
        <v>45624</v>
      </c>
      <c r="B1157" s="228">
        <v>3716.55</v>
      </c>
      <c r="C1157" s="228">
        <v>3696.65</v>
      </c>
      <c r="D1157" s="228">
        <v>3757.9</v>
      </c>
      <c r="E1157" s="228">
        <v>3651</v>
      </c>
      <c r="F1157">
        <v>658000</v>
      </c>
      <c r="G1157" s="228">
        <v>1.5100000000000001E-2</v>
      </c>
      <c r="H1157" s="228">
        <f>YEAR(AVEU_Historical_Data__2[[#This Row],[Date]])</f>
        <v>2024</v>
      </c>
      <c r="I1157" s="228">
        <f>ROUNDUP((MOD(MONTH(AVEU_Historical_Data__2[[#This Row],[Date]])+8,12)+1)/3,0)</f>
        <v>3</v>
      </c>
      <c r="J1157" s="228">
        <f>MONTH(AVEU_Historical_Data__2[[#This Row],[Date]])</f>
        <v>11</v>
      </c>
      <c r="K1157" s="228"/>
    </row>
    <row r="1158" spans="1:11" x14ac:dyDescent="0.25">
      <c r="A1158" s="227">
        <v>45625</v>
      </c>
      <c r="B1158" s="228">
        <v>3709.6</v>
      </c>
      <c r="C1158" s="228">
        <v>3714.7</v>
      </c>
      <c r="D1158" s="228">
        <v>3730.45</v>
      </c>
      <c r="E1158" s="228">
        <v>3661.55</v>
      </c>
      <c r="F1158">
        <v>913180</v>
      </c>
      <c r="G1158" s="228">
        <v>-1.9E-3</v>
      </c>
      <c r="H1158" s="228">
        <f>YEAR(AVEU_Historical_Data__2[[#This Row],[Date]])</f>
        <v>2024</v>
      </c>
      <c r="I1158" s="228">
        <f>ROUNDUP((MOD(MONTH(AVEU_Historical_Data__2[[#This Row],[Date]])+8,12)+1)/3,0)</f>
        <v>3</v>
      </c>
      <c r="J1158" s="228">
        <f>MONTH(AVEU_Historical_Data__2[[#This Row],[Date]])</f>
        <v>11</v>
      </c>
      <c r="K1158" s="228"/>
    </row>
    <row r="1159" spans="1:11" x14ac:dyDescent="0.25">
      <c r="A1159" s="227">
        <v>45628</v>
      </c>
      <c r="B1159" s="228">
        <v>3678.4</v>
      </c>
      <c r="C1159" s="228">
        <v>3715.45</v>
      </c>
      <c r="D1159" s="228">
        <v>3722.95</v>
      </c>
      <c r="E1159" s="228">
        <v>3622.7</v>
      </c>
      <c r="F1159">
        <v>975520</v>
      </c>
      <c r="G1159" s="228">
        <v>-8.3999999999999995E-3</v>
      </c>
      <c r="H1159" s="228">
        <f>YEAR(AVEU_Historical_Data__2[[#This Row],[Date]])</f>
        <v>2024</v>
      </c>
      <c r="I1159" s="228">
        <f>ROUNDUP((MOD(MONTH(AVEU_Historical_Data__2[[#This Row],[Date]])+8,12)+1)/3,0)</f>
        <v>3</v>
      </c>
      <c r="J1159" s="228">
        <f>MONTH(AVEU_Historical_Data__2[[#This Row],[Date]])</f>
        <v>12</v>
      </c>
      <c r="K1159" s="228"/>
    </row>
    <row r="1160" spans="1:11" x14ac:dyDescent="0.25">
      <c r="A1160" s="227">
        <v>45629</v>
      </c>
      <c r="B1160" s="228">
        <v>3829.85</v>
      </c>
      <c r="C1160" s="228">
        <v>3678.4</v>
      </c>
      <c r="D1160" s="228">
        <v>3853.1</v>
      </c>
      <c r="E1160" s="228">
        <v>3655.7</v>
      </c>
      <c r="F1160">
        <v>979950</v>
      </c>
      <c r="G1160" s="228">
        <v>4.1200000000000001E-2</v>
      </c>
      <c r="H1160" s="228">
        <f>YEAR(AVEU_Historical_Data__2[[#This Row],[Date]])</f>
        <v>2024</v>
      </c>
      <c r="I1160" s="228">
        <f>ROUNDUP((MOD(MONTH(AVEU_Historical_Data__2[[#This Row],[Date]])+8,12)+1)/3,0)</f>
        <v>3</v>
      </c>
      <c r="J1160" s="228">
        <f>MONTH(AVEU_Historical_Data__2[[#This Row],[Date]])</f>
        <v>12</v>
      </c>
      <c r="K1160" s="228"/>
    </row>
    <row r="1161" spans="1:11" x14ac:dyDescent="0.25">
      <c r="A1161" s="227">
        <v>45630</v>
      </c>
      <c r="B1161" s="228">
        <v>3850.1</v>
      </c>
      <c r="C1161" s="228">
        <v>3850</v>
      </c>
      <c r="D1161" s="228">
        <v>3889.25</v>
      </c>
      <c r="E1161" s="228">
        <v>3801.05</v>
      </c>
      <c r="F1161">
        <v>791740</v>
      </c>
      <c r="G1161" s="228">
        <v>5.3E-3</v>
      </c>
      <c r="H1161" s="228">
        <f>YEAR(AVEU_Historical_Data__2[[#This Row],[Date]])</f>
        <v>2024</v>
      </c>
      <c r="I1161" s="228">
        <f>ROUNDUP((MOD(MONTH(AVEU_Historical_Data__2[[#This Row],[Date]])+8,12)+1)/3,0)</f>
        <v>3</v>
      </c>
      <c r="J1161" s="228">
        <f>MONTH(AVEU_Historical_Data__2[[#This Row],[Date]])</f>
        <v>12</v>
      </c>
      <c r="K1161" s="228"/>
    </row>
    <row r="1162" spans="1:11" x14ac:dyDescent="0.25">
      <c r="A1162" s="227">
        <v>45631</v>
      </c>
      <c r="B1162" s="228">
        <v>3863.95</v>
      </c>
      <c r="C1162" s="228">
        <v>3865</v>
      </c>
      <c r="D1162" s="228">
        <v>3882</v>
      </c>
      <c r="E1162" s="228">
        <v>3822.7</v>
      </c>
      <c r="F1162">
        <v>467720</v>
      </c>
      <c r="G1162" s="228">
        <v>3.5999999999999999E-3</v>
      </c>
      <c r="H1162" s="228">
        <f>YEAR(AVEU_Historical_Data__2[[#This Row],[Date]])</f>
        <v>2024</v>
      </c>
      <c r="I1162" s="228">
        <f>ROUNDUP((MOD(MONTH(AVEU_Historical_Data__2[[#This Row],[Date]])+8,12)+1)/3,0)</f>
        <v>3</v>
      </c>
      <c r="J1162" s="228">
        <f>MONTH(AVEU_Historical_Data__2[[#This Row],[Date]])</f>
        <v>12</v>
      </c>
      <c r="K1162" s="228"/>
    </row>
    <row r="1163" spans="1:11" x14ac:dyDescent="0.25">
      <c r="A1163" s="227">
        <v>45632</v>
      </c>
      <c r="B1163" s="228">
        <v>3805.55</v>
      </c>
      <c r="C1163" s="228">
        <v>3889</v>
      </c>
      <c r="D1163" s="228">
        <v>3920.45</v>
      </c>
      <c r="E1163" s="228">
        <v>3784.05</v>
      </c>
      <c r="F1163">
        <v>1140000</v>
      </c>
      <c r="G1163" s="228">
        <v>-1.5100000000000001E-2</v>
      </c>
      <c r="H1163" s="228">
        <f>YEAR(AVEU_Historical_Data__2[[#This Row],[Date]])</f>
        <v>2024</v>
      </c>
      <c r="I1163" s="228">
        <f>ROUNDUP((MOD(MONTH(AVEU_Historical_Data__2[[#This Row],[Date]])+8,12)+1)/3,0)</f>
        <v>3</v>
      </c>
      <c r="J1163" s="228">
        <f>MONTH(AVEU_Historical_Data__2[[#This Row],[Date]])</f>
        <v>12</v>
      </c>
      <c r="K1163" s="228"/>
    </row>
    <row r="1164" spans="1:11" x14ac:dyDescent="0.25">
      <c r="A1164" s="227">
        <v>45635</v>
      </c>
      <c r="B1164" s="228">
        <v>3829.05</v>
      </c>
      <c r="C1164" s="228">
        <v>3800</v>
      </c>
      <c r="D1164" s="228">
        <v>3844</v>
      </c>
      <c r="E1164" s="228">
        <v>3761</v>
      </c>
      <c r="F1164">
        <v>948370</v>
      </c>
      <c r="G1164" s="228">
        <v>6.1999999999999998E-3</v>
      </c>
      <c r="H1164" s="228">
        <f>YEAR(AVEU_Historical_Data__2[[#This Row],[Date]])</f>
        <v>2024</v>
      </c>
      <c r="I1164" s="228">
        <f>ROUNDUP((MOD(MONTH(AVEU_Historical_Data__2[[#This Row],[Date]])+8,12)+1)/3,0)</f>
        <v>3</v>
      </c>
      <c r="J1164" s="228">
        <f>MONTH(AVEU_Historical_Data__2[[#This Row],[Date]])</f>
        <v>12</v>
      </c>
      <c r="K1164" s="228"/>
    </row>
    <row r="1165" spans="1:11" x14ac:dyDescent="0.25">
      <c r="A1165" s="227">
        <v>45636</v>
      </c>
      <c r="B1165" s="228">
        <v>3816.9</v>
      </c>
      <c r="C1165" s="228">
        <v>3835</v>
      </c>
      <c r="D1165" s="228">
        <v>3853</v>
      </c>
      <c r="E1165" s="228">
        <v>3776.6</v>
      </c>
      <c r="F1165">
        <v>573690</v>
      </c>
      <c r="G1165" s="228">
        <v>-3.2000000000000002E-3</v>
      </c>
      <c r="H1165" s="228">
        <f>YEAR(AVEU_Historical_Data__2[[#This Row],[Date]])</f>
        <v>2024</v>
      </c>
      <c r="I1165" s="228">
        <f>ROUNDUP((MOD(MONTH(AVEU_Historical_Data__2[[#This Row],[Date]])+8,12)+1)/3,0)</f>
        <v>3</v>
      </c>
      <c r="J1165" s="228">
        <f>MONTH(AVEU_Historical_Data__2[[#This Row],[Date]])</f>
        <v>12</v>
      </c>
      <c r="K1165" s="228"/>
    </row>
    <row r="1166" spans="1:11" x14ac:dyDescent="0.25">
      <c r="A1166" s="227">
        <v>45637</v>
      </c>
      <c r="B1166" s="228">
        <v>3708.3</v>
      </c>
      <c r="C1166" s="228">
        <v>3700</v>
      </c>
      <c r="D1166" s="228">
        <v>3760</v>
      </c>
      <c r="E1166" s="228">
        <v>3671.35</v>
      </c>
      <c r="F1166">
        <v>1840000</v>
      </c>
      <c r="G1166" s="228">
        <v>-2.8500000000000001E-2</v>
      </c>
      <c r="H1166" s="228">
        <f>YEAR(AVEU_Historical_Data__2[[#This Row],[Date]])</f>
        <v>2024</v>
      </c>
      <c r="I1166" s="228">
        <f>ROUNDUP((MOD(MONTH(AVEU_Historical_Data__2[[#This Row],[Date]])+8,12)+1)/3,0)</f>
        <v>3</v>
      </c>
      <c r="J1166" s="228">
        <f>MONTH(AVEU_Historical_Data__2[[#This Row],[Date]])</f>
        <v>12</v>
      </c>
      <c r="K1166" s="228"/>
    </row>
    <row r="1167" spans="1:11" x14ac:dyDescent="0.25">
      <c r="A1167" s="227">
        <v>45638</v>
      </c>
      <c r="B1167" s="228">
        <v>3688.45</v>
      </c>
      <c r="C1167" s="228">
        <v>3729.95</v>
      </c>
      <c r="D1167" s="228">
        <v>3736.8</v>
      </c>
      <c r="E1167" s="228">
        <v>3678.45</v>
      </c>
      <c r="F1167">
        <v>576170</v>
      </c>
      <c r="G1167" s="228">
        <v>-5.4000000000000003E-3</v>
      </c>
      <c r="H1167" s="228">
        <f>YEAR(AVEU_Historical_Data__2[[#This Row],[Date]])</f>
        <v>2024</v>
      </c>
      <c r="I1167" s="228">
        <f>ROUNDUP((MOD(MONTH(AVEU_Historical_Data__2[[#This Row],[Date]])+8,12)+1)/3,0)</f>
        <v>3</v>
      </c>
      <c r="J1167" s="228">
        <f>MONTH(AVEU_Historical_Data__2[[#This Row],[Date]])</f>
        <v>12</v>
      </c>
      <c r="K1167" s="228"/>
    </row>
    <row r="1168" spans="1:11" x14ac:dyDescent="0.25">
      <c r="A1168" s="227">
        <v>45639</v>
      </c>
      <c r="B1168" s="228">
        <v>3652.3</v>
      </c>
      <c r="C1168" s="228">
        <v>3688.45</v>
      </c>
      <c r="D1168" s="228">
        <v>3694.8</v>
      </c>
      <c r="E1168" s="228">
        <v>3612</v>
      </c>
      <c r="F1168">
        <v>806510</v>
      </c>
      <c r="G1168" s="228">
        <v>-9.7999999999999997E-3</v>
      </c>
      <c r="H1168" s="228">
        <f>YEAR(AVEU_Historical_Data__2[[#This Row],[Date]])</f>
        <v>2024</v>
      </c>
      <c r="I1168" s="228">
        <f>ROUNDUP((MOD(MONTH(AVEU_Historical_Data__2[[#This Row],[Date]])+8,12)+1)/3,0)</f>
        <v>3</v>
      </c>
      <c r="J1168" s="228">
        <f>MONTH(AVEU_Historical_Data__2[[#This Row],[Date]])</f>
        <v>12</v>
      </c>
      <c r="K1168" s="228"/>
    </row>
    <row r="1169" spans="1:11" x14ac:dyDescent="0.25">
      <c r="A1169" s="227">
        <v>45642</v>
      </c>
      <c r="B1169" s="228">
        <v>3623.8</v>
      </c>
      <c r="C1169" s="228">
        <v>3650</v>
      </c>
      <c r="D1169" s="228">
        <v>3672.5</v>
      </c>
      <c r="E1169" s="228">
        <v>3612.25</v>
      </c>
      <c r="F1169">
        <v>595920</v>
      </c>
      <c r="G1169" s="228">
        <v>-7.7999999999999996E-3</v>
      </c>
      <c r="H1169" s="228">
        <f>YEAR(AVEU_Historical_Data__2[[#This Row],[Date]])</f>
        <v>2024</v>
      </c>
      <c r="I1169" s="228">
        <f>ROUNDUP((MOD(MONTH(AVEU_Historical_Data__2[[#This Row],[Date]])+8,12)+1)/3,0)</f>
        <v>3</v>
      </c>
      <c r="J1169" s="228">
        <f>MONTH(AVEU_Historical_Data__2[[#This Row],[Date]])</f>
        <v>12</v>
      </c>
      <c r="K1169" s="228"/>
    </row>
    <row r="1170" spans="1:11" x14ac:dyDescent="0.25">
      <c r="A1170" s="227">
        <v>45643</v>
      </c>
      <c r="B1170" s="228">
        <v>3542.95</v>
      </c>
      <c r="C1170" s="228">
        <v>3627.05</v>
      </c>
      <c r="D1170" s="228">
        <v>3629.95</v>
      </c>
      <c r="E1170" s="228">
        <v>3519</v>
      </c>
      <c r="F1170">
        <v>988420</v>
      </c>
      <c r="G1170" s="228">
        <v>-2.23E-2</v>
      </c>
      <c r="H1170" s="228">
        <f>YEAR(AVEU_Historical_Data__2[[#This Row],[Date]])</f>
        <v>2024</v>
      </c>
      <c r="I1170" s="228">
        <f>ROUNDUP((MOD(MONTH(AVEU_Historical_Data__2[[#This Row],[Date]])+8,12)+1)/3,0)</f>
        <v>3</v>
      </c>
      <c r="J1170" s="228">
        <f>MONTH(AVEU_Historical_Data__2[[#This Row],[Date]])</f>
        <v>12</v>
      </c>
      <c r="K1170" s="228"/>
    </row>
    <row r="1171" spans="1:11" x14ac:dyDescent="0.25">
      <c r="A1171" s="227">
        <v>45644</v>
      </c>
      <c r="B1171" s="228">
        <v>3515.7</v>
      </c>
      <c r="C1171" s="228">
        <v>3542.95</v>
      </c>
      <c r="D1171" s="228">
        <v>3558</v>
      </c>
      <c r="E1171" s="228">
        <v>3492.7</v>
      </c>
      <c r="F1171">
        <v>748690</v>
      </c>
      <c r="G1171" s="228">
        <v>-7.7000000000000002E-3</v>
      </c>
      <c r="H1171" s="228">
        <f>YEAR(AVEU_Historical_Data__2[[#This Row],[Date]])</f>
        <v>2024</v>
      </c>
      <c r="I1171" s="228">
        <f>ROUNDUP((MOD(MONTH(AVEU_Historical_Data__2[[#This Row],[Date]])+8,12)+1)/3,0)</f>
        <v>3</v>
      </c>
      <c r="J1171" s="228">
        <f>MONTH(AVEU_Historical_Data__2[[#This Row],[Date]])</f>
        <v>12</v>
      </c>
      <c r="K1171" s="228"/>
    </row>
    <row r="1172" spans="1:11" x14ac:dyDescent="0.25">
      <c r="A1172" s="227">
        <v>45645</v>
      </c>
      <c r="B1172" s="228">
        <v>3498.15</v>
      </c>
      <c r="C1172" s="228">
        <v>3500</v>
      </c>
      <c r="D1172" s="228">
        <v>3522.7</v>
      </c>
      <c r="E1172" s="228">
        <v>3455.7</v>
      </c>
      <c r="F1172">
        <v>684530</v>
      </c>
      <c r="G1172" s="228">
        <v>-5.0000000000000001E-3</v>
      </c>
      <c r="H1172" s="228">
        <f>YEAR(AVEU_Historical_Data__2[[#This Row],[Date]])</f>
        <v>2024</v>
      </c>
      <c r="I1172" s="228">
        <f>ROUNDUP((MOD(MONTH(AVEU_Historical_Data__2[[#This Row],[Date]])+8,12)+1)/3,0)</f>
        <v>3</v>
      </c>
      <c r="J1172" s="228">
        <f>MONTH(AVEU_Historical_Data__2[[#This Row],[Date]])</f>
        <v>12</v>
      </c>
      <c r="K1172" s="228"/>
    </row>
    <row r="1173" spans="1:11" x14ac:dyDescent="0.25">
      <c r="A1173" s="227">
        <v>45646</v>
      </c>
      <c r="B1173" s="228">
        <v>3408.3</v>
      </c>
      <c r="C1173" s="228">
        <v>3519.95</v>
      </c>
      <c r="D1173" s="228">
        <v>3519.95</v>
      </c>
      <c r="E1173" s="228">
        <v>3399</v>
      </c>
      <c r="F1173">
        <v>914450</v>
      </c>
      <c r="G1173" s="228">
        <v>-2.5700000000000001E-2</v>
      </c>
      <c r="H1173" s="228">
        <f>YEAR(AVEU_Historical_Data__2[[#This Row],[Date]])</f>
        <v>2024</v>
      </c>
      <c r="I1173" s="228">
        <f>ROUNDUP((MOD(MONTH(AVEU_Historical_Data__2[[#This Row],[Date]])+8,12)+1)/3,0)</f>
        <v>3</v>
      </c>
      <c r="J1173" s="228">
        <f>MONTH(AVEU_Historical_Data__2[[#This Row],[Date]])</f>
        <v>12</v>
      </c>
      <c r="K1173" s="228"/>
    </row>
    <row r="1174" spans="1:11" x14ac:dyDescent="0.25">
      <c r="A1174" s="227">
        <v>45649</v>
      </c>
      <c r="B1174" s="228">
        <v>3460.55</v>
      </c>
      <c r="C1174" s="228">
        <v>3443.45</v>
      </c>
      <c r="D1174" s="228">
        <v>3475.9</v>
      </c>
      <c r="E1174" s="228">
        <v>3419.05</v>
      </c>
      <c r="F1174">
        <v>642120</v>
      </c>
      <c r="G1174" s="228">
        <v>1.5299999999999999E-2</v>
      </c>
      <c r="H1174" s="228">
        <f>YEAR(AVEU_Historical_Data__2[[#This Row],[Date]])</f>
        <v>2024</v>
      </c>
      <c r="I1174" s="228">
        <f>ROUNDUP((MOD(MONTH(AVEU_Historical_Data__2[[#This Row],[Date]])+8,12)+1)/3,0)</f>
        <v>3</v>
      </c>
      <c r="J1174" s="228">
        <f>MONTH(AVEU_Historical_Data__2[[#This Row],[Date]])</f>
        <v>12</v>
      </c>
      <c r="K1174" s="228"/>
    </row>
    <row r="1175" spans="1:11" x14ac:dyDescent="0.25">
      <c r="A1175" s="227">
        <v>45650</v>
      </c>
      <c r="B1175" s="228">
        <v>3459.65</v>
      </c>
      <c r="C1175" s="228">
        <v>3474</v>
      </c>
      <c r="D1175" s="228">
        <v>3524.9</v>
      </c>
      <c r="E1175" s="228">
        <v>3450.85</v>
      </c>
      <c r="F1175">
        <v>465810</v>
      </c>
      <c r="G1175" s="228">
        <v>-2.9999999999999997E-4</v>
      </c>
      <c r="H1175" s="228">
        <f>YEAR(AVEU_Historical_Data__2[[#This Row],[Date]])</f>
        <v>2024</v>
      </c>
      <c r="I1175" s="228">
        <f>ROUNDUP((MOD(MONTH(AVEU_Historical_Data__2[[#This Row],[Date]])+8,12)+1)/3,0)</f>
        <v>3</v>
      </c>
      <c r="J1175" s="228">
        <f>MONTH(AVEU_Historical_Data__2[[#This Row],[Date]])</f>
        <v>12</v>
      </c>
      <c r="K1175" s="228"/>
    </row>
    <row r="1176" spans="1:11" x14ac:dyDescent="0.25">
      <c r="A1176" s="227">
        <v>45652</v>
      </c>
      <c r="B1176" s="228">
        <v>3511.65</v>
      </c>
      <c r="C1176" s="228">
        <v>3462.7</v>
      </c>
      <c r="D1176" s="228">
        <v>3524</v>
      </c>
      <c r="E1176" s="228">
        <v>3446.2</v>
      </c>
      <c r="F1176">
        <v>611650</v>
      </c>
      <c r="G1176" s="228">
        <v>1.4999999999999999E-2</v>
      </c>
      <c r="H1176" s="228">
        <f>YEAR(AVEU_Historical_Data__2[[#This Row],[Date]])</f>
        <v>2024</v>
      </c>
      <c r="I1176" s="228">
        <f>ROUNDUP((MOD(MONTH(AVEU_Historical_Data__2[[#This Row],[Date]])+8,12)+1)/3,0)</f>
        <v>3</v>
      </c>
      <c r="J1176" s="228">
        <f>MONTH(AVEU_Historical_Data__2[[#This Row],[Date]])</f>
        <v>12</v>
      </c>
      <c r="K1176" s="228"/>
    </row>
    <row r="1177" spans="1:11" x14ac:dyDescent="0.25">
      <c r="A1177" s="227">
        <v>45653</v>
      </c>
      <c r="B1177" s="228">
        <v>3568.35</v>
      </c>
      <c r="C1177" s="228">
        <v>3481.05</v>
      </c>
      <c r="D1177" s="228">
        <v>3573.4</v>
      </c>
      <c r="E1177" s="228">
        <v>3481.05</v>
      </c>
      <c r="F1177">
        <v>451010</v>
      </c>
      <c r="G1177" s="228">
        <v>1.61E-2</v>
      </c>
      <c r="H1177" s="228">
        <f>YEAR(AVEU_Historical_Data__2[[#This Row],[Date]])</f>
        <v>2024</v>
      </c>
      <c r="I1177" s="228">
        <f>ROUNDUP((MOD(MONTH(AVEU_Historical_Data__2[[#This Row],[Date]])+8,12)+1)/3,0)</f>
        <v>3</v>
      </c>
      <c r="J1177" s="228">
        <f>MONTH(AVEU_Historical_Data__2[[#This Row],[Date]])</f>
        <v>12</v>
      </c>
      <c r="K1177" s="228"/>
    </row>
    <row r="1178" spans="1:11" x14ac:dyDescent="0.25">
      <c r="A1178" s="227">
        <v>45656</v>
      </c>
      <c r="B1178" s="228">
        <v>3588.55</v>
      </c>
      <c r="C1178" s="228">
        <v>3570</v>
      </c>
      <c r="D1178" s="228">
        <v>3669.9</v>
      </c>
      <c r="E1178" s="228">
        <v>3495.05</v>
      </c>
      <c r="F1178">
        <v>2350000</v>
      </c>
      <c r="G1178" s="228">
        <v>5.7000000000000002E-3</v>
      </c>
      <c r="H1178" s="228">
        <f>YEAR(AVEU_Historical_Data__2[[#This Row],[Date]])</f>
        <v>2024</v>
      </c>
      <c r="I1178" s="228">
        <f>ROUNDUP((MOD(MONTH(AVEU_Historical_Data__2[[#This Row],[Date]])+8,12)+1)/3,0)</f>
        <v>3</v>
      </c>
      <c r="J1178" s="228">
        <f>MONTH(AVEU_Historical_Data__2[[#This Row],[Date]])</f>
        <v>12</v>
      </c>
      <c r="K1178" s="228"/>
    </row>
    <row r="1179" spans="1:11" x14ac:dyDescent="0.25">
      <c r="A1179" s="227">
        <v>45657</v>
      </c>
      <c r="B1179" s="228">
        <v>3561.85</v>
      </c>
      <c r="C1179" s="228">
        <v>3555</v>
      </c>
      <c r="D1179" s="228">
        <v>3577.95</v>
      </c>
      <c r="E1179" s="228">
        <v>3510.1</v>
      </c>
      <c r="F1179">
        <v>693780</v>
      </c>
      <c r="G1179" s="228">
        <v>-7.4000000000000003E-3</v>
      </c>
      <c r="H1179" s="228">
        <f>YEAR(AVEU_Historical_Data__2[[#This Row],[Date]])</f>
        <v>2024</v>
      </c>
      <c r="I1179" s="228">
        <f>ROUNDUP((MOD(MONTH(AVEU_Historical_Data__2[[#This Row],[Date]])+8,12)+1)/3,0)</f>
        <v>3</v>
      </c>
      <c r="J1179" s="228">
        <f>MONTH(AVEU_Historical_Data__2[[#This Row],[Date]])</f>
        <v>12</v>
      </c>
      <c r="K1179" s="228"/>
    </row>
    <row r="1180" spans="1:11" x14ac:dyDescent="0.25">
      <c r="A1180" s="227">
        <v>45658</v>
      </c>
      <c r="B1180" s="228">
        <v>3561</v>
      </c>
      <c r="C1180" s="228">
        <v>3560</v>
      </c>
      <c r="D1180" s="228">
        <v>3586.95</v>
      </c>
      <c r="E1180" s="228">
        <v>3536.55</v>
      </c>
      <c r="F1180">
        <v>241120</v>
      </c>
      <c r="G1180" s="228">
        <v>-2.0000000000000001E-4</v>
      </c>
      <c r="H1180" s="228">
        <f>YEAR(AVEU_Historical_Data__2[[#This Row],[Date]])</f>
        <v>2025</v>
      </c>
      <c r="I1180" s="228">
        <f>ROUNDUP((MOD(MONTH(AVEU_Historical_Data__2[[#This Row],[Date]])+8,12)+1)/3,0)</f>
        <v>4</v>
      </c>
      <c r="J1180" s="228">
        <f>MONTH(AVEU_Historical_Data__2[[#This Row],[Date]])</f>
        <v>1</v>
      </c>
      <c r="K1180" s="228"/>
    </row>
    <row r="1181" spans="1:11" x14ac:dyDescent="0.25">
      <c r="A1181" s="227">
        <v>45659</v>
      </c>
      <c r="B1181" s="228">
        <v>3611.1</v>
      </c>
      <c r="C1181" s="228">
        <v>3564.95</v>
      </c>
      <c r="D1181" s="228">
        <v>3635</v>
      </c>
      <c r="E1181" s="228">
        <v>3550.25</v>
      </c>
      <c r="F1181">
        <v>566190</v>
      </c>
      <c r="G1181" s="228">
        <v>1.41E-2</v>
      </c>
      <c r="H1181" s="228">
        <f>YEAR(AVEU_Historical_Data__2[[#This Row],[Date]])</f>
        <v>2025</v>
      </c>
      <c r="I1181" s="228">
        <f>ROUNDUP((MOD(MONTH(AVEU_Historical_Data__2[[#This Row],[Date]])+8,12)+1)/3,0)</f>
        <v>4</v>
      </c>
      <c r="J1181" s="228">
        <f>MONTH(AVEU_Historical_Data__2[[#This Row],[Date]])</f>
        <v>1</v>
      </c>
      <c r="K1181" s="228"/>
    </row>
    <row r="1182" spans="1:11" x14ac:dyDescent="0.25">
      <c r="A1182" s="227">
        <v>45660</v>
      </c>
      <c r="B1182" s="228">
        <v>4025.2</v>
      </c>
      <c r="C1182" s="228">
        <v>3840</v>
      </c>
      <c r="D1182" s="228">
        <v>4165.8999999999996</v>
      </c>
      <c r="E1182" s="228">
        <v>3820</v>
      </c>
      <c r="F1182">
        <v>9280000</v>
      </c>
      <c r="G1182" s="228">
        <v>0.1147</v>
      </c>
      <c r="H1182" s="228">
        <f>YEAR(AVEU_Historical_Data__2[[#This Row],[Date]])</f>
        <v>2025</v>
      </c>
      <c r="I1182" s="228">
        <f>ROUNDUP((MOD(MONTH(AVEU_Historical_Data__2[[#This Row],[Date]])+8,12)+1)/3,0)</f>
        <v>4</v>
      </c>
      <c r="J1182" s="228">
        <f>MONTH(AVEU_Historical_Data__2[[#This Row],[Date]])</f>
        <v>1</v>
      </c>
      <c r="K1182" s="228"/>
    </row>
    <row r="1183" spans="1:11" x14ac:dyDescent="0.25">
      <c r="A1183" s="227">
        <v>45663</v>
      </c>
      <c r="B1183" s="228">
        <v>3934.75</v>
      </c>
      <c r="C1183" s="228">
        <v>4025.2</v>
      </c>
      <c r="D1183" s="228">
        <v>4061.75</v>
      </c>
      <c r="E1183" s="228">
        <v>3920.1</v>
      </c>
      <c r="F1183">
        <v>889160</v>
      </c>
      <c r="G1183" s="228">
        <v>-2.2499999999999999E-2</v>
      </c>
      <c r="H1183" s="228">
        <f>YEAR(AVEU_Historical_Data__2[[#This Row],[Date]])</f>
        <v>2025</v>
      </c>
      <c r="I1183" s="228">
        <f>ROUNDUP((MOD(MONTH(AVEU_Historical_Data__2[[#This Row],[Date]])+8,12)+1)/3,0)</f>
        <v>4</v>
      </c>
      <c r="J1183" s="228">
        <f>MONTH(AVEU_Historical_Data__2[[#This Row],[Date]])</f>
        <v>1</v>
      </c>
      <c r="K1183" s="228"/>
    </row>
    <row r="1184" spans="1:11" x14ac:dyDescent="0.25">
      <c r="A1184" s="227">
        <v>45664</v>
      </c>
      <c r="B1184" s="228">
        <v>3830.3</v>
      </c>
      <c r="C1184" s="228">
        <v>3934</v>
      </c>
      <c r="D1184" s="228">
        <v>3958.95</v>
      </c>
      <c r="E1184" s="228">
        <v>3820</v>
      </c>
      <c r="F1184">
        <v>672090</v>
      </c>
      <c r="G1184" s="228">
        <v>-2.6499999999999999E-2</v>
      </c>
      <c r="H1184" s="228">
        <f>YEAR(AVEU_Historical_Data__2[[#This Row],[Date]])</f>
        <v>2025</v>
      </c>
      <c r="I1184" s="228">
        <f>ROUNDUP((MOD(MONTH(AVEU_Historical_Data__2[[#This Row],[Date]])+8,12)+1)/3,0)</f>
        <v>4</v>
      </c>
      <c r="J1184" s="228">
        <f>MONTH(AVEU_Historical_Data__2[[#This Row],[Date]])</f>
        <v>1</v>
      </c>
      <c r="K1184" s="228"/>
    </row>
    <row r="1185" spans="1:11" x14ac:dyDescent="0.25">
      <c r="A1185" s="227">
        <v>45665</v>
      </c>
      <c r="B1185" s="228">
        <v>3843</v>
      </c>
      <c r="C1185" s="228">
        <v>3857</v>
      </c>
      <c r="D1185" s="228">
        <v>3873.95</v>
      </c>
      <c r="E1185" s="228">
        <v>3761.8</v>
      </c>
      <c r="F1185">
        <v>849680</v>
      </c>
      <c r="G1185" s="228">
        <v>3.3E-3</v>
      </c>
      <c r="H1185" s="228">
        <f>YEAR(AVEU_Historical_Data__2[[#This Row],[Date]])</f>
        <v>2025</v>
      </c>
      <c r="I1185" s="228">
        <f>ROUNDUP((MOD(MONTH(AVEU_Historical_Data__2[[#This Row],[Date]])+8,12)+1)/3,0)</f>
        <v>4</v>
      </c>
      <c r="J1185" s="228">
        <f>MONTH(AVEU_Historical_Data__2[[#This Row],[Date]])</f>
        <v>1</v>
      </c>
      <c r="K1185" s="228"/>
    </row>
    <row r="1186" spans="1:11" x14ac:dyDescent="0.25">
      <c r="A1186" s="227">
        <v>45666</v>
      </c>
      <c r="B1186" s="228">
        <v>3813.8</v>
      </c>
      <c r="C1186" s="228">
        <v>3853.5</v>
      </c>
      <c r="D1186" s="228">
        <v>3860</v>
      </c>
      <c r="E1186" s="228">
        <v>3790.1</v>
      </c>
      <c r="F1186">
        <v>727970</v>
      </c>
      <c r="G1186" s="228">
        <v>-7.6E-3</v>
      </c>
      <c r="H1186" s="228">
        <f>YEAR(AVEU_Historical_Data__2[[#This Row],[Date]])</f>
        <v>2025</v>
      </c>
      <c r="I1186" s="228">
        <f>ROUNDUP((MOD(MONTH(AVEU_Historical_Data__2[[#This Row],[Date]])+8,12)+1)/3,0)</f>
        <v>4</v>
      </c>
      <c r="J1186" s="228">
        <f>MONTH(AVEU_Historical_Data__2[[#This Row],[Date]])</f>
        <v>1</v>
      </c>
      <c r="K1186" s="228"/>
    </row>
    <row r="1187" spans="1:11" x14ac:dyDescent="0.25">
      <c r="A1187" s="227">
        <v>45667</v>
      </c>
      <c r="B1187" s="228">
        <v>3686.25</v>
      </c>
      <c r="C1187" s="228">
        <v>3837.8</v>
      </c>
      <c r="D1187" s="228">
        <v>3837.8</v>
      </c>
      <c r="E1187" s="228">
        <v>3666.65</v>
      </c>
      <c r="F1187">
        <v>902000</v>
      </c>
      <c r="G1187" s="228">
        <v>-3.3399999999999999E-2</v>
      </c>
      <c r="H1187" s="228">
        <f>YEAR(AVEU_Historical_Data__2[[#This Row],[Date]])</f>
        <v>2025</v>
      </c>
      <c r="I1187" s="228">
        <f>ROUNDUP((MOD(MONTH(AVEU_Historical_Data__2[[#This Row],[Date]])+8,12)+1)/3,0)</f>
        <v>4</v>
      </c>
      <c r="J1187" s="228">
        <f>MONTH(AVEU_Historical_Data__2[[#This Row],[Date]])</f>
        <v>1</v>
      </c>
      <c r="K1187" s="228"/>
    </row>
    <row r="1188" spans="1:11" x14ac:dyDescent="0.25">
      <c r="A1188" s="227">
        <v>45670</v>
      </c>
      <c r="B1188" s="228">
        <v>3507.45</v>
      </c>
      <c r="C1188" s="228">
        <v>3501</v>
      </c>
      <c r="D1188" s="228">
        <v>3643.95</v>
      </c>
      <c r="E1188" s="228">
        <v>3469.95</v>
      </c>
      <c r="F1188">
        <v>2950000</v>
      </c>
      <c r="G1188" s="228">
        <v>-4.8500000000000001E-2</v>
      </c>
      <c r="H1188" s="228">
        <f>YEAR(AVEU_Historical_Data__2[[#This Row],[Date]])</f>
        <v>2025</v>
      </c>
      <c r="I1188" s="228">
        <f>ROUNDUP((MOD(MONTH(AVEU_Historical_Data__2[[#This Row],[Date]])+8,12)+1)/3,0)</f>
        <v>4</v>
      </c>
      <c r="J1188" s="228">
        <f>MONTH(AVEU_Historical_Data__2[[#This Row],[Date]])</f>
        <v>1</v>
      </c>
      <c r="K1188" s="228"/>
    </row>
    <row r="1189" spans="1:11" x14ac:dyDescent="0.25">
      <c r="A1189" s="227">
        <v>45671</v>
      </c>
      <c r="B1189" s="228">
        <v>3476.5</v>
      </c>
      <c r="C1189" s="228">
        <v>3529.95</v>
      </c>
      <c r="D1189" s="228">
        <v>3538.95</v>
      </c>
      <c r="E1189" s="228">
        <v>3443</v>
      </c>
      <c r="F1189">
        <v>746220</v>
      </c>
      <c r="G1189" s="228">
        <v>-8.8000000000000005E-3</v>
      </c>
      <c r="H1189" s="228">
        <f>YEAR(AVEU_Historical_Data__2[[#This Row],[Date]])</f>
        <v>2025</v>
      </c>
      <c r="I1189" s="228">
        <f>ROUNDUP((MOD(MONTH(AVEU_Historical_Data__2[[#This Row],[Date]])+8,12)+1)/3,0)</f>
        <v>4</v>
      </c>
      <c r="J1189" s="228">
        <f>MONTH(AVEU_Historical_Data__2[[#This Row],[Date]])</f>
        <v>1</v>
      </c>
      <c r="K1189" s="228"/>
    </row>
    <row r="1190" spans="1:11" x14ac:dyDescent="0.25">
      <c r="A1190" s="227">
        <v>45672</v>
      </c>
      <c r="B1190" s="228">
        <v>3568.45</v>
      </c>
      <c r="C1190" s="228">
        <v>3500.05</v>
      </c>
      <c r="D1190" s="228">
        <v>3578.95</v>
      </c>
      <c r="E1190" s="228">
        <v>3476.5</v>
      </c>
      <c r="F1190">
        <v>744960</v>
      </c>
      <c r="G1190" s="228">
        <v>2.64E-2</v>
      </c>
      <c r="H1190" s="228">
        <f>YEAR(AVEU_Historical_Data__2[[#This Row],[Date]])</f>
        <v>2025</v>
      </c>
      <c r="I1190" s="228">
        <f>ROUNDUP((MOD(MONTH(AVEU_Historical_Data__2[[#This Row],[Date]])+8,12)+1)/3,0)</f>
        <v>4</v>
      </c>
      <c r="J1190" s="228">
        <f>MONTH(AVEU_Historical_Data__2[[#This Row],[Date]])</f>
        <v>1</v>
      </c>
      <c r="K1190" s="228"/>
    </row>
    <row r="1191" spans="1:11" x14ac:dyDescent="0.25">
      <c r="A1191" s="227">
        <v>45673</v>
      </c>
      <c r="B1191" s="228">
        <v>3600.95</v>
      </c>
      <c r="C1191" s="228">
        <v>3570</v>
      </c>
      <c r="D1191" s="228">
        <v>3643.3</v>
      </c>
      <c r="E1191" s="228">
        <v>3570</v>
      </c>
      <c r="F1191">
        <v>395260</v>
      </c>
      <c r="G1191" s="228">
        <v>9.1000000000000004E-3</v>
      </c>
      <c r="H1191" s="228">
        <f>YEAR(AVEU_Historical_Data__2[[#This Row],[Date]])</f>
        <v>2025</v>
      </c>
      <c r="I1191" s="228">
        <f>ROUNDUP((MOD(MONTH(AVEU_Historical_Data__2[[#This Row],[Date]])+8,12)+1)/3,0)</f>
        <v>4</v>
      </c>
      <c r="J1191" s="228">
        <f>MONTH(AVEU_Historical_Data__2[[#This Row],[Date]])</f>
        <v>1</v>
      </c>
      <c r="K1191" s="228"/>
    </row>
    <row r="1192" spans="1:11" x14ac:dyDescent="0.25">
      <c r="A1192" s="227">
        <v>45674</v>
      </c>
      <c r="B1192" s="228">
        <v>3620.65</v>
      </c>
      <c r="C1192" s="228">
        <v>3610</v>
      </c>
      <c r="D1192" s="228">
        <v>3649.95</v>
      </c>
      <c r="E1192" s="228">
        <v>3580.95</v>
      </c>
      <c r="F1192">
        <v>244750</v>
      </c>
      <c r="G1192" s="228">
        <v>5.4999999999999997E-3</v>
      </c>
      <c r="H1192" s="228">
        <f>YEAR(AVEU_Historical_Data__2[[#This Row],[Date]])</f>
        <v>2025</v>
      </c>
      <c r="I1192" s="228">
        <f>ROUNDUP((MOD(MONTH(AVEU_Historical_Data__2[[#This Row],[Date]])+8,12)+1)/3,0)</f>
        <v>4</v>
      </c>
      <c r="J1192" s="228">
        <f>MONTH(AVEU_Historical_Data__2[[#This Row],[Date]])</f>
        <v>1</v>
      </c>
      <c r="K1192" s="228"/>
    </row>
    <row r="1193" spans="1:11" x14ac:dyDescent="0.25">
      <c r="A1193" s="227">
        <v>45677</v>
      </c>
      <c r="B1193" s="228">
        <v>3614.7</v>
      </c>
      <c r="C1193" s="228">
        <v>3624</v>
      </c>
      <c r="D1193" s="228">
        <v>3640</v>
      </c>
      <c r="E1193" s="228">
        <v>3598</v>
      </c>
      <c r="F1193">
        <v>195570</v>
      </c>
      <c r="G1193" s="228">
        <v>-1.6000000000000001E-3</v>
      </c>
      <c r="H1193" s="228">
        <f>YEAR(AVEU_Historical_Data__2[[#This Row],[Date]])</f>
        <v>2025</v>
      </c>
      <c r="I1193" s="228">
        <f>ROUNDUP((MOD(MONTH(AVEU_Historical_Data__2[[#This Row],[Date]])+8,12)+1)/3,0)</f>
        <v>4</v>
      </c>
      <c r="J1193" s="228">
        <f>MONTH(AVEU_Historical_Data__2[[#This Row],[Date]])</f>
        <v>1</v>
      </c>
      <c r="K1193" s="228"/>
    </row>
    <row r="1194" spans="1:11" x14ac:dyDescent="0.25">
      <c r="A1194" s="227">
        <v>45678</v>
      </c>
      <c r="B1194" s="228">
        <v>3587.8</v>
      </c>
      <c r="C1194" s="228">
        <v>3614.7</v>
      </c>
      <c r="D1194" s="228">
        <v>3630</v>
      </c>
      <c r="E1194" s="228">
        <v>3547.35</v>
      </c>
      <c r="F1194">
        <v>211130</v>
      </c>
      <c r="G1194" s="228">
        <v>-7.4000000000000003E-3</v>
      </c>
      <c r="H1194" s="228">
        <f>YEAR(AVEU_Historical_Data__2[[#This Row],[Date]])</f>
        <v>2025</v>
      </c>
      <c r="I1194" s="228">
        <f>ROUNDUP((MOD(MONTH(AVEU_Historical_Data__2[[#This Row],[Date]])+8,12)+1)/3,0)</f>
        <v>4</v>
      </c>
      <c r="J1194" s="228">
        <f>MONTH(AVEU_Historical_Data__2[[#This Row],[Date]])</f>
        <v>1</v>
      </c>
      <c r="K1194" s="228"/>
    </row>
    <row r="1195" spans="1:11" x14ac:dyDescent="0.25">
      <c r="A1195" s="227">
        <v>45679</v>
      </c>
      <c r="B1195" s="228">
        <v>3561.6</v>
      </c>
      <c r="C1195" s="228">
        <v>3604</v>
      </c>
      <c r="D1195" s="228">
        <v>3619</v>
      </c>
      <c r="E1195" s="228">
        <v>3524.5</v>
      </c>
      <c r="F1195">
        <v>320920</v>
      </c>
      <c r="G1195" s="228">
        <v>-7.3000000000000001E-3</v>
      </c>
      <c r="H1195" s="228">
        <f>YEAR(AVEU_Historical_Data__2[[#This Row],[Date]])</f>
        <v>2025</v>
      </c>
      <c r="I1195" s="228">
        <f>ROUNDUP((MOD(MONTH(AVEU_Historical_Data__2[[#This Row],[Date]])+8,12)+1)/3,0)</f>
        <v>4</v>
      </c>
      <c r="J1195" s="228">
        <f>MONTH(AVEU_Historical_Data__2[[#This Row],[Date]])</f>
        <v>1</v>
      </c>
      <c r="K1195" s="228"/>
    </row>
    <row r="1196" spans="1:11" x14ac:dyDescent="0.25">
      <c r="A1196" s="227">
        <v>45680</v>
      </c>
      <c r="B1196" s="228">
        <v>3598.35</v>
      </c>
      <c r="C1196" s="228">
        <v>3555</v>
      </c>
      <c r="D1196" s="228">
        <v>3609.8</v>
      </c>
      <c r="E1196" s="228">
        <v>3530</v>
      </c>
      <c r="F1196">
        <v>263610</v>
      </c>
      <c r="G1196" s="228">
        <v>1.03E-2</v>
      </c>
      <c r="H1196" s="228">
        <f>YEAR(AVEU_Historical_Data__2[[#This Row],[Date]])</f>
        <v>2025</v>
      </c>
      <c r="I1196" s="228">
        <f>ROUNDUP((MOD(MONTH(AVEU_Historical_Data__2[[#This Row],[Date]])+8,12)+1)/3,0)</f>
        <v>4</v>
      </c>
      <c r="J1196" s="228">
        <f>MONTH(AVEU_Historical_Data__2[[#This Row],[Date]])</f>
        <v>1</v>
      </c>
      <c r="K1196" s="228"/>
    </row>
    <row r="1197" spans="1:11" x14ac:dyDescent="0.25">
      <c r="A1197" s="227">
        <v>45681</v>
      </c>
      <c r="B1197" s="228">
        <v>3579.95</v>
      </c>
      <c r="C1197" s="228">
        <v>3598</v>
      </c>
      <c r="D1197" s="228">
        <v>3608.5</v>
      </c>
      <c r="E1197" s="228">
        <v>3535</v>
      </c>
      <c r="F1197">
        <v>288980</v>
      </c>
      <c r="G1197" s="228">
        <v>-5.1000000000000004E-3</v>
      </c>
      <c r="H1197" s="228">
        <f>YEAR(AVEU_Historical_Data__2[[#This Row],[Date]])</f>
        <v>2025</v>
      </c>
      <c r="I1197" s="228">
        <f>ROUNDUP((MOD(MONTH(AVEU_Historical_Data__2[[#This Row],[Date]])+8,12)+1)/3,0)</f>
        <v>4</v>
      </c>
      <c r="J1197" s="228">
        <f>MONTH(AVEU_Historical_Data__2[[#This Row],[Date]])</f>
        <v>1</v>
      </c>
      <c r="K1197" s="228"/>
    </row>
    <row r="1198" spans="1:11" x14ac:dyDescent="0.25">
      <c r="A1198" s="227">
        <v>45684</v>
      </c>
      <c r="B1198" s="228">
        <v>3532.95</v>
      </c>
      <c r="C1198" s="228">
        <v>3565</v>
      </c>
      <c r="D1198" s="228">
        <v>3565</v>
      </c>
      <c r="E1198" s="228">
        <v>3507</v>
      </c>
      <c r="F1198">
        <v>387420</v>
      </c>
      <c r="G1198" s="228">
        <v>-1.3100000000000001E-2</v>
      </c>
      <c r="H1198" s="228">
        <f>YEAR(AVEU_Historical_Data__2[[#This Row],[Date]])</f>
        <v>2025</v>
      </c>
      <c r="I1198" s="228">
        <f>ROUNDUP((MOD(MONTH(AVEU_Historical_Data__2[[#This Row],[Date]])+8,12)+1)/3,0)</f>
        <v>4</v>
      </c>
      <c r="J1198" s="228">
        <f>MONTH(AVEU_Historical_Data__2[[#This Row],[Date]])</f>
        <v>1</v>
      </c>
      <c r="K1198" s="228"/>
    </row>
    <row r="1199" spans="1:11" x14ac:dyDescent="0.25">
      <c r="A1199" s="227">
        <v>45685</v>
      </c>
      <c r="B1199" s="228">
        <v>3559.3</v>
      </c>
      <c r="C1199" s="228">
        <v>3540.2</v>
      </c>
      <c r="D1199" s="228">
        <v>3595</v>
      </c>
      <c r="E1199" s="228">
        <v>3495.3</v>
      </c>
      <c r="F1199">
        <v>490410</v>
      </c>
      <c r="G1199" s="228">
        <v>7.4999999999999997E-3</v>
      </c>
      <c r="H1199" s="228">
        <f>YEAR(AVEU_Historical_Data__2[[#This Row],[Date]])</f>
        <v>2025</v>
      </c>
      <c r="I1199" s="228">
        <f>ROUNDUP((MOD(MONTH(AVEU_Historical_Data__2[[#This Row],[Date]])+8,12)+1)/3,0)</f>
        <v>4</v>
      </c>
      <c r="J1199" s="228">
        <f>MONTH(AVEU_Historical_Data__2[[#This Row],[Date]])</f>
        <v>1</v>
      </c>
      <c r="K1199" s="228"/>
    </row>
    <row r="1200" spans="1:11" x14ac:dyDescent="0.25">
      <c r="A1200" s="227">
        <v>45686</v>
      </c>
      <c r="B1200" s="228">
        <v>3568.1</v>
      </c>
      <c r="C1200" s="228">
        <v>3555.8</v>
      </c>
      <c r="D1200" s="228">
        <v>3586.2</v>
      </c>
      <c r="E1200" s="228">
        <v>3540.95</v>
      </c>
      <c r="F1200">
        <v>387660</v>
      </c>
      <c r="G1200" s="228">
        <v>2.5000000000000001E-3</v>
      </c>
      <c r="H1200" s="228">
        <f>YEAR(AVEU_Historical_Data__2[[#This Row],[Date]])</f>
        <v>2025</v>
      </c>
      <c r="I1200" s="228">
        <f>ROUNDUP((MOD(MONTH(AVEU_Historical_Data__2[[#This Row],[Date]])+8,12)+1)/3,0)</f>
        <v>4</v>
      </c>
      <c r="J1200" s="228">
        <f>MONTH(AVEU_Historical_Data__2[[#This Row],[Date]])</f>
        <v>1</v>
      </c>
      <c r="K1200" s="228"/>
    </row>
    <row r="1201" spans="1:11" x14ac:dyDescent="0.25">
      <c r="A1201" s="227">
        <v>45687</v>
      </c>
      <c r="B1201" s="228">
        <v>3575.4</v>
      </c>
      <c r="C1201" s="228">
        <v>3572.05</v>
      </c>
      <c r="D1201" s="228">
        <v>3585</v>
      </c>
      <c r="E1201" s="228">
        <v>3553.6</v>
      </c>
      <c r="F1201">
        <v>325450</v>
      </c>
      <c r="G1201" s="228">
        <v>2E-3</v>
      </c>
      <c r="H1201" s="228">
        <f>YEAR(AVEU_Historical_Data__2[[#This Row],[Date]])</f>
        <v>2025</v>
      </c>
      <c r="I1201" s="228">
        <f>ROUNDUP((MOD(MONTH(AVEU_Historical_Data__2[[#This Row],[Date]])+8,12)+1)/3,0)</f>
        <v>4</v>
      </c>
      <c r="J1201" s="228">
        <f>MONTH(AVEU_Historical_Data__2[[#This Row],[Date]])</f>
        <v>1</v>
      </c>
      <c r="K1201" s="228"/>
    </row>
    <row r="1202" spans="1:11" x14ac:dyDescent="0.25">
      <c r="A1202" s="227">
        <v>45688</v>
      </c>
      <c r="B1202" s="228">
        <v>3664.65</v>
      </c>
      <c r="C1202" s="228">
        <v>3575</v>
      </c>
      <c r="D1202" s="228">
        <v>3703.7</v>
      </c>
      <c r="E1202" s="228">
        <v>3570</v>
      </c>
      <c r="F1202">
        <v>339020</v>
      </c>
      <c r="G1202" s="228">
        <v>2.5000000000000001E-2</v>
      </c>
      <c r="H1202" s="228">
        <f>YEAR(AVEU_Historical_Data__2[[#This Row],[Date]])</f>
        <v>2025</v>
      </c>
      <c r="I1202" s="228">
        <f>ROUNDUP((MOD(MONTH(AVEU_Historical_Data__2[[#This Row],[Date]])+8,12)+1)/3,0)</f>
        <v>4</v>
      </c>
      <c r="J1202" s="228">
        <f>MONTH(AVEU_Historical_Data__2[[#This Row],[Date]])</f>
        <v>1</v>
      </c>
      <c r="K1202" s="228"/>
    </row>
    <row r="1203" spans="1:11" x14ac:dyDescent="0.25">
      <c r="A1203" s="227">
        <v>45689</v>
      </c>
      <c r="B1203" s="228">
        <v>4023.75</v>
      </c>
      <c r="C1203" s="228">
        <v>3670</v>
      </c>
      <c r="D1203" s="228">
        <v>4084.7</v>
      </c>
      <c r="E1203" s="228">
        <v>3633</v>
      </c>
      <c r="F1203">
        <v>3120000</v>
      </c>
      <c r="G1203" s="228">
        <v>9.8000000000000004E-2</v>
      </c>
      <c r="H1203" s="228">
        <f>YEAR(AVEU_Historical_Data__2[[#This Row],[Date]])</f>
        <v>2025</v>
      </c>
      <c r="I1203" s="228">
        <f>ROUNDUP((MOD(MONTH(AVEU_Historical_Data__2[[#This Row],[Date]])+8,12)+1)/3,0)</f>
        <v>4</v>
      </c>
      <c r="J1203" s="228">
        <f>MONTH(AVEU_Historical_Data__2[[#This Row],[Date]])</f>
        <v>2</v>
      </c>
      <c r="K1203" s="228"/>
    </row>
    <row r="1204" spans="1:11" x14ac:dyDescent="0.25">
      <c r="A1204" s="227">
        <v>45691</v>
      </c>
      <c r="B1204" s="228">
        <v>3947.85</v>
      </c>
      <c r="C1204" s="228">
        <v>3899.95</v>
      </c>
      <c r="D1204" s="228">
        <v>4090</v>
      </c>
      <c r="E1204" s="228">
        <v>3859.3</v>
      </c>
      <c r="F1204">
        <v>1840000</v>
      </c>
      <c r="G1204" s="228">
        <v>-1.89E-2</v>
      </c>
      <c r="H1204" s="228">
        <f>YEAR(AVEU_Historical_Data__2[[#This Row],[Date]])</f>
        <v>2025</v>
      </c>
      <c r="I1204" s="228">
        <f>ROUNDUP((MOD(MONTH(AVEU_Historical_Data__2[[#This Row],[Date]])+8,12)+1)/3,0)</f>
        <v>4</v>
      </c>
      <c r="J1204" s="228">
        <f>MONTH(AVEU_Historical_Data__2[[#This Row],[Date]])</f>
        <v>2</v>
      </c>
      <c r="K1204" s="228"/>
    </row>
    <row r="1205" spans="1:11" x14ac:dyDescent="0.25">
      <c r="A1205" s="227">
        <v>45692</v>
      </c>
      <c r="B1205" s="228">
        <v>3919.85</v>
      </c>
      <c r="C1205" s="228">
        <v>3954.95</v>
      </c>
      <c r="D1205" s="228">
        <v>4017.65</v>
      </c>
      <c r="E1205" s="228">
        <v>3890</v>
      </c>
      <c r="F1205">
        <v>770270</v>
      </c>
      <c r="G1205" s="228">
        <v>-7.1000000000000004E-3</v>
      </c>
      <c r="H1205" s="228">
        <f>YEAR(AVEU_Historical_Data__2[[#This Row],[Date]])</f>
        <v>2025</v>
      </c>
      <c r="I1205" s="228">
        <f>ROUNDUP((MOD(MONTH(AVEU_Historical_Data__2[[#This Row],[Date]])+8,12)+1)/3,0)</f>
        <v>4</v>
      </c>
      <c r="J1205" s="228">
        <f>MONTH(AVEU_Historical_Data__2[[#This Row],[Date]])</f>
        <v>2</v>
      </c>
      <c r="K1205" s="228"/>
    </row>
    <row r="1206" spans="1:11" x14ac:dyDescent="0.25">
      <c r="A1206" s="227">
        <v>45693</v>
      </c>
      <c r="B1206" s="228">
        <v>3865.7</v>
      </c>
      <c r="C1206" s="228">
        <v>3910</v>
      </c>
      <c r="D1206" s="228">
        <v>4015</v>
      </c>
      <c r="E1206" s="228">
        <v>3841</v>
      </c>
      <c r="F1206">
        <v>693770</v>
      </c>
      <c r="G1206" s="228">
        <v>-1.38E-2</v>
      </c>
      <c r="H1206" s="228">
        <f>YEAR(AVEU_Historical_Data__2[[#This Row],[Date]])</f>
        <v>2025</v>
      </c>
      <c r="I1206" s="228">
        <f>ROUNDUP((MOD(MONTH(AVEU_Historical_Data__2[[#This Row],[Date]])+8,12)+1)/3,0)</f>
        <v>4</v>
      </c>
      <c r="J1206" s="228">
        <f>MONTH(AVEU_Historical_Data__2[[#This Row],[Date]])</f>
        <v>2</v>
      </c>
      <c r="K1206" s="228"/>
    </row>
    <row r="1207" spans="1:11" x14ac:dyDescent="0.25">
      <c r="A1207" s="227">
        <v>45694</v>
      </c>
      <c r="B1207" s="228">
        <v>3748.45</v>
      </c>
      <c r="C1207" s="228">
        <v>3905</v>
      </c>
      <c r="D1207" s="228">
        <v>3905</v>
      </c>
      <c r="E1207" s="228">
        <v>3724.05</v>
      </c>
      <c r="F1207">
        <v>400410</v>
      </c>
      <c r="G1207" s="228">
        <v>-3.0300000000000001E-2</v>
      </c>
      <c r="H1207" s="228">
        <f>YEAR(AVEU_Historical_Data__2[[#This Row],[Date]])</f>
        <v>2025</v>
      </c>
      <c r="I1207" s="228">
        <f>ROUNDUP((MOD(MONTH(AVEU_Historical_Data__2[[#This Row],[Date]])+8,12)+1)/3,0)</f>
        <v>4</v>
      </c>
      <c r="J1207" s="228">
        <f>MONTH(AVEU_Historical_Data__2[[#This Row],[Date]])</f>
        <v>2</v>
      </c>
      <c r="K1207" s="228"/>
    </row>
    <row r="1208" spans="1:11" x14ac:dyDescent="0.25">
      <c r="A1208" s="227">
        <v>45695</v>
      </c>
      <c r="B1208" s="228">
        <v>3743.5</v>
      </c>
      <c r="C1208" s="228">
        <v>3750</v>
      </c>
      <c r="D1208" s="228">
        <v>3764.1</v>
      </c>
      <c r="E1208" s="228">
        <v>3695.4</v>
      </c>
      <c r="F1208">
        <v>301640</v>
      </c>
      <c r="G1208" s="228">
        <v>-1.2999999999999999E-3</v>
      </c>
      <c r="H1208" s="228">
        <f>YEAR(AVEU_Historical_Data__2[[#This Row],[Date]])</f>
        <v>2025</v>
      </c>
      <c r="I1208" s="228">
        <f>ROUNDUP((MOD(MONTH(AVEU_Historical_Data__2[[#This Row],[Date]])+8,12)+1)/3,0)</f>
        <v>4</v>
      </c>
      <c r="J1208" s="228">
        <f>MONTH(AVEU_Historical_Data__2[[#This Row],[Date]])</f>
        <v>2</v>
      </c>
      <c r="K1208" s="228"/>
    </row>
    <row r="1209" spans="1:11" x14ac:dyDescent="0.25">
      <c r="A1209" s="227">
        <v>45698</v>
      </c>
      <c r="B1209" s="228">
        <v>3722.05</v>
      </c>
      <c r="C1209" s="228">
        <v>3756.6</v>
      </c>
      <c r="D1209" s="228">
        <v>3813</v>
      </c>
      <c r="E1209" s="228">
        <v>3693.05</v>
      </c>
      <c r="F1209">
        <v>428010</v>
      </c>
      <c r="G1209" s="228">
        <v>-5.7000000000000002E-3</v>
      </c>
      <c r="H1209" s="228">
        <f>YEAR(AVEU_Historical_Data__2[[#This Row],[Date]])</f>
        <v>2025</v>
      </c>
      <c r="I1209" s="228">
        <f>ROUNDUP((MOD(MONTH(AVEU_Historical_Data__2[[#This Row],[Date]])+8,12)+1)/3,0)</f>
        <v>4</v>
      </c>
      <c r="J1209" s="228">
        <f>MONTH(AVEU_Historical_Data__2[[#This Row],[Date]])</f>
        <v>2</v>
      </c>
      <c r="K1209" s="228"/>
    </row>
    <row r="1210" spans="1:11" x14ac:dyDescent="0.25">
      <c r="A1210" s="227">
        <v>45699</v>
      </c>
      <c r="B1210" s="228">
        <v>3682.7</v>
      </c>
      <c r="C1210" s="228">
        <v>3724.8</v>
      </c>
      <c r="D1210" s="228">
        <v>3749.6</v>
      </c>
      <c r="E1210" s="228">
        <v>3663</v>
      </c>
      <c r="F1210">
        <v>315000</v>
      </c>
      <c r="G1210" s="228">
        <v>-1.06E-2</v>
      </c>
      <c r="H1210" s="228">
        <f>YEAR(AVEU_Historical_Data__2[[#This Row],[Date]])</f>
        <v>2025</v>
      </c>
      <c r="I1210" s="228">
        <f>ROUNDUP((MOD(MONTH(AVEU_Historical_Data__2[[#This Row],[Date]])+8,12)+1)/3,0)</f>
        <v>4</v>
      </c>
      <c r="J1210" s="228">
        <f>MONTH(AVEU_Historical_Data__2[[#This Row],[Date]])</f>
        <v>2</v>
      </c>
      <c r="K1210" s="228"/>
    </row>
    <row r="1211" spans="1:11" x14ac:dyDescent="0.25">
      <c r="A1211" s="227">
        <v>45700</v>
      </c>
      <c r="B1211" s="228">
        <v>3689.9</v>
      </c>
      <c r="C1211" s="228">
        <v>3681.5</v>
      </c>
      <c r="D1211" s="228">
        <v>3699.9</v>
      </c>
      <c r="E1211" s="228">
        <v>3585</v>
      </c>
      <c r="F1211">
        <v>478920</v>
      </c>
      <c r="G1211" s="228">
        <v>2E-3</v>
      </c>
      <c r="H1211" s="228">
        <f>YEAR(AVEU_Historical_Data__2[[#This Row],[Date]])</f>
        <v>2025</v>
      </c>
      <c r="I1211" s="228">
        <f>ROUNDUP((MOD(MONTH(AVEU_Historical_Data__2[[#This Row],[Date]])+8,12)+1)/3,0)</f>
        <v>4</v>
      </c>
      <c r="J1211" s="228">
        <f>MONTH(AVEU_Historical_Data__2[[#This Row],[Date]])</f>
        <v>2</v>
      </c>
      <c r="K1211" s="228"/>
    </row>
    <row r="1212" spans="1:11" x14ac:dyDescent="0.25">
      <c r="A1212" s="227">
        <v>45701</v>
      </c>
      <c r="B1212" s="228">
        <v>3696.5</v>
      </c>
      <c r="C1212" s="228">
        <v>3698.9</v>
      </c>
      <c r="D1212" s="228">
        <v>3722.3</v>
      </c>
      <c r="E1212" s="228">
        <v>3659</v>
      </c>
      <c r="F1212">
        <v>243490</v>
      </c>
      <c r="G1212" s="228">
        <v>1.8E-3</v>
      </c>
      <c r="H1212" s="228">
        <f>YEAR(AVEU_Historical_Data__2[[#This Row],[Date]])</f>
        <v>2025</v>
      </c>
      <c r="I1212" s="228">
        <f>ROUNDUP((MOD(MONTH(AVEU_Historical_Data__2[[#This Row],[Date]])+8,12)+1)/3,0)</f>
        <v>4</v>
      </c>
      <c r="J1212" s="228">
        <f>MONTH(AVEU_Historical_Data__2[[#This Row],[Date]])</f>
        <v>2</v>
      </c>
      <c r="K1212" s="228"/>
    </row>
    <row r="1213" spans="1:11" x14ac:dyDescent="0.25">
      <c r="A1213" s="227">
        <v>45702</v>
      </c>
      <c r="B1213" s="228">
        <v>3682.65</v>
      </c>
      <c r="C1213" s="228">
        <v>3706</v>
      </c>
      <c r="D1213" s="228">
        <v>3755.1</v>
      </c>
      <c r="E1213" s="228">
        <v>3636.85</v>
      </c>
      <c r="F1213">
        <v>286890</v>
      </c>
      <c r="G1213" s="228">
        <v>-3.7000000000000002E-3</v>
      </c>
      <c r="H1213" s="228">
        <f>YEAR(AVEU_Historical_Data__2[[#This Row],[Date]])</f>
        <v>2025</v>
      </c>
      <c r="I1213" s="228">
        <f>ROUNDUP((MOD(MONTH(AVEU_Historical_Data__2[[#This Row],[Date]])+8,12)+1)/3,0)</f>
        <v>4</v>
      </c>
      <c r="J1213" s="228">
        <f>MONTH(AVEU_Historical_Data__2[[#This Row],[Date]])</f>
        <v>2</v>
      </c>
      <c r="K1213" s="228"/>
    </row>
    <row r="1214" spans="1:11" x14ac:dyDescent="0.25">
      <c r="A1214" s="227">
        <v>45705</v>
      </c>
      <c r="B1214" s="228">
        <v>3621.5</v>
      </c>
      <c r="C1214" s="228">
        <v>3645.05</v>
      </c>
      <c r="D1214" s="228">
        <v>3683</v>
      </c>
      <c r="E1214" s="228">
        <v>3596.6</v>
      </c>
      <c r="F1214">
        <v>571640</v>
      </c>
      <c r="G1214" s="228">
        <v>-1.66E-2</v>
      </c>
      <c r="H1214" s="228">
        <f>YEAR(AVEU_Historical_Data__2[[#This Row],[Date]])</f>
        <v>2025</v>
      </c>
      <c r="I1214" s="228">
        <f>ROUNDUP((MOD(MONTH(AVEU_Historical_Data__2[[#This Row],[Date]])+8,12)+1)/3,0)</f>
        <v>4</v>
      </c>
      <c r="J1214" s="228">
        <f>MONTH(AVEU_Historical_Data__2[[#This Row],[Date]])</f>
        <v>2</v>
      </c>
      <c r="K1214" s="228"/>
    </row>
    <row r="1215" spans="1:11" x14ac:dyDescent="0.25">
      <c r="A1215" s="227">
        <v>45706</v>
      </c>
      <c r="B1215" s="228">
        <v>3676.6</v>
      </c>
      <c r="C1215" s="228">
        <v>3630</v>
      </c>
      <c r="D1215" s="228">
        <v>3705.95</v>
      </c>
      <c r="E1215" s="228">
        <v>3606.25</v>
      </c>
      <c r="F1215">
        <v>372640</v>
      </c>
      <c r="G1215" s="228">
        <v>1.52E-2</v>
      </c>
      <c r="H1215" s="228">
        <f>YEAR(AVEU_Historical_Data__2[[#This Row],[Date]])</f>
        <v>2025</v>
      </c>
      <c r="I1215" s="228">
        <f>ROUNDUP((MOD(MONTH(AVEU_Historical_Data__2[[#This Row],[Date]])+8,12)+1)/3,0)</f>
        <v>4</v>
      </c>
      <c r="J1215" s="228">
        <f>MONTH(AVEU_Historical_Data__2[[#This Row],[Date]])</f>
        <v>2</v>
      </c>
      <c r="K1215" s="228"/>
    </row>
    <row r="1216" spans="1:11" x14ac:dyDescent="0.25">
      <c r="A1216" s="227">
        <v>45707</v>
      </c>
      <c r="B1216" s="228">
        <v>3685</v>
      </c>
      <c r="C1216" s="228">
        <v>3674.3</v>
      </c>
      <c r="D1216" s="228">
        <v>3713.95</v>
      </c>
      <c r="E1216" s="228">
        <v>3627.45</v>
      </c>
      <c r="F1216">
        <v>265830</v>
      </c>
      <c r="G1216" s="228">
        <v>2.3E-3</v>
      </c>
      <c r="H1216" s="228">
        <f>YEAR(AVEU_Historical_Data__2[[#This Row],[Date]])</f>
        <v>2025</v>
      </c>
      <c r="I1216" s="228">
        <f>ROUNDUP((MOD(MONTH(AVEU_Historical_Data__2[[#This Row],[Date]])+8,12)+1)/3,0)</f>
        <v>4</v>
      </c>
      <c r="J1216" s="228">
        <f>MONTH(AVEU_Historical_Data__2[[#This Row],[Date]])</f>
        <v>2</v>
      </c>
      <c r="K1216" s="228"/>
    </row>
    <row r="1217" spans="1:11" x14ac:dyDescent="0.25">
      <c r="A1217" s="227">
        <v>45708</v>
      </c>
      <c r="B1217" s="228">
        <v>3623.8</v>
      </c>
      <c r="C1217" s="228">
        <v>3687</v>
      </c>
      <c r="D1217" s="228">
        <v>3709</v>
      </c>
      <c r="E1217" s="228">
        <v>3615</v>
      </c>
      <c r="F1217">
        <v>552760</v>
      </c>
      <c r="G1217" s="228">
        <v>-1.66E-2</v>
      </c>
      <c r="H1217" s="228">
        <f>YEAR(AVEU_Historical_Data__2[[#This Row],[Date]])</f>
        <v>2025</v>
      </c>
      <c r="I1217" s="228">
        <f>ROUNDUP((MOD(MONTH(AVEU_Historical_Data__2[[#This Row],[Date]])+8,12)+1)/3,0)</f>
        <v>4</v>
      </c>
      <c r="J1217" s="228">
        <f>MONTH(AVEU_Historical_Data__2[[#This Row],[Date]])</f>
        <v>2</v>
      </c>
      <c r="K1217" s="228"/>
    </row>
    <row r="1218" spans="1:11" x14ac:dyDescent="0.25">
      <c r="A1218" s="227">
        <v>45709</v>
      </c>
      <c r="B1218" s="228">
        <v>3596.7</v>
      </c>
      <c r="C1218" s="228">
        <v>3630</v>
      </c>
      <c r="D1218" s="228">
        <v>3663</v>
      </c>
      <c r="E1218" s="228">
        <v>3569.5</v>
      </c>
      <c r="F1218">
        <v>532240</v>
      </c>
      <c r="G1218" s="228">
        <v>-7.4999999999999997E-3</v>
      </c>
      <c r="H1218" s="228">
        <f>YEAR(AVEU_Historical_Data__2[[#This Row],[Date]])</f>
        <v>2025</v>
      </c>
      <c r="I1218" s="228">
        <f>ROUNDUP((MOD(MONTH(AVEU_Historical_Data__2[[#This Row],[Date]])+8,12)+1)/3,0)</f>
        <v>4</v>
      </c>
      <c r="J1218" s="228">
        <f>MONTH(AVEU_Historical_Data__2[[#This Row],[Date]])</f>
        <v>2</v>
      </c>
      <c r="K1218" s="228"/>
    </row>
    <row r="1219" spans="1:11" x14ac:dyDescent="0.25">
      <c r="A1219" s="227">
        <v>45712</v>
      </c>
      <c r="B1219" s="228">
        <v>3570.9</v>
      </c>
      <c r="C1219" s="228">
        <v>3589.8</v>
      </c>
      <c r="D1219" s="228">
        <v>3611.4</v>
      </c>
      <c r="E1219" s="228">
        <v>3555.55</v>
      </c>
      <c r="F1219">
        <v>370760</v>
      </c>
      <c r="G1219" s="228">
        <v>-7.1999999999999998E-3</v>
      </c>
      <c r="H1219" s="228">
        <f>YEAR(AVEU_Historical_Data__2[[#This Row],[Date]])</f>
        <v>2025</v>
      </c>
      <c r="I1219" s="228">
        <f>ROUNDUP((MOD(MONTH(AVEU_Historical_Data__2[[#This Row],[Date]])+8,12)+1)/3,0)</f>
        <v>4</v>
      </c>
      <c r="J1219" s="228">
        <f>MONTH(AVEU_Historical_Data__2[[#This Row],[Date]])</f>
        <v>2</v>
      </c>
      <c r="K1219" s="228"/>
    </row>
    <row r="1220" spans="1:11" x14ac:dyDescent="0.25">
      <c r="A1220" s="227">
        <v>45713</v>
      </c>
      <c r="B1220" s="228">
        <v>3530.75</v>
      </c>
      <c r="C1220" s="228">
        <v>3557</v>
      </c>
      <c r="D1220" s="228">
        <v>3571</v>
      </c>
      <c r="E1220" s="228">
        <v>3516.65</v>
      </c>
      <c r="F1220">
        <v>375510</v>
      </c>
      <c r="G1220" s="228">
        <v>-1.12E-2</v>
      </c>
      <c r="H1220" s="228">
        <f>YEAR(AVEU_Historical_Data__2[[#This Row],[Date]])</f>
        <v>2025</v>
      </c>
      <c r="I1220" s="228">
        <f>ROUNDUP((MOD(MONTH(AVEU_Historical_Data__2[[#This Row],[Date]])+8,12)+1)/3,0)</f>
        <v>4</v>
      </c>
      <c r="J1220" s="228">
        <f>MONTH(AVEU_Historical_Data__2[[#This Row],[Date]])</f>
        <v>2</v>
      </c>
      <c r="K1220" s="228"/>
    </row>
    <row r="1221" spans="1:11" x14ac:dyDescent="0.25">
      <c r="A1221" s="227">
        <v>45715</v>
      </c>
      <c r="B1221" s="228">
        <v>3507.2</v>
      </c>
      <c r="C1221" s="228">
        <v>3556</v>
      </c>
      <c r="D1221" s="228">
        <v>3575</v>
      </c>
      <c r="E1221" s="228">
        <v>3492.05</v>
      </c>
      <c r="F1221">
        <v>469280</v>
      </c>
      <c r="G1221" s="228">
        <v>-6.7000000000000002E-3</v>
      </c>
      <c r="H1221" s="228">
        <f>YEAR(AVEU_Historical_Data__2[[#This Row],[Date]])</f>
        <v>2025</v>
      </c>
      <c r="I1221" s="228">
        <f>ROUNDUP((MOD(MONTH(AVEU_Historical_Data__2[[#This Row],[Date]])+8,12)+1)/3,0)</f>
        <v>4</v>
      </c>
      <c r="J1221" s="228">
        <f>MONTH(AVEU_Historical_Data__2[[#This Row],[Date]])</f>
        <v>2</v>
      </c>
      <c r="K1221" s="228"/>
    </row>
    <row r="1222" spans="1:11" x14ac:dyDescent="0.25">
      <c r="A1222" s="227">
        <v>45716</v>
      </c>
      <c r="B1222" s="228">
        <v>3403.95</v>
      </c>
      <c r="C1222" s="228">
        <v>3507</v>
      </c>
      <c r="D1222" s="228">
        <v>3532.55</v>
      </c>
      <c r="E1222" s="228">
        <v>3391</v>
      </c>
      <c r="F1222">
        <v>799600</v>
      </c>
      <c r="G1222" s="228">
        <v>-2.9399999999999999E-2</v>
      </c>
      <c r="H1222" s="228">
        <f>YEAR(AVEU_Historical_Data__2[[#This Row],[Date]])</f>
        <v>2025</v>
      </c>
      <c r="I1222" s="228">
        <f>ROUNDUP((MOD(MONTH(AVEU_Historical_Data__2[[#This Row],[Date]])+8,12)+1)/3,0)</f>
        <v>4</v>
      </c>
      <c r="J1222" s="228">
        <f>MONTH(AVEU_Historical_Data__2[[#This Row],[Date]])</f>
        <v>2</v>
      </c>
      <c r="K1222" s="228"/>
    </row>
    <row r="1223" spans="1:11" x14ac:dyDescent="0.25">
      <c r="A1223" s="227">
        <v>45719</v>
      </c>
      <c r="B1223" s="228">
        <v>3453.2</v>
      </c>
      <c r="C1223" s="228">
        <v>3425</v>
      </c>
      <c r="D1223" s="228">
        <v>3472</v>
      </c>
      <c r="E1223" s="228">
        <v>3340</v>
      </c>
      <c r="F1223">
        <v>807300</v>
      </c>
      <c r="G1223" s="228">
        <v>1.4500000000000001E-2</v>
      </c>
      <c r="H1223" s="228">
        <f>YEAR(AVEU_Historical_Data__2[[#This Row],[Date]])</f>
        <v>2025</v>
      </c>
      <c r="I1223" s="228">
        <f>ROUNDUP((MOD(MONTH(AVEU_Historical_Data__2[[#This Row],[Date]])+8,12)+1)/3,0)</f>
        <v>4</v>
      </c>
      <c r="J1223" s="228">
        <f>MONTH(AVEU_Historical_Data__2[[#This Row],[Date]])</f>
        <v>3</v>
      </c>
      <c r="K1223" s="228"/>
    </row>
    <row r="1224" spans="1:11" x14ac:dyDescent="0.25">
      <c r="A1224" s="227">
        <v>45720</v>
      </c>
      <c r="B1224" s="228">
        <v>3408.4</v>
      </c>
      <c r="C1224" s="228">
        <v>3429.7</v>
      </c>
      <c r="D1224" s="228">
        <v>3460</v>
      </c>
      <c r="E1224" s="228">
        <v>3400</v>
      </c>
      <c r="F1224">
        <v>637410</v>
      </c>
      <c r="G1224" s="228">
        <v>-1.2999999999999999E-2</v>
      </c>
      <c r="H1224" s="228">
        <f>YEAR(AVEU_Historical_Data__2[[#This Row],[Date]])</f>
        <v>2025</v>
      </c>
      <c r="I1224" s="228">
        <f>ROUNDUP((MOD(MONTH(AVEU_Historical_Data__2[[#This Row],[Date]])+8,12)+1)/3,0)</f>
        <v>4</v>
      </c>
      <c r="J1224" s="228">
        <f>MONTH(AVEU_Historical_Data__2[[#This Row],[Date]])</f>
        <v>3</v>
      </c>
      <c r="K1224" s="228"/>
    </row>
    <row r="1225" spans="1:11" x14ac:dyDescent="0.25">
      <c r="A1225" s="227">
        <v>45721</v>
      </c>
      <c r="B1225" s="228">
        <v>3474.5</v>
      </c>
      <c r="C1225" s="228">
        <v>3408.4</v>
      </c>
      <c r="D1225" s="228">
        <v>3505</v>
      </c>
      <c r="E1225" s="228">
        <v>3408.4</v>
      </c>
      <c r="F1225">
        <v>417930</v>
      </c>
      <c r="G1225" s="228">
        <v>1.9400000000000001E-2</v>
      </c>
      <c r="H1225" s="228">
        <f>YEAR(AVEU_Historical_Data__2[[#This Row],[Date]])</f>
        <v>2025</v>
      </c>
      <c r="I1225" s="228">
        <f>ROUNDUP((MOD(MONTH(AVEU_Historical_Data__2[[#This Row],[Date]])+8,12)+1)/3,0)</f>
        <v>4</v>
      </c>
      <c r="J1225" s="228">
        <f>MONTH(AVEU_Historical_Data__2[[#This Row],[Date]])</f>
        <v>3</v>
      </c>
      <c r="K1225" s="228"/>
    </row>
    <row r="1226" spans="1:11" x14ac:dyDescent="0.25">
      <c r="A1226" s="227">
        <v>45722</v>
      </c>
      <c r="B1226" s="228">
        <v>3540.5</v>
      </c>
      <c r="C1226" s="228">
        <v>3505</v>
      </c>
      <c r="D1226" s="228">
        <v>3552</v>
      </c>
      <c r="E1226" s="228">
        <v>3475</v>
      </c>
      <c r="F1226">
        <v>797590</v>
      </c>
      <c r="G1226" s="228">
        <v>1.9E-2</v>
      </c>
      <c r="H1226" s="228">
        <f>YEAR(AVEU_Historical_Data__2[[#This Row],[Date]])</f>
        <v>2025</v>
      </c>
      <c r="I1226" s="228">
        <f>ROUNDUP((MOD(MONTH(AVEU_Historical_Data__2[[#This Row],[Date]])+8,12)+1)/3,0)</f>
        <v>4</v>
      </c>
      <c r="J1226" s="228">
        <f>MONTH(AVEU_Historical_Data__2[[#This Row],[Date]])</f>
        <v>3</v>
      </c>
      <c r="K1226" s="228"/>
    </row>
    <row r="1227" spans="1:11" x14ac:dyDescent="0.25">
      <c r="A1227" s="227">
        <v>45723</v>
      </c>
      <c r="B1227" s="228">
        <v>3593.6</v>
      </c>
      <c r="C1227" s="228">
        <v>3568</v>
      </c>
      <c r="D1227" s="228">
        <v>3636.3</v>
      </c>
      <c r="E1227" s="228">
        <v>3549.95</v>
      </c>
      <c r="F1227">
        <v>681830</v>
      </c>
      <c r="G1227" s="228">
        <v>1.4999999999999999E-2</v>
      </c>
      <c r="H1227" s="228">
        <f>YEAR(AVEU_Historical_Data__2[[#This Row],[Date]])</f>
        <v>2025</v>
      </c>
      <c r="I1227" s="228">
        <f>ROUNDUP((MOD(MONTH(AVEU_Historical_Data__2[[#This Row],[Date]])+8,12)+1)/3,0)</f>
        <v>4</v>
      </c>
      <c r="J1227" s="228">
        <f>MONTH(AVEU_Historical_Data__2[[#This Row],[Date]])</f>
        <v>3</v>
      </c>
      <c r="K1227" s="228"/>
    </row>
    <row r="1228" spans="1:11" x14ac:dyDescent="0.25">
      <c r="A1228" s="227">
        <v>45726</v>
      </c>
      <c r="B1228" s="228">
        <v>3603.75</v>
      </c>
      <c r="C1228" s="228">
        <v>3600</v>
      </c>
      <c r="D1228" s="228">
        <v>3624.95</v>
      </c>
      <c r="E1228" s="228">
        <v>3548.2</v>
      </c>
      <c r="F1228">
        <v>327830</v>
      </c>
      <c r="G1228" s="228">
        <v>2.8E-3</v>
      </c>
      <c r="H1228" s="228">
        <f>YEAR(AVEU_Historical_Data__2[[#This Row],[Date]])</f>
        <v>2025</v>
      </c>
      <c r="I1228" s="228">
        <f>ROUNDUP((MOD(MONTH(AVEU_Historical_Data__2[[#This Row],[Date]])+8,12)+1)/3,0)</f>
        <v>4</v>
      </c>
      <c r="J1228" s="228">
        <f>MONTH(AVEU_Historical_Data__2[[#This Row],[Date]])</f>
        <v>3</v>
      </c>
      <c r="K1228" s="228"/>
    </row>
    <row r="1229" spans="1:11" x14ac:dyDescent="0.25">
      <c r="A1229" s="227">
        <v>45727</v>
      </c>
      <c r="B1229" s="228">
        <v>3631.65</v>
      </c>
      <c r="C1229" s="228">
        <v>3586.95</v>
      </c>
      <c r="D1229" s="228">
        <v>3639.9</v>
      </c>
      <c r="E1229" s="228">
        <v>3551.55</v>
      </c>
      <c r="F1229">
        <v>255760</v>
      </c>
      <c r="G1229" s="228">
        <v>7.7000000000000002E-3</v>
      </c>
      <c r="H1229" s="228">
        <f>YEAR(AVEU_Historical_Data__2[[#This Row],[Date]])</f>
        <v>2025</v>
      </c>
      <c r="I1229" s="228">
        <f>ROUNDUP((MOD(MONTH(AVEU_Historical_Data__2[[#This Row],[Date]])+8,12)+1)/3,0)</f>
        <v>4</v>
      </c>
      <c r="J1229" s="228">
        <f>MONTH(AVEU_Historical_Data__2[[#This Row],[Date]])</f>
        <v>3</v>
      </c>
      <c r="K1229" s="228"/>
    </row>
    <row r="1230" spans="1:11" x14ac:dyDescent="0.25">
      <c r="A1230" s="227">
        <v>45728</v>
      </c>
      <c r="B1230" s="228">
        <v>3674.2</v>
      </c>
      <c r="C1230" s="228">
        <v>3655.25</v>
      </c>
      <c r="D1230" s="228">
        <v>3685</v>
      </c>
      <c r="E1230" s="228">
        <v>3622.45</v>
      </c>
      <c r="F1230">
        <v>265760</v>
      </c>
      <c r="G1230" s="228">
        <v>1.17E-2</v>
      </c>
      <c r="H1230" s="228">
        <f>YEAR(AVEU_Historical_Data__2[[#This Row],[Date]])</f>
        <v>2025</v>
      </c>
      <c r="I1230" s="228">
        <f>ROUNDUP((MOD(MONTH(AVEU_Historical_Data__2[[#This Row],[Date]])+8,12)+1)/3,0)</f>
        <v>4</v>
      </c>
      <c r="J1230" s="228">
        <f>MONTH(AVEU_Historical_Data__2[[#This Row],[Date]])</f>
        <v>3</v>
      </c>
      <c r="K1230" s="228"/>
    </row>
    <row r="1231" spans="1:11" x14ac:dyDescent="0.25">
      <c r="A1231" s="227">
        <v>45729</v>
      </c>
      <c r="B1231" s="228">
        <v>3797.1</v>
      </c>
      <c r="C1231" s="228">
        <v>3681</v>
      </c>
      <c r="D1231" s="228">
        <v>3877.05</v>
      </c>
      <c r="E1231" s="228">
        <v>3670</v>
      </c>
      <c r="F1231">
        <v>2330000</v>
      </c>
      <c r="G1231" s="228">
        <v>3.3399999999999999E-2</v>
      </c>
      <c r="H1231" s="228">
        <f>YEAR(AVEU_Historical_Data__2[[#This Row],[Date]])</f>
        <v>2025</v>
      </c>
      <c r="I1231" s="228">
        <f>ROUNDUP((MOD(MONTH(AVEU_Historical_Data__2[[#This Row],[Date]])+8,12)+1)/3,0)</f>
        <v>4</v>
      </c>
      <c r="J1231" s="228">
        <f>MONTH(AVEU_Historical_Data__2[[#This Row],[Date]])</f>
        <v>3</v>
      </c>
      <c r="K1231" s="228"/>
    </row>
    <row r="1232" spans="1:11" x14ac:dyDescent="0.25">
      <c r="A1232" s="227">
        <v>45733</v>
      </c>
      <c r="B1232" s="228">
        <v>3825.3</v>
      </c>
      <c r="C1232" s="228">
        <v>3797.1</v>
      </c>
      <c r="D1232" s="228">
        <v>3832.35</v>
      </c>
      <c r="E1232" s="228">
        <v>3788.1</v>
      </c>
      <c r="F1232">
        <v>425090</v>
      </c>
      <c r="G1232" s="228">
        <v>7.4000000000000003E-3</v>
      </c>
      <c r="H1232" s="228">
        <f>YEAR(AVEU_Historical_Data__2[[#This Row],[Date]])</f>
        <v>2025</v>
      </c>
      <c r="I1232" s="228">
        <f>ROUNDUP((MOD(MONTH(AVEU_Historical_Data__2[[#This Row],[Date]])+8,12)+1)/3,0)</f>
        <v>4</v>
      </c>
      <c r="J1232" s="228">
        <f>MONTH(AVEU_Historical_Data__2[[#This Row],[Date]])</f>
        <v>3</v>
      </c>
      <c r="K1232" s="228"/>
    </row>
    <row r="1233" spans="1:11" x14ac:dyDescent="0.25">
      <c r="A1233" s="227">
        <v>45734</v>
      </c>
      <c r="B1233" s="228">
        <v>3833.85</v>
      </c>
      <c r="C1233" s="228">
        <v>3843.75</v>
      </c>
      <c r="D1233" s="228">
        <v>3868.4</v>
      </c>
      <c r="E1233" s="228">
        <v>3783</v>
      </c>
      <c r="F1233">
        <v>296520</v>
      </c>
      <c r="G1233" s="228">
        <v>2.2000000000000001E-3</v>
      </c>
      <c r="H1233" s="228">
        <f>YEAR(AVEU_Historical_Data__2[[#This Row],[Date]])</f>
        <v>2025</v>
      </c>
      <c r="I1233" s="228">
        <f>ROUNDUP((MOD(MONTH(AVEU_Historical_Data__2[[#This Row],[Date]])+8,12)+1)/3,0)</f>
        <v>4</v>
      </c>
      <c r="J1233" s="228">
        <f>MONTH(AVEU_Historical_Data__2[[#This Row],[Date]])</f>
        <v>3</v>
      </c>
      <c r="K1233" s="228"/>
    </row>
    <row r="1234" spans="1:11" x14ac:dyDescent="0.25">
      <c r="A1234" s="227">
        <v>45735</v>
      </c>
      <c r="B1234" s="228">
        <v>3845.2</v>
      </c>
      <c r="C1234" s="228">
        <v>3850</v>
      </c>
      <c r="D1234" s="228">
        <v>3860</v>
      </c>
      <c r="E1234" s="228">
        <v>3795</v>
      </c>
      <c r="F1234">
        <v>285710</v>
      </c>
      <c r="G1234" s="228">
        <v>3.0000000000000001E-3</v>
      </c>
      <c r="H1234" s="228">
        <f>YEAR(AVEU_Historical_Data__2[[#This Row],[Date]])</f>
        <v>2025</v>
      </c>
      <c r="I1234" s="228">
        <f>ROUNDUP((MOD(MONTH(AVEU_Historical_Data__2[[#This Row],[Date]])+8,12)+1)/3,0)</f>
        <v>4</v>
      </c>
      <c r="J1234" s="228">
        <f>MONTH(AVEU_Historical_Data__2[[#This Row],[Date]])</f>
        <v>3</v>
      </c>
      <c r="K1234" s="228"/>
    </row>
    <row r="1235" spans="1:11" x14ac:dyDescent="0.25">
      <c r="A1235" s="227">
        <v>45736</v>
      </c>
      <c r="B1235" s="228">
        <v>3884.4</v>
      </c>
      <c r="C1235" s="228">
        <v>3864.4</v>
      </c>
      <c r="D1235" s="228">
        <v>3904.75</v>
      </c>
      <c r="E1235" s="228">
        <v>3831.15</v>
      </c>
      <c r="F1235">
        <v>267760</v>
      </c>
      <c r="G1235" s="228">
        <v>1.0200000000000001E-2</v>
      </c>
      <c r="H1235" s="228">
        <f>YEAR(AVEU_Historical_Data__2[[#This Row],[Date]])</f>
        <v>2025</v>
      </c>
      <c r="I1235" s="228">
        <f>ROUNDUP((MOD(MONTH(AVEU_Historical_Data__2[[#This Row],[Date]])+8,12)+1)/3,0)</f>
        <v>4</v>
      </c>
      <c r="J1235" s="228">
        <f>MONTH(AVEU_Historical_Data__2[[#This Row],[Date]])</f>
        <v>3</v>
      </c>
      <c r="K1235" s="228"/>
    </row>
    <row r="1236" spans="1:11" x14ac:dyDescent="0.25">
      <c r="A1236" s="227">
        <v>45737</v>
      </c>
      <c r="B1236" s="228">
        <v>3892.2</v>
      </c>
      <c r="C1236" s="228">
        <v>3890</v>
      </c>
      <c r="D1236" s="228">
        <v>3948.8</v>
      </c>
      <c r="E1236" s="228">
        <v>3871.85</v>
      </c>
      <c r="F1236">
        <v>431560</v>
      </c>
      <c r="G1236" s="228">
        <v>2E-3</v>
      </c>
      <c r="H1236" s="228">
        <f>YEAR(AVEU_Historical_Data__2[[#This Row],[Date]])</f>
        <v>2025</v>
      </c>
      <c r="I1236" s="228">
        <f>ROUNDUP((MOD(MONTH(AVEU_Historical_Data__2[[#This Row],[Date]])+8,12)+1)/3,0)</f>
        <v>4</v>
      </c>
      <c r="J1236" s="228">
        <f>MONTH(AVEU_Historical_Data__2[[#This Row],[Date]])</f>
        <v>3</v>
      </c>
      <c r="K1236" s="228"/>
    </row>
    <row r="1237" spans="1:11" x14ac:dyDescent="0.25">
      <c r="A1237" s="227">
        <v>45740</v>
      </c>
      <c r="B1237" s="228">
        <v>3905.1</v>
      </c>
      <c r="C1237" s="228">
        <v>3900</v>
      </c>
      <c r="D1237" s="228">
        <v>3948.95</v>
      </c>
      <c r="E1237" s="228">
        <v>3890</v>
      </c>
      <c r="F1237">
        <v>209020</v>
      </c>
      <c r="G1237" s="228">
        <v>3.3E-3</v>
      </c>
      <c r="H1237" s="228">
        <f>YEAR(AVEU_Historical_Data__2[[#This Row],[Date]])</f>
        <v>2025</v>
      </c>
      <c r="I1237" s="228">
        <f>ROUNDUP((MOD(MONTH(AVEU_Historical_Data__2[[#This Row],[Date]])+8,12)+1)/3,0)</f>
        <v>4</v>
      </c>
      <c r="J1237" s="228">
        <f>MONTH(AVEU_Historical_Data__2[[#This Row],[Date]])</f>
        <v>3</v>
      </c>
      <c r="K1237" s="228"/>
    </row>
    <row r="1238" spans="1:11" x14ac:dyDescent="0.25">
      <c r="A1238" s="227">
        <v>45741</v>
      </c>
      <c r="B1238" s="228">
        <v>3998.8</v>
      </c>
      <c r="C1238" s="228">
        <v>3935</v>
      </c>
      <c r="D1238" s="228">
        <v>4033.95</v>
      </c>
      <c r="E1238" s="228">
        <v>3883.95</v>
      </c>
      <c r="F1238">
        <v>704460</v>
      </c>
      <c r="G1238" s="228">
        <v>2.4E-2</v>
      </c>
      <c r="H1238" s="228">
        <f>YEAR(AVEU_Historical_Data__2[[#This Row],[Date]])</f>
        <v>2025</v>
      </c>
      <c r="I1238" s="228">
        <f>ROUNDUP((MOD(MONTH(AVEU_Historical_Data__2[[#This Row],[Date]])+8,12)+1)/3,0)</f>
        <v>4</v>
      </c>
      <c r="J1238" s="228">
        <f>MONTH(AVEU_Historical_Data__2[[#This Row],[Date]])</f>
        <v>3</v>
      </c>
      <c r="K1238" s="228"/>
    </row>
    <row r="1239" spans="1:11" x14ac:dyDescent="0.25">
      <c r="A1239" s="227">
        <v>45742</v>
      </c>
      <c r="B1239" s="228">
        <v>3945.7</v>
      </c>
      <c r="C1239" s="228">
        <v>4010</v>
      </c>
      <c r="D1239" s="228">
        <v>4018.1</v>
      </c>
      <c r="E1239" s="228">
        <v>3917.3</v>
      </c>
      <c r="F1239">
        <v>384630</v>
      </c>
      <c r="G1239" s="228">
        <v>-1.3299999999999999E-2</v>
      </c>
      <c r="H1239" s="228">
        <f>YEAR(AVEU_Historical_Data__2[[#This Row],[Date]])</f>
        <v>2025</v>
      </c>
      <c r="I1239" s="228">
        <f>ROUNDUP((MOD(MONTH(AVEU_Historical_Data__2[[#This Row],[Date]])+8,12)+1)/3,0)</f>
        <v>4</v>
      </c>
      <c r="J1239" s="228">
        <f>MONTH(AVEU_Historical_Data__2[[#This Row],[Date]])</f>
        <v>3</v>
      </c>
      <c r="K1239" s="228"/>
    </row>
    <row r="1240" spans="1:11" x14ac:dyDescent="0.25">
      <c r="A1240" s="227">
        <v>45743</v>
      </c>
      <c r="B1240" s="228">
        <v>4065</v>
      </c>
      <c r="C1240" s="228">
        <v>3940</v>
      </c>
      <c r="D1240" s="228">
        <v>4085</v>
      </c>
      <c r="E1240" s="228">
        <v>3932.45</v>
      </c>
      <c r="F1240">
        <v>735790</v>
      </c>
      <c r="G1240" s="228">
        <v>3.0200000000000001E-2</v>
      </c>
      <c r="H1240" s="228">
        <f>YEAR(AVEU_Historical_Data__2[[#This Row],[Date]])</f>
        <v>2025</v>
      </c>
      <c r="I1240" s="228">
        <f>ROUNDUP((MOD(MONTH(AVEU_Historical_Data__2[[#This Row],[Date]])+8,12)+1)/3,0)</f>
        <v>4</v>
      </c>
      <c r="J1240" s="228">
        <f>MONTH(AVEU_Historical_Data__2[[#This Row],[Date]])</f>
        <v>3</v>
      </c>
      <c r="K1240" s="228"/>
    </row>
    <row r="1241" spans="1:11" x14ac:dyDescent="0.25">
      <c r="A1241" s="227">
        <v>45744</v>
      </c>
      <c r="B1241" s="228">
        <v>4083.2</v>
      </c>
      <c r="C1241" s="228">
        <v>4065</v>
      </c>
      <c r="D1241" s="228">
        <v>4190</v>
      </c>
      <c r="E1241" s="228">
        <v>4055.05</v>
      </c>
      <c r="F1241">
        <v>886800</v>
      </c>
      <c r="G1241" s="228">
        <v>4.4999999999999997E-3</v>
      </c>
      <c r="H1241" s="228">
        <f>YEAR(AVEU_Historical_Data__2[[#This Row],[Date]])</f>
        <v>2025</v>
      </c>
      <c r="I1241" s="228">
        <f>ROUNDUP((MOD(MONTH(AVEU_Historical_Data__2[[#This Row],[Date]])+8,12)+1)/3,0)</f>
        <v>4</v>
      </c>
      <c r="J1241" s="228">
        <f>MONTH(AVEU_Historical_Data__2[[#This Row],[Date]])</f>
        <v>3</v>
      </c>
      <c r="K1241" s="228"/>
    </row>
    <row r="1242" spans="1:11" x14ac:dyDescent="0.25">
      <c r="A1242" s="227">
        <v>45748</v>
      </c>
      <c r="B1242" s="228">
        <v>4003.6</v>
      </c>
      <c r="C1242" s="228">
        <v>4109.75</v>
      </c>
      <c r="D1242" s="228">
        <v>4163.3999999999996</v>
      </c>
      <c r="E1242" s="228">
        <v>3994.6</v>
      </c>
      <c r="F1242">
        <v>401320</v>
      </c>
      <c r="G1242" s="228">
        <v>-1.95E-2</v>
      </c>
      <c r="H1242" s="228">
        <f>YEAR(AVEU_Historical_Data__2[[#This Row],[Date]])</f>
        <v>2025</v>
      </c>
      <c r="I1242" s="228">
        <f>ROUNDUP((MOD(MONTH(AVEU_Historical_Data__2[[#This Row],[Date]])+8,12)+1)/3,0)</f>
        <v>1</v>
      </c>
      <c r="J1242" s="228">
        <f>MONTH(AVEU_Historical_Data__2[[#This Row],[Date]])</f>
        <v>4</v>
      </c>
      <c r="K1242" s="228"/>
    </row>
    <row r="1243" spans="1:11" x14ac:dyDescent="0.25">
      <c r="A1243" s="227">
        <v>45749</v>
      </c>
      <c r="B1243" s="228">
        <v>4121.45</v>
      </c>
      <c r="C1243" s="228">
        <v>4045</v>
      </c>
      <c r="D1243" s="228">
        <v>4131.7</v>
      </c>
      <c r="E1243" s="228">
        <v>3996</v>
      </c>
      <c r="F1243">
        <v>390710</v>
      </c>
      <c r="G1243" s="228">
        <v>2.9399999999999999E-2</v>
      </c>
      <c r="H1243" s="228">
        <f>YEAR(AVEU_Historical_Data__2[[#This Row],[Date]])</f>
        <v>2025</v>
      </c>
      <c r="I1243" s="228">
        <f>ROUNDUP((MOD(MONTH(AVEU_Historical_Data__2[[#This Row],[Date]])+8,12)+1)/3,0)</f>
        <v>1</v>
      </c>
      <c r="J1243" s="228">
        <f>MONTH(AVEU_Historical_Data__2[[#This Row],[Date]])</f>
        <v>4</v>
      </c>
      <c r="K1243" s="228"/>
    </row>
    <row r="1244" spans="1:11" x14ac:dyDescent="0.25">
      <c r="A1244" s="227">
        <v>45750</v>
      </c>
      <c r="B1244" s="228">
        <v>4157.8</v>
      </c>
      <c r="C1244" s="228">
        <v>4121.45</v>
      </c>
      <c r="D1244" s="228">
        <v>4195.5</v>
      </c>
      <c r="E1244" s="228">
        <v>4077.05</v>
      </c>
      <c r="F1244">
        <v>426310</v>
      </c>
      <c r="G1244" s="228">
        <v>8.8000000000000005E-3</v>
      </c>
      <c r="H1244" s="228">
        <f>YEAR(AVEU_Historical_Data__2[[#This Row],[Date]])</f>
        <v>2025</v>
      </c>
      <c r="I1244" s="228">
        <f>ROUNDUP((MOD(MONTH(AVEU_Historical_Data__2[[#This Row],[Date]])+8,12)+1)/3,0)</f>
        <v>1</v>
      </c>
      <c r="J1244" s="228">
        <f>MONTH(AVEU_Historical_Data__2[[#This Row],[Date]])</f>
        <v>4</v>
      </c>
      <c r="K1244" s="228"/>
    </row>
    <row r="1245" spans="1:11" x14ac:dyDescent="0.25">
      <c r="A1245" s="227">
        <v>45751</v>
      </c>
      <c r="B1245" s="228">
        <v>4039.9</v>
      </c>
      <c r="C1245" s="228">
        <v>4155</v>
      </c>
      <c r="D1245" s="228">
        <v>4155</v>
      </c>
      <c r="E1245" s="228">
        <v>3943</v>
      </c>
      <c r="F1245">
        <v>818950</v>
      </c>
      <c r="G1245" s="228">
        <v>-2.8400000000000002E-2</v>
      </c>
      <c r="H1245" s="228">
        <f>YEAR(AVEU_Historical_Data__2[[#This Row],[Date]])</f>
        <v>2025</v>
      </c>
      <c r="I1245" s="228">
        <f>ROUNDUP((MOD(MONTH(AVEU_Historical_Data__2[[#This Row],[Date]])+8,12)+1)/3,0)</f>
        <v>1</v>
      </c>
      <c r="J1245" s="228">
        <f>MONTH(AVEU_Historical_Data__2[[#This Row],[Date]])</f>
        <v>4</v>
      </c>
      <c r="K1245" s="228"/>
    </row>
    <row r="1246" spans="1:11" x14ac:dyDescent="0.25">
      <c r="A1246" s="227">
        <v>45754</v>
      </c>
      <c r="B1246" s="228">
        <v>4023.15</v>
      </c>
      <c r="C1246" s="228">
        <v>3761.2</v>
      </c>
      <c r="D1246" s="228">
        <v>4037.1</v>
      </c>
      <c r="E1246" s="228">
        <v>3761.2</v>
      </c>
      <c r="F1246">
        <v>472570</v>
      </c>
      <c r="G1246" s="228">
        <v>-4.1000000000000003E-3</v>
      </c>
      <c r="H1246" s="228">
        <f>YEAR(AVEU_Historical_Data__2[[#This Row],[Date]])</f>
        <v>2025</v>
      </c>
      <c r="I1246" s="228">
        <f>ROUNDUP((MOD(MONTH(AVEU_Historical_Data__2[[#This Row],[Date]])+8,12)+1)/3,0)</f>
        <v>1</v>
      </c>
      <c r="J1246" s="228">
        <f>MONTH(AVEU_Historical_Data__2[[#This Row],[Date]])</f>
        <v>4</v>
      </c>
      <c r="K1246" s="228"/>
    </row>
    <row r="1247" spans="1:11" x14ac:dyDescent="0.25">
      <c r="A1247" s="227">
        <v>45755</v>
      </c>
      <c r="B1247" s="228">
        <v>4053.85</v>
      </c>
      <c r="C1247" s="228">
        <v>4079</v>
      </c>
      <c r="D1247" s="228">
        <v>4100</v>
      </c>
      <c r="E1247" s="228">
        <v>4020</v>
      </c>
      <c r="F1247">
        <v>552580</v>
      </c>
      <c r="G1247" s="228">
        <v>7.6E-3</v>
      </c>
      <c r="H1247" s="228">
        <f>YEAR(AVEU_Historical_Data__2[[#This Row],[Date]])</f>
        <v>2025</v>
      </c>
      <c r="I1247" s="228">
        <f>ROUNDUP((MOD(MONTH(AVEU_Historical_Data__2[[#This Row],[Date]])+8,12)+1)/3,0)</f>
        <v>1</v>
      </c>
      <c r="J1247" s="228">
        <f>MONTH(AVEU_Historical_Data__2[[#This Row],[Date]])</f>
        <v>4</v>
      </c>
      <c r="K1247" s="228"/>
    </row>
    <row r="1248" spans="1:11" x14ac:dyDescent="0.25">
      <c r="A1248" s="227">
        <v>45756</v>
      </c>
      <c r="B1248" s="228">
        <v>4139.3</v>
      </c>
      <c r="C1248" s="228">
        <v>4053.85</v>
      </c>
      <c r="D1248" s="228">
        <v>4151.8500000000004</v>
      </c>
      <c r="E1248" s="228">
        <v>4014</v>
      </c>
      <c r="F1248">
        <v>663300</v>
      </c>
      <c r="G1248" s="228">
        <v>2.1100000000000001E-2</v>
      </c>
      <c r="H1248" s="228">
        <f>YEAR(AVEU_Historical_Data__2[[#This Row],[Date]])</f>
        <v>2025</v>
      </c>
      <c r="I1248" s="228">
        <f>ROUNDUP((MOD(MONTH(AVEU_Historical_Data__2[[#This Row],[Date]])+8,12)+1)/3,0)</f>
        <v>1</v>
      </c>
      <c r="J1248" s="228">
        <f>MONTH(AVEU_Historical_Data__2[[#This Row],[Date]])</f>
        <v>4</v>
      </c>
      <c r="K1248" s="228"/>
    </row>
    <row r="1249" spans="1:11" x14ac:dyDescent="0.25">
      <c r="A1249" s="227">
        <v>45758</v>
      </c>
      <c r="B1249" s="228">
        <v>4131.5</v>
      </c>
      <c r="C1249" s="228">
        <v>4157</v>
      </c>
      <c r="D1249" s="228">
        <v>4192</v>
      </c>
      <c r="E1249" s="228">
        <v>4113.05</v>
      </c>
      <c r="F1249">
        <v>570960</v>
      </c>
      <c r="G1249" s="228">
        <v>-1.9E-3</v>
      </c>
      <c r="H1249" s="228">
        <f>YEAR(AVEU_Historical_Data__2[[#This Row],[Date]])</f>
        <v>2025</v>
      </c>
      <c r="I1249" s="228">
        <f>ROUNDUP((MOD(MONTH(AVEU_Historical_Data__2[[#This Row],[Date]])+8,12)+1)/3,0)</f>
        <v>1</v>
      </c>
      <c r="J1249" s="228">
        <f>MONTH(AVEU_Historical_Data__2[[#This Row],[Date]])</f>
        <v>4</v>
      </c>
      <c r="K1249" s="228"/>
    </row>
    <row r="1250" spans="1:11" x14ac:dyDescent="0.25">
      <c r="A1250" s="227">
        <v>45762</v>
      </c>
      <c r="B1250" s="228">
        <v>4212.7</v>
      </c>
      <c r="C1250" s="228">
        <v>4200</v>
      </c>
      <c r="D1250" s="228">
        <v>4227</v>
      </c>
      <c r="E1250" s="228">
        <v>4088</v>
      </c>
      <c r="F1250">
        <v>569340</v>
      </c>
      <c r="G1250" s="228">
        <v>1.9699999999999999E-2</v>
      </c>
      <c r="H1250" s="228">
        <f>YEAR(AVEU_Historical_Data__2[[#This Row],[Date]])</f>
        <v>2025</v>
      </c>
      <c r="I1250" s="228">
        <f>ROUNDUP((MOD(MONTH(AVEU_Historical_Data__2[[#This Row],[Date]])+8,12)+1)/3,0)</f>
        <v>1</v>
      </c>
      <c r="J1250" s="228">
        <f>MONTH(AVEU_Historical_Data__2[[#This Row],[Date]])</f>
        <v>4</v>
      </c>
      <c r="K1250" s="228"/>
    </row>
    <row r="1251" spans="1:11" x14ac:dyDescent="0.25">
      <c r="A1251" s="227">
        <v>45763</v>
      </c>
      <c r="B1251" s="228">
        <v>4221.5</v>
      </c>
      <c r="C1251" s="228">
        <v>4240</v>
      </c>
      <c r="D1251" s="228">
        <v>4265</v>
      </c>
      <c r="E1251" s="228">
        <v>4200.2</v>
      </c>
      <c r="F1251">
        <v>331620</v>
      </c>
      <c r="G1251" s="228">
        <v>2.0999999999999999E-3</v>
      </c>
      <c r="H1251" s="228">
        <f>YEAR(AVEU_Historical_Data__2[[#This Row],[Date]])</f>
        <v>2025</v>
      </c>
      <c r="I1251" s="228">
        <f>ROUNDUP((MOD(MONTH(AVEU_Historical_Data__2[[#This Row],[Date]])+8,12)+1)/3,0)</f>
        <v>1</v>
      </c>
      <c r="J1251" s="228">
        <f>MONTH(AVEU_Historical_Data__2[[#This Row],[Date]])</f>
        <v>4</v>
      </c>
      <c r="K1251" s="228"/>
    </row>
    <row r="1252" spans="1:11" x14ac:dyDescent="0.25">
      <c r="A1252" s="227">
        <v>45764</v>
      </c>
      <c r="B1252" s="228">
        <v>4357.1000000000004</v>
      </c>
      <c r="C1252" s="228">
        <v>4221</v>
      </c>
      <c r="D1252" s="228">
        <v>4397</v>
      </c>
      <c r="E1252" s="228">
        <v>4192.2</v>
      </c>
      <c r="F1252">
        <v>1020000</v>
      </c>
      <c r="G1252" s="228">
        <v>3.2099999999999997E-2</v>
      </c>
      <c r="H1252" s="228">
        <f>YEAR(AVEU_Historical_Data__2[[#This Row],[Date]])</f>
        <v>2025</v>
      </c>
      <c r="I1252" s="228">
        <f>ROUNDUP((MOD(MONTH(AVEU_Historical_Data__2[[#This Row],[Date]])+8,12)+1)/3,0)</f>
        <v>1</v>
      </c>
      <c r="J1252" s="228">
        <f>MONTH(AVEU_Historical_Data__2[[#This Row],[Date]])</f>
        <v>4</v>
      </c>
      <c r="K1252" s="228"/>
    </row>
    <row r="1253" spans="1:11" x14ac:dyDescent="0.25">
      <c r="A1253" s="227">
        <v>45768</v>
      </c>
      <c r="B1253" s="228">
        <v>4342.3</v>
      </c>
      <c r="C1253" s="228">
        <v>4357</v>
      </c>
      <c r="D1253" s="228">
        <v>4429</v>
      </c>
      <c r="E1253" s="228">
        <v>4321.6000000000004</v>
      </c>
      <c r="F1253">
        <v>561590</v>
      </c>
      <c r="G1253" s="228">
        <v>-3.3999999999999998E-3</v>
      </c>
      <c r="H1253" s="228">
        <f>YEAR(AVEU_Historical_Data__2[[#This Row],[Date]])</f>
        <v>2025</v>
      </c>
      <c r="I1253" s="228">
        <f>ROUNDUP((MOD(MONTH(AVEU_Historical_Data__2[[#This Row],[Date]])+8,12)+1)/3,0)</f>
        <v>1</v>
      </c>
      <c r="J1253" s="228">
        <f>MONTH(AVEU_Historical_Data__2[[#This Row],[Date]])</f>
        <v>4</v>
      </c>
      <c r="K1253" s="228"/>
    </row>
    <row r="1254" spans="1:11" x14ac:dyDescent="0.25">
      <c r="A1254" s="227">
        <v>45769</v>
      </c>
      <c r="B1254" s="228">
        <v>4435.6000000000004</v>
      </c>
      <c r="C1254" s="228">
        <v>4363</v>
      </c>
      <c r="D1254" s="228">
        <v>4497</v>
      </c>
      <c r="E1254" s="228">
        <v>4315</v>
      </c>
      <c r="F1254">
        <v>998020</v>
      </c>
      <c r="G1254" s="228">
        <v>2.1499999999999998E-2</v>
      </c>
      <c r="H1254" s="228">
        <f>YEAR(AVEU_Historical_Data__2[[#This Row],[Date]])</f>
        <v>2025</v>
      </c>
      <c r="I1254" s="228">
        <f>ROUNDUP((MOD(MONTH(AVEU_Historical_Data__2[[#This Row],[Date]])+8,12)+1)/3,0)</f>
        <v>1</v>
      </c>
      <c r="J1254" s="228">
        <f>MONTH(AVEU_Historical_Data__2[[#This Row],[Date]])</f>
        <v>4</v>
      </c>
      <c r="K1254" s="228"/>
    </row>
    <row r="1255" spans="1:11" x14ac:dyDescent="0.25">
      <c r="A1255" s="227">
        <v>45770</v>
      </c>
      <c r="B1255" s="228">
        <v>4508.1000000000004</v>
      </c>
      <c r="C1255" s="228">
        <v>4455.5</v>
      </c>
      <c r="D1255" s="228">
        <v>4533.8</v>
      </c>
      <c r="E1255" s="228">
        <v>4434</v>
      </c>
      <c r="F1255">
        <v>1220000</v>
      </c>
      <c r="G1255" s="228">
        <v>1.6299999999999999E-2</v>
      </c>
      <c r="H1255" s="228">
        <f>YEAR(AVEU_Historical_Data__2[[#This Row],[Date]])</f>
        <v>2025</v>
      </c>
      <c r="I1255" s="228">
        <f>ROUNDUP((MOD(MONTH(AVEU_Historical_Data__2[[#This Row],[Date]])+8,12)+1)/3,0)</f>
        <v>1</v>
      </c>
      <c r="J1255" s="228">
        <f>MONTH(AVEU_Historical_Data__2[[#This Row],[Date]])</f>
        <v>4</v>
      </c>
      <c r="K1255" s="228"/>
    </row>
    <row r="1256" spans="1:11" x14ac:dyDescent="0.25">
      <c r="A1256" s="227">
        <v>45771</v>
      </c>
      <c r="B1256" s="228">
        <v>4498.8</v>
      </c>
      <c r="C1256" s="228">
        <v>4509.8</v>
      </c>
      <c r="D1256" s="228">
        <v>4557.7</v>
      </c>
      <c r="E1256" s="228">
        <v>4452</v>
      </c>
      <c r="F1256">
        <v>1700000</v>
      </c>
      <c r="G1256" s="228">
        <v>-2.0999999999999999E-3</v>
      </c>
      <c r="H1256" s="228">
        <f>YEAR(AVEU_Historical_Data__2[[#This Row],[Date]])</f>
        <v>2025</v>
      </c>
      <c r="I1256" s="228">
        <f>ROUNDUP((MOD(MONTH(AVEU_Historical_Data__2[[#This Row],[Date]])+8,12)+1)/3,0)</f>
        <v>1</v>
      </c>
      <c r="J1256" s="228">
        <f>MONTH(AVEU_Historical_Data__2[[#This Row],[Date]])</f>
        <v>4</v>
      </c>
      <c r="K1256" s="228"/>
    </row>
    <row r="1257" spans="1:11" x14ac:dyDescent="0.25">
      <c r="A1257" s="227">
        <v>45772</v>
      </c>
      <c r="B1257" s="228">
        <v>4375.2</v>
      </c>
      <c r="C1257" s="228">
        <v>4501.8999999999996</v>
      </c>
      <c r="D1257" s="228">
        <v>4520.7</v>
      </c>
      <c r="E1257" s="228">
        <v>4350</v>
      </c>
      <c r="F1257">
        <v>540510</v>
      </c>
      <c r="G1257" s="228">
        <v>-2.75E-2</v>
      </c>
      <c r="H1257" s="228">
        <f>YEAR(AVEU_Historical_Data__2[[#This Row],[Date]])</f>
        <v>2025</v>
      </c>
      <c r="I1257" s="228">
        <f>ROUNDUP((MOD(MONTH(AVEU_Historical_Data__2[[#This Row],[Date]])+8,12)+1)/3,0)</f>
        <v>1</v>
      </c>
      <c r="J1257" s="228">
        <f>MONTH(AVEU_Historical_Data__2[[#This Row],[Date]])</f>
        <v>4</v>
      </c>
      <c r="K1257" s="228"/>
    </row>
    <row r="1258" spans="1:11" x14ac:dyDescent="0.25">
      <c r="A1258" s="227">
        <v>45775</v>
      </c>
      <c r="B1258" s="228">
        <v>4366.8</v>
      </c>
      <c r="C1258" s="228">
        <v>4375.2</v>
      </c>
      <c r="D1258" s="228">
        <v>4462.3</v>
      </c>
      <c r="E1258" s="228">
        <v>4351.2</v>
      </c>
      <c r="F1258">
        <v>676460</v>
      </c>
      <c r="G1258" s="228">
        <v>-1.9E-3</v>
      </c>
      <c r="H1258" s="228">
        <f>YEAR(AVEU_Historical_Data__2[[#This Row],[Date]])</f>
        <v>2025</v>
      </c>
      <c r="I1258" s="228">
        <f>ROUNDUP((MOD(MONTH(AVEU_Historical_Data__2[[#This Row],[Date]])+8,12)+1)/3,0)</f>
        <v>1</v>
      </c>
      <c r="J1258" s="228">
        <f>MONTH(AVEU_Historical_Data__2[[#This Row],[Date]])</f>
        <v>4</v>
      </c>
      <c r="K1258" s="228"/>
    </row>
    <row r="1259" spans="1:11" x14ac:dyDescent="0.25">
      <c r="A1259" s="227">
        <v>45776</v>
      </c>
      <c r="B1259" s="228">
        <v>4310</v>
      </c>
      <c r="C1259" s="228">
        <v>4370</v>
      </c>
      <c r="D1259" s="228">
        <v>4414.7</v>
      </c>
      <c r="E1259" s="228">
        <v>4288.5</v>
      </c>
      <c r="F1259">
        <v>388130</v>
      </c>
      <c r="G1259" s="228">
        <v>-1.2999999999999999E-2</v>
      </c>
      <c r="H1259" s="228">
        <f>YEAR(AVEU_Historical_Data__2[[#This Row],[Date]])</f>
        <v>2025</v>
      </c>
      <c r="I1259" s="228">
        <f>ROUNDUP((MOD(MONTH(AVEU_Historical_Data__2[[#This Row],[Date]])+8,12)+1)/3,0)</f>
        <v>1</v>
      </c>
      <c r="J1259" s="228">
        <f>MONTH(AVEU_Historical_Data__2[[#This Row],[Date]])</f>
        <v>4</v>
      </c>
      <c r="K1259" s="228"/>
    </row>
    <row r="1260" spans="1:11" x14ac:dyDescent="0.25">
      <c r="A1260" s="227">
        <v>45777</v>
      </c>
      <c r="B1260" s="228">
        <v>4199.8999999999996</v>
      </c>
      <c r="C1260" s="228">
        <v>4352</v>
      </c>
      <c r="D1260" s="228">
        <v>4355</v>
      </c>
      <c r="E1260" s="228">
        <v>4147.5</v>
      </c>
      <c r="F1260">
        <v>814010</v>
      </c>
      <c r="G1260" s="228">
        <v>-2.5499999999999998E-2</v>
      </c>
      <c r="H1260" s="228">
        <f>YEAR(AVEU_Historical_Data__2[[#This Row],[Date]])</f>
        <v>2025</v>
      </c>
      <c r="I1260" s="228">
        <f>ROUNDUP((MOD(MONTH(AVEU_Historical_Data__2[[#This Row],[Date]])+8,12)+1)/3,0)</f>
        <v>1</v>
      </c>
      <c r="J1260" s="228">
        <f>MONTH(AVEU_Historical_Data__2[[#This Row],[Date]])</f>
        <v>4</v>
      </c>
      <c r="K1260" s="228"/>
    </row>
    <row r="1261" spans="1:11" x14ac:dyDescent="0.25">
      <c r="A1261" s="227">
        <v>45779</v>
      </c>
      <c r="B1261" s="228">
        <v>4059.2</v>
      </c>
      <c r="C1261" s="228">
        <v>4180</v>
      </c>
      <c r="D1261" s="228">
        <v>4225</v>
      </c>
      <c r="E1261" s="228">
        <v>4022</v>
      </c>
      <c r="F1261">
        <v>752500</v>
      </c>
      <c r="G1261" s="228">
        <v>-3.3500000000000002E-2</v>
      </c>
      <c r="H1261" s="228">
        <f>YEAR(AVEU_Historical_Data__2[[#This Row],[Date]])</f>
        <v>2025</v>
      </c>
      <c r="I1261" s="228">
        <f>ROUNDUP((MOD(MONTH(AVEU_Historical_Data__2[[#This Row],[Date]])+8,12)+1)/3,0)</f>
        <v>1</v>
      </c>
      <c r="J1261" s="228">
        <f>MONTH(AVEU_Historical_Data__2[[#This Row],[Date]])</f>
        <v>5</v>
      </c>
      <c r="K1261" s="228"/>
    </row>
    <row r="1262" spans="1:11" x14ac:dyDescent="0.25">
      <c r="A1262" s="227">
        <v>45782</v>
      </c>
      <c r="B1262" s="228">
        <v>4018.4</v>
      </c>
      <c r="C1262" s="228">
        <v>3956</v>
      </c>
      <c r="D1262" s="228">
        <v>4059.9</v>
      </c>
      <c r="E1262" s="228">
        <v>3915</v>
      </c>
      <c r="F1262">
        <v>1410000</v>
      </c>
      <c r="G1262" s="228">
        <v>-1.01E-2</v>
      </c>
      <c r="H1262" s="228">
        <f>YEAR(AVEU_Historical_Data__2[[#This Row],[Date]])</f>
        <v>2025</v>
      </c>
      <c r="I1262" s="228">
        <f>ROUNDUP((MOD(MONTH(AVEU_Historical_Data__2[[#This Row],[Date]])+8,12)+1)/3,0)</f>
        <v>1</v>
      </c>
      <c r="J1262" s="228">
        <f>MONTH(AVEU_Historical_Data__2[[#This Row],[Date]])</f>
        <v>5</v>
      </c>
      <c r="K1262" s="228"/>
    </row>
    <row r="1263" spans="1:11" x14ac:dyDescent="0.25">
      <c r="A1263" s="227">
        <v>45783</v>
      </c>
      <c r="B1263" s="228">
        <v>4006.1</v>
      </c>
      <c r="C1263" s="228">
        <v>4018.5</v>
      </c>
      <c r="D1263" s="228">
        <v>4077</v>
      </c>
      <c r="E1263" s="228">
        <v>3993.7</v>
      </c>
      <c r="F1263">
        <v>399030</v>
      </c>
      <c r="G1263" s="228">
        <v>-3.0999999999999999E-3</v>
      </c>
      <c r="H1263" s="228">
        <f>YEAR(AVEU_Historical_Data__2[[#This Row],[Date]])</f>
        <v>2025</v>
      </c>
      <c r="I1263" s="228">
        <f>ROUNDUP((MOD(MONTH(AVEU_Historical_Data__2[[#This Row],[Date]])+8,12)+1)/3,0)</f>
        <v>1</v>
      </c>
      <c r="J1263" s="228">
        <f>MONTH(AVEU_Historical_Data__2[[#This Row],[Date]])</f>
        <v>5</v>
      </c>
      <c r="K1263" s="228"/>
    </row>
    <row r="1264" spans="1:11" x14ac:dyDescent="0.25">
      <c r="A1264" s="227">
        <v>45784</v>
      </c>
      <c r="B1264" s="228">
        <v>3999.8</v>
      </c>
      <c r="C1264" s="228">
        <v>3973</v>
      </c>
      <c r="D1264" s="228">
        <v>4032.5</v>
      </c>
      <c r="E1264" s="228">
        <v>3950.8</v>
      </c>
      <c r="F1264">
        <v>387480</v>
      </c>
      <c r="G1264" s="228">
        <v>-1.6000000000000001E-3</v>
      </c>
      <c r="H1264" s="228">
        <f>YEAR(AVEU_Historical_Data__2[[#This Row],[Date]])</f>
        <v>2025</v>
      </c>
      <c r="I1264" s="228">
        <f>ROUNDUP((MOD(MONTH(AVEU_Historical_Data__2[[#This Row],[Date]])+8,12)+1)/3,0)</f>
        <v>1</v>
      </c>
      <c r="J1264" s="228">
        <f>MONTH(AVEU_Historical_Data__2[[#This Row],[Date]])</f>
        <v>5</v>
      </c>
      <c r="K1264" s="228"/>
    </row>
    <row r="1265" spans="1:11" x14ac:dyDescent="0.25">
      <c r="A1265" s="227">
        <v>45785</v>
      </c>
      <c r="B1265" s="228">
        <v>3974.3</v>
      </c>
      <c r="C1265" s="228">
        <v>4037.7</v>
      </c>
      <c r="D1265" s="228">
        <v>4069.5</v>
      </c>
      <c r="E1265" s="228">
        <v>3958</v>
      </c>
      <c r="F1265">
        <v>473680</v>
      </c>
      <c r="G1265" s="228">
        <v>-6.4000000000000003E-3</v>
      </c>
      <c r="H1265" s="228">
        <f>YEAR(AVEU_Historical_Data__2[[#This Row],[Date]])</f>
        <v>2025</v>
      </c>
      <c r="I1265" s="228">
        <f>ROUNDUP((MOD(MONTH(AVEU_Historical_Data__2[[#This Row],[Date]])+8,12)+1)/3,0)</f>
        <v>1</v>
      </c>
      <c r="J1265" s="228">
        <f>MONTH(AVEU_Historical_Data__2[[#This Row],[Date]])</f>
        <v>5</v>
      </c>
      <c r="K1265" s="228"/>
    </row>
    <row r="1266" spans="1:11" x14ac:dyDescent="0.25">
      <c r="A1266" s="227">
        <v>45786</v>
      </c>
      <c r="B1266" s="228">
        <v>3972.4</v>
      </c>
      <c r="C1266" s="228">
        <v>3850</v>
      </c>
      <c r="D1266" s="228">
        <v>3994.6</v>
      </c>
      <c r="E1266" s="228">
        <v>3850</v>
      </c>
      <c r="F1266">
        <v>422110</v>
      </c>
      <c r="G1266" s="228">
        <v>-5.0000000000000001E-4</v>
      </c>
      <c r="H1266" s="228">
        <f>YEAR(AVEU_Historical_Data__2[[#This Row],[Date]])</f>
        <v>2025</v>
      </c>
      <c r="I1266" s="228">
        <f>ROUNDUP((MOD(MONTH(AVEU_Historical_Data__2[[#This Row],[Date]])+8,12)+1)/3,0)</f>
        <v>1</v>
      </c>
      <c r="J1266" s="228">
        <f>MONTH(AVEU_Historical_Data__2[[#This Row],[Date]])</f>
        <v>5</v>
      </c>
      <c r="K1266" s="228"/>
    </row>
    <row r="1267" spans="1:11" x14ac:dyDescent="0.25">
      <c r="A1267" s="227">
        <v>45789</v>
      </c>
      <c r="B1267" s="228">
        <v>4023.5</v>
      </c>
      <c r="C1267" s="228">
        <v>4050</v>
      </c>
      <c r="D1267" s="228">
        <v>4050</v>
      </c>
      <c r="E1267" s="228">
        <v>3995.9</v>
      </c>
      <c r="F1267">
        <v>330750</v>
      </c>
      <c r="G1267" s="228">
        <v>1.29E-2</v>
      </c>
      <c r="H1267" s="228">
        <f>YEAR(AVEU_Historical_Data__2[[#This Row],[Date]])</f>
        <v>2025</v>
      </c>
      <c r="I1267" s="228">
        <f>ROUNDUP((MOD(MONTH(AVEU_Historical_Data__2[[#This Row],[Date]])+8,12)+1)/3,0)</f>
        <v>1</v>
      </c>
      <c r="J1267" s="228">
        <f>MONTH(AVEU_Historical_Data__2[[#This Row],[Date]])</f>
        <v>5</v>
      </c>
      <c r="K1267" s="228"/>
    </row>
    <row r="1268" spans="1:11" x14ac:dyDescent="0.25">
      <c r="A1268" s="227">
        <v>45790</v>
      </c>
      <c r="B1268" s="228">
        <v>4064.1</v>
      </c>
      <c r="C1268" s="228">
        <v>4033</v>
      </c>
      <c r="D1268" s="228">
        <v>4107</v>
      </c>
      <c r="E1268" s="228">
        <v>4033</v>
      </c>
      <c r="F1268">
        <v>368480</v>
      </c>
      <c r="G1268" s="228">
        <v>1.01E-2</v>
      </c>
      <c r="H1268" s="228">
        <f>YEAR(AVEU_Historical_Data__2[[#This Row],[Date]])</f>
        <v>2025</v>
      </c>
      <c r="I1268" s="228">
        <f>ROUNDUP((MOD(MONTH(AVEU_Historical_Data__2[[#This Row],[Date]])+8,12)+1)/3,0)</f>
        <v>1</v>
      </c>
      <c r="J1268" s="228">
        <f>MONTH(AVEU_Historical_Data__2[[#This Row],[Date]])</f>
        <v>5</v>
      </c>
      <c r="K1268" s="228"/>
    </row>
    <row r="1269" spans="1:11" x14ac:dyDescent="0.25">
      <c r="A1269" s="227">
        <v>45791</v>
      </c>
      <c r="B1269" s="228">
        <v>4049.2</v>
      </c>
      <c r="C1269" s="228">
        <v>4090.1</v>
      </c>
      <c r="D1269" s="228">
        <v>4098.2</v>
      </c>
      <c r="E1269" s="228">
        <v>4010.1</v>
      </c>
      <c r="F1269">
        <v>393290</v>
      </c>
      <c r="G1269" s="228">
        <v>-3.7000000000000002E-3</v>
      </c>
      <c r="H1269" s="228">
        <f>YEAR(AVEU_Historical_Data__2[[#This Row],[Date]])</f>
        <v>2025</v>
      </c>
      <c r="I1269" s="228">
        <f>ROUNDUP((MOD(MONTH(AVEU_Historical_Data__2[[#This Row],[Date]])+8,12)+1)/3,0)</f>
        <v>1</v>
      </c>
      <c r="J1269" s="228">
        <f>MONTH(AVEU_Historical_Data__2[[#This Row],[Date]])</f>
        <v>5</v>
      </c>
      <c r="K1269" s="228"/>
    </row>
    <row r="1270" spans="1:11" x14ac:dyDescent="0.25">
      <c r="A1270" s="227">
        <v>45792</v>
      </c>
      <c r="B1270" s="228">
        <v>4073.5</v>
      </c>
      <c r="C1270" s="228">
        <v>4060</v>
      </c>
      <c r="D1270" s="228">
        <v>4120.8999999999996</v>
      </c>
      <c r="E1270" s="228">
        <v>4040</v>
      </c>
      <c r="F1270">
        <v>263180</v>
      </c>
      <c r="G1270" s="228">
        <v>6.0000000000000001E-3</v>
      </c>
      <c r="H1270" s="228">
        <f>YEAR(AVEU_Historical_Data__2[[#This Row],[Date]])</f>
        <v>2025</v>
      </c>
      <c r="I1270" s="228">
        <f>ROUNDUP((MOD(MONTH(AVEU_Historical_Data__2[[#This Row],[Date]])+8,12)+1)/3,0)</f>
        <v>1</v>
      </c>
      <c r="J1270" s="228">
        <f>MONTH(AVEU_Historical_Data__2[[#This Row],[Date]])</f>
        <v>5</v>
      </c>
      <c r="K1270" s="228"/>
    </row>
    <row r="1271" spans="1:11" x14ac:dyDescent="0.25">
      <c r="A1271" s="227">
        <v>45793</v>
      </c>
      <c r="B1271" s="228">
        <v>4189.7</v>
      </c>
      <c r="C1271" s="228">
        <v>4070</v>
      </c>
      <c r="D1271" s="228">
        <v>4196</v>
      </c>
      <c r="E1271" s="228">
        <v>4042.5</v>
      </c>
      <c r="F1271">
        <v>386500</v>
      </c>
      <c r="G1271" s="228">
        <v>2.8500000000000001E-2</v>
      </c>
      <c r="H1271" s="228">
        <f>YEAR(AVEU_Historical_Data__2[[#This Row],[Date]])</f>
        <v>2025</v>
      </c>
      <c r="I1271" s="228">
        <f>ROUNDUP((MOD(MONTH(AVEU_Historical_Data__2[[#This Row],[Date]])+8,12)+1)/3,0)</f>
        <v>1</v>
      </c>
      <c r="J1271" s="228">
        <f>MONTH(AVEU_Historical_Data__2[[#This Row],[Date]])</f>
        <v>5</v>
      </c>
      <c r="K1271" s="228"/>
    </row>
    <row r="1272" spans="1:11" x14ac:dyDescent="0.25">
      <c r="A1272" s="227">
        <v>45796</v>
      </c>
      <c r="B1272" s="228">
        <v>4206.8</v>
      </c>
      <c r="C1272" s="228">
        <v>4200</v>
      </c>
      <c r="D1272" s="228">
        <v>4247.7</v>
      </c>
      <c r="E1272" s="228">
        <v>4190</v>
      </c>
      <c r="F1272">
        <v>301180</v>
      </c>
      <c r="G1272" s="228">
        <v>4.1000000000000003E-3</v>
      </c>
      <c r="H1272" s="228">
        <f>YEAR(AVEU_Historical_Data__2[[#This Row],[Date]])</f>
        <v>2025</v>
      </c>
      <c r="I1272" s="228">
        <f>ROUNDUP((MOD(MONTH(AVEU_Historical_Data__2[[#This Row],[Date]])+8,12)+1)/3,0)</f>
        <v>1</v>
      </c>
      <c r="J1272" s="228">
        <f>MONTH(AVEU_Historical_Data__2[[#This Row],[Date]])</f>
        <v>5</v>
      </c>
      <c r="K1272" s="228"/>
    </row>
    <row r="1273" spans="1:11" x14ac:dyDescent="0.25">
      <c r="A1273" s="227">
        <v>45797</v>
      </c>
      <c r="B1273" s="228">
        <v>4071.5</v>
      </c>
      <c r="C1273" s="228">
        <v>4216</v>
      </c>
      <c r="D1273" s="228">
        <v>4233.7</v>
      </c>
      <c r="E1273" s="228">
        <v>4063.2</v>
      </c>
      <c r="F1273">
        <v>497090</v>
      </c>
      <c r="G1273" s="228">
        <v>-3.2199999999999999E-2</v>
      </c>
      <c r="H1273" s="228">
        <f>YEAR(AVEU_Historical_Data__2[[#This Row],[Date]])</f>
        <v>2025</v>
      </c>
      <c r="I1273" s="228">
        <f>ROUNDUP((MOD(MONTH(AVEU_Historical_Data__2[[#This Row],[Date]])+8,12)+1)/3,0)</f>
        <v>1</v>
      </c>
      <c r="J1273" s="228">
        <f>MONTH(AVEU_Historical_Data__2[[#This Row],[Date]])</f>
        <v>5</v>
      </c>
      <c r="K1273" s="228"/>
    </row>
    <row r="1274" spans="1:11" x14ac:dyDescent="0.25">
      <c r="A1274" s="227">
        <v>45798</v>
      </c>
      <c r="B1274" s="228">
        <v>4112.7</v>
      </c>
      <c r="C1274" s="228">
        <v>4090</v>
      </c>
      <c r="D1274" s="228">
        <v>4125.5</v>
      </c>
      <c r="E1274" s="228">
        <v>4070</v>
      </c>
      <c r="F1274">
        <v>194860</v>
      </c>
      <c r="G1274" s="228">
        <v>1.01E-2</v>
      </c>
      <c r="H1274" s="228">
        <f>YEAR(AVEU_Historical_Data__2[[#This Row],[Date]])</f>
        <v>2025</v>
      </c>
      <c r="I1274" s="228">
        <f>ROUNDUP((MOD(MONTH(AVEU_Historical_Data__2[[#This Row],[Date]])+8,12)+1)/3,0)</f>
        <v>1</v>
      </c>
      <c r="J1274" s="228">
        <f>MONTH(AVEU_Historical_Data__2[[#This Row],[Date]])</f>
        <v>5</v>
      </c>
      <c r="K1274" s="228"/>
    </row>
    <row r="1275" spans="1:11" x14ac:dyDescent="0.25">
      <c r="A1275" s="227">
        <v>45799</v>
      </c>
      <c r="B1275" s="228">
        <v>4082.7</v>
      </c>
      <c r="C1275" s="228">
        <v>4112.8</v>
      </c>
      <c r="D1275" s="228">
        <v>4128</v>
      </c>
      <c r="E1275" s="228">
        <v>4051</v>
      </c>
      <c r="F1275">
        <v>277340</v>
      </c>
      <c r="G1275" s="228">
        <v>-7.3000000000000001E-3</v>
      </c>
      <c r="H1275" s="228">
        <f>YEAR(AVEU_Historical_Data__2[[#This Row],[Date]])</f>
        <v>2025</v>
      </c>
      <c r="I1275" s="228">
        <f>ROUNDUP((MOD(MONTH(AVEU_Historical_Data__2[[#This Row],[Date]])+8,12)+1)/3,0)</f>
        <v>1</v>
      </c>
      <c r="J1275" s="228">
        <f>MONTH(AVEU_Historical_Data__2[[#This Row],[Date]])</f>
        <v>5</v>
      </c>
      <c r="K1275" s="228"/>
    </row>
    <row r="1276" spans="1:11" x14ac:dyDescent="0.25">
      <c r="A1276" s="227">
        <v>45800</v>
      </c>
      <c r="B1276" s="228">
        <v>4140.8</v>
      </c>
      <c r="C1276" s="228">
        <v>4083.9</v>
      </c>
      <c r="D1276" s="228">
        <v>4153.3</v>
      </c>
      <c r="E1276" s="228">
        <v>4065.2</v>
      </c>
      <c r="F1276">
        <v>269460</v>
      </c>
      <c r="G1276" s="228">
        <v>1.4200000000000001E-2</v>
      </c>
      <c r="H1276" s="228">
        <f>YEAR(AVEU_Historical_Data__2[[#This Row],[Date]])</f>
        <v>2025</v>
      </c>
      <c r="I1276" s="228">
        <f>ROUNDUP((MOD(MONTH(AVEU_Historical_Data__2[[#This Row],[Date]])+8,12)+1)/3,0)</f>
        <v>1</v>
      </c>
      <c r="J1276" s="228">
        <f>MONTH(AVEU_Historical_Data__2[[#This Row],[Date]])</f>
        <v>5</v>
      </c>
      <c r="K1276" s="228"/>
    </row>
    <row r="1277" spans="1:11" x14ac:dyDescent="0.25">
      <c r="A1277" s="227">
        <v>45803</v>
      </c>
      <c r="B1277" s="228">
        <v>4138.3999999999996</v>
      </c>
      <c r="C1277" s="228">
        <v>4145</v>
      </c>
      <c r="D1277" s="228">
        <v>4170</v>
      </c>
      <c r="E1277" s="228">
        <v>4120</v>
      </c>
      <c r="F1277">
        <v>139850</v>
      </c>
      <c r="G1277" s="228">
        <v>-5.9999999999999995E-4</v>
      </c>
      <c r="H1277" s="228">
        <f>YEAR(AVEU_Historical_Data__2[[#This Row],[Date]])</f>
        <v>2025</v>
      </c>
      <c r="I1277" s="228">
        <f>ROUNDUP((MOD(MONTH(AVEU_Historical_Data__2[[#This Row],[Date]])+8,12)+1)/3,0)</f>
        <v>1</v>
      </c>
      <c r="J1277" s="228">
        <f>MONTH(AVEU_Historical_Data__2[[#This Row],[Date]])</f>
        <v>5</v>
      </c>
      <c r="K1277" s="228"/>
    </row>
    <row r="1278" spans="1:11" x14ac:dyDescent="0.25">
      <c r="A1278" s="227">
        <v>45804</v>
      </c>
      <c r="B1278" s="228">
        <v>4094</v>
      </c>
      <c r="C1278" s="228">
        <v>4139.8</v>
      </c>
      <c r="D1278" s="228">
        <v>4149.5</v>
      </c>
      <c r="E1278" s="228">
        <v>4078</v>
      </c>
      <c r="F1278">
        <v>324620</v>
      </c>
      <c r="G1278" s="228">
        <v>-1.0699999999999999E-2</v>
      </c>
      <c r="H1278" s="228">
        <f>YEAR(AVEU_Historical_Data__2[[#This Row],[Date]])</f>
        <v>2025</v>
      </c>
      <c r="I1278" s="228">
        <f>ROUNDUP((MOD(MONTH(AVEU_Historical_Data__2[[#This Row],[Date]])+8,12)+1)/3,0)</f>
        <v>1</v>
      </c>
      <c r="J1278" s="228">
        <f>MONTH(AVEU_Historical_Data__2[[#This Row],[Date]])</f>
        <v>5</v>
      </c>
      <c r="K1278" s="228"/>
    </row>
    <row r="1279" spans="1:11" x14ac:dyDescent="0.25">
      <c r="A1279" s="227">
        <v>45805</v>
      </c>
      <c r="B1279" s="228">
        <v>4042.3</v>
      </c>
      <c r="C1279" s="228">
        <v>4094</v>
      </c>
      <c r="D1279" s="228">
        <v>4101.8999999999996</v>
      </c>
      <c r="E1279" s="228">
        <v>4040</v>
      </c>
      <c r="F1279">
        <v>254920</v>
      </c>
      <c r="G1279" s="228">
        <v>-1.26E-2</v>
      </c>
      <c r="H1279" s="228">
        <f>YEAR(AVEU_Historical_Data__2[[#This Row],[Date]])</f>
        <v>2025</v>
      </c>
      <c r="I1279" s="228">
        <f>ROUNDUP((MOD(MONTH(AVEU_Historical_Data__2[[#This Row],[Date]])+8,12)+1)/3,0)</f>
        <v>1</v>
      </c>
      <c r="J1279" s="228">
        <f>MONTH(AVEU_Historical_Data__2[[#This Row],[Date]])</f>
        <v>5</v>
      </c>
      <c r="K1279" s="228"/>
    </row>
    <row r="1280" spans="1:11" x14ac:dyDescent="0.25">
      <c r="A1280" s="227">
        <v>45806</v>
      </c>
      <c r="B1280" s="228">
        <v>4042.3</v>
      </c>
      <c r="C1280" s="228">
        <v>4050</v>
      </c>
      <c r="D1280" s="228">
        <v>4070</v>
      </c>
      <c r="E1280" s="228">
        <v>4015</v>
      </c>
      <c r="F1280">
        <v>252340</v>
      </c>
      <c r="G1280" s="228">
        <v>0</v>
      </c>
      <c r="H1280" s="228">
        <f>YEAR(AVEU_Historical_Data__2[[#This Row],[Date]])</f>
        <v>2025</v>
      </c>
      <c r="I1280" s="228">
        <f>ROUNDUP((MOD(MONTH(AVEU_Historical_Data__2[[#This Row],[Date]])+8,12)+1)/3,0)</f>
        <v>1</v>
      </c>
      <c r="J1280" s="228">
        <f>MONTH(AVEU_Historical_Data__2[[#This Row],[Date]])</f>
        <v>5</v>
      </c>
      <c r="K1280" s="228"/>
    </row>
    <row r="1281" spans="1:11" x14ac:dyDescent="0.25">
      <c r="A1281" s="227">
        <v>45807</v>
      </c>
      <c r="B1281" s="228">
        <v>4002.1</v>
      </c>
      <c r="C1281" s="228">
        <v>4042.3</v>
      </c>
      <c r="D1281" s="228">
        <v>4085.4</v>
      </c>
      <c r="E1281" s="228">
        <v>3991.8</v>
      </c>
      <c r="F1281">
        <v>448050</v>
      </c>
      <c r="G1281" s="228">
        <v>-9.9000000000000008E-3</v>
      </c>
      <c r="H1281" s="228">
        <f>YEAR(AVEU_Historical_Data__2[[#This Row],[Date]])</f>
        <v>2025</v>
      </c>
      <c r="I1281" s="228">
        <f>ROUNDUP((MOD(MONTH(AVEU_Historical_Data__2[[#This Row],[Date]])+8,12)+1)/3,0)</f>
        <v>1</v>
      </c>
      <c r="J1281" s="228">
        <f>MONTH(AVEU_Historical_Data__2[[#This Row],[Date]])</f>
        <v>5</v>
      </c>
      <c r="K1281" s="228"/>
    </row>
    <row r="1282" spans="1:11" x14ac:dyDescent="0.25">
      <c r="A1282" s="227">
        <v>45810</v>
      </c>
      <c r="B1282" s="228">
        <v>4025.5</v>
      </c>
      <c r="C1282" s="228">
        <v>3990</v>
      </c>
      <c r="D1282" s="228">
        <v>4044</v>
      </c>
      <c r="E1282" s="228">
        <v>3981.3</v>
      </c>
      <c r="F1282">
        <v>232100</v>
      </c>
      <c r="G1282" s="228">
        <v>5.7999999999999996E-3</v>
      </c>
      <c r="H1282" s="228">
        <f>YEAR(AVEU_Historical_Data__2[[#This Row],[Date]])</f>
        <v>2025</v>
      </c>
      <c r="I1282" s="228">
        <f>ROUNDUP((MOD(MONTH(AVEU_Historical_Data__2[[#This Row],[Date]])+8,12)+1)/3,0)</f>
        <v>1</v>
      </c>
      <c r="J1282" s="228">
        <f>MONTH(AVEU_Historical_Data__2[[#This Row],[Date]])</f>
        <v>6</v>
      </c>
      <c r="K1282" s="228"/>
    </row>
    <row r="1283" spans="1:11" x14ac:dyDescent="0.25">
      <c r="A1283" s="227">
        <v>45811</v>
      </c>
      <c r="B1283" s="228">
        <v>4055.2</v>
      </c>
      <c r="C1283" s="228">
        <v>4025.5</v>
      </c>
      <c r="D1283" s="228">
        <v>4058.5</v>
      </c>
      <c r="E1283" s="228">
        <v>4014.3</v>
      </c>
      <c r="F1283">
        <v>310600</v>
      </c>
      <c r="G1283" s="228">
        <v>7.4000000000000003E-3</v>
      </c>
      <c r="H1283" s="228">
        <f>YEAR(AVEU_Historical_Data__2[[#This Row],[Date]])</f>
        <v>2025</v>
      </c>
      <c r="I1283" s="228">
        <f>ROUNDUP((MOD(MONTH(AVEU_Historical_Data__2[[#This Row],[Date]])+8,12)+1)/3,0)</f>
        <v>1</v>
      </c>
      <c r="J1283" s="228">
        <f>MONTH(AVEU_Historical_Data__2[[#This Row],[Date]])</f>
        <v>6</v>
      </c>
      <c r="K1283" s="228"/>
    </row>
    <row r="1284" spans="1:11" x14ac:dyDescent="0.25">
      <c r="A1284" s="227">
        <v>45812</v>
      </c>
      <c r="B1284" s="228">
        <v>4074.5</v>
      </c>
      <c r="C1284" s="228">
        <v>4061.6</v>
      </c>
      <c r="D1284" s="228">
        <v>4085</v>
      </c>
      <c r="E1284" s="228">
        <v>4007.5</v>
      </c>
      <c r="F1284">
        <v>196470</v>
      </c>
      <c r="G1284" s="228">
        <v>4.7999999999999996E-3</v>
      </c>
      <c r="H1284" s="228">
        <f>YEAR(AVEU_Historical_Data__2[[#This Row],[Date]])</f>
        <v>2025</v>
      </c>
      <c r="I1284" s="228">
        <f>ROUNDUP((MOD(MONTH(AVEU_Historical_Data__2[[#This Row],[Date]])+8,12)+1)/3,0)</f>
        <v>1</v>
      </c>
      <c r="J1284" s="228">
        <f>MONTH(AVEU_Historical_Data__2[[#This Row],[Date]])</f>
        <v>6</v>
      </c>
      <c r="K1284" s="228"/>
    </row>
    <row r="1285" spans="1:11" x14ac:dyDescent="0.25">
      <c r="A1285" s="227">
        <v>45813</v>
      </c>
      <c r="B1285" s="228">
        <v>4153.5</v>
      </c>
      <c r="C1285" s="228">
        <v>4078</v>
      </c>
      <c r="D1285" s="228">
        <v>4244.8</v>
      </c>
      <c r="E1285" s="228">
        <v>4074.5</v>
      </c>
      <c r="F1285">
        <v>783590</v>
      </c>
      <c r="G1285" s="228">
        <v>1.9400000000000001E-2</v>
      </c>
      <c r="H1285" s="228">
        <f>YEAR(AVEU_Historical_Data__2[[#This Row],[Date]])</f>
        <v>2025</v>
      </c>
      <c r="I1285" s="228">
        <f>ROUNDUP((MOD(MONTH(AVEU_Historical_Data__2[[#This Row],[Date]])+8,12)+1)/3,0)</f>
        <v>1</v>
      </c>
      <c r="J1285" s="228">
        <f>MONTH(AVEU_Historical_Data__2[[#This Row],[Date]])</f>
        <v>6</v>
      </c>
      <c r="K1285" s="228"/>
    </row>
    <row r="1286" spans="1:11" x14ac:dyDescent="0.25">
      <c r="A1286" s="227">
        <v>45814</v>
      </c>
      <c r="B1286" s="228">
        <v>4201.6000000000004</v>
      </c>
      <c r="C1286" s="228">
        <v>4166</v>
      </c>
      <c r="D1286" s="228">
        <v>4240</v>
      </c>
      <c r="E1286" s="228">
        <v>4143.5</v>
      </c>
      <c r="F1286">
        <v>354670</v>
      </c>
      <c r="G1286" s="228">
        <v>1.1599999999999999E-2</v>
      </c>
      <c r="H1286" s="228">
        <f>YEAR(AVEU_Historical_Data__2[[#This Row],[Date]])</f>
        <v>2025</v>
      </c>
      <c r="I1286" s="228">
        <f>ROUNDUP((MOD(MONTH(AVEU_Historical_Data__2[[#This Row],[Date]])+8,12)+1)/3,0)</f>
        <v>1</v>
      </c>
      <c r="J1286" s="228">
        <f>MONTH(AVEU_Historical_Data__2[[#This Row],[Date]])</f>
        <v>6</v>
      </c>
      <c r="K1286" s="228"/>
    </row>
    <row r="1287" spans="1:11" x14ac:dyDescent="0.25">
      <c r="A1287" s="227">
        <v>45817</v>
      </c>
      <c r="B1287" s="228">
        <v>4179.1000000000004</v>
      </c>
      <c r="C1287" s="228">
        <v>4201.6000000000004</v>
      </c>
      <c r="D1287" s="228">
        <v>4227.1000000000004</v>
      </c>
      <c r="E1287" s="228">
        <v>4167</v>
      </c>
      <c r="F1287">
        <v>213420</v>
      </c>
      <c r="G1287" s="228">
        <v>-5.4000000000000003E-3</v>
      </c>
      <c r="H1287" s="228">
        <f>YEAR(AVEU_Historical_Data__2[[#This Row],[Date]])</f>
        <v>2025</v>
      </c>
      <c r="I1287" s="228">
        <f>ROUNDUP((MOD(MONTH(AVEU_Historical_Data__2[[#This Row],[Date]])+8,12)+1)/3,0)</f>
        <v>1</v>
      </c>
      <c r="J1287" s="228">
        <f>MONTH(AVEU_Historical_Data__2[[#This Row],[Date]])</f>
        <v>6</v>
      </c>
      <c r="K1287" s="228"/>
    </row>
    <row r="1288" spans="1:11" x14ac:dyDescent="0.25">
      <c r="A1288" s="227">
        <v>45818</v>
      </c>
      <c r="B1288" s="228">
        <v>4080</v>
      </c>
      <c r="C1288" s="228">
        <v>4179.1000000000004</v>
      </c>
      <c r="D1288" s="228">
        <v>4192.2</v>
      </c>
      <c r="E1288" s="228">
        <v>3928.9</v>
      </c>
      <c r="F1288">
        <v>3590000</v>
      </c>
      <c r="G1288" s="228">
        <v>-2.3699999999999999E-2</v>
      </c>
      <c r="H1288" s="228">
        <f>YEAR(AVEU_Historical_Data__2[[#This Row],[Date]])</f>
        <v>2025</v>
      </c>
      <c r="I1288" s="228">
        <f>ROUNDUP((MOD(MONTH(AVEU_Historical_Data__2[[#This Row],[Date]])+8,12)+1)/3,0)</f>
        <v>1</v>
      </c>
      <c r="J1288" s="228">
        <f>MONTH(AVEU_Historical_Data__2[[#This Row],[Date]])</f>
        <v>6</v>
      </c>
      <c r="K1288" s="228"/>
    </row>
    <row r="1289" spans="1:11" x14ac:dyDescent="0.25">
      <c r="A1289" s="227">
        <v>45819</v>
      </c>
      <c r="B1289" s="228">
        <v>4078.2</v>
      </c>
      <c r="C1289" s="228">
        <v>4080</v>
      </c>
      <c r="D1289" s="228">
        <v>4134.3</v>
      </c>
      <c r="E1289" s="228">
        <v>4051</v>
      </c>
      <c r="F1289">
        <v>688520</v>
      </c>
      <c r="G1289" s="228">
        <v>-4.0000000000000002E-4</v>
      </c>
      <c r="H1289" s="228">
        <f>YEAR(AVEU_Historical_Data__2[[#This Row],[Date]])</f>
        <v>2025</v>
      </c>
      <c r="I1289" s="228">
        <f>ROUNDUP((MOD(MONTH(AVEU_Historical_Data__2[[#This Row],[Date]])+8,12)+1)/3,0)</f>
        <v>1</v>
      </c>
      <c r="J1289" s="228">
        <f>MONTH(AVEU_Historical_Data__2[[#This Row],[Date]])</f>
        <v>6</v>
      </c>
      <c r="K1289" s="228"/>
    </row>
    <row r="1290" spans="1:11" x14ac:dyDescent="0.25">
      <c r="A1290" s="227">
        <v>45820</v>
      </c>
      <c r="B1290" s="228">
        <v>4074</v>
      </c>
      <c r="C1290" s="228">
        <v>4100</v>
      </c>
      <c r="D1290" s="228">
        <v>4105</v>
      </c>
      <c r="E1290" s="228">
        <v>4032.3</v>
      </c>
      <c r="F1290">
        <v>769960</v>
      </c>
      <c r="G1290" s="228">
        <v>-1E-3</v>
      </c>
      <c r="H1290" s="228">
        <f>YEAR(AVEU_Historical_Data__2[[#This Row],[Date]])</f>
        <v>2025</v>
      </c>
      <c r="I1290" s="228">
        <f>ROUNDUP((MOD(MONTH(AVEU_Historical_Data__2[[#This Row],[Date]])+8,12)+1)/3,0)</f>
        <v>1</v>
      </c>
      <c r="J1290" s="228">
        <f>MONTH(AVEU_Historical_Data__2[[#This Row],[Date]])</f>
        <v>6</v>
      </c>
      <c r="K1290" s="228"/>
    </row>
    <row r="1291" spans="1:11" x14ac:dyDescent="0.25">
      <c r="A1291" s="227">
        <v>45821</v>
      </c>
      <c r="B1291" s="228">
        <v>4051.9</v>
      </c>
      <c r="C1291" s="228">
        <v>4034</v>
      </c>
      <c r="D1291" s="228">
        <v>4078.5</v>
      </c>
      <c r="E1291" s="228">
        <v>3983.6</v>
      </c>
      <c r="F1291">
        <v>303820</v>
      </c>
      <c r="G1291" s="228">
        <v>-5.4000000000000003E-3</v>
      </c>
      <c r="H1291" s="228">
        <f>YEAR(AVEU_Historical_Data__2[[#This Row],[Date]])</f>
        <v>2025</v>
      </c>
      <c r="I1291" s="228">
        <f>ROUNDUP((MOD(MONTH(AVEU_Historical_Data__2[[#This Row],[Date]])+8,12)+1)/3,0)</f>
        <v>1</v>
      </c>
      <c r="J1291" s="228">
        <f>MONTH(AVEU_Historical_Data__2[[#This Row],[Date]])</f>
        <v>6</v>
      </c>
      <c r="K1291" s="228"/>
    </row>
    <row r="1292" spans="1:11" x14ac:dyDescent="0.25">
      <c r="A1292" s="227">
        <v>45824</v>
      </c>
      <c r="B1292" s="228">
        <v>4087</v>
      </c>
      <c r="C1292" s="228">
        <v>4034.8</v>
      </c>
      <c r="D1292" s="228">
        <v>4096.8999999999996</v>
      </c>
      <c r="E1292" s="228">
        <v>3983.6</v>
      </c>
      <c r="F1292">
        <v>271740</v>
      </c>
      <c r="G1292" s="228">
        <v>8.6999999999999994E-3</v>
      </c>
      <c r="H1292" s="228">
        <f>YEAR(AVEU_Historical_Data__2[[#This Row],[Date]])</f>
        <v>2025</v>
      </c>
      <c r="I1292" s="228">
        <f>ROUNDUP((MOD(MONTH(AVEU_Historical_Data__2[[#This Row],[Date]])+8,12)+1)/3,0)</f>
        <v>1</v>
      </c>
      <c r="J1292" s="228">
        <f>MONTH(AVEU_Historical_Data__2[[#This Row],[Date]])</f>
        <v>6</v>
      </c>
      <c r="K1292" s="228"/>
    </row>
    <row r="1293" spans="1:11" x14ac:dyDescent="0.25">
      <c r="A1293" s="227">
        <v>45825</v>
      </c>
      <c r="B1293" s="228">
        <v>4059.1</v>
      </c>
      <c r="C1293" s="228">
        <v>4087</v>
      </c>
      <c r="D1293" s="228">
        <v>4109</v>
      </c>
      <c r="E1293" s="228">
        <v>4041</v>
      </c>
      <c r="F1293">
        <v>232440</v>
      </c>
      <c r="G1293" s="228">
        <v>-6.7999999999999996E-3</v>
      </c>
      <c r="H1293" s="228">
        <f>YEAR(AVEU_Historical_Data__2[[#This Row],[Date]])</f>
        <v>2025</v>
      </c>
      <c r="I1293" s="228">
        <f>ROUNDUP((MOD(MONTH(AVEU_Historical_Data__2[[#This Row],[Date]])+8,12)+1)/3,0)</f>
        <v>1</v>
      </c>
      <c r="J1293" s="228">
        <f>MONTH(AVEU_Historical_Data__2[[#This Row],[Date]])</f>
        <v>6</v>
      </c>
      <c r="K1293" s="228"/>
    </row>
    <row r="1294" spans="1:11" x14ac:dyDescent="0.25">
      <c r="A1294" s="227">
        <v>45826</v>
      </c>
      <c r="B1294" s="228">
        <v>4228.3999999999996</v>
      </c>
      <c r="C1294" s="228">
        <v>4102.2</v>
      </c>
      <c r="D1294" s="228">
        <v>4240</v>
      </c>
      <c r="E1294" s="228">
        <v>4081</v>
      </c>
      <c r="F1294">
        <v>1810000</v>
      </c>
      <c r="G1294" s="228">
        <v>4.1700000000000001E-2</v>
      </c>
      <c r="H1294" s="228">
        <f>YEAR(AVEU_Historical_Data__2[[#This Row],[Date]])</f>
        <v>2025</v>
      </c>
      <c r="I1294" s="228">
        <f>ROUNDUP((MOD(MONTH(AVEU_Historical_Data__2[[#This Row],[Date]])+8,12)+1)/3,0)</f>
        <v>1</v>
      </c>
      <c r="J1294" s="228">
        <f>MONTH(AVEU_Historical_Data__2[[#This Row],[Date]])</f>
        <v>6</v>
      </c>
      <c r="K1294" s="228"/>
    </row>
    <row r="1295" spans="1:11" x14ac:dyDescent="0.25">
      <c r="A1295" s="227">
        <v>45827</v>
      </c>
      <c r="B1295" s="228">
        <v>4203.1000000000004</v>
      </c>
      <c r="C1295" s="228">
        <v>4229</v>
      </c>
      <c r="D1295" s="228">
        <v>4254</v>
      </c>
      <c r="E1295" s="228">
        <v>4160.3</v>
      </c>
      <c r="F1295">
        <v>741830</v>
      </c>
      <c r="G1295" s="228">
        <v>-6.0000000000000001E-3</v>
      </c>
      <c r="H1295" s="228">
        <f>YEAR(AVEU_Historical_Data__2[[#This Row],[Date]])</f>
        <v>2025</v>
      </c>
      <c r="I1295" s="228">
        <f>ROUNDUP((MOD(MONTH(AVEU_Historical_Data__2[[#This Row],[Date]])+8,12)+1)/3,0)</f>
        <v>1</v>
      </c>
      <c r="J1295" s="228">
        <f>MONTH(AVEU_Historical_Data__2[[#This Row],[Date]])</f>
        <v>6</v>
      </c>
      <c r="K1295" s="228"/>
    </row>
    <row r="1296" spans="1:11" x14ac:dyDescent="0.25">
      <c r="A1296" s="227">
        <v>45828</v>
      </c>
      <c r="B1296" s="228">
        <v>4300.3</v>
      </c>
      <c r="C1296" s="228">
        <v>4203.1000000000004</v>
      </c>
      <c r="D1296" s="228">
        <v>4324.5</v>
      </c>
      <c r="E1296" s="228">
        <v>4161.1000000000004</v>
      </c>
      <c r="F1296">
        <v>1010000</v>
      </c>
      <c r="G1296" s="228">
        <v>2.3099999999999999E-2</v>
      </c>
      <c r="H1296" s="228">
        <f>YEAR(AVEU_Historical_Data__2[[#This Row],[Date]])</f>
        <v>2025</v>
      </c>
      <c r="I1296" s="228">
        <f>ROUNDUP((MOD(MONTH(AVEU_Historical_Data__2[[#This Row],[Date]])+8,12)+1)/3,0)</f>
        <v>1</v>
      </c>
      <c r="J1296" s="228">
        <f>MONTH(AVEU_Historical_Data__2[[#This Row],[Date]])</f>
        <v>6</v>
      </c>
      <c r="K1296" s="228"/>
    </row>
    <row r="1297" spans="1:11" x14ac:dyDescent="0.25">
      <c r="A1297" s="227">
        <v>45831</v>
      </c>
      <c r="B1297" s="228">
        <v>4335.8</v>
      </c>
      <c r="C1297" s="228">
        <v>4269.1000000000004</v>
      </c>
      <c r="D1297" s="228">
        <v>4358.6000000000004</v>
      </c>
      <c r="E1297" s="228">
        <v>4255.3999999999996</v>
      </c>
      <c r="F1297">
        <v>824560</v>
      </c>
      <c r="G1297" s="228">
        <v>8.3000000000000001E-3</v>
      </c>
      <c r="H1297" s="228">
        <f>YEAR(AVEU_Historical_Data__2[[#This Row],[Date]])</f>
        <v>2025</v>
      </c>
      <c r="I1297" s="228">
        <f>ROUNDUP((MOD(MONTH(AVEU_Historical_Data__2[[#This Row],[Date]])+8,12)+1)/3,0)</f>
        <v>1</v>
      </c>
      <c r="J1297" s="228">
        <f>MONTH(AVEU_Historical_Data__2[[#This Row],[Date]])</f>
        <v>6</v>
      </c>
      <c r="K1297" s="228"/>
    </row>
    <row r="1298" spans="1:11" x14ac:dyDescent="0.25">
      <c r="A1298" s="227">
        <v>45832</v>
      </c>
      <c r="B1298" s="228">
        <v>4250.6000000000004</v>
      </c>
      <c r="C1298" s="228">
        <v>4353</v>
      </c>
      <c r="D1298" s="228">
        <v>4356.7</v>
      </c>
      <c r="E1298" s="228">
        <v>4239.3999999999996</v>
      </c>
      <c r="F1298">
        <v>439990</v>
      </c>
      <c r="G1298" s="228">
        <v>-1.9699999999999999E-2</v>
      </c>
      <c r="H1298" s="228">
        <f>YEAR(AVEU_Historical_Data__2[[#This Row],[Date]])</f>
        <v>2025</v>
      </c>
      <c r="I1298" s="228">
        <f>ROUNDUP((MOD(MONTH(AVEU_Historical_Data__2[[#This Row],[Date]])+8,12)+1)/3,0)</f>
        <v>1</v>
      </c>
      <c r="J1298" s="228">
        <f>MONTH(AVEU_Historical_Data__2[[#This Row],[Date]])</f>
        <v>6</v>
      </c>
      <c r="K1298" s="228"/>
    </row>
    <row r="1299" spans="1:11" x14ac:dyDescent="0.25">
      <c r="A1299" s="227">
        <v>45833</v>
      </c>
      <c r="B1299" s="228">
        <v>4276.3999999999996</v>
      </c>
      <c r="C1299" s="228">
        <v>4251.3</v>
      </c>
      <c r="D1299" s="228">
        <v>4294</v>
      </c>
      <c r="E1299" s="228">
        <v>4236.7</v>
      </c>
      <c r="F1299">
        <v>533870</v>
      </c>
      <c r="G1299" s="228">
        <v>6.1000000000000004E-3</v>
      </c>
      <c r="H1299" s="228">
        <f>YEAR(AVEU_Historical_Data__2[[#This Row],[Date]])</f>
        <v>2025</v>
      </c>
      <c r="I1299" s="228">
        <f>ROUNDUP((MOD(MONTH(AVEU_Historical_Data__2[[#This Row],[Date]])+8,12)+1)/3,0)</f>
        <v>1</v>
      </c>
      <c r="J1299" s="228">
        <f>MONTH(AVEU_Historical_Data__2[[#This Row],[Date]])</f>
        <v>6</v>
      </c>
      <c r="K1299" s="228"/>
    </row>
    <row r="1300" spans="1:11" x14ac:dyDescent="0.25">
      <c r="A1300" s="227">
        <v>45834</v>
      </c>
      <c r="B1300" s="228">
        <v>4315.3999999999996</v>
      </c>
      <c r="C1300" s="228">
        <v>4295</v>
      </c>
      <c r="D1300" s="228">
        <v>4333.3999999999996</v>
      </c>
      <c r="E1300" s="228">
        <v>4268</v>
      </c>
      <c r="F1300">
        <v>326680</v>
      </c>
      <c r="G1300" s="228">
        <v>9.1000000000000004E-3</v>
      </c>
      <c r="H1300" s="228">
        <f>YEAR(AVEU_Historical_Data__2[[#This Row],[Date]])</f>
        <v>2025</v>
      </c>
      <c r="I1300" s="228">
        <f>ROUNDUP((MOD(MONTH(AVEU_Historical_Data__2[[#This Row],[Date]])+8,12)+1)/3,0)</f>
        <v>1</v>
      </c>
      <c r="J1300" s="228">
        <f>MONTH(AVEU_Historical_Data__2[[#This Row],[Date]])</f>
        <v>6</v>
      </c>
      <c r="K1300" s="228"/>
    </row>
    <row r="1301" spans="1:11" x14ac:dyDescent="0.25">
      <c r="A1301" s="227">
        <v>45835</v>
      </c>
      <c r="B1301" s="228">
        <v>4313.5</v>
      </c>
      <c r="C1301" s="228">
        <v>4322.8999999999996</v>
      </c>
      <c r="D1301" s="228">
        <v>4348.8999999999996</v>
      </c>
      <c r="E1301" s="228">
        <v>4290</v>
      </c>
      <c r="F1301">
        <v>251770</v>
      </c>
      <c r="G1301" s="228">
        <v>-4.0000000000000002E-4</v>
      </c>
      <c r="H1301" s="228">
        <f>YEAR(AVEU_Historical_Data__2[[#This Row],[Date]])</f>
        <v>2025</v>
      </c>
      <c r="I1301" s="228">
        <f>ROUNDUP((MOD(MONTH(AVEU_Historical_Data__2[[#This Row],[Date]])+8,12)+1)/3,0)</f>
        <v>1</v>
      </c>
      <c r="J1301" s="228">
        <f>MONTH(AVEU_Historical_Data__2[[#This Row],[Date]])</f>
        <v>6</v>
      </c>
      <c r="K1301" s="228"/>
    </row>
    <row r="1302" spans="1:11" x14ac:dyDescent="0.25">
      <c r="A1302" s="227">
        <v>45838</v>
      </c>
      <c r="B1302" s="228">
        <v>4372.3</v>
      </c>
      <c r="C1302" s="228">
        <v>4319.8</v>
      </c>
      <c r="D1302" s="228">
        <v>4395</v>
      </c>
      <c r="E1302" s="228">
        <v>4313.5</v>
      </c>
      <c r="F1302">
        <v>811310</v>
      </c>
      <c r="G1302" s="228">
        <v>1.3599999999999999E-2</v>
      </c>
      <c r="H1302" s="228">
        <f>YEAR(AVEU_Historical_Data__2[[#This Row],[Date]])</f>
        <v>2025</v>
      </c>
      <c r="I1302" s="228">
        <f>ROUNDUP((MOD(MONTH(AVEU_Historical_Data__2[[#This Row],[Date]])+8,12)+1)/3,0)</f>
        <v>1</v>
      </c>
      <c r="J1302" s="228">
        <f>MONTH(AVEU_Historical_Data__2[[#This Row],[Date]])</f>
        <v>6</v>
      </c>
      <c r="K1302" s="228"/>
    </row>
    <row r="1303" spans="1:11" x14ac:dyDescent="0.25">
      <c r="A1303" s="227">
        <v>45839</v>
      </c>
      <c r="B1303" s="228">
        <v>4452.3999999999996</v>
      </c>
      <c r="C1303" s="228">
        <v>4389</v>
      </c>
      <c r="D1303" s="228">
        <v>4483.6000000000004</v>
      </c>
      <c r="E1303" s="228">
        <v>4380.5</v>
      </c>
      <c r="F1303">
        <v>953860</v>
      </c>
      <c r="G1303" s="228">
        <v>1.83E-2</v>
      </c>
      <c r="H1303" s="228">
        <f>YEAR(AVEU_Historical_Data__2[[#This Row],[Date]])</f>
        <v>2025</v>
      </c>
      <c r="I1303" s="228">
        <f>ROUNDUP((MOD(MONTH(AVEU_Historical_Data__2[[#This Row],[Date]])+8,12)+1)/3,0)</f>
        <v>2</v>
      </c>
      <c r="J1303" s="228">
        <f>MONTH(AVEU_Historical_Data__2[[#This Row],[Date]])</f>
        <v>7</v>
      </c>
      <c r="K1303" s="228"/>
    </row>
    <row r="1304" spans="1:11" x14ac:dyDescent="0.25">
      <c r="A1304" s="227">
        <v>45840</v>
      </c>
      <c r="B1304" s="228">
        <v>4391.8999999999996</v>
      </c>
      <c r="C1304" s="228">
        <v>4495.5</v>
      </c>
      <c r="D1304" s="228">
        <v>4495.5</v>
      </c>
      <c r="E1304" s="228">
        <v>4340</v>
      </c>
      <c r="F1304">
        <v>772650</v>
      </c>
      <c r="G1304" s="228">
        <v>-1.3599999999999999E-2</v>
      </c>
      <c r="H1304" s="228">
        <f>YEAR(AVEU_Historical_Data__2[[#This Row],[Date]])</f>
        <v>2025</v>
      </c>
      <c r="I1304" s="228">
        <f>ROUNDUP((MOD(MONTH(AVEU_Historical_Data__2[[#This Row],[Date]])+8,12)+1)/3,0)</f>
        <v>2</v>
      </c>
      <c r="J1304" s="228">
        <f>MONTH(AVEU_Historical_Data__2[[#This Row],[Date]])</f>
        <v>7</v>
      </c>
      <c r="K1304" s="228"/>
    </row>
    <row r="1305" spans="1:11" x14ac:dyDescent="0.25">
      <c r="A1305" s="227">
        <v>45841</v>
      </c>
      <c r="B1305" s="228">
        <v>4348.7</v>
      </c>
      <c r="C1305" s="228">
        <v>4349.5</v>
      </c>
      <c r="D1305" s="228">
        <v>4374.8</v>
      </c>
      <c r="E1305" s="228">
        <v>4217.8999999999996</v>
      </c>
      <c r="F1305">
        <v>1830000</v>
      </c>
      <c r="G1305" s="228">
        <v>-9.7999999999999997E-3</v>
      </c>
      <c r="H1305" s="228">
        <f>YEAR(AVEU_Historical_Data__2[[#This Row],[Date]])</f>
        <v>2025</v>
      </c>
      <c r="I1305" s="228">
        <f>ROUNDUP((MOD(MONTH(AVEU_Historical_Data__2[[#This Row],[Date]])+8,12)+1)/3,0)</f>
        <v>2</v>
      </c>
      <c r="J1305" s="228">
        <f>MONTH(AVEU_Historical_Data__2[[#This Row],[Date]])</f>
        <v>7</v>
      </c>
      <c r="K1305" s="228"/>
    </row>
    <row r="1306" spans="1:11" x14ac:dyDescent="0.25">
      <c r="A1306" s="227">
        <v>45842</v>
      </c>
      <c r="B1306" s="228">
        <v>4261.1000000000004</v>
      </c>
      <c r="C1306" s="228">
        <v>4364.8999999999996</v>
      </c>
      <c r="D1306" s="228">
        <v>4375.5</v>
      </c>
      <c r="E1306" s="228">
        <v>4251</v>
      </c>
      <c r="F1306">
        <v>488810</v>
      </c>
      <c r="G1306" s="228">
        <v>-2.01E-2</v>
      </c>
      <c r="H1306" s="228">
        <f>YEAR(AVEU_Historical_Data__2[[#This Row],[Date]])</f>
        <v>2025</v>
      </c>
      <c r="I1306" s="228">
        <f>ROUNDUP((MOD(MONTH(AVEU_Historical_Data__2[[#This Row],[Date]])+8,12)+1)/3,0)</f>
        <v>2</v>
      </c>
      <c r="J1306" s="228">
        <f>MONTH(AVEU_Historical_Data__2[[#This Row],[Date]])</f>
        <v>7</v>
      </c>
      <c r="K1306" s="228"/>
    </row>
    <row r="1307" spans="1:11" x14ac:dyDescent="0.25">
      <c r="A1307" s="227">
        <v>45845</v>
      </c>
      <c r="B1307" s="228">
        <v>4236.3</v>
      </c>
      <c r="C1307" s="228">
        <v>4279</v>
      </c>
      <c r="D1307" s="228">
        <v>4297</v>
      </c>
      <c r="E1307" s="228">
        <v>4230.1000000000004</v>
      </c>
      <c r="F1307">
        <v>247670</v>
      </c>
      <c r="G1307" s="228">
        <v>-5.7999999999999996E-3</v>
      </c>
      <c r="H1307" s="228">
        <f>YEAR(AVEU_Historical_Data__2[[#This Row],[Date]])</f>
        <v>2025</v>
      </c>
      <c r="I1307" s="228">
        <f>ROUNDUP((MOD(MONTH(AVEU_Historical_Data__2[[#This Row],[Date]])+8,12)+1)/3,0)</f>
        <v>2</v>
      </c>
      <c r="J1307" s="228">
        <f>MONTH(AVEU_Historical_Data__2[[#This Row],[Date]])</f>
        <v>7</v>
      </c>
      <c r="K1307" s="228"/>
    </row>
    <row r="1308" spans="1:11" x14ac:dyDescent="0.25">
      <c r="A1308" s="227">
        <v>45846</v>
      </c>
      <c r="B1308" s="228">
        <v>4213</v>
      </c>
      <c r="C1308" s="228">
        <v>4259.8999999999996</v>
      </c>
      <c r="D1308" s="228">
        <v>4267.7</v>
      </c>
      <c r="E1308" s="228">
        <v>4193</v>
      </c>
      <c r="F1308">
        <v>378620</v>
      </c>
      <c r="G1308" s="228">
        <v>-5.4999999999999997E-3</v>
      </c>
      <c r="H1308" s="228">
        <f>YEAR(AVEU_Historical_Data__2[[#This Row],[Date]])</f>
        <v>2025</v>
      </c>
      <c r="I1308" s="228">
        <f>ROUNDUP((MOD(MONTH(AVEU_Historical_Data__2[[#This Row],[Date]])+8,12)+1)/3,0)</f>
        <v>2</v>
      </c>
      <c r="J1308" s="228">
        <f>MONTH(AVEU_Historical_Data__2[[#This Row],[Date]])</f>
        <v>7</v>
      </c>
      <c r="K1308" s="228"/>
    </row>
    <row r="1309" spans="1:11" x14ac:dyDescent="0.25">
      <c r="A1309" s="227">
        <v>45847</v>
      </c>
      <c r="B1309" s="228">
        <v>4190.8999999999996</v>
      </c>
      <c r="C1309" s="228">
        <v>4213</v>
      </c>
      <c r="D1309" s="228">
        <v>4242.3999999999996</v>
      </c>
      <c r="E1309" s="228">
        <v>4171</v>
      </c>
      <c r="F1309">
        <v>234780</v>
      </c>
      <c r="G1309" s="228">
        <v>-5.1999999999999998E-3</v>
      </c>
      <c r="H1309" s="228">
        <f>YEAR(AVEU_Historical_Data__2[[#This Row],[Date]])</f>
        <v>2025</v>
      </c>
      <c r="I1309" s="228">
        <f>ROUNDUP((MOD(MONTH(AVEU_Historical_Data__2[[#This Row],[Date]])+8,12)+1)/3,0)</f>
        <v>2</v>
      </c>
      <c r="J1309" s="228">
        <f>MONTH(AVEU_Historical_Data__2[[#This Row],[Date]])</f>
        <v>7</v>
      </c>
      <c r="K1309" s="228"/>
    </row>
    <row r="1310" spans="1:11" x14ac:dyDescent="0.25">
      <c r="A1310" s="227">
        <v>45848</v>
      </c>
      <c r="B1310" s="228">
        <v>4169</v>
      </c>
      <c r="C1310" s="228">
        <v>4190.8999999999996</v>
      </c>
      <c r="D1310" s="228">
        <v>4212.1000000000004</v>
      </c>
      <c r="E1310" s="228">
        <v>4150.1000000000004</v>
      </c>
      <c r="F1310">
        <v>294420</v>
      </c>
      <c r="G1310" s="228">
        <v>-5.1999999999999998E-3</v>
      </c>
      <c r="H1310" s="228">
        <f>YEAR(AVEU_Historical_Data__2[[#This Row],[Date]])</f>
        <v>2025</v>
      </c>
      <c r="I1310" s="228">
        <f>ROUNDUP((MOD(MONTH(AVEU_Historical_Data__2[[#This Row],[Date]])+8,12)+1)/3,0)</f>
        <v>2</v>
      </c>
      <c r="J1310" s="228">
        <f>MONTH(AVEU_Historical_Data__2[[#This Row],[Date]])</f>
        <v>7</v>
      </c>
      <c r="K1310" s="228"/>
    </row>
    <row r="1311" spans="1:11" x14ac:dyDescent="0.25">
      <c r="A1311" s="227">
        <v>45849</v>
      </c>
      <c r="B1311" s="228">
        <v>4064.2</v>
      </c>
      <c r="C1311" s="228">
        <v>4169</v>
      </c>
      <c r="D1311" s="228">
        <v>4185</v>
      </c>
      <c r="E1311" s="228">
        <v>4041</v>
      </c>
      <c r="F1311">
        <v>802560</v>
      </c>
      <c r="G1311" s="228">
        <v>-2.5100000000000001E-2</v>
      </c>
      <c r="H1311" s="228">
        <f>YEAR(AVEU_Historical_Data__2[[#This Row],[Date]])</f>
        <v>2025</v>
      </c>
      <c r="I1311" s="228">
        <f>ROUNDUP((MOD(MONTH(AVEU_Historical_Data__2[[#This Row],[Date]])+8,12)+1)/3,0)</f>
        <v>2</v>
      </c>
      <c r="J1311" s="228">
        <f>MONTH(AVEU_Historical_Data__2[[#This Row],[Date]])</f>
        <v>7</v>
      </c>
      <c r="K1311" s="228"/>
    </row>
    <row r="1312" spans="1:11" x14ac:dyDescent="0.25">
      <c r="A1312" s="227">
        <v>45852</v>
      </c>
      <c r="B1312" s="228">
        <v>4011.3</v>
      </c>
      <c r="C1312" s="228">
        <v>4090</v>
      </c>
      <c r="D1312" s="228">
        <v>4115</v>
      </c>
      <c r="E1312" s="228">
        <v>3930</v>
      </c>
      <c r="F1312">
        <v>2029999.9999999998</v>
      </c>
      <c r="G1312" s="228">
        <v>-1.2999999999999999E-2</v>
      </c>
      <c r="H1312" s="228">
        <f>YEAR(AVEU_Historical_Data__2[[#This Row],[Date]])</f>
        <v>2025</v>
      </c>
      <c r="I1312" s="228">
        <f>ROUNDUP((MOD(MONTH(AVEU_Historical_Data__2[[#This Row],[Date]])+8,12)+1)/3,0)</f>
        <v>2</v>
      </c>
      <c r="J1312" s="228">
        <f>MONTH(AVEU_Historical_Data__2[[#This Row],[Date]])</f>
        <v>7</v>
      </c>
      <c r="K1312" s="228"/>
    </row>
    <row r="1313" spans="1:11" x14ac:dyDescent="0.25">
      <c r="A1313" s="227">
        <v>45853</v>
      </c>
      <c r="B1313" s="228">
        <v>4026.7</v>
      </c>
      <c r="C1313" s="228">
        <v>4020.1</v>
      </c>
      <c r="D1313" s="228">
        <v>4058</v>
      </c>
      <c r="E1313" s="228">
        <v>3991.7</v>
      </c>
      <c r="F1313">
        <v>1540000</v>
      </c>
      <c r="G1313" s="228">
        <v>3.8E-3</v>
      </c>
      <c r="H1313" s="228">
        <f>YEAR(AVEU_Historical_Data__2[[#This Row],[Date]])</f>
        <v>2025</v>
      </c>
      <c r="I1313" s="228">
        <f>ROUNDUP((MOD(MONTH(AVEU_Historical_Data__2[[#This Row],[Date]])+8,12)+1)/3,0)</f>
        <v>2</v>
      </c>
      <c r="J1313" s="228">
        <f>MONTH(AVEU_Historical_Data__2[[#This Row],[Date]])</f>
        <v>7</v>
      </c>
      <c r="K1313" s="228"/>
    </row>
    <row r="1314" spans="1:11" x14ac:dyDescent="0.25">
      <c r="A1314" s="227">
        <v>45854</v>
      </c>
      <c r="B1314" s="228">
        <v>4086</v>
      </c>
      <c r="C1314" s="228">
        <v>4026.8</v>
      </c>
      <c r="D1314" s="228">
        <v>4127.8999999999996</v>
      </c>
      <c r="E1314" s="228">
        <v>4012.5</v>
      </c>
      <c r="F1314">
        <v>759580</v>
      </c>
      <c r="G1314" s="228">
        <v>1.47E-2</v>
      </c>
      <c r="H1314" s="228">
        <f>YEAR(AVEU_Historical_Data__2[[#This Row],[Date]])</f>
        <v>2025</v>
      </c>
      <c r="I1314" s="228">
        <f>ROUNDUP((MOD(MONTH(AVEU_Historical_Data__2[[#This Row],[Date]])+8,12)+1)/3,0)</f>
        <v>2</v>
      </c>
      <c r="J1314" s="228">
        <f>MONTH(AVEU_Historical_Data__2[[#This Row],[Date]])</f>
        <v>7</v>
      </c>
      <c r="K1314" s="228"/>
    </row>
    <row r="1315" spans="1:11" x14ac:dyDescent="0.25">
      <c r="A1315" s="227">
        <v>45855</v>
      </c>
      <c r="B1315" s="228">
        <v>4055.9</v>
      </c>
      <c r="C1315" s="228">
        <v>4095.9</v>
      </c>
      <c r="D1315" s="228">
        <v>4100</v>
      </c>
      <c r="E1315" s="228">
        <v>4049</v>
      </c>
      <c r="F1315">
        <v>168280</v>
      </c>
      <c r="G1315" s="228">
        <v>-7.4000000000000003E-3</v>
      </c>
      <c r="H1315" s="228">
        <f>YEAR(AVEU_Historical_Data__2[[#This Row],[Date]])</f>
        <v>2025</v>
      </c>
      <c r="I1315" s="228">
        <f>ROUNDUP((MOD(MONTH(AVEU_Historical_Data__2[[#This Row],[Date]])+8,12)+1)/3,0)</f>
        <v>2</v>
      </c>
      <c r="J1315" s="228">
        <f>MONTH(AVEU_Historical_Data__2[[#This Row],[Date]])</f>
        <v>7</v>
      </c>
      <c r="K1315" s="228"/>
    </row>
    <row r="1316" spans="1:11" x14ac:dyDescent="0.25">
      <c r="A1316" s="227">
        <v>45856</v>
      </c>
      <c r="B1316" s="228">
        <v>4048.6</v>
      </c>
      <c r="C1316" s="228">
        <v>4059.9</v>
      </c>
      <c r="D1316" s="228">
        <v>4073.7</v>
      </c>
      <c r="E1316" s="228">
        <v>4028.4</v>
      </c>
      <c r="F1316">
        <v>247570</v>
      </c>
      <c r="G1316" s="228">
        <v>-1.8E-3</v>
      </c>
      <c r="H1316" s="228">
        <f>YEAR(AVEU_Historical_Data__2[[#This Row],[Date]])</f>
        <v>2025</v>
      </c>
      <c r="I1316" s="228">
        <f>ROUNDUP((MOD(MONTH(AVEU_Historical_Data__2[[#This Row],[Date]])+8,12)+1)/3,0)</f>
        <v>2</v>
      </c>
      <c r="J1316" s="228">
        <f>MONTH(AVEU_Historical_Data__2[[#This Row],[Date]])</f>
        <v>7</v>
      </c>
      <c r="K1316" s="228"/>
    </row>
    <row r="1317" spans="1:11" x14ac:dyDescent="0.25">
      <c r="A1317" s="227">
        <v>45859</v>
      </c>
      <c r="B1317" s="228">
        <v>4023.7</v>
      </c>
      <c r="C1317" s="228">
        <v>4039.8</v>
      </c>
      <c r="D1317" s="228">
        <v>4049.8</v>
      </c>
      <c r="E1317" s="228">
        <v>4002.6</v>
      </c>
      <c r="F1317">
        <v>403440</v>
      </c>
      <c r="G1317" s="228">
        <v>-6.1999999999999998E-3</v>
      </c>
      <c r="H1317" s="228">
        <f>YEAR(AVEU_Historical_Data__2[[#This Row],[Date]])</f>
        <v>2025</v>
      </c>
      <c r="I1317" s="228">
        <f>ROUNDUP((MOD(MONTH(AVEU_Historical_Data__2[[#This Row],[Date]])+8,12)+1)/3,0)</f>
        <v>2</v>
      </c>
      <c r="J1317" s="228">
        <f>MONTH(AVEU_Historical_Data__2[[#This Row],[Date]])</f>
        <v>7</v>
      </c>
      <c r="K1317" s="228"/>
    </row>
    <row r="1318" spans="1:11" x14ac:dyDescent="0.25">
      <c r="A1318" s="227">
        <v>45860</v>
      </c>
      <c r="B1318" s="228">
        <v>4033.3</v>
      </c>
      <c r="C1318" s="228">
        <v>4042.7</v>
      </c>
      <c r="D1318" s="228">
        <v>4084</v>
      </c>
      <c r="E1318" s="228">
        <v>4009.5</v>
      </c>
      <c r="F1318">
        <v>960660</v>
      </c>
      <c r="G1318" s="228">
        <v>2.3999999999999998E-3</v>
      </c>
      <c r="H1318" s="228">
        <f>YEAR(AVEU_Historical_Data__2[[#This Row],[Date]])</f>
        <v>2025</v>
      </c>
      <c r="I1318" s="228">
        <f>ROUNDUP((MOD(MONTH(AVEU_Historical_Data__2[[#This Row],[Date]])+8,12)+1)/3,0)</f>
        <v>2</v>
      </c>
      <c r="J1318" s="228">
        <f>MONTH(AVEU_Historical_Data__2[[#This Row],[Date]])</f>
        <v>7</v>
      </c>
      <c r="K1318" s="228"/>
    </row>
    <row r="1319" spans="1:11" x14ac:dyDescent="0.25">
      <c r="A1319" s="227">
        <v>45861</v>
      </c>
      <c r="B1319" s="228">
        <v>4043.9</v>
      </c>
      <c r="C1319" s="228">
        <v>4039.9</v>
      </c>
      <c r="D1319" s="228">
        <v>4050.5</v>
      </c>
      <c r="E1319" s="228">
        <v>3995.1</v>
      </c>
      <c r="F1319">
        <v>709290</v>
      </c>
      <c r="G1319" s="228">
        <v>2.5999999999999999E-3</v>
      </c>
      <c r="H1319" s="228">
        <f>YEAR(AVEU_Historical_Data__2[[#This Row],[Date]])</f>
        <v>2025</v>
      </c>
      <c r="I1319" s="228">
        <f>ROUNDUP((MOD(MONTH(AVEU_Historical_Data__2[[#This Row],[Date]])+8,12)+1)/3,0)</f>
        <v>2</v>
      </c>
      <c r="J1319" s="228">
        <f>MONTH(AVEU_Historical_Data__2[[#This Row],[Date]])</f>
        <v>7</v>
      </c>
      <c r="K1319" s="228"/>
    </row>
    <row r="1320" spans="1:11" x14ac:dyDescent="0.25">
      <c r="A1320" s="227">
        <v>45862</v>
      </c>
      <c r="B1320" s="228">
        <v>4021</v>
      </c>
      <c r="C1320" s="228">
        <v>4045.5</v>
      </c>
      <c r="D1320" s="228">
        <v>4069.2</v>
      </c>
      <c r="E1320" s="228">
        <v>4012.9</v>
      </c>
      <c r="F1320">
        <v>402670</v>
      </c>
      <c r="G1320" s="228">
        <v>-5.7000000000000002E-3</v>
      </c>
      <c r="H1320" s="228">
        <f>YEAR(AVEU_Historical_Data__2[[#This Row],[Date]])</f>
        <v>2025</v>
      </c>
      <c r="I1320" s="228">
        <f>ROUNDUP((MOD(MONTH(AVEU_Historical_Data__2[[#This Row],[Date]])+8,12)+1)/3,0)</f>
        <v>2</v>
      </c>
      <c r="J1320" s="228">
        <f>MONTH(AVEU_Historical_Data__2[[#This Row],[Date]])</f>
        <v>7</v>
      </c>
      <c r="K1320" s="228"/>
    </row>
    <row r="1321" spans="1:11" x14ac:dyDescent="0.25">
      <c r="A1321" s="227">
        <v>45863</v>
      </c>
      <c r="B1321" s="228">
        <v>3997</v>
      </c>
      <c r="C1321" s="228">
        <v>4021.8</v>
      </c>
      <c r="D1321" s="228">
        <v>4027.1</v>
      </c>
      <c r="E1321" s="228">
        <v>3951.1</v>
      </c>
      <c r="F1321">
        <v>431590</v>
      </c>
      <c r="G1321" s="228">
        <v>-6.0000000000000001E-3</v>
      </c>
      <c r="H1321" s="228">
        <f>YEAR(AVEU_Historical_Data__2[[#This Row],[Date]])</f>
        <v>2025</v>
      </c>
      <c r="I1321" s="228">
        <f>ROUNDUP((MOD(MONTH(AVEU_Historical_Data__2[[#This Row],[Date]])+8,12)+1)/3,0)</f>
        <v>2</v>
      </c>
      <c r="J1321" s="228">
        <f>MONTH(AVEU_Historical_Data__2[[#This Row],[Date]])</f>
        <v>7</v>
      </c>
      <c r="K1321" s="228"/>
    </row>
    <row r="1322" spans="1:11" x14ac:dyDescent="0.25">
      <c r="A1322" s="227">
        <v>45866</v>
      </c>
      <c r="B1322" s="228">
        <v>3949.9</v>
      </c>
      <c r="C1322" s="228">
        <v>3991</v>
      </c>
      <c r="D1322" s="228">
        <v>4019.4</v>
      </c>
      <c r="E1322" s="228">
        <v>3941</v>
      </c>
      <c r="F1322">
        <v>325330</v>
      </c>
      <c r="G1322" s="228">
        <v>-1.18E-2</v>
      </c>
      <c r="H1322" s="228">
        <f>YEAR(AVEU_Historical_Data__2[[#This Row],[Date]])</f>
        <v>2025</v>
      </c>
      <c r="I1322" s="228">
        <f>ROUNDUP((MOD(MONTH(AVEU_Historical_Data__2[[#This Row],[Date]])+8,12)+1)/3,0)</f>
        <v>2</v>
      </c>
      <c r="J1322" s="228">
        <f>MONTH(AVEU_Historical_Data__2[[#This Row],[Date]])</f>
        <v>7</v>
      </c>
      <c r="K1322" s="228"/>
    </row>
    <row r="1323" spans="1:11" x14ac:dyDescent="0.25">
      <c r="A1323" s="227">
        <v>45867</v>
      </c>
      <c r="B1323" s="228">
        <v>3999</v>
      </c>
      <c r="C1323" s="228">
        <v>3976.3</v>
      </c>
      <c r="D1323" s="228">
        <v>4007.1</v>
      </c>
      <c r="E1323" s="228">
        <v>3931</v>
      </c>
      <c r="F1323">
        <v>277430</v>
      </c>
      <c r="G1323" s="228">
        <v>1.24E-2</v>
      </c>
      <c r="H1323" s="228">
        <f>YEAR(AVEU_Historical_Data__2[[#This Row],[Date]])</f>
        <v>2025</v>
      </c>
      <c r="I1323" s="228">
        <f>ROUNDUP((MOD(MONTH(AVEU_Historical_Data__2[[#This Row],[Date]])+8,12)+1)/3,0)</f>
        <v>2</v>
      </c>
      <c r="J1323" s="228">
        <f>MONTH(AVEU_Historical_Data__2[[#This Row],[Date]])</f>
        <v>7</v>
      </c>
      <c r="K1323" s="228"/>
    </row>
    <row r="1324" spans="1:11" x14ac:dyDescent="0.25">
      <c r="A1324" s="227">
        <v>45868</v>
      </c>
      <c r="B1324" s="228">
        <v>4281.3999999999996</v>
      </c>
      <c r="C1324" s="228">
        <v>3999</v>
      </c>
      <c r="D1324" s="228">
        <v>4324</v>
      </c>
      <c r="E1324" s="228">
        <v>3999</v>
      </c>
      <c r="F1324">
        <v>3390000</v>
      </c>
      <c r="G1324" s="228">
        <v>7.0599999999999996E-2</v>
      </c>
      <c r="H1324" s="228">
        <f>YEAR(AVEU_Historical_Data__2[[#This Row],[Date]])</f>
        <v>2025</v>
      </c>
      <c r="I1324" s="228">
        <f>ROUNDUP((MOD(MONTH(AVEU_Historical_Data__2[[#This Row],[Date]])+8,12)+1)/3,0)</f>
        <v>2</v>
      </c>
      <c r="J1324" s="228">
        <f>MONTH(AVEU_Historical_Data__2[[#This Row],[Date]])</f>
        <v>7</v>
      </c>
      <c r="K1324" s="228"/>
    </row>
    <row r="1325" spans="1:11" x14ac:dyDescent="0.25">
      <c r="A1325" s="227">
        <v>45869</v>
      </c>
      <c r="B1325" s="228">
        <v>4267.3999999999996</v>
      </c>
      <c r="C1325" s="228">
        <v>4235</v>
      </c>
      <c r="D1325" s="228">
        <v>4346.8</v>
      </c>
      <c r="E1325" s="228">
        <v>4235</v>
      </c>
      <c r="F1325">
        <v>1090000</v>
      </c>
      <c r="G1325" s="228">
        <v>-3.3E-3</v>
      </c>
      <c r="H1325" s="228">
        <f>YEAR(AVEU_Historical_Data__2[[#This Row],[Date]])</f>
        <v>2025</v>
      </c>
      <c r="I1325" s="228">
        <f>ROUNDUP((MOD(MONTH(AVEU_Historical_Data__2[[#This Row],[Date]])+8,12)+1)/3,0)</f>
        <v>2</v>
      </c>
      <c r="J1325" s="228">
        <f>MONTH(AVEU_Historical_Data__2[[#This Row],[Date]])</f>
        <v>7</v>
      </c>
      <c r="K1325" s="228"/>
    </row>
    <row r="1326" spans="1:11" x14ac:dyDescent="0.25">
      <c r="A1326" s="227">
        <v>45870</v>
      </c>
      <c r="B1326" s="228">
        <v>4196</v>
      </c>
      <c r="C1326" s="228">
        <v>4267.8999999999996</v>
      </c>
      <c r="D1326" s="228">
        <v>4310</v>
      </c>
      <c r="E1326" s="228">
        <v>4175</v>
      </c>
      <c r="F1326">
        <v>351620</v>
      </c>
      <c r="G1326" s="228">
        <v>-1.67E-2</v>
      </c>
      <c r="H1326" s="228">
        <f>YEAR(AVEU_Historical_Data__2[[#This Row],[Date]])</f>
        <v>2025</v>
      </c>
      <c r="I1326" s="228">
        <f>ROUNDUP((MOD(MONTH(AVEU_Historical_Data__2[[#This Row],[Date]])+8,12)+1)/3,0)</f>
        <v>2</v>
      </c>
      <c r="J1326" s="228">
        <f>MONTH(AVEU_Historical_Data__2[[#This Row],[Date]])</f>
        <v>8</v>
      </c>
      <c r="K1326" s="228"/>
    </row>
    <row r="1327" spans="1:11" x14ac:dyDescent="0.25">
      <c r="A1327" s="227">
        <v>45873</v>
      </c>
      <c r="B1327" s="228">
        <v>4197.2</v>
      </c>
      <c r="C1327" s="228">
        <v>4196</v>
      </c>
      <c r="D1327" s="228">
        <v>4225.2</v>
      </c>
      <c r="E1327" s="228">
        <v>4139.1000000000004</v>
      </c>
      <c r="F1327">
        <v>279720</v>
      </c>
      <c r="G1327" s="228">
        <v>2.9999999999999997E-4</v>
      </c>
      <c r="H1327" s="228">
        <f>YEAR(AVEU_Historical_Data__2[[#This Row],[Date]])</f>
        <v>2025</v>
      </c>
      <c r="I1327" s="228">
        <f>ROUNDUP((MOD(MONTH(AVEU_Historical_Data__2[[#This Row],[Date]])+8,12)+1)/3,0)</f>
        <v>2</v>
      </c>
      <c r="J1327" s="228">
        <f>MONTH(AVEU_Historical_Data__2[[#This Row],[Date]])</f>
        <v>8</v>
      </c>
      <c r="K1327" s="228"/>
    </row>
    <row r="1328" spans="1:11" x14ac:dyDescent="0.25">
      <c r="A1328" s="227">
        <v>45874</v>
      </c>
      <c r="B1328" s="228">
        <v>4257.8</v>
      </c>
      <c r="C1328" s="228">
        <v>4200</v>
      </c>
      <c r="D1328" s="228">
        <v>4267.3999999999996</v>
      </c>
      <c r="E1328" s="228">
        <v>4188.1000000000004</v>
      </c>
      <c r="F1328">
        <v>366010</v>
      </c>
      <c r="G1328" s="228">
        <v>1.44E-2</v>
      </c>
      <c r="H1328" s="228">
        <f>YEAR(AVEU_Historical_Data__2[[#This Row],[Date]])</f>
        <v>2025</v>
      </c>
      <c r="I1328" s="228">
        <f>ROUNDUP((MOD(MONTH(AVEU_Historical_Data__2[[#This Row],[Date]])+8,12)+1)/3,0)</f>
        <v>2</v>
      </c>
      <c r="J1328" s="228">
        <f>MONTH(AVEU_Historical_Data__2[[#This Row],[Date]])</f>
        <v>8</v>
      </c>
      <c r="K1328" s="228"/>
    </row>
    <row r="1329" spans="1:11" x14ac:dyDescent="0.25">
      <c r="A1329" s="227">
        <v>45875</v>
      </c>
      <c r="B1329" s="228">
        <v>4242</v>
      </c>
      <c r="C1329" s="228">
        <v>4284</v>
      </c>
      <c r="D1329" s="228">
        <v>4284</v>
      </c>
      <c r="E1329" s="228">
        <v>4222.5</v>
      </c>
      <c r="F1329">
        <v>256140</v>
      </c>
      <c r="G1329" s="228">
        <v>-3.7000000000000002E-3</v>
      </c>
      <c r="H1329" s="228">
        <f>YEAR(AVEU_Historical_Data__2[[#This Row],[Date]])</f>
        <v>2025</v>
      </c>
      <c r="I1329" s="228">
        <f>ROUNDUP((MOD(MONTH(AVEU_Historical_Data__2[[#This Row],[Date]])+8,12)+1)/3,0)</f>
        <v>2</v>
      </c>
      <c r="J1329" s="228">
        <f>MONTH(AVEU_Historical_Data__2[[#This Row],[Date]])</f>
        <v>8</v>
      </c>
      <c r="K1329" s="228"/>
    </row>
    <row r="1330" spans="1:11" x14ac:dyDescent="0.25">
      <c r="A1330" s="227">
        <v>45876</v>
      </c>
      <c r="B1330" s="228">
        <v>4263.5</v>
      </c>
      <c r="C1330" s="228">
        <v>4241.8999999999996</v>
      </c>
      <c r="D1330" s="228">
        <v>4290</v>
      </c>
      <c r="E1330" s="228">
        <v>4207.1000000000004</v>
      </c>
      <c r="F1330">
        <v>244170</v>
      </c>
      <c r="G1330" s="228">
        <v>5.1000000000000004E-3</v>
      </c>
      <c r="H1330" s="228">
        <f>YEAR(AVEU_Historical_Data__2[[#This Row],[Date]])</f>
        <v>2025</v>
      </c>
      <c r="I1330" s="228">
        <f>ROUNDUP((MOD(MONTH(AVEU_Historical_Data__2[[#This Row],[Date]])+8,12)+1)/3,0)</f>
        <v>2</v>
      </c>
      <c r="J1330" s="228">
        <f>MONTH(AVEU_Historical_Data__2[[#This Row],[Date]])</f>
        <v>8</v>
      </c>
      <c r="K1330" s="228"/>
    </row>
    <row r="1331" spans="1:11" x14ac:dyDescent="0.25">
      <c r="A1331" s="227">
        <v>45877</v>
      </c>
      <c r="B1331" s="228">
        <v>4170.1000000000004</v>
      </c>
      <c r="C1331" s="228">
        <v>4220</v>
      </c>
      <c r="D1331" s="228">
        <v>4280</v>
      </c>
      <c r="E1331" s="228">
        <v>4163</v>
      </c>
      <c r="F1331">
        <v>281760</v>
      </c>
      <c r="G1331" s="228">
        <v>-2.1899999999999999E-2</v>
      </c>
      <c r="H1331" s="228">
        <f>YEAR(AVEU_Historical_Data__2[[#This Row],[Date]])</f>
        <v>2025</v>
      </c>
      <c r="I1331" s="228">
        <f>ROUNDUP((MOD(MONTH(AVEU_Historical_Data__2[[#This Row],[Date]])+8,12)+1)/3,0)</f>
        <v>2</v>
      </c>
      <c r="J1331" s="228">
        <f>MONTH(AVEU_Historical_Data__2[[#This Row],[Date]])</f>
        <v>8</v>
      </c>
      <c r="K1331" s="228"/>
    </row>
    <row r="1332" spans="1:11" x14ac:dyDescent="0.25">
      <c r="A1332" s="227">
        <v>45880</v>
      </c>
      <c r="B1332" s="228">
        <v>4184.5</v>
      </c>
      <c r="C1332" s="228">
        <v>4150.1000000000004</v>
      </c>
      <c r="D1332" s="228">
        <v>4222.8</v>
      </c>
      <c r="E1332" s="228">
        <v>4150.1000000000004</v>
      </c>
      <c r="F1332">
        <v>244810</v>
      </c>
      <c r="G1332" s="228">
        <v>3.5000000000000001E-3</v>
      </c>
      <c r="H1332" s="228">
        <f>YEAR(AVEU_Historical_Data__2[[#This Row],[Date]])</f>
        <v>2025</v>
      </c>
      <c r="I1332" s="228">
        <f>ROUNDUP((MOD(MONTH(AVEU_Historical_Data__2[[#This Row],[Date]])+8,12)+1)/3,0)</f>
        <v>2</v>
      </c>
      <c r="J1332" s="228">
        <f>MONTH(AVEU_Historical_Data__2[[#This Row],[Date]])</f>
        <v>8</v>
      </c>
      <c r="K1332" s="228"/>
    </row>
    <row r="1333" spans="1:11" x14ac:dyDescent="0.25">
      <c r="A1333" s="227">
        <v>45881</v>
      </c>
      <c r="B1333" s="228">
        <v>4252.5</v>
      </c>
      <c r="C1333" s="228">
        <v>4184.5</v>
      </c>
      <c r="D1333" s="228">
        <v>4273.3999999999996</v>
      </c>
      <c r="E1333" s="228">
        <v>4184.5</v>
      </c>
      <c r="F1333">
        <v>278160</v>
      </c>
      <c r="G1333" s="228">
        <v>1.6299999999999999E-2</v>
      </c>
      <c r="H1333" s="228">
        <f>YEAR(AVEU_Historical_Data__2[[#This Row],[Date]])</f>
        <v>2025</v>
      </c>
      <c r="I1333" s="228">
        <f>ROUNDUP((MOD(MONTH(AVEU_Historical_Data__2[[#This Row],[Date]])+8,12)+1)/3,0)</f>
        <v>2</v>
      </c>
      <c r="J1333" s="228">
        <f>MONTH(AVEU_Historical_Data__2[[#This Row],[Date]])</f>
        <v>8</v>
      </c>
      <c r="K1333" s="228"/>
    </row>
    <row r="1334" spans="1:11" x14ac:dyDescent="0.25">
      <c r="A1334" s="227">
        <v>45882</v>
      </c>
      <c r="B1334" s="228">
        <v>4334.6000000000004</v>
      </c>
      <c r="C1334" s="228">
        <v>4255</v>
      </c>
      <c r="D1334" s="228">
        <v>4340</v>
      </c>
      <c r="E1334" s="228">
        <v>4247.3</v>
      </c>
      <c r="F1334">
        <v>470230</v>
      </c>
      <c r="G1334" s="228">
        <v>1.9300000000000001E-2</v>
      </c>
      <c r="H1334" s="228">
        <f>YEAR(AVEU_Historical_Data__2[[#This Row],[Date]])</f>
        <v>2025</v>
      </c>
      <c r="I1334" s="228">
        <f>ROUNDUP((MOD(MONTH(AVEU_Historical_Data__2[[#This Row],[Date]])+8,12)+1)/3,0)</f>
        <v>2</v>
      </c>
      <c r="J1334" s="228">
        <f>MONTH(AVEU_Historical_Data__2[[#This Row],[Date]])</f>
        <v>8</v>
      </c>
      <c r="K1334" s="228"/>
    </row>
    <row r="1335" spans="1:11" x14ac:dyDescent="0.25">
      <c r="A1335" s="227">
        <v>45883</v>
      </c>
      <c r="B1335" s="228">
        <v>4358.2</v>
      </c>
      <c r="C1335" s="228">
        <v>4334.6000000000004</v>
      </c>
      <c r="D1335" s="228">
        <v>4394.8999999999996</v>
      </c>
      <c r="E1335" s="228">
        <v>4327.1000000000004</v>
      </c>
      <c r="F1335">
        <v>646060</v>
      </c>
      <c r="G1335" s="228">
        <v>5.4000000000000003E-3</v>
      </c>
      <c r="H1335" s="228">
        <f>YEAR(AVEU_Historical_Data__2[[#This Row],[Date]])</f>
        <v>2025</v>
      </c>
      <c r="I1335" s="228">
        <f>ROUNDUP((MOD(MONTH(AVEU_Historical_Data__2[[#This Row],[Date]])+8,12)+1)/3,0)</f>
        <v>2</v>
      </c>
      <c r="J1335" s="228">
        <f>MONTH(AVEU_Historical_Data__2[[#This Row],[Date]])</f>
        <v>8</v>
      </c>
      <c r="K1335" s="228"/>
    </row>
    <row r="1336" spans="1:11" x14ac:dyDescent="0.25">
      <c r="A1336" s="227">
        <v>45887</v>
      </c>
      <c r="B1336" s="228">
        <v>4558</v>
      </c>
      <c r="C1336" s="228">
        <v>4446</v>
      </c>
      <c r="D1336" s="228">
        <v>4592.8999999999996</v>
      </c>
      <c r="E1336" s="228">
        <v>4401.5</v>
      </c>
      <c r="F1336">
        <v>1590000</v>
      </c>
      <c r="G1336" s="228">
        <v>4.58E-2</v>
      </c>
      <c r="H1336" s="228">
        <f>YEAR(AVEU_Historical_Data__2[[#This Row],[Date]])</f>
        <v>2025</v>
      </c>
      <c r="I1336" s="228">
        <f>ROUNDUP((MOD(MONTH(AVEU_Historical_Data__2[[#This Row],[Date]])+8,12)+1)/3,0)</f>
        <v>2</v>
      </c>
      <c r="J1336" s="228">
        <f>MONTH(AVEU_Historical_Data__2[[#This Row],[Date]])</f>
        <v>8</v>
      </c>
      <c r="K1336" s="228"/>
    </row>
    <row r="1337" spans="1:11" x14ac:dyDescent="0.25">
      <c r="A1337" s="227">
        <v>45888</v>
      </c>
      <c r="B1337" s="228">
        <v>4653.2</v>
      </c>
      <c r="C1337" s="228">
        <v>4584.8999999999996</v>
      </c>
      <c r="D1337" s="228">
        <v>4661.6000000000004</v>
      </c>
      <c r="E1337" s="228">
        <v>4561.3</v>
      </c>
      <c r="F1337">
        <v>856310</v>
      </c>
      <c r="G1337" s="228">
        <v>2.0899999999999998E-2</v>
      </c>
      <c r="H1337" s="228">
        <f>YEAR(AVEU_Historical_Data__2[[#This Row],[Date]])</f>
        <v>2025</v>
      </c>
      <c r="I1337" s="228">
        <f>ROUNDUP((MOD(MONTH(AVEU_Historical_Data__2[[#This Row],[Date]])+8,12)+1)/3,0)</f>
        <v>2</v>
      </c>
      <c r="J1337" s="228">
        <f>MONTH(AVEU_Historical_Data__2[[#This Row],[Date]])</f>
        <v>8</v>
      </c>
      <c r="K1337" s="228"/>
    </row>
    <row r="1338" spans="1:11" x14ac:dyDescent="0.25">
      <c r="A1338" s="227">
        <v>45889</v>
      </c>
      <c r="B1338" s="228">
        <v>4737.8999999999996</v>
      </c>
      <c r="C1338" s="228">
        <v>4651.5</v>
      </c>
      <c r="D1338" s="228">
        <v>4759.8999999999996</v>
      </c>
      <c r="E1338" s="228">
        <v>4630.1000000000004</v>
      </c>
      <c r="F1338">
        <v>1270000</v>
      </c>
      <c r="G1338" s="228">
        <v>1.8200000000000001E-2</v>
      </c>
      <c r="H1338" s="228">
        <f>YEAR(AVEU_Historical_Data__2[[#This Row],[Date]])</f>
        <v>2025</v>
      </c>
      <c r="I1338" s="228">
        <f>ROUNDUP((MOD(MONTH(AVEU_Historical_Data__2[[#This Row],[Date]])+8,12)+1)/3,0)</f>
        <v>2</v>
      </c>
      <c r="J1338" s="228">
        <f>MONTH(AVEU_Historical_Data__2[[#This Row],[Date]])</f>
        <v>8</v>
      </c>
      <c r="K1338" s="228"/>
    </row>
    <row r="1339" spans="1:11" x14ac:dyDescent="0.25">
      <c r="A1339" s="227">
        <v>45890</v>
      </c>
      <c r="B1339" s="228">
        <v>4691.8999999999996</v>
      </c>
      <c r="C1339" s="228">
        <v>4737.8999999999996</v>
      </c>
      <c r="D1339" s="228">
        <v>4749.6000000000004</v>
      </c>
      <c r="E1339" s="228">
        <v>4673</v>
      </c>
      <c r="F1339">
        <v>873600</v>
      </c>
      <c r="G1339" s="228">
        <v>-9.7000000000000003E-3</v>
      </c>
      <c r="H1339" s="228">
        <f>YEAR(AVEU_Historical_Data__2[[#This Row],[Date]])</f>
        <v>2025</v>
      </c>
      <c r="I1339" s="228">
        <f>ROUNDUP((MOD(MONTH(AVEU_Historical_Data__2[[#This Row],[Date]])+8,12)+1)/3,0)</f>
        <v>2</v>
      </c>
      <c r="J1339" s="228">
        <f>MONTH(AVEU_Historical_Data__2[[#This Row],[Date]])</f>
        <v>8</v>
      </c>
      <c r="K1339" s="228"/>
    </row>
    <row r="1340" spans="1:11" x14ac:dyDescent="0.25">
      <c r="A1340" s="227">
        <v>45891</v>
      </c>
      <c r="B1340" s="228">
        <v>4698.8</v>
      </c>
      <c r="C1340" s="228">
        <v>4708</v>
      </c>
      <c r="D1340" s="228">
        <v>4730</v>
      </c>
      <c r="E1340" s="228">
        <v>4636.8</v>
      </c>
      <c r="F1340">
        <v>449650</v>
      </c>
      <c r="G1340" s="228">
        <v>1.5E-3</v>
      </c>
      <c r="H1340" s="228">
        <f>YEAR(AVEU_Historical_Data__2[[#This Row],[Date]])</f>
        <v>2025</v>
      </c>
      <c r="I1340" s="228">
        <f>ROUNDUP((MOD(MONTH(AVEU_Historical_Data__2[[#This Row],[Date]])+8,12)+1)/3,0)</f>
        <v>2</v>
      </c>
      <c r="J1340" s="228">
        <f>MONTH(AVEU_Historical_Data__2[[#This Row],[Date]])</f>
        <v>8</v>
      </c>
      <c r="K1340" s="228"/>
    </row>
    <row r="1341" spans="1:11" x14ac:dyDescent="0.25">
      <c r="A1341" s="227">
        <v>45894</v>
      </c>
      <c r="B1341" s="228">
        <v>4725.3</v>
      </c>
      <c r="C1341" s="228">
        <v>4714.5</v>
      </c>
      <c r="D1341" s="228">
        <v>4750.5</v>
      </c>
      <c r="E1341" s="228">
        <v>4700.1000000000004</v>
      </c>
      <c r="F1341">
        <v>853240</v>
      </c>
      <c r="G1341" s="228">
        <v>5.5999999999999999E-3</v>
      </c>
      <c r="H1341" s="228">
        <f>YEAR(AVEU_Historical_Data__2[[#This Row],[Date]])</f>
        <v>2025</v>
      </c>
      <c r="I1341" s="228">
        <f>ROUNDUP((MOD(MONTH(AVEU_Historical_Data__2[[#This Row],[Date]])+8,12)+1)/3,0)</f>
        <v>2</v>
      </c>
      <c r="J1341" s="228">
        <f>MONTH(AVEU_Historical_Data__2[[#This Row],[Date]])</f>
        <v>8</v>
      </c>
      <c r="K1341" s="228"/>
    </row>
    <row r="1342" spans="1:11" x14ac:dyDescent="0.25">
      <c r="A1342" s="227">
        <v>45895</v>
      </c>
      <c r="B1342" s="228">
        <v>4716.3999999999996</v>
      </c>
      <c r="C1342" s="228">
        <v>4751.8</v>
      </c>
      <c r="D1342" s="228">
        <v>4799.1000000000004</v>
      </c>
      <c r="E1342" s="228">
        <v>4696.2</v>
      </c>
      <c r="F1342">
        <v>911520</v>
      </c>
      <c r="G1342" s="228">
        <v>-1.9E-3</v>
      </c>
      <c r="H1342" s="228">
        <f>YEAR(AVEU_Historical_Data__2[[#This Row],[Date]])</f>
        <v>2025</v>
      </c>
      <c r="I1342" s="228">
        <f>ROUNDUP((MOD(MONTH(AVEU_Historical_Data__2[[#This Row],[Date]])+8,12)+1)/3,0)</f>
        <v>2</v>
      </c>
      <c r="J1342" s="228">
        <f>MONTH(AVEU_Historical_Data__2[[#This Row],[Date]])</f>
        <v>8</v>
      </c>
      <c r="K1342" s="228"/>
    </row>
    <row r="1343" spans="1:11" x14ac:dyDescent="0.25">
      <c r="A1343" s="227">
        <v>45897</v>
      </c>
      <c r="B1343" s="228">
        <v>4699.8999999999996</v>
      </c>
      <c r="C1343" s="228">
        <v>4805</v>
      </c>
      <c r="D1343" s="228">
        <v>4805</v>
      </c>
      <c r="E1343" s="228">
        <v>4671.3999999999996</v>
      </c>
      <c r="F1343">
        <v>648950</v>
      </c>
      <c r="G1343" s="228">
        <v>-3.5000000000000001E-3</v>
      </c>
      <c r="H1343" s="228">
        <f>YEAR(AVEU_Historical_Data__2[[#This Row],[Date]])</f>
        <v>2025</v>
      </c>
      <c r="I1343" s="228">
        <f>ROUNDUP((MOD(MONTH(AVEU_Historical_Data__2[[#This Row],[Date]])+8,12)+1)/3,0)</f>
        <v>2</v>
      </c>
      <c r="J1343" s="228">
        <f>MONTH(AVEU_Historical_Data__2[[#This Row],[Date]])</f>
        <v>8</v>
      </c>
      <c r="K1343" s="228"/>
    </row>
    <row r="1344" spans="1:11" x14ac:dyDescent="0.25">
      <c r="A1344" s="227">
        <v>45898</v>
      </c>
      <c r="B1344" s="228">
        <v>4755.6000000000004</v>
      </c>
      <c r="C1344" s="228">
        <v>4720</v>
      </c>
      <c r="D1344" s="228">
        <v>4800.5</v>
      </c>
      <c r="E1344" s="228">
        <v>4680</v>
      </c>
      <c r="F1344">
        <v>591570</v>
      </c>
      <c r="G1344" s="228">
        <v>1.1900000000000001E-2</v>
      </c>
      <c r="H1344" s="228">
        <f>YEAR(AVEU_Historical_Data__2[[#This Row],[Date]])</f>
        <v>2025</v>
      </c>
      <c r="I1344" s="228">
        <f>ROUNDUP((MOD(MONTH(AVEU_Historical_Data__2[[#This Row],[Date]])+8,12)+1)/3,0)</f>
        <v>2</v>
      </c>
      <c r="J1344" s="228">
        <f>MONTH(AVEU_Historical_Data__2[[#This Row],[Date]])</f>
        <v>8</v>
      </c>
      <c r="K1344" s="228"/>
    </row>
    <row r="1345" spans="1:11" x14ac:dyDescent="0.25">
      <c r="A1345" s="227">
        <v>45901</v>
      </c>
      <c r="B1345" s="228">
        <v>4734.8999999999996</v>
      </c>
      <c r="C1345" s="228">
        <v>4753</v>
      </c>
      <c r="D1345" s="228">
        <v>4829</v>
      </c>
      <c r="E1345" s="228">
        <v>4720</v>
      </c>
      <c r="F1345">
        <v>564620</v>
      </c>
      <c r="G1345" s="228">
        <v>-4.4000000000000003E-3</v>
      </c>
      <c r="H1345" s="228">
        <f>YEAR(AVEU_Historical_Data__2[[#This Row],[Date]])</f>
        <v>2025</v>
      </c>
      <c r="I1345" s="228">
        <f>ROUNDUP((MOD(MONTH(AVEU_Historical_Data__2[[#This Row],[Date]])+8,12)+1)/3,0)</f>
        <v>2</v>
      </c>
      <c r="J1345" s="228">
        <f>MONTH(AVEU_Historical_Data__2[[#This Row],[Date]])</f>
        <v>9</v>
      </c>
      <c r="K1345" s="228"/>
    </row>
    <row r="1346" spans="1:11" x14ac:dyDescent="0.25">
      <c r="A1346" s="227">
        <v>45902</v>
      </c>
      <c r="B1346" s="228">
        <v>4680</v>
      </c>
      <c r="C1346" s="228">
        <v>4749.8999999999996</v>
      </c>
      <c r="D1346" s="228">
        <v>4772</v>
      </c>
      <c r="E1346" s="228">
        <v>4670</v>
      </c>
      <c r="F1346">
        <v>395170</v>
      </c>
      <c r="G1346" s="228">
        <v>-1.1599999999999999E-2</v>
      </c>
      <c r="H1346" s="228">
        <f>YEAR(AVEU_Historical_Data__2[[#This Row],[Date]])</f>
        <v>2025</v>
      </c>
      <c r="I1346" s="228">
        <f>ROUNDUP((MOD(MONTH(AVEU_Historical_Data__2[[#This Row],[Date]])+8,12)+1)/3,0)</f>
        <v>2</v>
      </c>
      <c r="J1346" s="228">
        <f>MONTH(AVEU_Historical_Data__2[[#This Row],[Date]])</f>
        <v>9</v>
      </c>
      <c r="K1346" s="228"/>
    </row>
    <row r="1347" spans="1:11" x14ac:dyDescent="0.25">
      <c r="A1347" s="227">
        <v>45903</v>
      </c>
      <c r="B1347" s="228">
        <v>4758.5</v>
      </c>
      <c r="C1347" s="228">
        <v>4680</v>
      </c>
      <c r="D1347" s="228">
        <v>4780</v>
      </c>
      <c r="E1347" s="228">
        <v>4675.5</v>
      </c>
      <c r="F1347">
        <v>406020</v>
      </c>
      <c r="G1347" s="228">
        <v>1.6799999999999999E-2</v>
      </c>
      <c r="H1347" s="228">
        <f>YEAR(AVEU_Historical_Data__2[[#This Row],[Date]])</f>
        <v>2025</v>
      </c>
      <c r="I1347" s="228">
        <f>ROUNDUP((MOD(MONTH(AVEU_Historical_Data__2[[#This Row],[Date]])+8,12)+1)/3,0)</f>
        <v>2</v>
      </c>
      <c r="J1347" s="228">
        <f>MONTH(AVEU_Historical_Data__2[[#This Row],[Date]])</f>
        <v>9</v>
      </c>
      <c r="K1347" s="228"/>
    </row>
    <row r="1348" spans="1:11" x14ac:dyDescent="0.25">
      <c r="A1348" s="227">
        <v>45904</v>
      </c>
      <c r="B1348" s="228">
        <v>4829.3</v>
      </c>
      <c r="C1348" s="228">
        <v>4949</v>
      </c>
      <c r="D1348" s="228">
        <v>4949.5</v>
      </c>
      <c r="E1348" s="228">
        <v>4781.5</v>
      </c>
      <c r="F1348">
        <v>999710</v>
      </c>
      <c r="G1348" s="228">
        <v>1.49E-2</v>
      </c>
      <c r="H1348" s="228">
        <f>YEAR(AVEU_Historical_Data__2[[#This Row],[Date]])</f>
        <v>2025</v>
      </c>
      <c r="I1348" s="228">
        <f>ROUNDUP((MOD(MONTH(AVEU_Historical_Data__2[[#This Row],[Date]])+8,12)+1)/3,0)</f>
        <v>2</v>
      </c>
      <c r="J1348" s="228">
        <f>MONTH(AVEU_Historical_Data__2[[#This Row],[Date]])</f>
        <v>9</v>
      </c>
      <c r="K1348" s="228"/>
    </row>
    <row r="1349" spans="1:11" x14ac:dyDescent="0.25">
      <c r="A1349" s="227">
        <v>45905</v>
      </c>
      <c r="B1349" s="228">
        <v>4793.3</v>
      </c>
      <c r="C1349" s="228">
        <v>4850</v>
      </c>
      <c r="D1349" s="228">
        <v>4898.5</v>
      </c>
      <c r="E1349" s="228">
        <v>4767.2</v>
      </c>
      <c r="F1349">
        <v>247790</v>
      </c>
      <c r="G1349" s="228">
        <v>-7.4999999999999997E-3</v>
      </c>
      <c r="H1349" s="228">
        <f>YEAR(AVEU_Historical_Data__2[[#This Row],[Date]])</f>
        <v>2025</v>
      </c>
      <c r="I1349" s="228">
        <f>ROUNDUP((MOD(MONTH(AVEU_Historical_Data__2[[#This Row],[Date]])+8,12)+1)/3,0)</f>
        <v>2</v>
      </c>
      <c r="J1349" s="228">
        <f>MONTH(AVEU_Historical_Data__2[[#This Row],[Date]])</f>
        <v>9</v>
      </c>
      <c r="K1349" s="228"/>
    </row>
    <row r="1350" spans="1:11" x14ac:dyDescent="0.25">
      <c r="A1350" s="227">
        <v>45908</v>
      </c>
      <c r="B1350" s="228">
        <v>4714.2</v>
      </c>
      <c r="C1350" s="228">
        <v>4810</v>
      </c>
      <c r="D1350" s="228">
        <v>4814.8999999999996</v>
      </c>
      <c r="E1350" s="228">
        <v>4690.6000000000004</v>
      </c>
      <c r="F1350">
        <v>214160</v>
      </c>
      <c r="G1350" s="228">
        <v>-1.6500000000000001E-2</v>
      </c>
      <c r="H1350" s="228">
        <f>YEAR(AVEU_Historical_Data__2[[#This Row],[Date]])</f>
        <v>2025</v>
      </c>
      <c r="I1350" s="228">
        <f>ROUNDUP((MOD(MONTH(AVEU_Historical_Data__2[[#This Row],[Date]])+8,12)+1)/3,0)</f>
        <v>2</v>
      </c>
      <c r="J1350" s="228">
        <f>MONTH(AVEU_Historical_Data__2[[#This Row],[Date]])</f>
        <v>9</v>
      </c>
      <c r="K1350" s="228"/>
    </row>
    <row r="1351" spans="1:11" x14ac:dyDescent="0.25">
      <c r="A1351" s="227">
        <v>45909</v>
      </c>
      <c r="B1351" s="228">
        <v>4759.8</v>
      </c>
      <c r="C1351" s="228">
        <v>4726.1000000000004</v>
      </c>
      <c r="D1351" s="228">
        <v>4778</v>
      </c>
      <c r="E1351" s="228">
        <v>4691.5</v>
      </c>
      <c r="F1351">
        <v>184350</v>
      </c>
      <c r="G1351" s="228">
        <v>9.7000000000000003E-3</v>
      </c>
      <c r="H1351" s="228">
        <f>YEAR(AVEU_Historical_Data__2[[#This Row],[Date]])</f>
        <v>2025</v>
      </c>
      <c r="I1351" s="228">
        <f>ROUNDUP((MOD(MONTH(AVEU_Historical_Data__2[[#This Row],[Date]])+8,12)+1)/3,0)</f>
        <v>2</v>
      </c>
      <c r="J1351" s="228">
        <f>MONTH(AVEU_Historical_Data__2[[#This Row],[Date]])</f>
        <v>9</v>
      </c>
      <c r="K1351" s="228"/>
    </row>
    <row r="1352" spans="1:11" x14ac:dyDescent="0.25">
      <c r="A1352" s="227">
        <v>45910</v>
      </c>
      <c r="B1352" s="228">
        <v>4631.3</v>
      </c>
      <c r="C1352" s="228">
        <v>4778</v>
      </c>
      <c r="D1352" s="228">
        <v>4789.8</v>
      </c>
      <c r="E1352" s="228">
        <v>4613</v>
      </c>
      <c r="F1352">
        <v>341650</v>
      </c>
      <c r="G1352" s="228">
        <v>-2.7E-2</v>
      </c>
      <c r="H1352" s="228">
        <f>YEAR(AVEU_Historical_Data__2[[#This Row],[Date]])</f>
        <v>2025</v>
      </c>
      <c r="I1352" s="228">
        <f>ROUNDUP((MOD(MONTH(AVEU_Historical_Data__2[[#This Row],[Date]])+8,12)+1)/3,0)</f>
        <v>2</v>
      </c>
      <c r="J1352" s="228">
        <f>MONTH(AVEU_Historical_Data__2[[#This Row],[Date]])</f>
        <v>9</v>
      </c>
      <c r="K1352" s="228"/>
    </row>
    <row r="1353" spans="1:11" x14ac:dyDescent="0.25">
      <c r="A1353" s="227">
        <v>45911</v>
      </c>
      <c r="B1353" s="228">
        <v>4589.7</v>
      </c>
      <c r="C1353" s="228">
        <v>4642.3</v>
      </c>
      <c r="D1353" s="228">
        <v>4646</v>
      </c>
      <c r="E1353" s="228">
        <v>4562.6000000000004</v>
      </c>
      <c r="F1353">
        <v>381810</v>
      </c>
      <c r="G1353" s="228">
        <v>-8.9999999999999993E-3</v>
      </c>
      <c r="H1353" s="228">
        <f>YEAR(AVEU_Historical_Data__2[[#This Row],[Date]])</f>
        <v>2025</v>
      </c>
      <c r="I1353" s="228">
        <f>ROUNDUP((MOD(MONTH(AVEU_Historical_Data__2[[#This Row],[Date]])+8,12)+1)/3,0)</f>
        <v>2</v>
      </c>
      <c r="J1353" s="228">
        <f>MONTH(AVEU_Historical_Data__2[[#This Row],[Date]])</f>
        <v>9</v>
      </c>
      <c r="K1353" s="228"/>
    </row>
    <row r="1354" spans="1:11" x14ac:dyDescent="0.25">
      <c r="A1354" s="227">
        <v>45912</v>
      </c>
      <c r="B1354" s="228">
        <v>4616.6000000000004</v>
      </c>
      <c r="C1354" s="228">
        <v>4632</v>
      </c>
      <c r="D1354" s="228">
        <v>4634</v>
      </c>
      <c r="E1354" s="228">
        <v>4587</v>
      </c>
      <c r="F1354">
        <v>384350</v>
      </c>
      <c r="G1354" s="228">
        <v>5.8999999999999999E-3</v>
      </c>
      <c r="H1354" s="228">
        <f>YEAR(AVEU_Historical_Data__2[[#This Row],[Date]])</f>
        <v>2025</v>
      </c>
      <c r="I1354" s="228">
        <f>ROUNDUP((MOD(MONTH(AVEU_Historical_Data__2[[#This Row],[Date]])+8,12)+1)/3,0)</f>
        <v>2</v>
      </c>
      <c r="J1354" s="228">
        <f>MONTH(AVEU_Historical_Data__2[[#This Row],[Date]])</f>
        <v>9</v>
      </c>
      <c r="K1354" s="228"/>
    </row>
    <row r="1355" spans="1:11" x14ac:dyDescent="0.25">
      <c r="A1355" s="227">
        <v>45915</v>
      </c>
      <c r="B1355" s="228">
        <v>4651</v>
      </c>
      <c r="C1355" s="228">
        <v>4616</v>
      </c>
      <c r="D1355" s="228">
        <v>4697.5</v>
      </c>
      <c r="E1355" s="228">
        <v>4575</v>
      </c>
      <c r="F1355">
        <v>384080</v>
      </c>
      <c r="G1355" s="228">
        <v>7.4999999999999997E-3</v>
      </c>
      <c r="H1355" s="228">
        <f>YEAR(AVEU_Historical_Data__2[[#This Row],[Date]])</f>
        <v>2025</v>
      </c>
      <c r="I1355" s="228">
        <f>ROUNDUP((MOD(MONTH(AVEU_Historical_Data__2[[#This Row],[Date]])+8,12)+1)/3,0)</f>
        <v>2</v>
      </c>
      <c r="J1355" s="228">
        <f>MONTH(AVEU_Historical_Data__2[[#This Row],[Date]])</f>
        <v>9</v>
      </c>
      <c r="K1355" s="228"/>
    </row>
    <row r="1356" spans="1:11" x14ac:dyDescent="0.25">
      <c r="A1356" s="227">
        <v>45916</v>
      </c>
      <c r="B1356" s="228">
        <v>4696.2</v>
      </c>
      <c r="C1356" s="228">
        <v>4667</v>
      </c>
      <c r="D1356" s="228">
        <v>4715</v>
      </c>
      <c r="E1356" s="228">
        <v>4655</v>
      </c>
      <c r="F1356">
        <v>239710</v>
      </c>
      <c r="G1356" s="228">
        <v>9.7000000000000003E-3</v>
      </c>
      <c r="H1356" s="228">
        <f>YEAR(AVEU_Historical_Data__2[[#This Row],[Date]])</f>
        <v>2025</v>
      </c>
      <c r="I1356" s="228">
        <f>ROUNDUP((MOD(MONTH(AVEU_Historical_Data__2[[#This Row],[Date]])+8,12)+1)/3,0)</f>
        <v>2</v>
      </c>
      <c r="J1356" s="228">
        <f>MONTH(AVEU_Historical_Data__2[[#This Row],[Date]])</f>
        <v>9</v>
      </c>
      <c r="K1356" s="228"/>
    </row>
    <row r="1357" spans="1:11" x14ac:dyDescent="0.25">
      <c r="A1357" s="227">
        <v>45917</v>
      </c>
      <c r="B1357" s="228">
        <v>4717.3</v>
      </c>
      <c r="C1357" s="228">
        <v>4712</v>
      </c>
      <c r="D1357" s="228">
        <v>4755.1000000000004</v>
      </c>
      <c r="E1357" s="228">
        <v>4693.3</v>
      </c>
      <c r="F1357">
        <v>299310</v>
      </c>
      <c r="G1357" s="228">
        <v>4.4999999999999997E-3</v>
      </c>
      <c r="H1357" s="228">
        <f>YEAR(AVEU_Historical_Data__2[[#This Row],[Date]])</f>
        <v>2025</v>
      </c>
      <c r="I1357" s="228">
        <f>ROUNDUP((MOD(MONTH(AVEU_Historical_Data__2[[#This Row],[Date]])+8,12)+1)/3,0)</f>
        <v>2</v>
      </c>
      <c r="J1357" s="228">
        <f>MONTH(AVEU_Historical_Data__2[[#This Row],[Date]])</f>
        <v>9</v>
      </c>
      <c r="K1357" s="228"/>
    </row>
    <row r="1358" spans="1:11" x14ac:dyDescent="0.25">
      <c r="A1358" s="227">
        <v>45918</v>
      </c>
      <c r="B1358" s="228">
        <v>4760.3</v>
      </c>
      <c r="C1358" s="228">
        <v>4768</v>
      </c>
      <c r="D1358" s="228">
        <v>4818</v>
      </c>
      <c r="E1358" s="228">
        <v>4745.8</v>
      </c>
      <c r="F1358">
        <v>420160</v>
      </c>
      <c r="G1358" s="228">
        <v>9.1000000000000004E-3</v>
      </c>
      <c r="H1358" s="228">
        <f>YEAR(AVEU_Historical_Data__2[[#This Row],[Date]])</f>
        <v>2025</v>
      </c>
      <c r="I1358" s="228">
        <f>ROUNDUP((MOD(MONTH(AVEU_Historical_Data__2[[#This Row],[Date]])+8,12)+1)/3,0)</f>
        <v>2</v>
      </c>
      <c r="J1358" s="228">
        <f>MONTH(AVEU_Historical_Data__2[[#This Row],[Date]])</f>
        <v>9</v>
      </c>
      <c r="K1358" s="228"/>
    </row>
    <row r="1359" spans="1:11" x14ac:dyDescent="0.25">
      <c r="A1359" s="227">
        <v>45919</v>
      </c>
      <c r="B1359" s="228">
        <v>4775.3</v>
      </c>
      <c r="C1359" s="228">
        <v>4773</v>
      </c>
      <c r="D1359" s="228">
        <v>4798</v>
      </c>
      <c r="E1359" s="228">
        <v>4728</v>
      </c>
      <c r="F1359">
        <v>456610</v>
      </c>
      <c r="G1359" s="228">
        <v>3.2000000000000002E-3</v>
      </c>
      <c r="H1359" s="228">
        <f>YEAR(AVEU_Historical_Data__2[[#This Row],[Date]])</f>
        <v>2025</v>
      </c>
      <c r="I1359" s="228">
        <f>ROUNDUP((MOD(MONTH(AVEU_Historical_Data__2[[#This Row],[Date]])+8,12)+1)/3,0)</f>
        <v>2</v>
      </c>
      <c r="J1359" s="228">
        <f>MONTH(AVEU_Historical_Data__2[[#This Row],[Date]])</f>
        <v>9</v>
      </c>
      <c r="K1359" s="228"/>
    </row>
    <row r="1360" spans="1:11" x14ac:dyDescent="0.25">
      <c r="A1360" s="227">
        <v>45922</v>
      </c>
      <c r="B1360" s="228">
        <v>4671.2</v>
      </c>
      <c r="C1360" s="228">
        <v>4785.3999999999996</v>
      </c>
      <c r="D1360" s="228">
        <v>4789.8</v>
      </c>
      <c r="E1360" s="228">
        <v>4655.3</v>
      </c>
      <c r="F1360">
        <v>253710</v>
      </c>
      <c r="G1360" s="228">
        <v>-2.18E-2</v>
      </c>
      <c r="H1360" s="228">
        <f>YEAR(AVEU_Historical_Data__2[[#This Row],[Date]])</f>
        <v>2025</v>
      </c>
      <c r="I1360" s="228">
        <f>ROUNDUP((MOD(MONTH(AVEU_Historical_Data__2[[#This Row],[Date]])+8,12)+1)/3,0)</f>
        <v>2</v>
      </c>
      <c r="J1360" s="228">
        <f>MONTH(AVEU_Historical_Data__2[[#This Row],[Date]])</f>
        <v>9</v>
      </c>
      <c r="K1360" s="228"/>
    </row>
    <row r="1361" spans="1:11" x14ac:dyDescent="0.25">
      <c r="A1361" s="227">
        <v>45923</v>
      </c>
      <c r="B1361" s="228">
        <v>4633.8999999999996</v>
      </c>
      <c r="C1361" s="228">
        <v>4695.8</v>
      </c>
      <c r="D1361" s="228">
        <v>4711.7</v>
      </c>
      <c r="E1361" s="228">
        <v>4572.5</v>
      </c>
      <c r="F1361">
        <v>398680</v>
      </c>
      <c r="G1361" s="228">
        <v>-8.0000000000000002E-3</v>
      </c>
      <c r="H1361" s="228">
        <f>YEAR(AVEU_Historical_Data__2[[#This Row],[Date]])</f>
        <v>2025</v>
      </c>
      <c r="I1361" s="228">
        <f>ROUNDUP((MOD(MONTH(AVEU_Historical_Data__2[[#This Row],[Date]])+8,12)+1)/3,0)</f>
        <v>2</v>
      </c>
      <c r="J1361" s="228">
        <f>MONTH(AVEU_Historical_Data__2[[#This Row],[Date]])</f>
        <v>9</v>
      </c>
      <c r="K1361" s="228"/>
    </row>
    <row r="1362" spans="1:11" x14ac:dyDescent="0.25">
      <c r="A1362" s="227">
        <v>45924</v>
      </c>
      <c r="B1362" s="228">
        <v>4645.8</v>
      </c>
      <c r="C1362" s="228">
        <v>4630</v>
      </c>
      <c r="D1362" s="228">
        <v>4754.6000000000004</v>
      </c>
      <c r="E1362" s="228">
        <v>4606.3999999999996</v>
      </c>
      <c r="F1362">
        <v>484650</v>
      </c>
      <c r="G1362" s="228">
        <v>2.5999999999999999E-3</v>
      </c>
      <c r="H1362" s="228">
        <f>YEAR(AVEU_Historical_Data__2[[#This Row],[Date]])</f>
        <v>2025</v>
      </c>
      <c r="I1362" s="228">
        <f>ROUNDUP((MOD(MONTH(AVEU_Historical_Data__2[[#This Row],[Date]])+8,12)+1)/3,0)</f>
        <v>2</v>
      </c>
      <c r="J1362" s="228">
        <f>MONTH(AVEU_Historical_Data__2[[#This Row],[Date]])</f>
        <v>9</v>
      </c>
      <c r="K1362" s="228"/>
    </row>
    <row r="1363" spans="1:11" x14ac:dyDescent="0.25">
      <c r="A1363" s="227">
        <v>45925</v>
      </c>
      <c r="B1363" s="228">
        <v>4576.2</v>
      </c>
      <c r="C1363" s="228">
        <v>4640</v>
      </c>
      <c r="D1363" s="228">
        <v>4651.7</v>
      </c>
      <c r="E1363" s="228">
        <v>4565.1000000000004</v>
      </c>
      <c r="F1363">
        <v>454360</v>
      </c>
      <c r="G1363" s="228">
        <v>-1.4999999999999999E-2</v>
      </c>
      <c r="H1363" s="228">
        <f>YEAR(AVEU_Historical_Data__2[[#This Row],[Date]])</f>
        <v>2025</v>
      </c>
      <c r="I1363" s="228">
        <f>ROUNDUP((MOD(MONTH(AVEU_Historical_Data__2[[#This Row],[Date]])+8,12)+1)/3,0)</f>
        <v>2</v>
      </c>
      <c r="J1363" s="228">
        <f>MONTH(AVEU_Historical_Data__2[[#This Row],[Date]])</f>
        <v>9</v>
      </c>
      <c r="K1363" s="228"/>
    </row>
    <row r="1364" spans="1:11" x14ac:dyDescent="0.25">
      <c r="A1364" s="227">
        <v>45926</v>
      </c>
      <c r="B1364" s="228">
        <v>4517.8</v>
      </c>
      <c r="C1364" s="228">
        <v>4589.8999999999996</v>
      </c>
      <c r="D1364" s="228">
        <v>4629.3</v>
      </c>
      <c r="E1364" s="228">
        <v>4510</v>
      </c>
      <c r="F1364">
        <v>504870</v>
      </c>
      <c r="G1364" s="228">
        <v>-1.2800000000000001E-2</v>
      </c>
      <c r="H1364" s="228">
        <f>YEAR(AVEU_Historical_Data__2[[#This Row],[Date]])</f>
        <v>2025</v>
      </c>
      <c r="I1364" s="228">
        <f>ROUNDUP((MOD(MONTH(AVEU_Historical_Data__2[[#This Row],[Date]])+8,12)+1)/3,0)</f>
        <v>2</v>
      </c>
      <c r="J1364" s="228">
        <f>MONTH(AVEU_Historical_Data__2[[#This Row],[Date]])</f>
        <v>9</v>
      </c>
      <c r="K1364" s="228"/>
    </row>
    <row r="1365" spans="1:11" x14ac:dyDescent="0.25">
      <c r="A1365" s="227">
        <v>45929</v>
      </c>
      <c r="B1365" s="228">
        <v>4529.8999999999996</v>
      </c>
      <c r="C1365" s="228">
        <v>4500</v>
      </c>
      <c r="D1365" s="228">
        <v>4571</v>
      </c>
      <c r="E1365" s="228">
        <v>4483.8</v>
      </c>
      <c r="F1365">
        <v>429370</v>
      </c>
      <c r="G1365" s="228">
        <v>2.7000000000000001E-3</v>
      </c>
      <c r="H1365" s="228">
        <f>YEAR(AVEU_Historical_Data__2[[#This Row],[Date]])</f>
        <v>2025</v>
      </c>
      <c r="I1365" s="228">
        <f>ROUNDUP((MOD(MONTH(AVEU_Historical_Data__2[[#This Row],[Date]])+8,12)+1)/3,0)</f>
        <v>2</v>
      </c>
      <c r="J1365" s="228">
        <f>MONTH(AVEU_Historical_Data__2[[#This Row],[Date]])</f>
        <v>9</v>
      </c>
      <c r="K1365" s="228"/>
    </row>
    <row r="1366" spans="1:11" x14ac:dyDescent="0.25">
      <c r="A1366" s="227">
        <v>45930</v>
      </c>
      <c r="B1366" s="228">
        <v>4475.3999999999996</v>
      </c>
      <c r="C1366" s="228">
        <v>4530</v>
      </c>
      <c r="D1366" s="228">
        <v>4566.8999999999996</v>
      </c>
      <c r="E1366" s="228">
        <v>4419.8999999999996</v>
      </c>
      <c r="F1366">
        <v>733530</v>
      </c>
      <c r="G1366" s="228">
        <v>-1.2E-2</v>
      </c>
      <c r="H1366" s="228">
        <f>YEAR(AVEU_Historical_Data__2[[#This Row],[Date]])</f>
        <v>2025</v>
      </c>
      <c r="I1366" s="228">
        <f>ROUNDUP((MOD(MONTH(AVEU_Historical_Data__2[[#This Row],[Date]])+8,12)+1)/3,0)</f>
        <v>2</v>
      </c>
      <c r="J1366" s="228">
        <f>MONTH(AVEU_Historical_Data__2[[#This Row],[Date]])</f>
        <v>9</v>
      </c>
      <c r="K1366" s="228"/>
    </row>
    <row r="1367" spans="1:11" x14ac:dyDescent="0.25">
      <c r="A1367" s="227">
        <v>45931</v>
      </c>
      <c r="B1367" s="228">
        <v>4449.8999999999996</v>
      </c>
      <c r="C1367" s="228">
        <v>4475.3999999999996</v>
      </c>
      <c r="D1367" s="228">
        <v>4529.7</v>
      </c>
      <c r="E1367" s="228">
        <v>4422</v>
      </c>
      <c r="F1367">
        <v>507810</v>
      </c>
      <c r="G1367" s="228">
        <v>-5.7000000000000002E-3</v>
      </c>
      <c r="H1367" s="228">
        <f>YEAR(AVEU_Historical_Data__2[[#This Row],[Date]])</f>
        <v>2025</v>
      </c>
      <c r="I1367" s="228">
        <f>ROUNDUP((MOD(MONTH(AVEU_Historical_Data__2[[#This Row],[Date]])+8,12)+1)/3,0)</f>
        <v>3</v>
      </c>
      <c r="J1367" s="228">
        <f>MONTH(AVEU_Historical_Data__2[[#This Row],[Date]])</f>
        <v>10</v>
      </c>
      <c r="K1367" s="228"/>
    </row>
    <row r="1368" spans="1:11" x14ac:dyDescent="0.25">
      <c r="A1368" s="227">
        <v>45933</v>
      </c>
      <c r="B1368" s="228">
        <v>4418.3999999999996</v>
      </c>
      <c r="C1368" s="228">
        <v>4445</v>
      </c>
      <c r="D1368" s="228">
        <v>4445</v>
      </c>
      <c r="E1368" s="228">
        <v>4387.1000000000004</v>
      </c>
      <c r="F1368">
        <v>477670</v>
      </c>
      <c r="G1368" s="228">
        <v>-7.1000000000000004E-3</v>
      </c>
      <c r="H1368" s="228">
        <f>YEAR(AVEU_Historical_Data__2[[#This Row],[Date]])</f>
        <v>2025</v>
      </c>
      <c r="I1368" s="228">
        <f>ROUNDUP((MOD(MONTH(AVEU_Historical_Data__2[[#This Row],[Date]])+8,12)+1)/3,0)</f>
        <v>3</v>
      </c>
      <c r="J1368" s="228">
        <f>MONTH(AVEU_Historical_Data__2[[#This Row],[Date]])</f>
        <v>10</v>
      </c>
      <c r="K1368" s="228"/>
    </row>
    <row r="1369" spans="1:11" x14ac:dyDescent="0.25">
      <c r="A1369" s="227">
        <v>45936</v>
      </c>
      <c r="B1369" s="228">
        <v>4301.6000000000004</v>
      </c>
      <c r="C1369" s="228">
        <v>4375</v>
      </c>
      <c r="D1369" s="228">
        <v>4388.1000000000004</v>
      </c>
      <c r="E1369" s="228">
        <v>4269</v>
      </c>
      <c r="F1369">
        <v>1190000</v>
      </c>
      <c r="G1369" s="228">
        <v>-2.64E-2</v>
      </c>
      <c r="H1369" s="228">
        <f>YEAR(AVEU_Historical_Data__2[[#This Row],[Date]])</f>
        <v>2025</v>
      </c>
      <c r="I1369" s="228">
        <f>ROUNDUP((MOD(MONTH(AVEU_Historical_Data__2[[#This Row],[Date]])+8,12)+1)/3,0)</f>
        <v>3</v>
      </c>
      <c r="J1369" s="228">
        <f>MONTH(AVEU_Historical_Data__2[[#This Row],[Date]])</f>
        <v>10</v>
      </c>
      <c r="K1369" s="228"/>
    </row>
    <row r="1370" spans="1:11" x14ac:dyDescent="0.25">
      <c r="A1370" s="227">
        <v>45937</v>
      </c>
      <c r="B1370" s="228">
        <v>4303</v>
      </c>
      <c r="C1370" s="228">
        <v>4315</v>
      </c>
      <c r="D1370" s="228">
        <v>4345</v>
      </c>
      <c r="E1370" s="228">
        <v>4269</v>
      </c>
      <c r="F1370">
        <v>597770</v>
      </c>
      <c r="G1370" s="228">
        <v>2.9999999999999997E-4</v>
      </c>
      <c r="H1370" s="228">
        <f>YEAR(AVEU_Historical_Data__2[[#This Row],[Date]])</f>
        <v>2025</v>
      </c>
      <c r="I1370" s="228">
        <f>ROUNDUP((MOD(MONTH(AVEU_Historical_Data__2[[#This Row],[Date]])+8,12)+1)/3,0)</f>
        <v>3</v>
      </c>
      <c r="J1370" s="228">
        <f>MONTH(AVEU_Historical_Data__2[[#This Row],[Date]])</f>
        <v>10</v>
      </c>
      <c r="K1370" s="228"/>
    </row>
    <row r="1371" spans="1:11" x14ac:dyDescent="0.25">
      <c r="A1371" s="227">
        <v>45938</v>
      </c>
      <c r="B1371" s="228">
        <v>4294.3999999999996</v>
      </c>
      <c r="C1371" s="228">
        <v>4305</v>
      </c>
      <c r="D1371" s="228">
        <v>4323</v>
      </c>
      <c r="E1371" s="228">
        <v>4268</v>
      </c>
      <c r="F1371">
        <v>402660</v>
      </c>
      <c r="G1371" s="228">
        <v>-2E-3</v>
      </c>
      <c r="H1371" s="228">
        <f>YEAR(AVEU_Historical_Data__2[[#This Row],[Date]])</f>
        <v>2025</v>
      </c>
      <c r="I1371" s="228">
        <f>ROUNDUP((MOD(MONTH(AVEU_Historical_Data__2[[#This Row],[Date]])+8,12)+1)/3,0)</f>
        <v>3</v>
      </c>
      <c r="J1371" s="228">
        <f>MONTH(AVEU_Historical_Data__2[[#This Row],[Date]])</f>
        <v>10</v>
      </c>
      <c r="K1371" s="228"/>
    </row>
    <row r="1372" spans="1:11" x14ac:dyDescent="0.25">
      <c r="A1372" s="227">
        <v>45939</v>
      </c>
      <c r="B1372" s="228">
        <v>4305.1000000000004</v>
      </c>
      <c r="C1372" s="228">
        <v>4294.3999999999996</v>
      </c>
      <c r="D1372" s="228">
        <v>4320</v>
      </c>
      <c r="E1372" s="228">
        <v>4275</v>
      </c>
      <c r="F1372">
        <v>224960</v>
      </c>
      <c r="G1372" s="228">
        <v>2.5000000000000001E-3</v>
      </c>
      <c r="H1372" s="228">
        <f>YEAR(AVEU_Historical_Data__2[[#This Row],[Date]])</f>
        <v>2025</v>
      </c>
      <c r="I1372" s="228">
        <f>ROUNDUP((MOD(MONTH(AVEU_Historical_Data__2[[#This Row],[Date]])+8,12)+1)/3,0)</f>
        <v>3</v>
      </c>
      <c r="J1372" s="228">
        <f>MONTH(AVEU_Historical_Data__2[[#This Row],[Date]])</f>
        <v>10</v>
      </c>
      <c r="K1372" s="228"/>
    </row>
    <row r="1373" spans="1:11" x14ac:dyDescent="0.25">
      <c r="A1373" s="227">
        <v>45940</v>
      </c>
      <c r="B1373" s="228">
        <v>4320.3999999999996</v>
      </c>
      <c r="C1373" s="228">
        <v>4308.8999999999996</v>
      </c>
      <c r="D1373" s="228">
        <v>4365.8999999999996</v>
      </c>
      <c r="E1373" s="228">
        <v>4301.5</v>
      </c>
      <c r="F1373">
        <v>423960</v>
      </c>
      <c r="G1373" s="228">
        <v>3.5999999999999999E-3</v>
      </c>
      <c r="H1373" s="228">
        <f>YEAR(AVEU_Historical_Data__2[[#This Row],[Date]])</f>
        <v>2025</v>
      </c>
      <c r="I1373" s="228">
        <f>ROUNDUP((MOD(MONTH(AVEU_Historical_Data__2[[#This Row],[Date]])+8,12)+1)/3,0)</f>
        <v>3</v>
      </c>
      <c r="J1373" s="228">
        <f>MONTH(AVEU_Historical_Data__2[[#This Row],[Date]])</f>
        <v>10</v>
      </c>
      <c r="K1373" s="228"/>
    </row>
    <row r="1374" spans="1:11" x14ac:dyDescent="0.25">
      <c r="A1374" s="227">
        <v>45943</v>
      </c>
      <c r="B1374" s="228">
        <v>4202.6000000000004</v>
      </c>
      <c r="C1374" s="228">
        <v>4275</v>
      </c>
      <c r="D1374" s="228">
        <v>4349.8999999999996</v>
      </c>
      <c r="E1374" s="228">
        <v>4192.1000000000004</v>
      </c>
      <c r="F1374">
        <v>959340</v>
      </c>
      <c r="G1374" s="228">
        <v>-2.7300000000000001E-2</v>
      </c>
      <c r="H1374" s="228">
        <f>YEAR(AVEU_Historical_Data__2[[#This Row],[Date]])</f>
        <v>2025</v>
      </c>
      <c r="I1374" s="228">
        <f>ROUNDUP((MOD(MONTH(AVEU_Historical_Data__2[[#This Row],[Date]])+8,12)+1)/3,0)</f>
        <v>3</v>
      </c>
      <c r="J1374" s="228">
        <f>MONTH(AVEU_Historical_Data__2[[#This Row],[Date]])</f>
        <v>10</v>
      </c>
      <c r="K1374" s="228"/>
    </row>
    <row r="1375" spans="1:11" x14ac:dyDescent="0.25">
      <c r="A1375" s="227">
        <v>45944</v>
      </c>
      <c r="B1375" s="228">
        <v>4205.2</v>
      </c>
      <c r="C1375" s="228">
        <v>4235</v>
      </c>
      <c r="D1375" s="228">
        <v>4246</v>
      </c>
      <c r="E1375" s="228">
        <v>4196.7</v>
      </c>
      <c r="F1375">
        <v>276490</v>
      </c>
      <c r="G1375" s="228">
        <v>5.9999999999999995E-4</v>
      </c>
      <c r="H1375" s="228">
        <f>YEAR(AVEU_Historical_Data__2[[#This Row],[Date]])</f>
        <v>2025</v>
      </c>
      <c r="I1375" s="228">
        <f>ROUNDUP((MOD(MONTH(AVEU_Historical_Data__2[[#This Row],[Date]])+8,12)+1)/3,0)</f>
        <v>3</v>
      </c>
      <c r="J1375" s="228">
        <f>MONTH(AVEU_Historical_Data__2[[#This Row],[Date]])</f>
        <v>10</v>
      </c>
      <c r="K1375" s="228"/>
    </row>
    <row r="1376" spans="1:11" x14ac:dyDescent="0.25">
      <c r="A1376" s="227">
        <v>45945</v>
      </c>
      <c r="B1376" s="228">
        <v>4259.6000000000004</v>
      </c>
      <c r="C1376" s="228">
        <v>4230</v>
      </c>
      <c r="D1376" s="228">
        <v>4275</v>
      </c>
      <c r="E1376" s="228">
        <v>4215</v>
      </c>
      <c r="F1376">
        <v>415830</v>
      </c>
      <c r="G1376" s="228">
        <v>1.29E-2</v>
      </c>
      <c r="H1376" s="228">
        <f>YEAR(AVEU_Historical_Data__2[[#This Row],[Date]])</f>
        <v>2025</v>
      </c>
      <c r="I1376" s="228">
        <f>ROUNDUP((MOD(MONTH(AVEU_Historical_Data__2[[#This Row],[Date]])+8,12)+1)/3,0)</f>
        <v>3</v>
      </c>
      <c r="J1376" s="228">
        <f>MONTH(AVEU_Historical_Data__2[[#This Row],[Date]])</f>
        <v>10</v>
      </c>
      <c r="K1376" s="228"/>
    </row>
    <row r="1377" spans="1:11" x14ac:dyDescent="0.25">
      <c r="A1377" s="227">
        <v>45946</v>
      </c>
      <c r="B1377" s="228">
        <v>4316.1000000000004</v>
      </c>
      <c r="C1377" s="228">
        <v>4278</v>
      </c>
      <c r="D1377" s="228">
        <v>4334.8</v>
      </c>
      <c r="E1377" s="228">
        <v>4267.3999999999996</v>
      </c>
      <c r="F1377">
        <v>363380</v>
      </c>
      <c r="G1377" s="228">
        <v>1.3299999999999999E-2</v>
      </c>
      <c r="H1377" s="228">
        <f>YEAR(AVEU_Historical_Data__2[[#This Row],[Date]])</f>
        <v>2025</v>
      </c>
      <c r="I1377" s="228">
        <f>ROUNDUP((MOD(MONTH(AVEU_Historical_Data__2[[#This Row],[Date]])+8,12)+1)/3,0)</f>
        <v>3</v>
      </c>
      <c r="J1377" s="228">
        <f>MONTH(AVEU_Historical_Data__2[[#This Row],[Date]])</f>
        <v>10</v>
      </c>
      <c r="K1377" s="228"/>
    </row>
    <row r="1378" spans="1:11" x14ac:dyDescent="0.25">
      <c r="A1378" s="227">
        <v>45947</v>
      </c>
      <c r="B1378" s="228">
        <v>4302.5</v>
      </c>
      <c r="C1378" s="228">
        <v>4312</v>
      </c>
      <c r="D1378" s="228">
        <v>4316.1000000000004</v>
      </c>
      <c r="E1378" s="228">
        <v>4276.8999999999996</v>
      </c>
      <c r="F1378">
        <v>234370</v>
      </c>
      <c r="G1378" s="228">
        <v>-3.2000000000000002E-3</v>
      </c>
      <c r="H1378" s="228">
        <f>YEAR(AVEU_Historical_Data__2[[#This Row],[Date]])</f>
        <v>2025</v>
      </c>
      <c r="I1378" s="228">
        <f>ROUNDUP((MOD(MONTH(AVEU_Historical_Data__2[[#This Row],[Date]])+8,12)+1)/3,0)</f>
        <v>3</v>
      </c>
      <c r="J1378" s="228">
        <f>MONTH(AVEU_Historical_Data__2[[#This Row],[Date]])</f>
        <v>10</v>
      </c>
      <c r="K1378" s="228"/>
    </row>
    <row r="1379" spans="1:11" x14ac:dyDescent="0.25">
      <c r="A1379" s="227">
        <v>45950</v>
      </c>
      <c r="B1379" s="228">
        <v>4275.3</v>
      </c>
      <c r="C1379" s="228">
        <v>4310</v>
      </c>
      <c r="D1379" s="228">
        <v>4319.7</v>
      </c>
      <c r="E1379" s="228">
        <v>4260</v>
      </c>
      <c r="F1379">
        <v>228480</v>
      </c>
      <c r="G1379" s="228">
        <v>-6.3E-3</v>
      </c>
      <c r="H1379" s="228">
        <f>YEAR(AVEU_Historical_Data__2[[#This Row],[Date]])</f>
        <v>2025</v>
      </c>
      <c r="I1379" s="228">
        <f>ROUNDUP((MOD(MONTH(AVEU_Historical_Data__2[[#This Row],[Date]])+8,12)+1)/3,0)</f>
        <v>3</v>
      </c>
      <c r="J1379" s="228">
        <f>MONTH(AVEU_Historical_Data__2[[#This Row],[Date]])</f>
        <v>10</v>
      </c>
      <c r="K1379" s="228"/>
    </row>
    <row r="1380" spans="1:11" x14ac:dyDescent="0.25">
      <c r="A1380" s="227">
        <v>45951</v>
      </c>
      <c r="B1380" s="228">
        <v>4274.5</v>
      </c>
      <c r="C1380" s="228">
        <v>4308</v>
      </c>
      <c r="D1380" s="228">
        <v>4311</v>
      </c>
      <c r="E1380" s="228">
        <v>4260</v>
      </c>
      <c r="F1380">
        <v>36980</v>
      </c>
      <c r="G1380" s="228">
        <v>-2.0000000000000001E-4</v>
      </c>
      <c r="H1380" s="228">
        <f>YEAR(AVEU_Historical_Data__2[[#This Row],[Date]])</f>
        <v>2025</v>
      </c>
      <c r="I1380" s="228">
        <f>ROUNDUP((MOD(MONTH(AVEU_Historical_Data__2[[#This Row],[Date]])+8,12)+1)/3,0)</f>
        <v>3</v>
      </c>
      <c r="J1380" s="228">
        <f>MONTH(AVEU_Historical_Data__2[[#This Row],[Date]])</f>
        <v>10</v>
      </c>
      <c r="K1380" s="228"/>
    </row>
    <row r="1381" spans="1:11" x14ac:dyDescent="0.25">
      <c r="A1381" s="227">
        <v>45953</v>
      </c>
      <c r="B1381" s="228">
        <v>4268</v>
      </c>
      <c r="C1381" s="228">
        <v>4287</v>
      </c>
      <c r="D1381" s="228">
        <v>4334.5</v>
      </c>
      <c r="E1381" s="228">
        <v>4256.2</v>
      </c>
      <c r="F1381">
        <v>274320</v>
      </c>
      <c r="G1381" s="228">
        <v>-1.5E-3</v>
      </c>
      <c r="H1381" s="228">
        <f>YEAR(AVEU_Historical_Data__2[[#This Row],[Date]])</f>
        <v>2025</v>
      </c>
      <c r="I1381" s="228">
        <f>ROUNDUP((MOD(MONTH(AVEU_Historical_Data__2[[#This Row],[Date]])+8,12)+1)/3,0)</f>
        <v>3</v>
      </c>
      <c r="J1381" s="228">
        <f>MONTH(AVEU_Historical_Data__2[[#This Row],[Date]])</f>
        <v>10</v>
      </c>
      <c r="K1381" s="228"/>
    </row>
    <row r="1382" spans="1:11" x14ac:dyDescent="0.25">
      <c r="A1382" s="227">
        <v>45954</v>
      </c>
      <c r="B1382" s="228">
        <v>4213.8999999999996</v>
      </c>
      <c r="C1382" s="228">
        <v>4268</v>
      </c>
      <c r="D1382" s="228">
        <v>4271.7</v>
      </c>
      <c r="E1382" s="228">
        <v>4197</v>
      </c>
      <c r="F1382">
        <v>250190</v>
      </c>
      <c r="G1382" s="228">
        <v>-1.2699999999999999E-2</v>
      </c>
      <c r="H1382" s="228">
        <f>YEAR(AVEU_Historical_Data__2[[#This Row],[Date]])</f>
        <v>2025</v>
      </c>
      <c r="I1382" s="228">
        <f>ROUNDUP((MOD(MONTH(AVEU_Historical_Data__2[[#This Row],[Date]])+8,12)+1)/3,0)</f>
        <v>3</v>
      </c>
      <c r="J1382" s="228">
        <f>MONTH(AVEU_Historical_Data__2[[#This Row],[Date]])</f>
        <v>10</v>
      </c>
      <c r="K1382" s="228"/>
    </row>
    <row r="1383" spans="1:11" x14ac:dyDescent="0.25">
      <c r="A1383" s="227">
        <v>45957</v>
      </c>
      <c r="B1383" s="228">
        <v>4257.8999999999996</v>
      </c>
      <c r="C1383" s="228">
        <v>4214</v>
      </c>
      <c r="D1383" s="228">
        <v>4264.8999999999996</v>
      </c>
      <c r="E1383" s="228">
        <v>4214</v>
      </c>
      <c r="F1383">
        <v>281640</v>
      </c>
      <c r="G1383" s="228">
        <v>1.04E-2</v>
      </c>
      <c r="H1383" s="228">
        <f>YEAR(AVEU_Historical_Data__2[[#This Row],[Date]])</f>
        <v>2025</v>
      </c>
      <c r="I1383" s="228">
        <f>ROUNDUP((MOD(MONTH(AVEU_Historical_Data__2[[#This Row],[Date]])+8,12)+1)/3,0)</f>
        <v>3</v>
      </c>
      <c r="J1383" s="228">
        <f>MONTH(AVEU_Historical_Data__2[[#This Row],[Date]])</f>
        <v>10</v>
      </c>
      <c r="K1383" s="228"/>
    </row>
    <row r="1384" spans="1:11" x14ac:dyDescent="0.25">
      <c r="A1384" s="227">
        <v>45958</v>
      </c>
      <c r="B1384" s="228">
        <v>4220.8999999999996</v>
      </c>
      <c r="C1384" s="228">
        <v>4274.6000000000004</v>
      </c>
      <c r="D1384" s="228">
        <v>4292.8</v>
      </c>
      <c r="E1384" s="228">
        <v>4183.1000000000004</v>
      </c>
      <c r="F1384">
        <v>310560</v>
      </c>
      <c r="G1384" s="228">
        <v>-8.6999999999999994E-3</v>
      </c>
      <c r="H1384" s="228">
        <f>YEAR(AVEU_Historical_Data__2[[#This Row],[Date]])</f>
        <v>2025</v>
      </c>
      <c r="I1384" s="228">
        <f>ROUNDUP((MOD(MONTH(AVEU_Historical_Data__2[[#This Row],[Date]])+8,12)+1)/3,0)</f>
        <v>3</v>
      </c>
      <c r="J1384" s="228">
        <f>MONTH(AVEU_Historical_Data__2[[#This Row],[Date]])</f>
        <v>10</v>
      </c>
      <c r="K1384" s="228"/>
    </row>
    <row r="1385" spans="1:11" x14ac:dyDescent="0.25">
      <c r="A1385" s="227">
        <v>45959</v>
      </c>
      <c r="B1385" s="228">
        <v>4229.3999999999996</v>
      </c>
      <c r="C1385" s="228">
        <v>4225</v>
      </c>
      <c r="D1385" s="228">
        <v>4254</v>
      </c>
      <c r="E1385" s="228">
        <v>4213.2</v>
      </c>
      <c r="F1385">
        <v>148520</v>
      </c>
      <c r="G1385" s="228">
        <v>2E-3</v>
      </c>
      <c r="H1385" s="228">
        <f>YEAR(AVEU_Historical_Data__2[[#This Row],[Date]])</f>
        <v>2025</v>
      </c>
      <c r="I1385" s="228">
        <f>ROUNDUP((MOD(MONTH(AVEU_Historical_Data__2[[#This Row],[Date]])+8,12)+1)/3,0)</f>
        <v>3</v>
      </c>
      <c r="J1385" s="228">
        <f>MONTH(AVEU_Historical_Data__2[[#This Row],[Date]])</f>
        <v>10</v>
      </c>
      <c r="K1385" s="228"/>
    </row>
    <row r="1386" spans="1:11" x14ac:dyDescent="0.25">
      <c r="A1386" s="227">
        <v>45960</v>
      </c>
      <c r="B1386" s="228">
        <v>4161.1000000000004</v>
      </c>
      <c r="C1386" s="228">
        <v>4248</v>
      </c>
      <c r="D1386" s="228">
        <v>4248</v>
      </c>
      <c r="E1386" s="228">
        <v>4149.8999999999996</v>
      </c>
      <c r="F1386">
        <v>445100</v>
      </c>
      <c r="G1386" s="228">
        <v>-1.61E-2</v>
      </c>
      <c r="H1386" s="228">
        <f>YEAR(AVEU_Historical_Data__2[[#This Row],[Date]])</f>
        <v>2025</v>
      </c>
      <c r="I1386" s="228">
        <f>ROUNDUP((MOD(MONTH(AVEU_Historical_Data__2[[#This Row],[Date]])+8,12)+1)/3,0)</f>
        <v>3</v>
      </c>
      <c r="J1386" s="228">
        <f>MONTH(AVEU_Historical_Data__2[[#This Row],[Date]])</f>
        <v>10</v>
      </c>
      <c r="K1386" s="228"/>
    </row>
    <row r="1387" spans="1:11" x14ac:dyDescent="0.25">
      <c r="A1387" s="227">
        <v>45961</v>
      </c>
      <c r="B1387" s="228">
        <v>4153.5</v>
      </c>
      <c r="C1387" s="228">
        <v>4164.1000000000004</v>
      </c>
      <c r="D1387" s="228">
        <v>4204.8999999999996</v>
      </c>
      <c r="E1387" s="228">
        <v>4147</v>
      </c>
      <c r="F1387">
        <v>280620</v>
      </c>
      <c r="G1387" s="228">
        <v>-1.8E-3</v>
      </c>
      <c r="H1387" s="228">
        <f>YEAR(AVEU_Historical_Data__2[[#This Row],[Date]])</f>
        <v>2025</v>
      </c>
      <c r="I1387" s="228">
        <f>ROUNDUP((MOD(MONTH(AVEU_Historical_Data__2[[#This Row],[Date]])+8,12)+1)/3,0)</f>
        <v>3</v>
      </c>
      <c r="J1387" s="228">
        <f>MONTH(AVEU_Historical_Data__2[[#This Row],[Date]])</f>
        <v>10</v>
      </c>
      <c r="K1387" s="228"/>
    </row>
    <row r="1388" spans="1:11" x14ac:dyDescent="0.25">
      <c r="A1388" s="227">
        <v>45964</v>
      </c>
      <c r="B1388" s="228">
        <v>4156</v>
      </c>
      <c r="C1388" s="228">
        <v>4153.5</v>
      </c>
      <c r="D1388" s="228">
        <v>4173.5</v>
      </c>
      <c r="E1388" s="228">
        <v>4111</v>
      </c>
      <c r="F1388">
        <v>178820</v>
      </c>
      <c r="G1388" s="228">
        <v>5.9999999999999995E-4</v>
      </c>
      <c r="H1388" s="228">
        <f>YEAR(AVEU_Historical_Data__2[[#This Row],[Date]])</f>
        <v>2025</v>
      </c>
      <c r="I1388" s="228">
        <f>ROUNDUP((MOD(MONTH(AVEU_Historical_Data__2[[#This Row],[Date]])+8,12)+1)/3,0)</f>
        <v>3</v>
      </c>
      <c r="J1388" s="228">
        <f>MONTH(AVEU_Historical_Data__2[[#This Row],[Date]])</f>
        <v>11</v>
      </c>
      <c r="K1388" s="228"/>
    </row>
    <row r="1389" spans="1:11" x14ac:dyDescent="0.25">
      <c r="A1389" s="227">
        <v>45965</v>
      </c>
      <c r="B1389" s="228">
        <v>4182.3999999999996</v>
      </c>
      <c r="C1389" s="228">
        <v>4160</v>
      </c>
      <c r="D1389" s="228">
        <v>4222</v>
      </c>
      <c r="E1389" s="228">
        <v>4145</v>
      </c>
      <c r="F1389">
        <v>314080</v>
      </c>
      <c r="G1389" s="228">
        <v>6.4000000000000003E-3</v>
      </c>
      <c r="H1389" s="228">
        <f>YEAR(AVEU_Historical_Data__2[[#This Row],[Date]])</f>
        <v>2025</v>
      </c>
      <c r="I1389" s="228">
        <f>ROUNDUP((MOD(MONTH(AVEU_Historical_Data__2[[#This Row],[Date]])+8,12)+1)/3,0)</f>
        <v>3</v>
      </c>
      <c r="J1389" s="228">
        <f>MONTH(AVEU_Historical_Data__2[[#This Row],[Date]])</f>
        <v>11</v>
      </c>
      <c r="K1389" s="228"/>
    </row>
    <row r="1390" spans="1:11" x14ac:dyDescent="0.25">
      <c r="A1390" s="227">
        <v>45967</v>
      </c>
      <c r="B1390" s="228">
        <v>4082.2</v>
      </c>
      <c r="C1390" s="228">
        <v>4182.3999999999996</v>
      </c>
      <c r="D1390" s="228">
        <v>4191.3999999999996</v>
      </c>
      <c r="E1390" s="228">
        <v>4071.9</v>
      </c>
      <c r="F1390">
        <v>487310</v>
      </c>
      <c r="G1390" s="228">
        <v>-2.4E-2</v>
      </c>
      <c r="H1390" s="228">
        <f>YEAR(AVEU_Historical_Data__2[[#This Row],[Date]])</f>
        <v>2025</v>
      </c>
      <c r="I1390" s="228">
        <f>ROUNDUP((MOD(MONTH(AVEU_Historical_Data__2[[#This Row],[Date]])+8,12)+1)/3,0)</f>
        <v>3</v>
      </c>
      <c r="J1390" s="228">
        <f>MONTH(AVEU_Historical_Data__2[[#This Row],[Date]])</f>
        <v>11</v>
      </c>
      <c r="K1390" s="228"/>
    </row>
    <row r="1391" spans="1:11" x14ac:dyDescent="0.25">
      <c r="A1391" s="227">
        <v>45968</v>
      </c>
      <c r="B1391" s="228">
        <v>4011</v>
      </c>
      <c r="C1391" s="228">
        <v>4082.2</v>
      </c>
      <c r="D1391" s="228">
        <v>4082.2</v>
      </c>
      <c r="E1391" s="228">
        <v>3984.6</v>
      </c>
      <c r="F1391">
        <v>1200000</v>
      </c>
      <c r="G1391" s="228">
        <v>-1.7399999999999999E-2</v>
      </c>
      <c r="H1391" s="228">
        <f>YEAR(AVEU_Historical_Data__2[[#This Row],[Date]])</f>
        <v>2025</v>
      </c>
      <c r="I1391" s="228">
        <f>ROUNDUP((MOD(MONTH(AVEU_Historical_Data__2[[#This Row],[Date]])+8,12)+1)/3,0)</f>
        <v>3</v>
      </c>
      <c r="J1391" s="228">
        <f>MONTH(AVEU_Historical_Data__2[[#This Row],[Date]])</f>
        <v>11</v>
      </c>
      <c r="K1391" s="228"/>
    </row>
    <row r="1392" spans="1:11" x14ac:dyDescent="0.25">
      <c r="A1392" s="227">
        <v>45971</v>
      </c>
      <c r="B1392" s="228">
        <v>4019</v>
      </c>
      <c r="C1392" s="228">
        <v>4011</v>
      </c>
      <c r="D1392" s="228">
        <v>4067</v>
      </c>
      <c r="E1392" s="228">
        <v>4011</v>
      </c>
      <c r="F1392">
        <v>290450</v>
      </c>
      <c r="G1392" s="228">
        <v>2E-3</v>
      </c>
      <c r="H1392" s="228">
        <f>YEAR(AVEU_Historical_Data__2[[#This Row],[Date]])</f>
        <v>2025</v>
      </c>
      <c r="I1392" s="228">
        <f>ROUNDUP((MOD(MONTH(AVEU_Historical_Data__2[[#This Row],[Date]])+8,12)+1)/3,0)</f>
        <v>3</v>
      </c>
      <c r="J1392" s="228">
        <f>MONTH(AVEU_Historical_Data__2[[#This Row],[Date]])</f>
        <v>11</v>
      </c>
      <c r="K1392" s="228"/>
    </row>
    <row r="1393" spans="1:11" x14ac:dyDescent="0.25">
      <c r="A1393" s="227">
        <v>45972</v>
      </c>
      <c r="B1393" s="228">
        <v>4072.2</v>
      </c>
      <c r="C1393" s="228">
        <v>4025</v>
      </c>
      <c r="D1393" s="228">
        <v>4077.4</v>
      </c>
      <c r="E1393" s="228">
        <v>4020</v>
      </c>
      <c r="F1393">
        <v>272280</v>
      </c>
      <c r="G1393" s="228">
        <v>1.32E-2</v>
      </c>
      <c r="H1393" s="228">
        <f>YEAR(AVEU_Historical_Data__2[[#This Row],[Date]])</f>
        <v>2025</v>
      </c>
      <c r="I1393" s="228">
        <f>ROUNDUP((MOD(MONTH(AVEU_Historical_Data__2[[#This Row],[Date]])+8,12)+1)/3,0)</f>
        <v>3</v>
      </c>
      <c r="J1393" s="228">
        <f>MONTH(AVEU_Historical_Data__2[[#This Row],[Date]])</f>
        <v>11</v>
      </c>
      <c r="K1393" s="228"/>
    </row>
    <row r="1394" spans="1:11" x14ac:dyDescent="0.25">
      <c r="A1394" s="227">
        <v>45973</v>
      </c>
      <c r="B1394" s="228">
        <v>4058</v>
      </c>
      <c r="C1394" s="228">
        <v>4112.6000000000004</v>
      </c>
      <c r="D1394" s="228">
        <v>4112.6000000000004</v>
      </c>
      <c r="E1394" s="228">
        <v>4047.3</v>
      </c>
      <c r="F1394">
        <v>381770</v>
      </c>
      <c r="G1394" s="228">
        <v>-3.5000000000000001E-3</v>
      </c>
      <c r="H1394" s="228">
        <f>YEAR(AVEU_Historical_Data__2[[#This Row],[Date]])</f>
        <v>2025</v>
      </c>
      <c r="I1394" s="228">
        <f>ROUNDUP((MOD(MONTH(AVEU_Historical_Data__2[[#This Row],[Date]])+8,12)+1)/3,0)</f>
        <v>3</v>
      </c>
      <c r="J1394" s="228">
        <f>MONTH(AVEU_Historical_Data__2[[#This Row],[Date]])</f>
        <v>11</v>
      </c>
      <c r="K1394" s="228"/>
    </row>
    <row r="1395" spans="1:11" x14ac:dyDescent="0.25">
      <c r="A1395" s="227">
        <v>45974</v>
      </c>
      <c r="B1395" s="228">
        <v>4062.5</v>
      </c>
      <c r="C1395" s="228">
        <v>4058</v>
      </c>
      <c r="D1395" s="228">
        <v>4090</v>
      </c>
      <c r="E1395" s="228">
        <v>4040.4</v>
      </c>
      <c r="F1395">
        <v>252050</v>
      </c>
      <c r="G1395" s="228">
        <v>1.1000000000000001E-3</v>
      </c>
      <c r="H1395" s="228">
        <f>YEAR(AVEU_Historical_Data__2[[#This Row],[Date]])</f>
        <v>2025</v>
      </c>
      <c r="I1395" s="228">
        <f>ROUNDUP((MOD(MONTH(AVEU_Historical_Data__2[[#This Row],[Date]])+8,12)+1)/3,0)</f>
        <v>3</v>
      </c>
      <c r="J1395" s="228">
        <f>MONTH(AVEU_Historical_Data__2[[#This Row],[Date]])</f>
        <v>11</v>
      </c>
      <c r="K1395" s="228"/>
    </row>
    <row r="1396" spans="1:11" x14ac:dyDescent="0.25">
      <c r="A1396" s="227">
        <v>45975</v>
      </c>
      <c r="B1396" s="228">
        <v>4053.7</v>
      </c>
      <c r="C1396" s="228">
        <v>4060</v>
      </c>
      <c r="D1396" s="228">
        <v>4069.2</v>
      </c>
      <c r="E1396" s="228">
        <v>4020</v>
      </c>
      <c r="F1396">
        <v>305910</v>
      </c>
      <c r="G1396" s="228">
        <v>-2.2000000000000001E-3</v>
      </c>
      <c r="H1396" s="228">
        <f>YEAR(AVEU_Historical_Data__2[[#This Row],[Date]])</f>
        <v>2025</v>
      </c>
      <c r="I1396" s="228">
        <f>ROUNDUP((MOD(MONTH(AVEU_Historical_Data__2[[#This Row],[Date]])+8,12)+1)/3,0)</f>
        <v>3</v>
      </c>
      <c r="J1396" s="228">
        <f>MONTH(AVEU_Historical_Data__2[[#This Row],[Date]])</f>
        <v>11</v>
      </c>
      <c r="K1396" s="228"/>
    </row>
    <row r="1397" spans="1:11" x14ac:dyDescent="0.25">
      <c r="A1397" s="227">
        <v>45978</v>
      </c>
      <c r="B1397" s="228">
        <v>4036.2</v>
      </c>
      <c r="C1397" s="228">
        <v>4059.9</v>
      </c>
      <c r="D1397" s="228">
        <v>4086</v>
      </c>
      <c r="E1397" s="228">
        <v>4032</v>
      </c>
      <c r="F1397">
        <v>186270</v>
      </c>
      <c r="G1397" s="228">
        <v>-4.3E-3</v>
      </c>
      <c r="H1397" s="228">
        <f>YEAR(AVEU_Historical_Data__2[[#This Row],[Date]])</f>
        <v>2025</v>
      </c>
      <c r="I1397" s="228">
        <f>ROUNDUP((MOD(MONTH(AVEU_Historical_Data__2[[#This Row],[Date]])+8,12)+1)/3,0)</f>
        <v>3</v>
      </c>
      <c r="J1397" s="228">
        <f>MONTH(AVEU_Historical_Data__2[[#This Row],[Date]])</f>
        <v>11</v>
      </c>
      <c r="K1397" s="228"/>
    </row>
    <row r="1398" spans="1:11" x14ac:dyDescent="0.25">
      <c r="A1398" s="227">
        <v>45979</v>
      </c>
      <c r="B1398" s="228">
        <v>3997.2</v>
      </c>
      <c r="C1398" s="228">
        <v>4036.2</v>
      </c>
      <c r="D1398" s="228">
        <v>4042.2</v>
      </c>
      <c r="E1398" s="228">
        <v>3991.6</v>
      </c>
      <c r="F1398">
        <v>311410</v>
      </c>
      <c r="G1398" s="228">
        <v>-9.7000000000000003E-3</v>
      </c>
      <c r="H1398" s="228">
        <f>YEAR(AVEU_Historical_Data__2[[#This Row],[Date]])</f>
        <v>2025</v>
      </c>
      <c r="I1398" s="228">
        <f>ROUNDUP((MOD(MONTH(AVEU_Historical_Data__2[[#This Row],[Date]])+8,12)+1)/3,0)</f>
        <v>3</v>
      </c>
      <c r="J1398" s="228">
        <f>MONTH(AVEU_Historical_Data__2[[#This Row],[Date]])</f>
        <v>11</v>
      </c>
      <c r="K1398" s="228"/>
    </row>
    <row r="1399" spans="1:11" x14ac:dyDescent="0.25">
      <c r="A1399" s="227">
        <v>45980</v>
      </c>
      <c r="B1399" s="228">
        <v>4026.5</v>
      </c>
      <c r="C1399" s="228">
        <v>4010</v>
      </c>
      <c r="D1399" s="228">
        <v>4039</v>
      </c>
      <c r="E1399" s="228">
        <v>3997.1</v>
      </c>
      <c r="F1399">
        <v>378210</v>
      </c>
      <c r="G1399" s="228">
        <v>7.3000000000000001E-3</v>
      </c>
      <c r="H1399" s="228">
        <f>YEAR(AVEU_Historical_Data__2[[#This Row],[Date]])</f>
        <v>2025</v>
      </c>
      <c r="I1399" s="228">
        <f>ROUNDUP((MOD(MONTH(AVEU_Historical_Data__2[[#This Row],[Date]])+8,12)+1)/3,0)</f>
        <v>3</v>
      </c>
      <c r="J1399" s="228">
        <f>MONTH(AVEU_Historical_Data__2[[#This Row],[Date]])</f>
        <v>11</v>
      </c>
      <c r="K1399" s="228"/>
    </row>
    <row r="1400" spans="1:11" x14ac:dyDescent="0.25">
      <c r="A1400" s="227">
        <v>45981</v>
      </c>
      <c r="B1400" s="228">
        <v>4085</v>
      </c>
      <c r="C1400" s="228">
        <v>4045</v>
      </c>
      <c r="D1400" s="228">
        <v>4099.7</v>
      </c>
      <c r="E1400" s="228">
        <v>4037.1</v>
      </c>
      <c r="F1400">
        <v>387480</v>
      </c>
      <c r="G1400" s="228">
        <v>1.4500000000000001E-2</v>
      </c>
      <c r="H1400" s="228">
        <f>YEAR(AVEU_Historical_Data__2[[#This Row],[Date]])</f>
        <v>2025</v>
      </c>
      <c r="I1400" s="228">
        <f>ROUNDUP((MOD(MONTH(AVEU_Historical_Data__2[[#This Row],[Date]])+8,12)+1)/3,0)</f>
        <v>3</v>
      </c>
      <c r="J1400" s="228">
        <f>MONTH(AVEU_Historical_Data__2[[#This Row],[Date]])</f>
        <v>11</v>
      </c>
      <c r="K1400" s="228"/>
    </row>
    <row r="1401" spans="1:11" x14ac:dyDescent="0.25">
      <c r="A1401" s="227">
        <v>45982</v>
      </c>
      <c r="B1401" s="228">
        <v>4038</v>
      </c>
      <c r="C1401" s="228">
        <v>4085</v>
      </c>
      <c r="D1401" s="228">
        <v>4098.8999999999996</v>
      </c>
      <c r="E1401" s="228">
        <v>4030.5</v>
      </c>
      <c r="F1401">
        <v>330950</v>
      </c>
      <c r="G1401" s="228">
        <v>-1.15E-2</v>
      </c>
      <c r="H1401" s="228">
        <f>YEAR(AVEU_Historical_Data__2[[#This Row],[Date]])</f>
        <v>2025</v>
      </c>
      <c r="I1401" s="228">
        <f>ROUNDUP((MOD(MONTH(AVEU_Historical_Data__2[[#This Row],[Date]])+8,12)+1)/3,0)</f>
        <v>3</v>
      </c>
      <c r="J1401" s="228">
        <f>MONTH(AVEU_Historical_Data__2[[#This Row],[Date]])</f>
        <v>11</v>
      </c>
      <c r="K1401" s="228"/>
    </row>
    <row r="1402" spans="1:11" x14ac:dyDescent="0.25">
      <c r="A1402" s="227">
        <v>45985</v>
      </c>
      <c r="B1402" s="228">
        <v>3987.5</v>
      </c>
      <c r="C1402" s="228">
        <v>4046.9</v>
      </c>
      <c r="D1402" s="228">
        <v>4048.5</v>
      </c>
      <c r="E1402" s="228">
        <v>3975.2</v>
      </c>
      <c r="F1402">
        <v>724600</v>
      </c>
      <c r="G1402" s="228">
        <v>-1.2500000000000001E-2</v>
      </c>
      <c r="H1402" s="228">
        <f>YEAR(AVEU_Historical_Data__2[[#This Row],[Date]])</f>
        <v>2025</v>
      </c>
      <c r="I1402" s="228">
        <f>ROUNDUP((MOD(MONTH(AVEU_Historical_Data__2[[#This Row],[Date]])+8,12)+1)/3,0)</f>
        <v>3</v>
      </c>
      <c r="J1402" s="228">
        <f>MONTH(AVEU_Historical_Data__2[[#This Row],[Date]])</f>
        <v>11</v>
      </c>
      <c r="K1402" s="228"/>
    </row>
    <row r="1403" spans="1:11" x14ac:dyDescent="0.25">
      <c r="A1403" s="227">
        <v>45986</v>
      </c>
      <c r="B1403" s="228">
        <v>3988.6</v>
      </c>
      <c r="C1403" s="228">
        <v>3997.9</v>
      </c>
      <c r="D1403" s="228">
        <v>4015.4</v>
      </c>
      <c r="E1403" s="228">
        <v>3960</v>
      </c>
      <c r="F1403">
        <v>446860</v>
      </c>
      <c r="G1403" s="228">
        <v>2.9999999999999997E-4</v>
      </c>
      <c r="H1403" s="228">
        <f>YEAR(AVEU_Historical_Data__2[[#This Row],[Date]])</f>
        <v>2025</v>
      </c>
      <c r="I1403" s="228">
        <f>ROUNDUP((MOD(MONTH(AVEU_Historical_Data__2[[#This Row],[Date]])+8,12)+1)/3,0)</f>
        <v>3</v>
      </c>
      <c r="J1403" s="228">
        <f>MONTH(AVEU_Historical_Data__2[[#This Row],[Date]])</f>
        <v>11</v>
      </c>
      <c r="K1403" s="228"/>
    </row>
    <row r="1404" spans="1:11" x14ac:dyDescent="0.25">
      <c r="A1404" s="227">
        <v>45987</v>
      </c>
      <c r="B1404" s="228">
        <v>4019.1</v>
      </c>
      <c r="C1404" s="228">
        <v>3999.9</v>
      </c>
      <c r="D1404" s="228">
        <v>4029.9</v>
      </c>
      <c r="E1404" s="228">
        <v>3980</v>
      </c>
      <c r="F1404">
        <v>360540</v>
      </c>
      <c r="G1404" s="228">
        <v>7.6E-3</v>
      </c>
      <c r="H1404" s="228">
        <f>YEAR(AVEU_Historical_Data__2[[#This Row],[Date]])</f>
        <v>2025</v>
      </c>
      <c r="I1404" s="228">
        <f>ROUNDUP((MOD(MONTH(AVEU_Historical_Data__2[[#This Row],[Date]])+8,12)+1)/3,0)</f>
        <v>3</v>
      </c>
      <c r="J1404" s="228">
        <f>MONTH(AVEU_Historical_Data__2[[#This Row],[Date]])</f>
        <v>11</v>
      </c>
      <c r="K1404" s="228"/>
    </row>
    <row r="1405" spans="1:11" x14ac:dyDescent="0.25">
      <c r="A1405" s="227">
        <v>45988</v>
      </c>
      <c r="B1405" s="228">
        <v>4007.1</v>
      </c>
      <c r="C1405" s="228">
        <v>4029</v>
      </c>
      <c r="D1405" s="228">
        <v>4038</v>
      </c>
      <c r="E1405" s="228">
        <v>3986</v>
      </c>
      <c r="F1405">
        <v>237040</v>
      </c>
      <c r="G1405" s="228">
        <v>-3.0000000000000001E-3</v>
      </c>
      <c r="H1405" s="228">
        <f>YEAR(AVEU_Historical_Data__2[[#This Row],[Date]])</f>
        <v>2025</v>
      </c>
      <c r="I1405" s="228">
        <f>ROUNDUP((MOD(MONTH(AVEU_Historical_Data__2[[#This Row],[Date]])+8,12)+1)/3,0)</f>
        <v>3</v>
      </c>
      <c r="J1405" s="228">
        <f>MONTH(AVEU_Historical_Data__2[[#This Row],[Date]])</f>
        <v>11</v>
      </c>
      <c r="K1405" s="228"/>
    </row>
    <row r="1406" spans="1:11" x14ac:dyDescent="0.25">
      <c r="A1406" s="227">
        <v>45989</v>
      </c>
      <c r="B1406" s="228">
        <v>3996.5</v>
      </c>
      <c r="C1406" s="228">
        <v>4005</v>
      </c>
      <c r="D1406" s="228">
        <v>4044.8</v>
      </c>
      <c r="E1406" s="228">
        <v>3992.2</v>
      </c>
      <c r="F1406">
        <v>211070</v>
      </c>
      <c r="G1406" s="228">
        <v>-2.5999999999999999E-3</v>
      </c>
      <c r="H1406" s="228">
        <f>YEAR(AVEU_Historical_Data__2[[#This Row],[Date]])</f>
        <v>2025</v>
      </c>
      <c r="I1406" s="228">
        <f>ROUNDUP((MOD(MONTH(AVEU_Historical_Data__2[[#This Row],[Date]])+8,12)+1)/3,0)</f>
        <v>3</v>
      </c>
      <c r="J1406" s="228">
        <f>MONTH(AVEU_Historical_Data__2[[#This Row],[Date]])</f>
        <v>11</v>
      </c>
      <c r="K1406" s="228"/>
    </row>
    <row r="1407" spans="1:11" x14ac:dyDescent="0.25">
      <c r="A1407" s="227">
        <v>45992</v>
      </c>
      <c r="B1407" s="228">
        <v>3963.3</v>
      </c>
      <c r="C1407" s="228">
        <v>3997</v>
      </c>
      <c r="D1407" s="228">
        <v>4009.5</v>
      </c>
      <c r="E1407" s="228">
        <v>3946</v>
      </c>
      <c r="F1407">
        <v>256600.00000000003</v>
      </c>
      <c r="G1407" s="228">
        <v>-8.3000000000000001E-3</v>
      </c>
      <c r="H1407" s="228">
        <f>YEAR(AVEU_Historical_Data__2[[#This Row],[Date]])</f>
        <v>2025</v>
      </c>
      <c r="I1407" s="228">
        <f>ROUNDUP((MOD(MONTH(AVEU_Historical_Data__2[[#This Row],[Date]])+8,12)+1)/3,0)</f>
        <v>3</v>
      </c>
      <c r="J1407" s="228">
        <f>MONTH(AVEU_Historical_Data__2[[#This Row],[Date]])</f>
        <v>12</v>
      </c>
      <c r="K1407" s="228"/>
    </row>
    <row r="1408" spans="1:11" x14ac:dyDescent="0.25">
      <c r="A1408" s="227">
        <v>45993</v>
      </c>
      <c r="B1408" s="228">
        <v>3961.8</v>
      </c>
      <c r="C1408" s="228">
        <v>3968</v>
      </c>
      <c r="D1408" s="228">
        <v>3975.2</v>
      </c>
      <c r="E1408" s="228">
        <v>3935</v>
      </c>
      <c r="F1408">
        <v>292970</v>
      </c>
      <c r="G1408" s="228">
        <v>-4.0000000000000002E-4</v>
      </c>
      <c r="H1408" s="228">
        <f>YEAR(AVEU_Historical_Data__2[[#This Row],[Date]])</f>
        <v>2025</v>
      </c>
      <c r="I1408" s="228">
        <f>ROUNDUP((MOD(MONTH(AVEU_Historical_Data__2[[#This Row],[Date]])+8,12)+1)/3,0)</f>
        <v>3</v>
      </c>
      <c r="J1408" s="228">
        <f>MONTH(AVEU_Historical_Data__2[[#This Row],[Date]])</f>
        <v>12</v>
      </c>
      <c r="K1408" s="228"/>
    </row>
    <row r="1409" spans="1:11" x14ac:dyDescent="0.25">
      <c r="A1409" s="227">
        <v>45994</v>
      </c>
      <c r="B1409" s="228">
        <v>3909.7</v>
      </c>
      <c r="C1409" s="228">
        <v>3961.8</v>
      </c>
      <c r="D1409" s="228">
        <v>3969.2</v>
      </c>
      <c r="E1409" s="228">
        <v>3883</v>
      </c>
      <c r="F1409">
        <v>359510</v>
      </c>
      <c r="G1409" s="228">
        <v>-1.32E-2</v>
      </c>
      <c r="H1409" s="228">
        <f>YEAR(AVEU_Historical_Data__2[[#This Row],[Date]])</f>
        <v>2025</v>
      </c>
      <c r="I1409" s="228">
        <f>ROUNDUP((MOD(MONTH(AVEU_Historical_Data__2[[#This Row],[Date]])+8,12)+1)/3,0)</f>
        <v>3</v>
      </c>
      <c r="J1409" s="228">
        <f>MONTH(AVEU_Historical_Data__2[[#This Row],[Date]])</f>
        <v>12</v>
      </c>
      <c r="K1409" s="228"/>
    </row>
    <row r="1410" spans="1:11" x14ac:dyDescent="0.25">
      <c r="A1410" s="227">
        <v>45995</v>
      </c>
      <c r="B1410" s="228">
        <v>3913.3</v>
      </c>
      <c r="C1410" s="228">
        <v>3910.3</v>
      </c>
      <c r="D1410" s="228">
        <v>3935</v>
      </c>
      <c r="E1410" s="228">
        <v>3897.3</v>
      </c>
      <c r="F1410">
        <v>200120</v>
      </c>
      <c r="G1410" s="228">
        <v>8.9999999999999998E-4</v>
      </c>
      <c r="H1410" s="228">
        <f>YEAR(AVEU_Historical_Data__2[[#This Row],[Date]])</f>
        <v>2025</v>
      </c>
      <c r="I1410" s="228">
        <f>ROUNDUP((MOD(MONTH(AVEU_Historical_Data__2[[#This Row],[Date]])+8,12)+1)/3,0)</f>
        <v>3</v>
      </c>
      <c r="J1410" s="228">
        <f>MONTH(AVEU_Historical_Data__2[[#This Row],[Date]])</f>
        <v>12</v>
      </c>
      <c r="K1410" s="228"/>
    </row>
    <row r="1411" spans="1:11" x14ac:dyDescent="0.25">
      <c r="A1411" s="227">
        <v>45996</v>
      </c>
      <c r="B1411" s="228">
        <v>3952.1</v>
      </c>
      <c r="C1411" s="228">
        <v>3913.3</v>
      </c>
      <c r="D1411" s="228">
        <v>3956.4</v>
      </c>
      <c r="E1411" s="228">
        <v>3904.3</v>
      </c>
      <c r="F1411">
        <v>184260</v>
      </c>
      <c r="G1411" s="228">
        <v>9.9000000000000008E-3</v>
      </c>
      <c r="H1411" s="228">
        <f>YEAR(AVEU_Historical_Data__2[[#This Row],[Date]])</f>
        <v>2025</v>
      </c>
      <c r="I1411" s="228">
        <f>ROUNDUP((MOD(MONTH(AVEU_Historical_Data__2[[#This Row],[Date]])+8,12)+1)/3,0)</f>
        <v>3</v>
      </c>
      <c r="J1411" s="228">
        <f>MONTH(AVEU_Historical_Data__2[[#This Row],[Date]])</f>
        <v>12</v>
      </c>
      <c r="K1411" s="228"/>
    </row>
    <row r="1412" spans="1:11" x14ac:dyDescent="0.25">
      <c r="A1412" s="227">
        <v>45999</v>
      </c>
      <c r="B1412" s="228">
        <v>3867.6</v>
      </c>
      <c r="C1412" s="228">
        <v>3950</v>
      </c>
      <c r="D1412" s="228">
        <v>3955.2</v>
      </c>
      <c r="E1412" s="228">
        <v>3826.6</v>
      </c>
      <c r="F1412">
        <v>268210</v>
      </c>
      <c r="G1412" s="228">
        <v>-2.1399999999999999E-2</v>
      </c>
      <c r="H1412" s="228">
        <f>YEAR(AVEU_Historical_Data__2[[#This Row],[Date]])</f>
        <v>2025</v>
      </c>
      <c r="I1412" s="228">
        <f>ROUNDUP((MOD(MONTH(AVEU_Historical_Data__2[[#This Row],[Date]])+8,12)+1)/3,0)</f>
        <v>3</v>
      </c>
      <c r="J1412" s="228">
        <f>MONTH(AVEU_Historical_Data__2[[#This Row],[Date]])</f>
        <v>12</v>
      </c>
      <c r="K1412" s="228"/>
    </row>
    <row r="1413" spans="1:11" x14ac:dyDescent="0.25">
      <c r="A1413" s="227">
        <v>46000</v>
      </c>
      <c r="B1413" s="228">
        <v>3910</v>
      </c>
      <c r="C1413" s="228">
        <v>3867.6</v>
      </c>
      <c r="D1413" s="228">
        <v>3920</v>
      </c>
      <c r="E1413" s="228">
        <v>3841.7</v>
      </c>
      <c r="F1413">
        <v>255690</v>
      </c>
      <c r="G1413" s="228">
        <v>1.0999999999999999E-2</v>
      </c>
      <c r="H1413" s="228">
        <f>YEAR(AVEU_Historical_Data__2[[#This Row],[Date]])</f>
        <v>2025</v>
      </c>
      <c r="I1413" s="228">
        <f>ROUNDUP((MOD(MONTH(AVEU_Historical_Data__2[[#This Row],[Date]])+8,12)+1)/3,0)</f>
        <v>3</v>
      </c>
      <c r="J1413" s="228">
        <f>MONTH(AVEU_Historical_Data__2[[#This Row],[Date]])</f>
        <v>12</v>
      </c>
      <c r="K1413" s="228"/>
    </row>
    <row r="1414" spans="1:11" x14ac:dyDescent="0.25">
      <c r="A1414" s="227">
        <v>46001</v>
      </c>
      <c r="B1414" s="228">
        <v>3816.3</v>
      </c>
      <c r="C1414" s="228">
        <v>3891</v>
      </c>
      <c r="D1414" s="228">
        <v>3923.7</v>
      </c>
      <c r="E1414" s="228">
        <v>3805</v>
      </c>
      <c r="F1414">
        <v>576340</v>
      </c>
      <c r="G1414" s="228">
        <v>-2.4E-2</v>
      </c>
      <c r="H1414" s="228">
        <f>YEAR(AVEU_Historical_Data__2[[#This Row],[Date]])</f>
        <v>2025</v>
      </c>
      <c r="I1414" s="228">
        <f>ROUNDUP((MOD(MONTH(AVEU_Historical_Data__2[[#This Row],[Date]])+8,12)+1)/3,0)</f>
        <v>3</v>
      </c>
      <c r="J1414" s="228">
        <f>MONTH(AVEU_Historical_Data__2[[#This Row],[Date]])</f>
        <v>12</v>
      </c>
      <c r="K1414" s="228"/>
    </row>
    <row r="1415" spans="1:11" x14ac:dyDescent="0.25">
      <c r="A1415" s="227">
        <v>46002</v>
      </c>
      <c r="B1415" s="228">
        <v>3830.8</v>
      </c>
      <c r="C1415" s="228">
        <v>3820</v>
      </c>
      <c r="D1415" s="228">
        <v>3848.8</v>
      </c>
      <c r="E1415" s="228">
        <v>3770</v>
      </c>
      <c r="F1415">
        <v>396890</v>
      </c>
      <c r="G1415" s="228">
        <v>3.8E-3</v>
      </c>
      <c r="H1415" s="228">
        <f>YEAR(AVEU_Historical_Data__2[[#This Row],[Date]])</f>
        <v>2025</v>
      </c>
      <c r="I1415" s="228">
        <f>ROUNDUP((MOD(MONTH(AVEU_Historical_Data__2[[#This Row],[Date]])+8,12)+1)/3,0)</f>
        <v>3</v>
      </c>
      <c r="J1415" s="228">
        <f>MONTH(AVEU_Historical_Data__2[[#This Row],[Date]])</f>
        <v>12</v>
      </c>
      <c r="K1415" s="228"/>
    </row>
    <row r="1416" spans="1:11" x14ac:dyDescent="0.25">
      <c r="A1416" s="227">
        <v>46003</v>
      </c>
      <c r="B1416" s="228">
        <v>3843</v>
      </c>
      <c r="C1416" s="228">
        <v>3830.8</v>
      </c>
      <c r="D1416" s="228">
        <v>3868.6</v>
      </c>
      <c r="E1416" s="228">
        <v>3810</v>
      </c>
      <c r="F1416">
        <v>248190</v>
      </c>
      <c r="G1416" s="228">
        <v>3.2000000000000002E-3</v>
      </c>
      <c r="H1416" s="228">
        <f>YEAR(AVEU_Historical_Data__2[[#This Row],[Date]])</f>
        <v>2025</v>
      </c>
      <c r="I1416" s="228">
        <f>ROUNDUP((MOD(MONTH(AVEU_Historical_Data__2[[#This Row],[Date]])+8,12)+1)/3,0)</f>
        <v>3</v>
      </c>
      <c r="J1416" s="228">
        <f>MONTH(AVEU_Historical_Data__2[[#This Row],[Date]])</f>
        <v>12</v>
      </c>
      <c r="K1416" s="228"/>
    </row>
    <row r="1417" spans="1:11" x14ac:dyDescent="0.25">
      <c r="A1417" s="227">
        <v>46006</v>
      </c>
      <c r="B1417" s="228">
        <v>3825.6</v>
      </c>
      <c r="C1417" s="228">
        <v>3859.9</v>
      </c>
      <c r="D1417" s="228">
        <v>3859.9</v>
      </c>
      <c r="E1417" s="228">
        <v>3812</v>
      </c>
      <c r="F1417">
        <v>241970</v>
      </c>
      <c r="G1417" s="228">
        <v>-4.4999999999999997E-3</v>
      </c>
      <c r="H1417" s="228">
        <f>YEAR(AVEU_Historical_Data__2[[#This Row],[Date]])</f>
        <v>2025</v>
      </c>
      <c r="I1417" s="228">
        <f>ROUNDUP((MOD(MONTH(AVEU_Historical_Data__2[[#This Row],[Date]])+8,12)+1)/3,0)</f>
        <v>3</v>
      </c>
      <c r="J1417" s="228">
        <f>MONTH(AVEU_Historical_Data__2[[#This Row],[Date]])</f>
        <v>12</v>
      </c>
      <c r="K1417" s="228"/>
    </row>
    <row r="1418" spans="1:11" x14ac:dyDescent="0.25">
      <c r="A1418" s="227">
        <v>46007</v>
      </c>
      <c r="B1418" s="228">
        <v>3856.8</v>
      </c>
      <c r="C1418" s="228">
        <v>3878.9</v>
      </c>
      <c r="D1418" s="228">
        <v>3914.8</v>
      </c>
      <c r="E1418" s="228">
        <v>3825.9</v>
      </c>
      <c r="F1418">
        <v>667840</v>
      </c>
      <c r="G1418" s="228">
        <v>8.2000000000000007E-3</v>
      </c>
      <c r="H1418" s="228">
        <f>YEAR(AVEU_Historical_Data__2[[#This Row],[Date]])</f>
        <v>2025</v>
      </c>
      <c r="I1418" s="228">
        <f>ROUNDUP((MOD(MONTH(AVEU_Historical_Data__2[[#This Row],[Date]])+8,12)+1)/3,0)</f>
        <v>3</v>
      </c>
      <c r="J1418" s="228">
        <f>MONTH(AVEU_Historical_Data__2[[#This Row],[Date]])</f>
        <v>12</v>
      </c>
      <c r="K1418" s="228"/>
    </row>
    <row r="1419" spans="1:11" x14ac:dyDescent="0.25">
      <c r="A1419" s="227">
        <v>46008</v>
      </c>
      <c r="B1419" s="228">
        <v>3826.2</v>
      </c>
      <c r="C1419" s="228">
        <v>3857.5</v>
      </c>
      <c r="D1419" s="228">
        <v>3869.8</v>
      </c>
      <c r="E1419" s="228">
        <v>3808.7</v>
      </c>
      <c r="F1419">
        <v>401220</v>
      </c>
      <c r="G1419" s="228">
        <v>-7.9000000000000008E-3</v>
      </c>
      <c r="H1419" s="228">
        <f>YEAR(AVEU_Historical_Data__2[[#This Row],[Date]])</f>
        <v>2025</v>
      </c>
      <c r="I1419" s="228">
        <f>ROUNDUP((MOD(MONTH(AVEU_Historical_Data__2[[#This Row],[Date]])+8,12)+1)/3,0)</f>
        <v>3</v>
      </c>
      <c r="J1419" s="228">
        <f>MONTH(AVEU_Historical_Data__2[[#This Row],[Date]])</f>
        <v>12</v>
      </c>
      <c r="K1419" s="228"/>
    </row>
    <row r="1420" spans="1:11" x14ac:dyDescent="0.25">
      <c r="A1420" s="227">
        <v>46009</v>
      </c>
      <c r="B1420" s="228">
        <v>3757.2</v>
      </c>
      <c r="C1420" s="228">
        <v>3814.8</v>
      </c>
      <c r="D1420" s="228">
        <v>3822.3</v>
      </c>
      <c r="E1420" s="228">
        <v>3742.4</v>
      </c>
      <c r="F1420">
        <v>327080</v>
      </c>
      <c r="G1420" s="228">
        <v>-1.7999999999999999E-2</v>
      </c>
      <c r="H1420" s="228">
        <f>YEAR(AVEU_Historical_Data__2[[#This Row],[Date]])</f>
        <v>2025</v>
      </c>
      <c r="I1420" s="228">
        <f>ROUNDUP((MOD(MONTH(AVEU_Historical_Data__2[[#This Row],[Date]])+8,12)+1)/3,0)</f>
        <v>3</v>
      </c>
      <c r="J1420" s="228">
        <f>MONTH(AVEU_Historical_Data__2[[#This Row],[Date]])</f>
        <v>12</v>
      </c>
      <c r="K1420" s="228"/>
    </row>
    <row r="1421" spans="1:11" x14ac:dyDescent="0.25">
      <c r="A1421" s="227">
        <v>46010</v>
      </c>
      <c r="B1421" s="228">
        <v>3819.5</v>
      </c>
      <c r="C1421" s="228">
        <v>3796.1</v>
      </c>
      <c r="D1421" s="228">
        <v>3830</v>
      </c>
      <c r="E1421" s="228">
        <v>3756.4</v>
      </c>
      <c r="F1421">
        <v>265090</v>
      </c>
      <c r="G1421" s="228">
        <v>1.66E-2</v>
      </c>
      <c r="H1421" s="228">
        <f>YEAR(AVEU_Historical_Data__2[[#This Row],[Date]])</f>
        <v>2025</v>
      </c>
      <c r="I1421" s="228">
        <f>ROUNDUP((MOD(MONTH(AVEU_Historical_Data__2[[#This Row],[Date]])+8,12)+1)/3,0)</f>
        <v>3</v>
      </c>
      <c r="J1421" s="228">
        <f>MONTH(AVEU_Historical_Data__2[[#This Row],[Date]])</f>
        <v>12</v>
      </c>
      <c r="K1421" s="228"/>
    </row>
    <row r="1422" spans="1:11" x14ac:dyDescent="0.25">
      <c r="A1422" s="227">
        <v>46013</v>
      </c>
      <c r="B1422" s="228">
        <v>3818.6</v>
      </c>
      <c r="C1422" s="228">
        <v>3826.9</v>
      </c>
      <c r="D1422" s="228">
        <v>3868</v>
      </c>
      <c r="E1422" s="228">
        <v>3815.7</v>
      </c>
      <c r="F1422">
        <v>207960</v>
      </c>
      <c r="G1422" s="228">
        <v>-2.0000000000000001E-4</v>
      </c>
      <c r="H1422" s="228">
        <f>YEAR(AVEU_Historical_Data__2[[#This Row],[Date]])</f>
        <v>2025</v>
      </c>
      <c r="I1422" s="228">
        <f>ROUNDUP((MOD(MONTH(AVEU_Historical_Data__2[[#This Row],[Date]])+8,12)+1)/3,0)</f>
        <v>3</v>
      </c>
      <c r="J1422" s="228">
        <f>MONTH(AVEU_Historical_Data__2[[#This Row],[Date]])</f>
        <v>12</v>
      </c>
      <c r="K1422" s="228"/>
    </row>
    <row r="1423" spans="1:11" x14ac:dyDescent="0.25">
      <c r="A1423" s="227">
        <v>46014</v>
      </c>
      <c r="B1423" s="228">
        <v>3828.2</v>
      </c>
      <c r="C1423" s="228">
        <v>3835</v>
      </c>
      <c r="D1423" s="228">
        <v>3844.4</v>
      </c>
      <c r="E1423" s="228">
        <v>3802.5</v>
      </c>
      <c r="F1423">
        <v>240670</v>
      </c>
      <c r="G1423" s="228">
        <v>2.5000000000000001E-3</v>
      </c>
      <c r="H1423" s="228">
        <f>YEAR(AVEU_Historical_Data__2[[#This Row],[Date]])</f>
        <v>2025</v>
      </c>
      <c r="I1423" s="228">
        <f>ROUNDUP((MOD(MONTH(AVEU_Historical_Data__2[[#This Row],[Date]])+8,12)+1)/3,0)</f>
        <v>3</v>
      </c>
      <c r="J1423" s="228">
        <f>MONTH(AVEU_Historical_Data__2[[#This Row],[Date]])</f>
        <v>12</v>
      </c>
      <c r="K1423" s="228"/>
    </row>
    <row r="1424" spans="1:11" x14ac:dyDescent="0.25">
      <c r="A1424" s="227">
        <v>46015</v>
      </c>
      <c r="B1424" s="228">
        <v>3800.2</v>
      </c>
      <c r="C1424" s="228">
        <v>3843</v>
      </c>
      <c r="D1424" s="228">
        <v>3843</v>
      </c>
      <c r="E1424" s="228">
        <v>3771.3</v>
      </c>
      <c r="F1424">
        <v>363700</v>
      </c>
      <c r="G1424" s="228">
        <v>-7.3000000000000001E-3</v>
      </c>
      <c r="H1424" s="228">
        <f>YEAR(AVEU_Historical_Data__2[[#This Row],[Date]])</f>
        <v>2025</v>
      </c>
      <c r="I1424" s="228">
        <f>ROUNDUP((MOD(MONTH(AVEU_Historical_Data__2[[#This Row],[Date]])+8,12)+1)/3,0)</f>
        <v>3</v>
      </c>
      <c r="J1424" s="228">
        <f>MONTH(AVEU_Historical_Data__2[[#This Row],[Date]])</f>
        <v>12</v>
      </c>
      <c r="K1424" s="228"/>
    </row>
    <row r="1425" spans="1:11" x14ac:dyDescent="0.25">
      <c r="A1425" s="227">
        <v>46017</v>
      </c>
      <c r="B1425" s="228">
        <v>3787.4</v>
      </c>
      <c r="C1425" s="228">
        <v>3805</v>
      </c>
      <c r="D1425" s="228">
        <v>3824</v>
      </c>
      <c r="E1425" s="228">
        <v>3781.2</v>
      </c>
      <c r="F1425">
        <v>245540</v>
      </c>
      <c r="G1425" s="228">
        <v>-3.3999999999999998E-3</v>
      </c>
      <c r="H1425" s="228">
        <f>YEAR(AVEU_Historical_Data__2[[#This Row],[Date]])</f>
        <v>2025</v>
      </c>
      <c r="I1425" s="228">
        <f>ROUNDUP((MOD(MONTH(AVEU_Historical_Data__2[[#This Row],[Date]])+8,12)+1)/3,0)</f>
        <v>3</v>
      </c>
      <c r="J1425" s="228">
        <f>MONTH(AVEU_Historical_Data__2[[#This Row],[Date]])</f>
        <v>12</v>
      </c>
      <c r="K1425" s="228"/>
    </row>
    <row r="1426" spans="1:11" x14ac:dyDescent="0.25">
      <c r="A1426" s="227">
        <v>46020</v>
      </c>
      <c r="B1426" s="228">
        <v>3788</v>
      </c>
      <c r="C1426" s="228">
        <v>3778</v>
      </c>
      <c r="D1426" s="228">
        <v>3828</v>
      </c>
      <c r="E1426" s="228">
        <v>3768.4</v>
      </c>
      <c r="F1426">
        <v>239540</v>
      </c>
      <c r="G1426" s="228">
        <v>2.0000000000000001E-4</v>
      </c>
      <c r="H1426" s="228">
        <f>YEAR(AVEU_Historical_Data__2[[#This Row],[Date]])</f>
        <v>2025</v>
      </c>
      <c r="I1426" s="228">
        <f>ROUNDUP((MOD(MONTH(AVEU_Historical_Data__2[[#This Row],[Date]])+8,12)+1)/3,0)</f>
        <v>3</v>
      </c>
      <c r="J1426" s="228">
        <f>MONTH(AVEU_Historical_Data__2[[#This Row],[Date]])</f>
        <v>12</v>
      </c>
      <c r="K1426" s="228"/>
    </row>
    <row r="1427" spans="1:11" x14ac:dyDescent="0.25">
      <c r="A1427" s="227">
        <v>46021</v>
      </c>
      <c r="B1427" s="228">
        <v>3753.5</v>
      </c>
      <c r="C1427" s="228">
        <v>3792</v>
      </c>
      <c r="D1427" s="228">
        <v>3805.3</v>
      </c>
      <c r="E1427" s="228">
        <v>3748.2</v>
      </c>
      <c r="F1427">
        <v>489290</v>
      </c>
      <c r="G1427" s="228">
        <v>-9.1000000000000004E-3</v>
      </c>
      <c r="H1427" s="228">
        <f>YEAR(AVEU_Historical_Data__2[[#This Row],[Date]])</f>
        <v>2025</v>
      </c>
      <c r="I1427" s="228">
        <f>ROUNDUP((MOD(MONTH(AVEU_Historical_Data__2[[#This Row],[Date]])+8,12)+1)/3,0)</f>
        <v>3</v>
      </c>
      <c r="J1427" s="228">
        <f>MONTH(AVEU_Historical_Data__2[[#This Row],[Date]])</f>
        <v>12</v>
      </c>
      <c r="K1427" s="228"/>
    </row>
    <row r="1428" spans="1:11" x14ac:dyDescent="0.25">
      <c r="A1428" s="227">
        <v>46022</v>
      </c>
      <c r="B1428" s="228">
        <v>3782.2</v>
      </c>
      <c r="C1428" s="228">
        <v>3753.5</v>
      </c>
      <c r="D1428" s="228">
        <v>3800</v>
      </c>
      <c r="E1428" s="228">
        <v>3742.2</v>
      </c>
      <c r="F1428">
        <v>638020</v>
      </c>
      <c r="G1428" s="228">
        <v>7.6E-3</v>
      </c>
      <c r="H1428" s="228">
        <f>YEAR(AVEU_Historical_Data__2[[#This Row],[Date]])</f>
        <v>2025</v>
      </c>
      <c r="I1428" s="228">
        <f>ROUNDUP((MOD(MONTH(AVEU_Historical_Data__2[[#This Row],[Date]])+8,12)+1)/3,0)</f>
        <v>3</v>
      </c>
      <c r="J1428" s="228">
        <f>MONTH(AVEU_Historical_Data__2[[#This Row],[Date]])</f>
        <v>12</v>
      </c>
      <c r="K1428" s="228"/>
    </row>
    <row r="1429" spans="1:11" x14ac:dyDescent="0.25">
      <c r="A1429" s="227">
        <v>46023</v>
      </c>
      <c r="B1429" s="228">
        <v>3716.1</v>
      </c>
      <c r="C1429" s="228">
        <v>3794.8</v>
      </c>
      <c r="D1429" s="228">
        <v>3808</v>
      </c>
      <c r="E1429" s="228">
        <v>3703</v>
      </c>
      <c r="F1429">
        <v>517010</v>
      </c>
      <c r="G1429" s="228">
        <v>-1.7500000000000002E-2</v>
      </c>
      <c r="H1429" s="228">
        <f>YEAR(AVEU_Historical_Data__2[[#This Row],[Date]])</f>
        <v>2026</v>
      </c>
      <c r="I1429" s="228">
        <f>ROUNDUP((MOD(MONTH(AVEU_Historical_Data__2[[#This Row],[Date]])+8,12)+1)/3,0)</f>
        <v>4</v>
      </c>
      <c r="J1429" s="228">
        <f>MONTH(AVEU_Historical_Data__2[[#This Row],[Date]])</f>
        <v>1</v>
      </c>
      <c r="K1429" s="228"/>
    </row>
    <row r="1430" spans="1:11" x14ac:dyDescent="0.25">
      <c r="A1430" s="227">
        <v>46024</v>
      </c>
      <c r="B1430" s="228">
        <v>3719.8</v>
      </c>
      <c r="C1430" s="228">
        <v>3735</v>
      </c>
      <c r="D1430" s="228">
        <v>3753.5</v>
      </c>
      <c r="E1430" s="228">
        <v>3700</v>
      </c>
      <c r="F1430">
        <v>295500</v>
      </c>
      <c r="G1430" s="228">
        <v>1E-3</v>
      </c>
      <c r="H1430" s="228">
        <f>YEAR(AVEU_Historical_Data__2[[#This Row],[Date]])</f>
        <v>2026</v>
      </c>
      <c r="I1430" s="228">
        <f>ROUNDUP((MOD(MONTH(AVEU_Historical_Data__2[[#This Row],[Date]])+8,12)+1)/3,0)</f>
        <v>4</v>
      </c>
      <c r="J1430" s="228">
        <f>MONTH(AVEU_Historical_Data__2[[#This Row],[Date]])</f>
        <v>1</v>
      </c>
      <c r="K1430" s="228"/>
    </row>
    <row r="1431" spans="1:11" x14ac:dyDescent="0.25">
      <c r="A1431" s="227">
        <v>46027</v>
      </c>
      <c r="B1431" s="228">
        <v>3646.3</v>
      </c>
      <c r="C1431" s="228">
        <v>3719.1</v>
      </c>
      <c r="D1431" s="228">
        <v>3719.1</v>
      </c>
      <c r="E1431" s="228">
        <v>3635.3</v>
      </c>
      <c r="F1431">
        <v>567370</v>
      </c>
      <c r="G1431" s="228">
        <v>-1.9800000000000002E-2</v>
      </c>
      <c r="H1431" s="228">
        <f>YEAR(AVEU_Historical_Data__2[[#This Row],[Date]])</f>
        <v>2026</v>
      </c>
      <c r="I1431" s="228">
        <f>ROUNDUP((MOD(MONTH(AVEU_Historical_Data__2[[#This Row],[Date]])+8,12)+1)/3,0)</f>
        <v>4</v>
      </c>
      <c r="J1431" s="228">
        <f>MONTH(AVEU_Historical_Data__2[[#This Row],[Date]])</f>
        <v>1</v>
      </c>
      <c r="K1431" s="228"/>
    </row>
    <row r="1432" spans="1:11" x14ac:dyDescent="0.25">
      <c r="A1432" s="227">
        <v>46028</v>
      </c>
      <c r="B1432" s="228">
        <v>3663.7</v>
      </c>
      <c r="C1432" s="228">
        <v>3641</v>
      </c>
      <c r="D1432" s="228">
        <v>3680</v>
      </c>
      <c r="E1432" s="228">
        <v>3605.1</v>
      </c>
      <c r="F1432">
        <v>585620</v>
      </c>
      <c r="G1432" s="228">
        <v>4.7999999999999996E-3</v>
      </c>
      <c r="H1432" s="228">
        <f>YEAR(AVEU_Historical_Data__2[[#This Row],[Date]])</f>
        <v>2026</v>
      </c>
      <c r="I1432" s="228">
        <f>ROUNDUP((MOD(MONTH(AVEU_Historical_Data__2[[#This Row],[Date]])+8,12)+1)/3,0)</f>
        <v>4</v>
      </c>
      <c r="J1432" s="228">
        <f>MONTH(AVEU_Historical_Data__2[[#This Row],[Date]])</f>
        <v>1</v>
      </c>
      <c r="K1432" s="228"/>
    </row>
    <row r="1433" spans="1:11" x14ac:dyDescent="0.25">
      <c r="A1433" s="227">
        <v>46029</v>
      </c>
      <c r="B1433" s="228">
        <v>3841.6</v>
      </c>
      <c r="C1433" s="228">
        <v>3665</v>
      </c>
      <c r="D1433" s="228">
        <v>3849.9</v>
      </c>
      <c r="E1433" s="228">
        <v>3662</v>
      </c>
      <c r="F1433">
        <v>1320000</v>
      </c>
      <c r="G1433" s="228">
        <v>4.8599999999999997E-2</v>
      </c>
      <c r="H1433" s="228">
        <f>YEAR(AVEU_Historical_Data__2[[#This Row],[Date]])</f>
        <v>2026</v>
      </c>
      <c r="I1433" s="228">
        <f>ROUNDUP((MOD(MONTH(AVEU_Historical_Data__2[[#This Row],[Date]])+8,12)+1)/3,0)</f>
        <v>4</v>
      </c>
      <c r="J1433" s="228">
        <f>MONTH(AVEU_Historical_Data__2[[#This Row],[Date]])</f>
        <v>1</v>
      </c>
      <c r="K1433" s="228"/>
    </row>
    <row r="1434" spans="1:11" x14ac:dyDescent="0.25">
      <c r="A1434" s="227">
        <v>46030</v>
      </c>
      <c r="B1434" s="228">
        <v>3789.8</v>
      </c>
      <c r="C1434" s="228">
        <v>3843</v>
      </c>
      <c r="D1434" s="228">
        <v>3872.4</v>
      </c>
      <c r="E1434" s="228">
        <v>3781</v>
      </c>
      <c r="F1434">
        <v>400230</v>
      </c>
      <c r="G1434" s="228">
        <v>-1.35E-2</v>
      </c>
      <c r="H1434" s="228">
        <f>YEAR(AVEU_Historical_Data__2[[#This Row],[Date]])</f>
        <v>2026</v>
      </c>
      <c r="I1434" s="228">
        <f>ROUNDUP((MOD(MONTH(AVEU_Historical_Data__2[[#This Row],[Date]])+8,12)+1)/3,0)</f>
        <v>4</v>
      </c>
      <c r="J1434" s="228">
        <f>MONTH(AVEU_Historical_Data__2[[#This Row],[Date]])</f>
        <v>1</v>
      </c>
      <c r="K1434" s="228"/>
    </row>
    <row r="1435" spans="1:11" x14ac:dyDescent="0.25">
      <c r="A1435" s="227">
        <v>46031</v>
      </c>
      <c r="B1435" s="228">
        <v>3801.3</v>
      </c>
      <c r="C1435" s="228">
        <v>3794</v>
      </c>
      <c r="D1435" s="228">
        <v>3833.2</v>
      </c>
      <c r="E1435" s="228">
        <v>3745.1</v>
      </c>
      <c r="F1435">
        <v>600890</v>
      </c>
      <c r="G1435" s="228">
        <v>3.0000000000000001E-3</v>
      </c>
      <c r="H1435" s="228">
        <f>YEAR(AVEU_Historical_Data__2[[#This Row],[Date]])</f>
        <v>2026</v>
      </c>
      <c r="I1435" s="228">
        <f>ROUNDUP((MOD(MONTH(AVEU_Historical_Data__2[[#This Row],[Date]])+8,12)+1)/3,0)</f>
        <v>4</v>
      </c>
      <c r="J1435" s="228">
        <f>MONTH(AVEU_Historical_Data__2[[#This Row],[Date]])</f>
        <v>1</v>
      </c>
      <c r="K1435" s="228"/>
    </row>
    <row r="1436" spans="1:11" x14ac:dyDescent="0.25">
      <c r="A1436" s="227">
        <v>46034</v>
      </c>
      <c r="B1436" s="228">
        <v>3832.5</v>
      </c>
      <c r="C1436" s="228">
        <v>3852</v>
      </c>
      <c r="D1436" s="228">
        <v>3918.6</v>
      </c>
      <c r="E1436" s="228">
        <v>3760.5</v>
      </c>
      <c r="F1436">
        <v>2049999.9999999998</v>
      </c>
      <c r="G1436" s="228">
        <v>8.2000000000000007E-3</v>
      </c>
      <c r="H1436" s="228">
        <f>YEAR(AVEU_Historical_Data__2[[#This Row],[Date]])</f>
        <v>2026</v>
      </c>
      <c r="I1436" s="228">
        <f>ROUNDUP((MOD(MONTH(AVEU_Historical_Data__2[[#This Row],[Date]])+8,12)+1)/3,0)</f>
        <v>4</v>
      </c>
      <c r="J1436" s="228">
        <f>MONTH(AVEU_Historical_Data__2[[#This Row],[Date]])</f>
        <v>1</v>
      </c>
      <c r="K1436" s="228"/>
    </row>
    <row r="1437" spans="1:11" x14ac:dyDescent="0.25">
      <c r="A1437" s="227">
        <v>46035</v>
      </c>
      <c r="B1437" s="228">
        <v>3826.9</v>
      </c>
      <c r="C1437" s="228">
        <v>3851.5</v>
      </c>
      <c r="D1437" s="228">
        <v>3889</v>
      </c>
      <c r="E1437" s="228">
        <v>3782.7</v>
      </c>
      <c r="F1437">
        <v>693950</v>
      </c>
      <c r="G1437" s="228">
        <v>-1.5E-3</v>
      </c>
      <c r="H1437" s="228">
        <f>YEAR(AVEU_Historical_Data__2[[#This Row],[Date]])</f>
        <v>2026</v>
      </c>
      <c r="I1437" s="228">
        <f>ROUNDUP((MOD(MONTH(AVEU_Historical_Data__2[[#This Row],[Date]])+8,12)+1)/3,0)</f>
        <v>4</v>
      </c>
      <c r="J1437" s="228">
        <f>MONTH(AVEU_Historical_Data__2[[#This Row],[Date]])</f>
        <v>1</v>
      </c>
      <c r="K1437" s="228"/>
    </row>
    <row r="1438" spans="1:11" x14ac:dyDescent="0.25">
      <c r="A1438" s="227">
        <v>46036</v>
      </c>
      <c r="B1438" s="228">
        <v>3830.3</v>
      </c>
      <c r="C1438" s="228">
        <v>3822</v>
      </c>
      <c r="D1438" s="228">
        <v>3889.8</v>
      </c>
      <c r="E1438" s="228">
        <v>3811.8</v>
      </c>
      <c r="F1438">
        <v>495100</v>
      </c>
      <c r="G1438" s="228">
        <v>8.9999999999999998E-4</v>
      </c>
      <c r="H1438" s="228">
        <f>YEAR(AVEU_Historical_Data__2[[#This Row],[Date]])</f>
        <v>2026</v>
      </c>
      <c r="I1438" s="228">
        <f>ROUNDUP((MOD(MONTH(AVEU_Historical_Data__2[[#This Row],[Date]])+8,12)+1)/3,0)</f>
        <v>4</v>
      </c>
      <c r="J1438" s="228">
        <f>MONTH(AVEU_Historical_Data__2[[#This Row],[Date]])</f>
        <v>1</v>
      </c>
      <c r="K1438" s="228"/>
    </row>
    <row r="1439" spans="1:11" x14ac:dyDescent="0.25">
      <c r="A1439" s="227">
        <v>46038</v>
      </c>
      <c r="B1439" s="228">
        <v>3775.7</v>
      </c>
      <c r="C1439" s="228">
        <v>3820</v>
      </c>
      <c r="D1439" s="228">
        <v>3832</v>
      </c>
      <c r="E1439" s="228">
        <v>3741</v>
      </c>
      <c r="F1439">
        <v>817040</v>
      </c>
      <c r="G1439" s="228">
        <v>-1.43E-2</v>
      </c>
      <c r="H1439" s="228">
        <f>YEAR(AVEU_Historical_Data__2[[#This Row],[Date]])</f>
        <v>2026</v>
      </c>
      <c r="I1439" s="228">
        <f>ROUNDUP((MOD(MONTH(AVEU_Historical_Data__2[[#This Row],[Date]])+8,12)+1)/3,0)</f>
        <v>4</v>
      </c>
      <c r="J1439" s="228">
        <f>MONTH(AVEU_Historical_Data__2[[#This Row],[Date]])</f>
        <v>1</v>
      </c>
      <c r="K1439" s="228"/>
    </row>
    <row r="1440" spans="1:11" x14ac:dyDescent="0.25">
      <c r="A1440" s="227">
        <v>46041</v>
      </c>
      <c r="B1440" s="228">
        <v>3766.7</v>
      </c>
      <c r="C1440" s="228">
        <v>3775.7</v>
      </c>
      <c r="D1440" s="228">
        <v>3846</v>
      </c>
      <c r="E1440" s="228">
        <v>3733.3</v>
      </c>
      <c r="F1440">
        <v>404690</v>
      </c>
      <c r="G1440" s="228">
        <v>-2.3999999999999998E-3</v>
      </c>
      <c r="H1440" s="228">
        <f>YEAR(AVEU_Historical_Data__2[[#This Row],[Date]])</f>
        <v>2026</v>
      </c>
      <c r="I1440" s="228">
        <f>ROUNDUP((MOD(MONTH(AVEU_Historical_Data__2[[#This Row],[Date]])+8,12)+1)/3,0)</f>
        <v>4</v>
      </c>
      <c r="J1440" s="228">
        <f>MONTH(AVEU_Historical_Data__2[[#This Row],[Date]])</f>
        <v>1</v>
      </c>
      <c r="K1440" s="228"/>
    </row>
    <row r="1441" spans="1:11" x14ac:dyDescent="0.25">
      <c r="A1441" s="227">
        <v>46042</v>
      </c>
      <c r="B1441" s="228">
        <v>3661.6</v>
      </c>
      <c r="C1441" s="228">
        <v>3768</v>
      </c>
      <c r="D1441" s="228">
        <v>3786.5</v>
      </c>
      <c r="E1441" s="228">
        <v>3645.5</v>
      </c>
      <c r="F1441">
        <v>521409.99999999994</v>
      </c>
      <c r="G1441" s="228">
        <v>-2.7900000000000001E-2</v>
      </c>
      <c r="H1441" s="228">
        <f>YEAR(AVEU_Historical_Data__2[[#This Row],[Date]])</f>
        <v>2026</v>
      </c>
      <c r="I1441" s="228">
        <f>ROUNDUP((MOD(MONTH(AVEU_Historical_Data__2[[#This Row],[Date]])+8,12)+1)/3,0)</f>
        <v>4</v>
      </c>
      <c r="J1441" s="228">
        <f>MONTH(AVEU_Historical_Data__2[[#This Row],[Date]])</f>
        <v>1</v>
      </c>
      <c r="K1441" s="228"/>
    </row>
    <row r="1442" spans="1:11" x14ac:dyDescent="0.25">
      <c r="A1442" s="227">
        <v>46043</v>
      </c>
      <c r="B1442" s="228">
        <v>3656.7</v>
      </c>
      <c r="C1442" s="228">
        <v>3661.6</v>
      </c>
      <c r="D1442" s="228">
        <v>3694.6</v>
      </c>
      <c r="E1442" s="228">
        <v>3617.6</v>
      </c>
      <c r="F1442">
        <v>473540</v>
      </c>
      <c r="G1442" s="228">
        <v>-1.2999999999999999E-3</v>
      </c>
      <c r="H1442" s="228">
        <f>YEAR(AVEU_Historical_Data__2[[#This Row],[Date]])</f>
        <v>2026</v>
      </c>
      <c r="I1442" s="228">
        <f>ROUNDUP((MOD(MONTH(AVEU_Historical_Data__2[[#This Row],[Date]])+8,12)+1)/3,0)</f>
        <v>4</v>
      </c>
      <c r="J1442" s="228">
        <f>MONTH(AVEU_Historical_Data__2[[#This Row],[Date]])</f>
        <v>1</v>
      </c>
      <c r="K1442" s="228"/>
    </row>
    <row r="1443" spans="1:11" x14ac:dyDescent="0.25">
      <c r="A1443" s="227">
        <v>46044</v>
      </c>
      <c r="B1443" s="228">
        <v>3724.1</v>
      </c>
      <c r="C1443" s="228">
        <v>3690</v>
      </c>
      <c r="D1443" s="228">
        <v>3735</v>
      </c>
      <c r="E1443" s="228">
        <v>3658</v>
      </c>
      <c r="F1443">
        <v>409470</v>
      </c>
      <c r="G1443" s="228">
        <v>1.84E-2</v>
      </c>
      <c r="H1443" s="228">
        <f>YEAR(AVEU_Historical_Data__2[[#This Row],[Date]])</f>
        <v>2026</v>
      </c>
      <c r="I1443" s="228">
        <f>ROUNDUP((MOD(MONTH(AVEU_Historical_Data__2[[#This Row],[Date]])+8,12)+1)/3,0)</f>
        <v>4</v>
      </c>
      <c r="J1443" s="228">
        <f>MONTH(AVEU_Historical_Data__2[[#This Row],[Date]])</f>
        <v>1</v>
      </c>
      <c r="K1443" s="228"/>
    </row>
    <row r="1444" spans="1:11" x14ac:dyDescent="0.25">
      <c r="A1444" s="227">
        <v>46045</v>
      </c>
      <c r="B1444" s="228">
        <v>3665.6</v>
      </c>
      <c r="C1444" s="228">
        <v>3724.1</v>
      </c>
      <c r="D1444" s="228">
        <v>3738.9</v>
      </c>
      <c r="E1444" s="228">
        <v>3646.8</v>
      </c>
      <c r="F1444">
        <v>185670</v>
      </c>
      <c r="G1444" s="228">
        <v>-1.5699999999999999E-2</v>
      </c>
      <c r="H1444" s="228">
        <f>YEAR(AVEU_Historical_Data__2[[#This Row],[Date]])</f>
        <v>2026</v>
      </c>
      <c r="I1444" s="228">
        <f>ROUNDUP((MOD(MONTH(AVEU_Historical_Data__2[[#This Row],[Date]])+8,12)+1)/3,0)</f>
        <v>4</v>
      </c>
      <c r="J1444" s="228">
        <f>MONTH(AVEU_Historical_Data__2[[#This Row],[Date]])</f>
        <v>1</v>
      </c>
      <c r="K1444" s="228"/>
    </row>
    <row r="1445" spans="1:11" x14ac:dyDescent="0.25">
      <c r="A1445" s="227">
        <v>46049</v>
      </c>
      <c r="B1445" s="228">
        <v>3670.6</v>
      </c>
      <c r="C1445" s="228">
        <v>3651</v>
      </c>
      <c r="D1445" s="228">
        <v>3686.1</v>
      </c>
      <c r="E1445" s="228">
        <v>3633.8</v>
      </c>
      <c r="F1445">
        <v>374820</v>
      </c>
      <c r="G1445" s="228">
        <v>1.4E-3</v>
      </c>
      <c r="H1445" s="228">
        <f>YEAR(AVEU_Historical_Data__2[[#This Row],[Date]])</f>
        <v>2026</v>
      </c>
      <c r="I1445" s="228">
        <f>ROUNDUP((MOD(MONTH(AVEU_Historical_Data__2[[#This Row],[Date]])+8,12)+1)/3,0)</f>
        <v>4</v>
      </c>
      <c r="J1445" s="228">
        <f>MONTH(AVEU_Historical_Data__2[[#This Row],[Date]])</f>
        <v>1</v>
      </c>
      <c r="K1445" s="228"/>
    </row>
    <row r="1446" spans="1:11" x14ac:dyDescent="0.25">
      <c r="A1446" s="227">
        <v>46050</v>
      </c>
      <c r="B1446" s="228">
        <v>3735.7</v>
      </c>
      <c r="C1446" s="228">
        <v>3663</v>
      </c>
      <c r="D1446" s="228">
        <v>3744.3</v>
      </c>
      <c r="E1446" s="228">
        <v>3663</v>
      </c>
      <c r="F1446">
        <v>242640</v>
      </c>
      <c r="G1446" s="228">
        <v>1.77E-2</v>
      </c>
      <c r="H1446" s="228">
        <f>YEAR(AVEU_Historical_Data__2[[#This Row],[Date]])</f>
        <v>2026</v>
      </c>
      <c r="I1446" s="228">
        <f>ROUNDUP((MOD(MONTH(AVEU_Historical_Data__2[[#This Row],[Date]])+8,12)+1)/3,0)</f>
        <v>4</v>
      </c>
      <c r="J1446" s="228">
        <f>MONTH(AVEU_Historical_Data__2[[#This Row],[Date]])</f>
        <v>1</v>
      </c>
      <c r="K1446" s="228"/>
    </row>
    <row r="1447" spans="1:11" x14ac:dyDescent="0.25">
      <c r="A1447" s="227">
        <v>46051</v>
      </c>
      <c r="B1447" s="228">
        <v>3667.2</v>
      </c>
      <c r="C1447" s="228">
        <v>3710.4</v>
      </c>
      <c r="D1447" s="228">
        <v>3727.2</v>
      </c>
      <c r="E1447" s="228">
        <v>3641</v>
      </c>
      <c r="F1447">
        <v>448580</v>
      </c>
      <c r="G1447" s="228">
        <v>-1.83E-2</v>
      </c>
      <c r="H1447" s="228">
        <f>YEAR(AVEU_Historical_Data__2[[#This Row],[Date]])</f>
        <v>2026</v>
      </c>
      <c r="I1447" s="228">
        <f>ROUNDUP((MOD(MONTH(AVEU_Historical_Data__2[[#This Row],[Date]])+8,12)+1)/3,0)</f>
        <v>4</v>
      </c>
      <c r="J1447" s="228">
        <f>MONTH(AVEU_Historical_Data__2[[#This Row],[Date]])</f>
        <v>1</v>
      </c>
      <c r="K1447" s="228"/>
    </row>
    <row r="1448" spans="1:11" x14ac:dyDescent="0.25">
      <c r="A1448" s="227">
        <v>46052</v>
      </c>
      <c r="B1448" s="228">
        <v>3689.5</v>
      </c>
      <c r="C1448" s="228">
        <v>3645</v>
      </c>
      <c r="D1448" s="228">
        <v>3740</v>
      </c>
      <c r="E1448" s="228">
        <v>3638</v>
      </c>
      <c r="F1448">
        <v>619210</v>
      </c>
      <c r="G1448" s="228">
        <v>6.1000000000000004E-3</v>
      </c>
      <c r="H1448" s="228">
        <f>YEAR(AVEU_Historical_Data__2[[#This Row],[Date]])</f>
        <v>2026</v>
      </c>
      <c r="I1448" s="228">
        <f>ROUNDUP((MOD(MONTH(AVEU_Historical_Data__2[[#This Row],[Date]])+8,12)+1)/3,0)</f>
        <v>4</v>
      </c>
      <c r="J1448" s="228">
        <f>MONTH(AVEU_Historical_Data__2[[#This Row],[Date]])</f>
        <v>1</v>
      </c>
      <c r="K1448" s="228"/>
    </row>
    <row r="1449" spans="1:11" x14ac:dyDescent="0.25">
      <c r="A1449" s="227">
        <v>46054</v>
      </c>
      <c r="B1449" s="228">
        <v>3613.7</v>
      </c>
      <c r="C1449" s="228">
        <v>3690</v>
      </c>
      <c r="D1449" s="228">
        <v>3710</v>
      </c>
      <c r="E1449" s="228">
        <v>3529</v>
      </c>
      <c r="F1449">
        <v>289100</v>
      </c>
      <c r="G1449" s="228">
        <v>-2.0500000000000001E-2</v>
      </c>
      <c r="H1449" s="228">
        <f>YEAR(AVEU_Historical_Data__2[[#This Row],[Date]])</f>
        <v>2026</v>
      </c>
      <c r="I1449" s="228">
        <f>ROUNDUP((MOD(MONTH(AVEU_Historical_Data__2[[#This Row],[Date]])+8,12)+1)/3,0)</f>
        <v>4</v>
      </c>
      <c r="J1449" s="228">
        <f>MONTH(AVEU_Historical_Data__2[[#This Row],[Date]])</f>
        <v>2</v>
      </c>
      <c r="K1449" s="228"/>
    </row>
    <row r="1450" spans="1:11" x14ac:dyDescent="0.25">
      <c r="A1450" s="227">
        <v>46055</v>
      </c>
      <c r="B1450" s="228">
        <v>3674.2</v>
      </c>
      <c r="C1450" s="228">
        <v>3639</v>
      </c>
      <c r="D1450" s="228">
        <v>3683.3</v>
      </c>
      <c r="E1450" s="228">
        <v>3600</v>
      </c>
      <c r="F1450">
        <v>212420</v>
      </c>
      <c r="G1450" s="228">
        <v>1.67E-2</v>
      </c>
      <c r="H1450" s="228">
        <f>YEAR(AVEU_Historical_Data__2[[#This Row],[Date]])</f>
        <v>2026</v>
      </c>
      <c r="I1450" s="228">
        <f>ROUNDUP((MOD(MONTH(AVEU_Historical_Data__2[[#This Row],[Date]])+8,12)+1)/3,0)</f>
        <v>4</v>
      </c>
      <c r="J1450" s="228">
        <f>MONTH(AVEU_Historical_Data__2[[#This Row],[Date]])</f>
        <v>2</v>
      </c>
      <c r="K1450" s="228"/>
    </row>
    <row r="1451" spans="1:11" x14ac:dyDescent="0.25">
      <c r="A1451" s="227">
        <v>46056</v>
      </c>
      <c r="B1451" s="228">
        <v>3776.6</v>
      </c>
      <c r="C1451" s="228">
        <v>3750</v>
      </c>
      <c r="D1451" s="228">
        <v>3802.4</v>
      </c>
      <c r="E1451" s="228">
        <v>3709</v>
      </c>
      <c r="F1451">
        <v>412500</v>
      </c>
      <c r="G1451" s="228">
        <v>2.7900000000000001E-2</v>
      </c>
      <c r="H1451" s="228">
        <f>YEAR(AVEU_Historical_Data__2[[#This Row],[Date]])</f>
        <v>2026</v>
      </c>
      <c r="I1451" s="228">
        <f>ROUNDUP((MOD(MONTH(AVEU_Historical_Data__2[[#This Row],[Date]])+8,12)+1)/3,0)</f>
        <v>4</v>
      </c>
      <c r="J1451" s="228">
        <f>MONTH(AVEU_Historical_Data__2[[#This Row],[Date]])</f>
        <v>2</v>
      </c>
      <c r="K1451" s="228"/>
    </row>
    <row r="1452" spans="1:11" x14ac:dyDescent="0.25">
      <c r="A1452" s="227">
        <v>46057</v>
      </c>
      <c r="B1452" s="228">
        <v>3824.3</v>
      </c>
      <c r="C1452" s="228">
        <v>3794</v>
      </c>
      <c r="D1452" s="228">
        <v>3849</v>
      </c>
      <c r="E1452" s="228">
        <v>3749</v>
      </c>
      <c r="F1452">
        <v>269850</v>
      </c>
      <c r="G1452" s="228">
        <v>1.26E-2</v>
      </c>
      <c r="H1452" s="228">
        <f>YEAR(AVEU_Historical_Data__2[[#This Row],[Date]])</f>
        <v>2026</v>
      </c>
      <c r="I1452" s="228">
        <f>ROUNDUP((MOD(MONTH(AVEU_Historical_Data__2[[#This Row],[Date]])+8,12)+1)/3,0)</f>
        <v>4</v>
      </c>
      <c r="J1452" s="228">
        <f>MONTH(AVEU_Historical_Data__2[[#This Row],[Date]])</f>
        <v>2</v>
      </c>
      <c r="K1452" s="228"/>
    </row>
    <row r="1453" spans="1:11" x14ac:dyDescent="0.25">
      <c r="A1453" s="227">
        <v>46058</v>
      </c>
      <c r="B1453" s="228">
        <v>3934.9</v>
      </c>
      <c r="C1453" s="228">
        <v>3849</v>
      </c>
      <c r="D1453" s="228">
        <v>3949.5</v>
      </c>
      <c r="E1453" s="228">
        <v>3825.1</v>
      </c>
      <c r="F1453">
        <v>867140</v>
      </c>
      <c r="G1453" s="228">
        <v>2.8899999999999999E-2</v>
      </c>
      <c r="H1453" s="228">
        <f>YEAR(AVEU_Historical_Data__2[[#This Row],[Date]])</f>
        <v>2026</v>
      </c>
      <c r="I1453" s="228">
        <f>ROUNDUP((MOD(MONTH(AVEU_Historical_Data__2[[#This Row],[Date]])+8,12)+1)/3,0)</f>
        <v>4</v>
      </c>
      <c r="J1453" s="228">
        <f>MONTH(AVEU_Historical_Data__2[[#This Row],[Date]])</f>
        <v>2</v>
      </c>
      <c r="K1453" s="228"/>
    </row>
    <row r="1454" spans="1:11" x14ac:dyDescent="0.25">
      <c r="A1454" s="227">
        <v>46059</v>
      </c>
      <c r="B1454" s="228">
        <v>3889.9</v>
      </c>
      <c r="C1454" s="228">
        <v>3934.8</v>
      </c>
      <c r="D1454" s="228">
        <v>3949</v>
      </c>
      <c r="E1454" s="228">
        <v>3850</v>
      </c>
      <c r="F1454">
        <v>276170</v>
      </c>
      <c r="G1454" s="228">
        <v>-1.14E-2</v>
      </c>
      <c r="H1454" s="228">
        <f>YEAR(AVEU_Historical_Data__2[[#This Row],[Date]])</f>
        <v>2026</v>
      </c>
      <c r="I1454" s="228">
        <f>ROUNDUP((MOD(MONTH(AVEU_Historical_Data__2[[#This Row],[Date]])+8,12)+1)/3,0)</f>
        <v>4</v>
      </c>
      <c r="J1454" s="228">
        <f>MONTH(AVEU_Historical_Data__2[[#This Row],[Date]])</f>
        <v>2</v>
      </c>
      <c r="K1454" s="228"/>
    </row>
    <row r="1455" spans="1:11" x14ac:dyDescent="0.25">
      <c r="A1455" s="227">
        <v>46062</v>
      </c>
      <c r="B1455" s="228">
        <v>3922.4</v>
      </c>
      <c r="C1455" s="228">
        <v>3893.1</v>
      </c>
      <c r="D1455" s="228">
        <v>3939.6</v>
      </c>
      <c r="E1455" s="228">
        <v>3890.2</v>
      </c>
      <c r="F1455">
        <v>224950</v>
      </c>
      <c r="G1455" s="228">
        <v>8.3999999999999995E-3</v>
      </c>
      <c r="H1455" s="228">
        <f>YEAR(AVEU_Historical_Data__2[[#This Row],[Date]])</f>
        <v>2026</v>
      </c>
      <c r="I1455" s="228">
        <f>ROUNDUP((MOD(MONTH(AVEU_Historical_Data__2[[#This Row],[Date]])+8,12)+1)/3,0)</f>
        <v>4</v>
      </c>
      <c r="J1455" s="228">
        <f>MONTH(AVEU_Historical_Data__2[[#This Row],[Date]])</f>
        <v>2</v>
      </c>
      <c r="K1455" s="228"/>
    </row>
    <row r="1456" spans="1:11" x14ac:dyDescent="0.25">
      <c r="A1456" s="227">
        <v>46063</v>
      </c>
      <c r="B1456" s="228">
        <v>4002.2</v>
      </c>
      <c r="C1456" s="228">
        <v>3940</v>
      </c>
      <c r="D1456" s="228">
        <v>4019</v>
      </c>
      <c r="E1456" s="228">
        <v>3920</v>
      </c>
      <c r="F1456">
        <v>388860</v>
      </c>
      <c r="G1456" s="228">
        <v>2.0299999999999999E-2</v>
      </c>
      <c r="H1456" s="228">
        <f>YEAR(AVEU_Historical_Data__2[[#This Row],[Date]])</f>
        <v>2026</v>
      </c>
      <c r="I1456" s="228">
        <f>ROUNDUP((MOD(MONTH(AVEU_Historical_Data__2[[#This Row],[Date]])+8,12)+1)/3,0)</f>
        <v>4</v>
      </c>
      <c r="J1456" s="228">
        <f>MONTH(AVEU_Historical_Data__2[[#This Row],[Date]])</f>
        <v>2</v>
      </c>
      <c r="K1456" s="228"/>
    </row>
    <row r="1457" spans="1:11" x14ac:dyDescent="0.25">
      <c r="A1457" s="227">
        <v>46064</v>
      </c>
      <c r="B1457" s="228">
        <v>4003.7</v>
      </c>
      <c r="C1457" s="228">
        <v>4014</v>
      </c>
      <c r="D1457" s="228">
        <v>4032.2</v>
      </c>
      <c r="E1457" s="228">
        <v>3970.1</v>
      </c>
      <c r="F1457">
        <v>324860</v>
      </c>
      <c r="G1457" s="228">
        <v>4.0000000000000002E-4</v>
      </c>
      <c r="H1457" s="228">
        <f>YEAR(AVEU_Historical_Data__2[[#This Row],[Date]])</f>
        <v>2026</v>
      </c>
      <c r="I1457" s="228">
        <f>ROUNDUP((MOD(MONTH(AVEU_Historical_Data__2[[#This Row],[Date]])+8,12)+1)/3,0)</f>
        <v>4</v>
      </c>
      <c r="J1457" s="228">
        <f>MONTH(AVEU_Historical_Data__2[[#This Row],[Date]])</f>
        <v>2</v>
      </c>
      <c r="K1457" s="228"/>
    </row>
    <row r="1458" spans="1:11" x14ac:dyDescent="0.25">
      <c r="A1458" s="227">
        <v>46065</v>
      </c>
      <c r="B1458" s="228">
        <v>3963</v>
      </c>
      <c r="C1458" s="228">
        <v>4000</v>
      </c>
      <c r="D1458" s="228">
        <v>4000</v>
      </c>
      <c r="E1458" s="228">
        <v>3947.6</v>
      </c>
      <c r="F1458">
        <v>197210</v>
      </c>
      <c r="G1458" s="228">
        <v>-1.0200000000000001E-2</v>
      </c>
      <c r="H1458" s="228">
        <f>YEAR(AVEU_Historical_Data__2[[#This Row],[Date]])</f>
        <v>2026</v>
      </c>
      <c r="I1458" s="228">
        <f>ROUNDUP((MOD(MONTH(AVEU_Historical_Data__2[[#This Row],[Date]])+8,12)+1)/3,0)</f>
        <v>4</v>
      </c>
      <c r="J1458" s="228">
        <f>MONTH(AVEU_Historical_Data__2[[#This Row],[Date]])</f>
        <v>2</v>
      </c>
      <c r="K1458" s="228"/>
    </row>
    <row r="1459" spans="1:11" x14ac:dyDescent="0.25">
      <c r="A1459" s="227">
        <v>46066</v>
      </c>
      <c r="B1459" s="228">
        <v>3909.2</v>
      </c>
      <c r="C1459" s="228">
        <v>3944.3</v>
      </c>
      <c r="D1459" s="228">
        <v>3949.5</v>
      </c>
      <c r="E1459" s="228">
        <v>3887</v>
      </c>
      <c r="F1459">
        <v>219060</v>
      </c>
      <c r="G1459" s="228">
        <v>-1.3599999999999999E-2</v>
      </c>
      <c r="H1459" s="228">
        <f>YEAR(AVEU_Historical_Data__2[[#This Row],[Date]])</f>
        <v>2026</v>
      </c>
      <c r="I1459" s="228">
        <f>ROUNDUP((MOD(MONTH(AVEU_Historical_Data__2[[#This Row],[Date]])+8,12)+1)/3,0)</f>
        <v>4</v>
      </c>
      <c r="J1459" s="228">
        <f>MONTH(AVEU_Historical_Data__2[[#This Row],[Date]])</f>
        <v>2</v>
      </c>
      <c r="K1459" s="228"/>
    </row>
    <row r="1460" spans="1:11" x14ac:dyDescent="0.25">
      <c r="A1460" s="227">
        <v>46069</v>
      </c>
      <c r="B1460" s="228">
        <v>3880.7</v>
      </c>
      <c r="C1460" s="228">
        <v>3850</v>
      </c>
      <c r="D1460" s="228">
        <v>3900.8</v>
      </c>
      <c r="E1460" s="228">
        <v>3842.3</v>
      </c>
      <c r="F1460">
        <v>239720</v>
      </c>
      <c r="G1460" s="228">
        <v>-7.3000000000000001E-3</v>
      </c>
      <c r="H1460" s="228">
        <f>YEAR(AVEU_Historical_Data__2[[#This Row],[Date]])</f>
        <v>2026</v>
      </c>
      <c r="I1460" s="228">
        <f>ROUNDUP((MOD(MONTH(AVEU_Historical_Data__2[[#This Row],[Date]])+8,12)+1)/3,0)</f>
        <v>4</v>
      </c>
      <c r="J1460" s="228">
        <f>MONTH(AVEU_Historical_Data__2[[#This Row],[Date]])</f>
        <v>2</v>
      </c>
      <c r="K1460" s="228"/>
    </row>
    <row r="1461" spans="1:11" x14ac:dyDescent="0.25">
      <c r="A1461" s="227">
        <v>46070</v>
      </c>
      <c r="B1461" s="228">
        <v>3902.9</v>
      </c>
      <c r="C1461" s="228">
        <v>3869.9</v>
      </c>
      <c r="D1461" s="228">
        <v>3940</v>
      </c>
      <c r="E1461" s="228">
        <v>3869.9</v>
      </c>
      <c r="F1461">
        <v>176710</v>
      </c>
      <c r="G1461" s="228">
        <v>5.7000000000000002E-3</v>
      </c>
      <c r="H1461" s="228">
        <f>YEAR(AVEU_Historical_Data__2[[#This Row],[Date]])</f>
        <v>2026</v>
      </c>
      <c r="I1461" s="228">
        <f>ROUNDUP((MOD(MONTH(AVEU_Historical_Data__2[[#This Row],[Date]])+8,12)+1)/3,0)</f>
        <v>4</v>
      </c>
      <c r="J1461" s="228">
        <f>MONTH(AVEU_Historical_Data__2[[#This Row],[Date]])</f>
        <v>2</v>
      </c>
      <c r="K1461" s="228"/>
    </row>
    <row r="1462" spans="1:11" x14ac:dyDescent="0.25">
      <c r="A1462" s="227">
        <v>46071</v>
      </c>
      <c r="B1462" s="228">
        <v>3915.2</v>
      </c>
      <c r="C1462" s="228">
        <v>3903</v>
      </c>
      <c r="D1462" s="228">
        <v>3924.7</v>
      </c>
      <c r="E1462" s="228">
        <v>3883.5</v>
      </c>
      <c r="F1462">
        <v>170550</v>
      </c>
      <c r="G1462" s="228">
        <v>3.2000000000000002E-3</v>
      </c>
      <c r="H1462" s="228">
        <f>YEAR(AVEU_Historical_Data__2[[#This Row],[Date]])</f>
        <v>2026</v>
      </c>
      <c r="I1462" s="228">
        <f>ROUNDUP((MOD(MONTH(AVEU_Historical_Data__2[[#This Row],[Date]])+8,12)+1)/3,0)</f>
        <v>4</v>
      </c>
      <c r="J1462" s="228">
        <f>MONTH(AVEU_Historical_Data__2[[#This Row],[Date]])</f>
        <v>2</v>
      </c>
      <c r="K1462" s="228"/>
    </row>
    <row r="1463" spans="1:11" x14ac:dyDescent="0.25">
      <c r="A1463" s="227">
        <v>46072</v>
      </c>
      <c r="B1463" s="228">
        <v>3834.1</v>
      </c>
      <c r="C1463" s="228">
        <v>3915</v>
      </c>
      <c r="D1463" s="228">
        <v>3944</v>
      </c>
      <c r="E1463" s="228">
        <v>3821.2</v>
      </c>
      <c r="F1463">
        <v>286760</v>
      </c>
      <c r="G1463" s="228">
        <v>-2.07E-2</v>
      </c>
      <c r="H1463" s="228">
        <f>YEAR(AVEU_Historical_Data__2[[#This Row],[Date]])</f>
        <v>2026</v>
      </c>
      <c r="I1463" s="228">
        <f>ROUNDUP((MOD(MONTH(AVEU_Historical_Data__2[[#This Row],[Date]])+8,12)+1)/3,0)</f>
        <v>4</v>
      </c>
      <c r="J1463" s="228">
        <f>MONTH(AVEU_Historical_Data__2[[#This Row],[Date]])</f>
        <v>2</v>
      </c>
      <c r="K1463" s="228"/>
    </row>
    <row r="1464" spans="1:11" x14ac:dyDescent="0.25">
      <c r="A1464" s="227">
        <v>46073</v>
      </c>
      <c r="B1464" s="228">
        <v>3866.4</v>
      </c>
      <c r="C1464" s="228">
        <v>3848.4</v>
      </c>
      <c r="D1464" s="228">
        <v>3889.3</v>
      </c>
      <c r="E1464" s="228">
        <v>3825</v>
      </c>
      <c r="F1464">
        <v>194560</v>
      </c>
      <c r="G1464" s="228">
        <v>8.3999999999999995E-3</v>
      </c>
      <c r="H1464" s="228">
        <f>YEAR(AVEU_Historical_Data__2[[#This Row],[Date]])</f>
        <v>2026</v>
      </c>
      <c r="I1464" s="228">
        <f>ROUNDUP((MOD(MONTH(AVEU_Historical_Data__2[[#This Row],[Date]])+8,12)+1)/3,0)</f>
        <v>4</v>
      </c>
      <c r="J1464" s="228">
        <f>MONTH(AVEU_Historical_Data__2[[#This Row],[Date]])</f>
        <v>2</v>
      </c>
      <c r="K1464" s="228"/>
    </row>
    <row r="1465" spans="1:11" x14ac:dyDescent="0.25">
      <c r="A1465" s="227">
        <v>46076</v>
      </c>
      <c r="B1465" s="228">
        <v>3845.3</v>
      </c>
      <c r="C1465" s="228">
        <v>3889</v>
      </c>
      <c r="D1465" s="228">
        <v>3900</v>
      </c>
      <c r="E1465" s="228">
        <v>3810.3</v>
      </c>
      <c r="F1465">
        <v>438700</v>
      </c>
      <c r="G1465" s="228">
        <v>-5.4999999999999997E-3</v>
      </c>
      <c r="H1465" s="228">
        <f>YEAR(AVEU_Historical_Data__2[[#This Row],[Date]])</f>
        <v>2026</v>
      </c>
      <c r="I1465" s="228">
        <f>ROUNDUP((MOD(MONTH(AVEU_Historical_Data__2[[#This Row],[Date]])+8,12)+1)/3,0)</f>
        <v>4</v>
      </c>
      <c r="J1465" s="228">
        <f>MONTH(AVEU_Historical_Data__2[[#This Row],[Date]])</f>
        <v>2</v>
      </c>
      <c r="K1465" s="228"/>
    </row>
    <row r="1466" spans="1:11" x14ac:dyDescent="0.25">
      <c r="A1466" s="227">
        <v>46077</v>
      </c>
      <c r="B1466" s="228">
        <v>3849.3</v>
      </c>
      <c r="C1466" s="228">
        <v>3840</v>
      </c>
      <c r="D1466" s="228">
        <v>3862.3</v>
      </c>
      <c r="E1466" s="228">
        <v>3798.6</v>
      </c>
      <c r="F1466">
        <v>395320</v>
      </c>
      <c r="G1466" s="228">
        <v>1E-3</v>
      </c>
      <c r="H1466" s="228">
        <f>YEAR(AVEU_Historical_Data__2[[#This Row],[Date]])</f>
        <v>2026</v>
      </c>
      <c r="I1466" s="228">
        <f>ROUNDUP((MOD(MONTH(AVEU_Historical_Data__2[[#This Row],[Date]])+8,12)+1)/3,0)</f>
        <v>4</v>
      </c>
      <c r="J1466" s="228">
        <f>MONTH(AVEU_Historical_Data__2[[#This Row],[Date]])</f>
        <v>2</v>
      </c>
      <c r="K1466" s="228"/>
    </row>
    <row r="1467" spans="1:11" x14ac:dyDescent="0.25">
      <c r="A1467" s="227">
        <v>46078</v>
      </c>
      <c r="B1467" s="228">
        <v>3888.2</v>
      </c>
      <c r="C1467" s="228">
        <v>3880</v>
      </c>
      <c r="D1467" s="228">
        <v>3945.8</v>
      </c>
      <c r="E1467" s="228">
        <v>3857.8</v>
      </c>
      <c r="F1467">
        <v>325100</v>
      </c>
      <c r="G1467" s="228">
        <v>1.01E-2</v>
      </c>
      <c r="H1467" s="228">
        <f>YEAR(AVEU_Historical_Data__2[[#This Row],[Date]])</f>
        <v>2026</v>
      </c>
      <c r="I1467" s="228">
        <f>ROUNDUP((MOD(MONTH(AVEU_Historical_Data__2[[#This Row],[Date]])+8,12)+1)/3,0)</f>
        <v>4</v>
      </c>
      <c r="J1467" s="228">
        <f>MONTH(AVEU_Historical_Data__2[[#This Row],[Date]])</f>
        <v>2</v>
      </c>
      <c r="K1467" s="228"/>
    </row>
    <row r="1468" spans="1:11" x14ac:dyDescent="0.25">
      <c r="A1468" s="227">
        <v>46079</v>
      </c>
      <c r="B1468" s="228">
        <v>3865.6</v>
      </c>
      <c r="C1468" s="228">
        <v>3900</v>
      </c>
      <c r="D1468" s="228">
        <v>3900.6</v>
      </c>
      <c r="E1468" s="228">
        <v>3820</v>
      </c>
      <c r="F1468">
        <v>415200</v>
      </c>
      <c r="G1468" s="228">
        <v>-5.7999999999999996E-3</v>
      </c>
      <c r="H1468" s="228">
        <f>YEAR(AVEU_Historical_Data__2[[#This Row],[Date]])</f>
        <v>2026</v>
      </c>
      <c r="I1468" s="228">
        <f>ROUNDUP((MOD(MONTH(AVEU_Historical_Data__2[[#This Row],[Date]])+8,12)+1)/3,0)</f>
        <v>4</v>
      </c>
      <c r="J1468" s="228">
        <f>MONTH(AVEU_Historical_Data__2[[#This Row],[Date]])</f>
        <v>2</v>
      </c>
      <c r="K1468" s="228"/>
    </row>
    <row r="1469" spans="1:11" x14ac:dyDescent="0.25">
      <c r="A1469" s="227">
        <v>46080</v>
      </c>
      <c r="B1469" s="228">
        <v>3847.6</v>
      </c>
      <c r="C1469" s="228">
        <v>3880.2</v>
      </c>
      <c r="D1469" s="228">
        <v>3883</v>
      </c>
      <c r="E1469" s="228">
        <v>3804</v>
      </c>
      <c r="F1469">
        <v>478980</v>
      </c>
      <c r="G1469" s="228">
        <v>-4.7000000000000002E-3</v>
      </c>
      <c r="H1469" s="228">
        <f>YEAR(AVEU_Historical_Data__2[[#This Row],[Date]])</f>
        <v>2026</v>
      </c>
      <c r="I1469" s="228">
        <f>ROUNDUP((MOD(MONTH(AVEU_Historical_Data__2[[#This Row],[Date]])+8,12)+1)/3,0)</f>
        <v>4</v>
      </c>
      <c r="J1469" s="228">
        <f>MONTH(AVEU_Historical_Data__2[[#This Row],[Date]])</f>
        <v>2</v>
      </c>
      <c r="K1469" s="228"/>
    </row>
    <row r="1470" spans="1:11" x14ac:dyDescent="0.25">
      <c r="A1470" s="227">
        <v>46083</v>
      </c>
      <c r="B1470" s="228">
        <v>3802.5</v>
      </c>
      <c r="C1470" s="228">
        <v>3700</v>
      </c>
      <c r="D1470" s="228">
        <v>3833.1</v>
      </c>
      <c r="E1470" s="228">
        <v>3700</v>
      </c>
      <c r="F1470">
        <v>378340</v>
      </c>
      <c r="G1470" s="228">
        <v>-1.17E-2</v>
      </c>
      <c r="H1470" s="228">
        <f>YEAR(AVEU_Historical_Data__2[[#This Row],[Date]])</f>
        <v>2026</v>
      </c>
      <c r="I1470" s="228">
        <f>ROUNDUP((MOD(MONTH(AVEU_Historical_Data__2[[#This Row],[Date]])+8,12)+1)/3,0)</f>
        <v>4</v>
      </c>
      <c r="J1470" s="228">
        <f>MONTH(AVEU_Historical_Data__2[[#This Row],[Date]])</f>
        <v>3</v>
      </c>
      <c r="K1470" s="228"/>
    </row>
    <row r="1471" spans="1:11" x14ac:dyDescent="0.25">
      <c r="A1471" s="227">
        <v>46085</v>
      </c>
      <c r="B1471" s="228">
        <v>3760.9</v>
      </c>
      <c r="C1471" s="228">
        <v>3772.2</v>
      </c>
      <c r="D1471" s="228">
        <v>3795</v>
      </c>
      <c r="E1471" s="228">
        <v>3736</v>
      </c>
      <c r="F1471">
        <v>603970</v>
      </c>
      <c r="G1471" s="228">
        <v>-1.09E-2</v>
      </c>
      <c r="H1471" s="228">
        <f>YEAR(AVEU_Historical_Data__2[[#This Row],[Date]])</f>
        <v>2026</v>
      </c>
      <c r="I1471" s="228">
        <f>ROUNDUP((MOD(MONTH(AVEU_Historical_Data__2[[#This Row],[Date]])+8,12)+1)/3,0)</f>
        <v>4</v>
      </c>
      <c r="J1471" s="228">
        <f>MONTH(AVEU_Historical_Data__2[[#This Row],[Date]])</f>
        <v>3</v>
      </c>
      <c r="K1471" s="228"/>
    </row>
    <row r="1472" spans="1:11" x14ac:dyDescent="0.25">
      <c r="A1472" s="227">
        <v>46086</v>
      </c>
      <c r="B1472" s="228">
        <v>3835.4</v>
      </c>
      <c r="C1472" s="228">
        <v>3763</v>
      </c>
      <c r="D1472" s="228">
        <v>3853</v>
      </c>
      <c r="E1472" s="228">
        <v>3726.6</v>
      </c>
      <c r="F1472">
        <v>516200.00000000006</v>
      </c>
      <c r="G1472" s="228">
        <v>1.9800000000000002E-2</v>
      </c>
      <c r="H1472" s="228">
        <f>YEAR(AVEU_Historical_Data__2[[#This Row],[Date]])</f>
        <v>2026</v>
      </c>
      <c r="I1472" s="228">
        <f>ROUNDUP((MOD(MONTH(AVEU_Historical_Data__2[[#This Row],[Date]])+8,12)+1)/3,0)</f>
        <v>4</v>
      </c>
      <c r="J1472" s="228">
        <f>MONTH(AVEU_Historical_Data__2[[#This Row],[Date]])</f>
        <v>3</v>
      </c>
      <c r="K1472" s="228"/>
    </row>
    <row r="1473" spans="1:11" x14ac:dyDescent="0.25">
      <c r="A1473" s="227">
        <v>46087</v>
      </c>
      <c r="B1473" s="228">
        <v>3875.8</v>
      </c>
      <c r="C1473" s="228">
        <v>3825</v>
      </c>
      <c r="D1473" s="228">
        <v>3903.9</v>
      </c>
      <c r="E1473" s="228">
        <v>3825</v>
      </c>
      <c r="F1473">
        <v>224910</v>
      </c>
      <c r="G1473" s="228">
        <v>1.0500000000000001E-2</v>
      </c>
      <c r="H1473" s="228">
        <f>YEAR(AVEU_Historical_Data__2[[#This Row],[Date]])</f>
        <v>2026</v>
      </c>
      <c r="I1473" s="228">
        <f>ROUNDUP((MOD(MONTH(AVEU_Historical_Data__2[[#This Row],[Date]])+8,12)+1)/3,0)</f>
        <v>4</v>
      </c>
      <c r="J1473" s="228">
        <f>MONTH(AVEU_Historical_Data__2[[#This Row],[Date]])</f>
        <v>3</v>
      </c>
      <c r="K1473" s="228"/>
    </row>
    <row r="1474" spans="1:11" x14ac:dyDescent="0.25">
      <c r="A1474" s="227">
        <v>46090</v>
      </c>
      <c r="B1474" s="228">
        <v>3966.2</v>
      </c>
      <c r="C1474" s="228">
        <v>3866.9</v>
      </c>
      <c r="D1474" s="228">
        <v>3982</v>
      </c>
      <c r="E1474" s="228">
        <v>3814.5</v>
      </c>
      <c r="F1474">
        <v>933620</v>
      </c>
      <c r="G1474" s="228">
        <v>2.3300000000000001E-2</v>
      </c>
      <c r="H1474" s="228">
        <f>YEAR(AVEU_Historical_Data__2[[#This Row],[Date]])</f>
        <v>2026</v>
      </c>
      <c r="I1474" s="228">
        <f>ROUNDUP((MOD(MONTH(AVEU_Historical_Data__2[[#This Row],[Date]])+8,12)+1)/3,0)</f>
        <v>4</v>
      </c>
      <c r="J1474" s="228">
        <f>MONTH(AVEU_Historical_Data__2[[#This Row],[Date]])</f>
        <v>3</v>
      </c>
      <c r="K1474" s="228"/>
    </row>
    <row r="1475" spans="1:11" x14ac:dyDescent="0.25">
      <c r="A1475" s="227">
        <v>46091</v>
      </c>
      <c r="B1475" s="228">
        <v>3946.8</v>
      </c>
      <c r="C1475" s="228">
        <v>3993</v>
      </c>
      <c r="D1475" s="228">
        <v>4000</v>
      </c>
      <c r="E1475" s="228">
        <v>3916.9</v>
      </c>
      <c r="F1475">
        <v>320410</v>
      </c>
      <c r="G1475" s="228">
        <v>-4.8999999999999998E-3</v>
      </c>
      <c r="H1475" s="228">
        <f>YEAR(AVEU_Historical_Data__2[[#This Row],[Date]])</f>
        <v>2026</v>
      </c>
      <c r="I1475" s="228">
        <f>ROUNDUP((MOD(MONTH(AVEU_Historical_Data__2[[#This Row],[Date]])+8,12)+1)/3,0)</f>
        <v>4</v>
      </c>
      <c r="J1475" s="228">
        <f>MONTH(AVEU_Historical_Data__2[[#This Row],[Date]])</f>
        <v>3</v>
      </c>
      <c r="K1475" s="228"/>
    </row>
    <row r="1476" spans="1:11" x14ac:dyDescent="0.25">
      <c r="A1476" s="227">
        <v>46092</v>
      </c>
      <c r="B1476" s="228">
        <v>3944.8</v>
      </c>
      <c r="C1476" s="228">
        <v>3946.8</v>
      </c>
      <c r="D1476" s="228">
        <v>3992</v>
      </c>
      <c r="E1476" s="228">
        <v>3908.1</v>
      </c>
      <c r="F1476">
        <v>380920</v>
      </c>
      <c r="G1476" s="228">
        <v>-5.0000000000000001E-4</v>
      </c>
      <c r="H1476" s="228">
        <f>YEAR(AVEU_Historical_Data__2[[#This Row],[Date]])</f>
        <v>2026</v>
      </c>
      <c r="I1476" s="228">
        <f>ROUNDUP((MOD(MONTH(AVEU_Historical_Data__2[[#This Row],[Date]])+8,12)+1)/3,0)</f>
        <v>4</v>
      </c>
      <c r="J1476" s="228">
        <f>MONTH(AVEU_Historical_Data__2[[#This Row],[Date]])</f>
        <v>3</v>
      </c>
      <c r="K1476" s="228"/>
    </row>
    <row r="1477" spans="1:11" x14ac:dyDescent="0.25">
      <c r="A1477" s="227">
        <v>46093</v>
      </c>
      <c r="B1477" s="228">
        <v>3953.6</v>
      </c>
      <c r="C1477" s="228">
        <v>3928.2</v>
      </c>
      <c r="D1477" s="228">
        <v>3975</v>
      </c>
      <c r="E1477" s="228">
        <v>3856.2</v>
      </c>
      <c r="F1477">
        <v>352800</v>
      </c>
      <c r="G1477" s="228">
        <v>2.2000000000000001E-3</v>
      </c>
      <c r="H1477" s="228">
        <f>YEAR(AVEU_Historical_Data__2[[#This Row],[Date]])</f>
        <v>2026</v>
      </c>
      <c r="I1477" s="228">
        <f>ROUNDUP((MOD(MONTH(AVEU_Historical_Data__2[[#This Row],[Date]])+8,12)+1)/3,0)</f>
        <v>4</v>
      </c>
      <c r="J1477" s="228">
        <f>MONTH(AVEU_Historical_Data__2[[#This Row],[Date]])</f>
        <v>3</v>
      </c>
      <c r="K1477" s="228"/>
    </row>
    <row r="1478" spans="1:11" x14ac:dyDescent="0.25">
      <c r="A1478" s="227">
        <v>46094</v>
      </c>
      <c r="B1478" s="228">
        <v>3834.3</v>
      </c>
      <c r="C1478" s="228">
        <v>3945</v>
      </c>
      <c r="D1478" s="228">
        <v>4056</v>
      </c>
      <c r="E1478" s="228">
        <v>3825</v>
      </c>
      <c r="F1478">
        <v>913590</v>
      </c>
      <c r="G1478" s="228">
        <v>-3.0200000000000001E-2</v>
      </c>
      <c r="H1478" s="228">
        <f>YEAR(AVEU_Historical_Data__2[[#This Row],[Date]])</f>
        <v>2026</v>
      </c>
      <c r="I1478" s="228">
        <f>ROUNDUP((MOD(MONTH(AVEU_Historical_Data__2[[#This Row],[Date]])+8,12)+1)/3,0)</f>
        <v>4</v>
      </c>
      <c r="J1478" s="228">
        <f>MONTH(AVEU_Historical_Data__2[[#This Row],[Date]])</f>
        <v>3</v>
      </c>
      <c r="K1478" s="228"/>
    </row>
    <row r="1479" spans="1:11" x14ac:dyDescent="0.25">
      <c r="A1479" s="227">
        <v>46097</v>
      </c>
      <c r="B1479" s="228">
        <v>3817.9</v>
      </c>
      <c r="C1479" s="228">
        <v>3824.3</v>
      </c>
      <c r="D1479" s="228">
        <v>3834.8</v>
      </c>
      <c r="E1479" s="228">
        <v>3736.1</v>
      </c>
      <c r="F1479">
        <v>401350</v>
      </c>
      <c r="G1479" s="228">
        <v>-4.3E-3</v>
      </c>
      <c r="H1479" s="228">
        <f>YEAR(AVEU_Historical_Data__2[[#This Row],[Date]])</f>
        <v>2026</v>
      </c>
      <c r="I1479" s="228">
        <f>ROUNDUP((MOD(MONTH(AVEU_Historical_Data__2[[#This Row],[Date]])+8,12)+1)/3,0)</f>
        <v>4</v>
      </c>
      <c r="J1479" s="228">
        <f>MONTH(AVEU_Historical_Data__2[[#This Row],[Date]])</f>
        <v>3</v>
      </c>
      <c r="K1479" s="228"/>
    </row>
    <row r="1480" spans="1:11" x14ac:dyDescent="0.25">
      <c r="A1480" s="227">
        <v>46098</v>
      </c>
      <c r="B1480" s="228">
        <v>3781.4</v>
      </c>
      <c r="C1480" s="228">
        <v>3827.8</v>
      </c>
      <c r="D1480" s="228">
        <v>3853</v>
      </c>
      <c r="E1480" s="228">
        <v>3775</v>
      </c>
      <c r="F1480">
        <v>229560</v>
      </c>
      <c r="G1480" s="228">
        <v>-9.5999999999999992E-3</v>
      </c>
      <c r="H1480" s="228">
        <f>YEAR(AVEU_Historical_Data__2[[#This Row],[Date]])</f>
        <v>2026</v>
      </c>
      <c r="I1480" s="228">
        <f>ROUNDUP((MOD(MONTH(AVEU_Historical_Data__2[[#This Row],[Date]])+8,12)+1)/3,0)</f>
        <v>4</v>
      </c>
      <c r="J1480" s="228">
        <f>MONTH(AVEU_Historical_Data__2[[#This Row],[Date]])</f>
        <v>3</v>
      </c>
      <c r="K1480" s="228"/>
    </row>
    <row r="1481" spans="1:11" x14ac:dyDescent="0.25">
      <c r="A1481" s="227">
        <v>46099</v>
      </c>
      <c r="B1481" s="228">
        <v>3844</v>
      </c>
      <c r="C1481" s="228">
        <v>3800</v>
      </c>
      <c r="D1481" s="228">
        <v>3905.3</v>
      </c>
      <c r="E1481" s="228">
        <v>3790.3</v>
      </c>
      <c r="F1481">
        <v>340770</v>
      </c>
      <c r="G1481" s="228">
        <v>1.66E-2</v>
      </c>
      <c r="H1481" s="228">
        <f>YEAR(AVEU_Historical_Data__2[[#This Row],[Date]])</f>
        <v>2026</v>
      </c>
      <c r="I1481" s="228">
        <f>ROUNDUP((MOD(MONTH(AVEU_Historical_Data__2[[#This Row],[Date]])+8,12)+1)/3,0)</f>
        <v>4</v>
      </c>
      <c r="J1481" s="228">
        <f>MONTH(AVEU_Historical_Data__2[[#This Row],[Date]])</f>
        <v>3</v>
      </c>
      <c r="K1481" s="228"/>
    </row>
    <row r="1482" spans="1:11" x14ac:dyDescent="0.25">
      <c r="A1482" s="227">
        <v>46100</v>
      </c>
      <c r="B1482" s="228">
        <v>3808.2</v>
      </c>
      <c r="C1482" s="228">
        <v>3801</v>
      </c>
      <c r="D1482" s="228">
        <v>3872.6</v>
      </c>
      <c r="E1482" s="228">
        <v>3771</v>
      </c>
      <c r="F1482">
        <v>426310</v>
      </c>
      <c r="G1482" s="228">
        <v>-9.2999999999999992E-3</v>
      </c>
      <c r="H1482" s="228">
        <f>YEAR(AVEU_Historical_Data__2[[#This Row],[Date]])</f>
        <v>2026</v>
      </c>
      <c r="I1482" s="228">
        <f>ROUNDUP((MOD(MONTH(AVEU_Historical_Data__2[[#This Row],[Date]])+8,12)+1)/3,0)</f>
        <v>4</v>
      </c>
      <c r="J1482" s="228">
        <f>MONTH(AVEU_Historical_Data__2[[#This Row],[Date]])</f>
        <v>3</v>
      </c>
      <c r="K1482" s="228"/>
    </row>
    <row r="1483" spans="1:11" x14ac:dyDescent="0.25">
      <c r="A1483" s="227">
        <v>46101</v>
      </c>
      <c r="B1483" s="228">
        <v>3770.8</v>
      </c>
      <c r="C1483" s="228">
        <v>3822.1</v>
      </c>
      <c r="D1483" s="228">
        <v>3848</v>
      </c>
      <c r="E1483" s="228">
        <v>3748.7</v>
      </c>
      <c r="F1483">
        <v>386080</v>
      </c>
      <c r="G1483" s="228">
        <v>-9.7999999999999997E-3</v>
      </c>
      <c r="H1483" s="228">
        <f>YEAR(AVEU_Historical_Data__2[[#This Row],[Date]])</f>
        <v>2026</v>
      </c>
      <c r="I1483" s="228">
        <f>ROUNDUP((MOD(MONTH(AVEU_Historical_Data__2[[#This Row],[Date]])+8,12)+1)/3,0)</f>
        <v>4</v>
      </c>
      <c r="J1483" s="228">
        <f>MONTH(AVEU_Historical_Data__2[[#This Row],[Date]])</f>
        <v>3</v>
      </c>
      <c r="K1483" s="228"/>
    </row>
    <row r="1484" spans="1:11" x14ac:dyDescent="0.25">
      <c r="A1484" s="227">
        <v>46104</v>
      </c>
      <c r="B1484" s="228">
        <v>3655.6</v>
      </c>
      <c r="C1484" s="228">
        <v>3750</v>
      </c>
      <c r="D1484" s="228">
        <v>3752</v>
      </c>
      <c r="E1484" s="228">
        <v>3630</v>
      </c>
      <c r="F1484">
        <v>296380</v>
      </c>
      <c r="G1484" s="228">
        <v>-3.0599999999999999E-2</v>
      </c>
      <c r="H1484" s="228">
        <f>YEAR(AVEU_Historical_Data__2[[#This Row],[Date]])</f>
        <v>2026</v>
      </c>
      <c r="I1484" s="228">
        <f>ROUNDUP((MOD(MONTH(AVEU_Historical_Data__2[[#This Row],[Date]])+8,12)+1)/3,0)</f>
        <v>4</v>
      </c>
      <c r="J1484" s="228">
        <f>MONTH(AVEU_Historical_Data__2[[#This Row],[Date]])</f>
        <v>3</v>
      </c>
      <c r="K1484" s="228"/>
    </row>
    <row r="1485" spans="1:11" x14ac:dyDescent="0.25">
      <c r="A1485" s="227">
        <v>46105</v>
      </c>
      <c r="B1485" s="228">
        <v>3756.5</v>
      </c>
      <c r="C1485" s="228">
        <v>3730</v>
      </c>
      <c r="D1485" s="228">
        <v>3820.5</v>
      </c>
      <c r="E1485" s="228">
        <v>3685.1</v>
      </c>
      <c r="F1485">
        <v>416890</v>
      </c>
      <c r="G1485" s="228">
        <v>2.76E-2</v>
      </c>
      <c r="H1485" s="228">
        <f>YEAR(AVEU_Historical_Data__2[[#This Row],[Date]])</f>
        <v>2026</v>
      </c>
      <c r="I1485" s="228">
        <f>ROUNDUP((MOD(MONTH(AVEU_Historical_Data__2[[#This Row],[Date]])+8,12)+1)/3,0)</f>
        <v>4</v>
      </c>
      <c r="J1485" s="228">
        <f>MONTH(AVEU_Historical_Data__2[[#This Row],[Date]])</f>
        <v>3</v>
      </c>
      <c r="K1485" s="228"/>
    </row>
    <row r="1486" spans="1:11" x14ac:dyDescent="0.25">
      <c r="A1486" s="227">
        <v>46106</v>
      </c>
      <c r="B1486" s="228">
        <v>3910.8</v>
      </c>
      <c r="C1486" s="228">
        <v>3780</v>
      </c>
      <c r="D1486" s="228">
        <v>3939</v>
      </c>
      <c r="E1486" s="228">
        <v>3761</v>
      </c>
      <c r="F1486">
        <v>1340000</v>
      </c>
      <c r="G1486" s="228">
        <v>4.1099999999999998E-2</v>
      </c>
      <c r="H1486" s="228">
        <f>YEAR(AVEU_Historical_Data__2[[#This Row],[Date]])</f>
        <v>2026</v>
      </c>
      <c r="I1486" s="228">
        <f>ROUNDUP((MOD(MONTH(AVEU_Historical_Data__2[[#This Row],[Date]])+8,12)+1)/3,0)</f>
        <v>4</v>
      </c>
      <c r="J1486" s="228">
        <f>MONTH(AVEU_Historical_Data__2[[#This Row],[Date]])</f>
        <v>3</v>
      </c>
      <c r="K1486" s="228"/>
    </row>
    <row r="1487" spans="1:11" x14ac:dyDescent="0.25">
      <c r="A1487" s="227">
        <v>46108</v>
      </c>
      <c r="B1487" s="228">
        <v>3903.2</v>
      </c>
      <c r="C1487" s="228">
        <v>3900</v>
      </c>
      <c r="D1487" s="228">
        <v>3940</v>
      </c>
      <c r="E1487" s="228">
        <v>3865.5</v>
      </c>
      <c r="F1487">
        <v>1550000</v>
      </c>
      <c r="G1487" s="228">
        <v>-1.9E-3</v>
      </c>
      <c r="H1487" s="228">
        <f>YEAR(AVEU_Historical_Data__2[[#This Row],[Date]])</f>
        <v>2026</v>
      </c>
      <c r="I1487" s="228">
        <f>ROUNDUP((MOD(MONTH(AVEU_Historical_Data__2[[#This Row],[Date]])+8,12)+1)/3,0)</f>
        <v>4</v>
      </c>
      <c r="J1487" s="228">
        <f>MONTH(AVEU_Historical_Data__2[[#This Row],[Date]])</f>
        <v>3</v>
      </c>
      <c r="K1487" s="228"/>
    </row>
    <row r="1488" spans="1:11" x14ac:dyDescent="0.25">
      <c r="A1488" s="227">
        <v>46111</v>
      </c>
      <c r="B1488" s="228">
        <v>3956.8</v>
      </c>
      <c r="C1488" s="228">
        <v>3897.6</v>
      </c>
      <c r="D1488" s="228">
        <v>4015</v>
      </c>
      <c r="E1488" s="228">
        <v>3877</v>
      </c>
      <c r="F1488">
        <v>1740000</v>
      </c>
      <c r="G1488" s="228">
        <v>1.37E-2</v>
      </c>
      <c r="H1488" s="228">
        <f>YEAR(AVEU_Historical_Data__2[[#This Row],[Date]])</f>
        <v>2026</v>
      </c>
      <c r="I1488" s="228">
        <f>ROUNDUP((MOD(MONTH(AVEU_Historical_Data__2[[#This Row],[Date]])+8,12)+1)/3,0)</f>
        <v>4</v>
      </c>
      <c r="J1488" s="228">
        <f>MONTH(AVEU_Historical_Data__2[[#This Row],[Date]])</f>
        <v>3</v>
      </c>
      <c r="K1488" s="228"/>
    </row>
    <row r="1489" spans="1:11" x14ac:dyDescent="0.25">
      <c r="A1489" s="227">
        <v>46113</v>
      </c>
      <c r="B1489" s="228">
        <v>4271.1000000000004</v>
      </c>
      <c r="C1489" s="228">
        <v>4075</v>
      </c>
      <c r="D1489" s="228">
        <v>4294.8</v>
      </c>
      <c r="E1489" s="228">
        <v>4066.1</v>
      </c>
      <c r="F1489">
        <v>2710000</v>
      </c>
      <c r="G1489" s="228">
        <v>7.9399999999999998E-2</v>
      </c>
      <c r="H1489" s="228">
        <f>YEAR(AVEU_Historical_Data__2[[#This Row],[Date]])</f>
        <v>2026</v>
      </c>
      <c r="I1489" s="228">
        <f>ROUNDUP((MOD(MONTH(AVEU_Historical_Data__2[[#This Row],[Date]])+8,12)+1)/3,0)</f>
        <v>1</v>
      </c>
      <c r="J1489" s="228">
        <f>MONTH(AVEU_Historical_Data__2[[#This Row],[Date]])</f>
        <v>4</v>
      </c>
      <c r="K1489" s="228"/>
    </row>
    <row r="1490" spans="1:11" x14ac:dyDescent="0.25">
      <c r="A1490" s="227">
        <v>46114</v>
      </c>
      <c r="B1490" s="228">
        <v>4362.3999999999996</v>
      </c>
      <c r="C1490" s="228">
        <v>4228.3999999999996</v>
      </c>
      <c r="D1490" s="228">
        <v>4393.7</v>
      </c>
      <c r="E1490" s="228">
        <v>4190.3</v>
      </c>
      <c r="F1490">
        <v>1580000</v>
      </c>
      <c r="G1490" s="228">
        <v>2.1399999999999999E-2</v>
      </c>
      <c r="H1490" s="228">
        <f>YEAR(AVEU_Historical_Data__2[[#This Row],[Date]])</f>
        <v>2026</v>
      </c>
      <c r="I1490" s="228">
        <f>ROUNDUP((MOD(MONTH(AVEU_Historical_Data__2[[#This Row],[Date]])+8,12)+1)/3,0)</f>
        <v>1</v>
      </c>
      <c r="J1490" s="228">
        <f>MONTH(AVEU_Historical_Data__2[[#This Row],[Date]])</f>
        <v>4</v>
      </c>
      <c r="K1490" s="228"/>
    </row>
    <row r="1491" spans="1:11" x14ac:dyDescent="0.25">
      <c r="A1491" s="227">
        <v>46118</v>
      </c>
      <c r="B1491" s="228">
        <v>4551.3</v>
      </c>
      <c r="C1491" s="228">
        <v>4450</v>
      </c>
      <c r="D1491" s="228">
        <v>4562.6000000000004</v>
      </c>
      <c r="E1491" s="228">
        <v>4353.1000000000004</v>
      </c>
      <c r="F1491">
        <v>1920000</v>
      </c>
      <c r="G1491" s="228">
        <v>4.3299999999999998E-2</v>
      </c>
      <c r="H1491" s="228">
        <f>YEAR(AVEU_Historical_Data__2[[#This Row],[Date]])</f>
        <v>2026</v>
      </c>
      <c r="I1491" s="228">
        <f>ROUNDUP((MOD(MONTH(AVEU_Historical_Data__2[[#This Row],[Date]])+8,12)+1)/3,0)</f>
        <v>1</v>
      </c>
      <c r="J1491" s="228">
        <f>MONTH(AVEU_Historical_Data__2[[#This Row],[Date]])</f>
        <v>4</v>
      </c>
      <c r="K1491" s="228"/>
    </row>
    <row r="1492" spans="1:11" x14ac:dyDescent="0.25">
      <c r="A1492" s="227">
        <v>46119</v>
      </c>
      <c r="B1492" s="228">
        <v>4466</v>
      </c>
      <c r="C1492" s="228">
        <v>4485.7</v>
      </c>
      <c r="D1492" s="228">
        <v>4558.8</v>
      </c>
      <c r="E1492" s="228">
        <v>4453.1000000000004</v>
      </c>
      <c r="F1492">
        <v>601590</v>
      </c>
      <c r="G1492" s="228">
        <v>-1.8700000000000001E-2</v>
      </c>
      <c r="H1492" s="228">
        <f>YEAR(AVEU_Historical_Data__2[[#This Row],[Date]])</f>
        <v>2026</v>
      </c>
      <c r="I1492" s="228">
        <f>ROUNDUP((MOD(MONTH(AVEU_Historical_Data__2[[#This Row],[Date]])+8,12)+1)/3,0)</f>
        <v>1</v>
      </c>
      <c r="J1492" s="228">
        <f>MONTH(AVEU_Historical_Data__2[[#This Row],[Date]])</f>
        <v>4</v>
      </c>
      <c r="K1492" s="228"/>
    </row>
    <row r="1493" spans="1:11" x14ac:dyDescent="0.25">
      <c r="A1493" s="227">
        <v>46120</v>
      </c>
      <c r="B1493" s="228">
        <v>4368.8</v>
      </c>
      <c r="C1493" s="228">
        <v>4521.3</v>
      </c>
      <c r="D1493" s="228">
        <v>4538.5</v>
      </c>
      <c r="E1493" s="228">
        <v>4355</v>
      </c>
      <c r="F1493">
        <v>1090000</v>
      </c>
      <c r="G1493" s="228">
        <v>-2.18E-2</v>
      </c>
      <c r="H1493" s="228">
        <f>YEAR(AVEU_Historical_Data__2[[#This Row],[Date]])</f>
        <v>2026</v>
      </c>
      <c r="I1493" s="228">
        <f>ROUNDUP((MOD(MONTH(AVEU_Historical_Data__2[[#This Row],[Date]])+8,12)+1)/3,0)</f>
        <v>1</v>
      </c>
      <c r="J1493" s="228">
        <f>MONTH(AVEU_Historical_Data__2[[#This Row],[Date]])</f>
        <v>4</v>
      </c>
      <c r="K1493" s="228"/>
    </row>
    <row r="1494" spans="1:11" x14ac:dyDescent="0.25">
      <c r="A1494" s="227">
        <v>46121</v>
      </c>
      <c r="B1494" s="228">
        <v>4415.6000000000004</v>
      </c>
      <c r="C1494" s="228">
        <v>4351</v>
      </c>
      <c r="D1494" s="228">
        <v>4430</v>
      </c>
      <c r="E1494" s="228">
        <v>4322.3</v>
      </c>
      <c r="F1494">
        <v>549710</v>
      </c>
      <c r="G1494" s="228">
        <v>1.0699999999999999E-2</v>
      </c>
      <c r="H1494" s="228">
        <f>YEAR(AVEU_Historical_Data__2[[#This Row],[Date]])</f>
        <v>2026</v>
      </c>
      <c r="I1494" s="228">
        <f>ROUNDUP((MOD(MONTH(AVEU_Historical_Data__2[[#This Row],[Date]])+8,12)+1)/3,0)</f>
        <v>1</v>
      </c>
      <c r="J1494" s="228">
        <f>MONTH(AVEU_Historical_Data__2[[#This Row],[Date]])</f>
        <v>4</v>
      </c>
      <c r="K1494" s="228"/>
    </row>
    <row r="1495" spans="1:11" x14ac:dyDescent="0.25">
      <c r="A1495" s="227">
        <v>46122</v>
      </c>
      <c r="B1495" s="228">
        <v>4400.6000000000004</v>
      </c>
      <c r="C1495" s="228">
        <v>4415.6000000000004</v>
      </c>
      <c r="D1495" s="228">
        <v>4437.1000000000004</v>
      </c>
      <c r="E1495" s="228">
        <v>4348.3</v>
      </c>
      <c r="F1495">
        <v>441930</v>
      </c>
      <c r="G1495" s="228">
        <v>-3.3999999999999998E-3</v>
      </c>
      <c r="H1495" s="228">
        <f>YEAR(AVEU_Historical_Data__2[[#This Row],[Date]])</f>
        <v>2026</v>
      </c>
      <c r="I1495" s="228">
        <f>ROUNDUP((MOD(MONTH(AVEU_Historical_Data__2[[#This Row],[Date]])+8,12)+1)/3,0)</f>
        <v>1</v>
      </c>
      <c r="J1495" s="228">
        <f>MONTH(AVEU_Historical_Data__2[[#This Row],[Date]])</f>
        <v>4</v>
      </c>
      <c r="K1495" s="228"/>
    </row>
    <row r="1496" spans="1:11" x14ac:dyDescent="0.25">
      <c r="A1496" s="227">
        <v>46125</v>
      </c>
      <c r="B1496" s="228">
        <v>4448</v>
      </c>
      <c r="C1496" s="228">
        <v>4300</v>
      </c>
      <c r="D1496" s="228">
        <v>4477.2</v>
      </c>
      <c r="E1496" s="228">
        <v>4284.2</v>
      </c>
      <c r="F1496">
        <v>874890</v>
      </c>
      <c r="G1496" s="228">
        <v>1.0800000000000001E-2</v>
      </c>
      <c r="H1496" s="228">
        <f>YEAR(AVEU_Historical_Data__2[[#This Row],[Date]])</f>
        <v>2026</v>
      </c>
      <c r="I1496" s="228">
        <f>ROUNDUP((MOD(MONTH(AVEU_Historical_Data__2[[#This Row],[Date]])+8,12)+1)/3,0)</f>
        <v>1</v>
      </c>
      <c r="J1496" s="228">
        <f>MONTH(AVEU_Historical_Data__2[[#This Row],[Date]])</f>
        <v>4</v>
      </c>
      <c r="K1496" s="228"/>
    </row>
    <row r="1497" spans="1:11" x14ac:dyDescent="0.25">
      <c r="A1497" s="227">
        <v>46127</v>
      </c>
      <c r="B1497" s="228">
        <v>4473.3</v>
      </c>
      <c r="C1497" s="228">
        <v>4500</v>
      </c>
      <c r="D1497" s="228">
        <v>4509.6000000000004</v>
      </c>
      <c r="E1497" s="228">
        <v>4368</v>
      </c>
      <c r="F1497">
        <v>846590</v>
      </c>
      <c r="G1497" s="228">
        <v>5.7000000000000002E-3</v>
      </c>
      <c r="H1497" s="228">
        <f>YEAR(AVEU_Historical_Data__2[[#This Row],[Date]])</f>
        <v>2026</v>
      </c>
      <c r="I1497" s="228">
        <f>ROUNDUP((MOD(MONTH(AVEU_Historical_Data__2[[#This Row],[Date]])+8,12)+1)/3,0)</f>
        <v>1</v>
      </c>
      <c r="J1497" s="228">
        <f>MONTH(AVEU_Historical_Data__2[[#This Row],[Date]])</f>
        <v>4</v>
      </c>
      <c r="K1497" s="228"/>
    </row>
    <row r="1498" spans="1:11" x14ac:dyDescent="0.25">
      <c r="A1498" s="227">
        <v>46128</v>
      </c>
      <c r="B1498" s="228">
        <v>4428.3</v>
      </c>
      <c r="C1498" s="228">
        <v>4496.1000000000004</v>
      </c>
      <c r="D1498" s="228">
        <v>4506.8999999999996</v>
      </c>
      <c r="E1498" s="228">
        <v>4386</v>
      </c>
      <c r="F1498">
        <v>342140</v>
      </c>
      <c r="G1498" s="228">
        <v>-1.01E-2</v>
      </c>
      <c r="H1498" s="228">
        <f>YEAR(AVEU_Historical_Data__2[[#This Row],[Date]])</f>
        <v>2026</v>
      </c>
      <c r="I1498" s="228">
        <f>ROUNDUP((MOD(MONTH(AVEU_Historical_Data__2[[#This Row],[Date]])+8,12)+1)/3,0)</f>
        <v>1</v>
      </c>
      <c r="J1498" s="228">
        <f>MONTH(AVEU_Historical_Data__2[[#This Row],[Date]])</f>
        <v>4</v>
      </c>
      <c r="K1498" s="228"/>
    </row>
    <row r="1499" spans="1:11" x14ac:dyDescent="0.25">
      <c r="A1499" s="227">
        <v>46129</v>
      </c>
      <c r="B1499" s="228">
        <v>4628.5</v>
      </c>
      <c r="C1499" s="228">
        <v>4446</v>
      </c>
      <c r="D1499" s="228">
        <v>4644</v>
      </c>
      <c r="E1499" s="228">
        <v>4435.1000000000004</v>
      </c>
      <c r="F1499">
        <v>1370000</v>
      </c>
      <c r="G1499" s="228">
        <v>4.5199999999999997E-2</v>
      </c>
      <c r="H1499" s="228">
        <f>YEAR(AVEU_Historical_Data__2[[#This Row],[Date]])</f>
        <v>2026</v>
      </c>
      <c r="I1499" s="228">
        <f>ROUNDUP((MOD(MONTH(AVEU_Historical_Data__2[[#This Row],[Date]])+8,12)+1)/3,0)</f>
        <v>1</v>
      </c>
      <c r="J1499" s="228">
        <f>MONTH(AVEU_Historical_Data__2[[#This Row],[Date]])</f>
        <v>4</v>
      </c>
      <c r="K1499" s="228"/>
    </row>
    <row r="1500" spans="1:11" x14ac:dyDescent="0.25">
      <c r="A1500" s="227">
        <v>46132</v>
      </c>
      <c r="B1500" s="228">
        <v>4605.2</v>
      </c>
      <c r="C1500" s="228">
        <v>4629.8999999999996</v>
      </c>
      <c r="D1500" s="228">
        <v>4634.3</v>
      </c>
      <c r="E1500" s="228">
        <v>4550.6000000000004</v>
      </c>
      <c r="F1500">
        <v>521890</v>
      </c>
      <c r="G1500" s="228">
        <v>-5.0000000000000001E-3</v>
      </c>
      <c r="H1500" s="228">
        <f>YEAR(AVEU_Historical_Data__2[[#This Row],[Date]])</f>
        <v>2026</v>
      </c>
      <c r="I1500" s="228">
        <f>ROUNDUP((MOD(MONTH(AVEU_Historical_Data__2[[#This Row],[Date]])+8,12)+1)/3,0)</f>
        <v>1</v>
      </c>
      <c r="J1500" s="228">
        <f>MONTH(AVEU_Historical_Data__2[[#This Row],[Date]])</f>
        <v>4</v>
      </c>
      <c r="K1500" s="228"/>
    </row>
    <row r="1501" spans="1:11" x14ac:dyDescent="0.25">
      <c r="A1501" s="227">
        <v>46133</v>
      </c>
      <c r="B1501" s="228">
        <v>4589.3999999999996</v>
      </c>
      <c r="C1501" s="228">
        <v>4605.2</v>
      </c>
      <c r="D1501" s="228">
        <v>4627.3</v>
      </c>
      <c r="E1501" s="228">
        <v>4550</v>
      </c>
      <c r="F1501">
        <v>411470</v>
      </c>
      <c r="G1501" s="228">
        <v>-3.3999999999999998E-3</v>
      </c>
      <c r="H1501" s="228">
        <f>YEAR(AVEU_Historical_Data__2[[#This Row],[Date]])</f>
        <v>2026</v>
      </c>
      <c r="I1501" s="228">
        <f>ROUNDUP((MOD(MONTH(AVEU_Historical_Data__2[[#This Row],[Date]])+8,12)+1)/3,0)</f>
        <v>1</v>
      </c>
      <c r="J1501" s="228">
        <f>MONTH(AVEU_Historical_Data__2[[#This Row],[Date]])</f>
        <v>4</v>
      </c>
      <c r="K1501" s="228"/>
    </row>
    <row r="1502" spans="1:11" x14ac:dyDescent="0.25">
      <c r="A1502" s="227">
        <v>46134</v>
      </c>
      <c r="B1502" s="228">
        <v>4594.8</v>
      </c>
      <c r="C1502" s="228">
        <v>4589.2</v>
      </c>
      <c r="D1502" s="228">
        <v>4628.8999999999996</v>
      </c>
      <c r="E1502" s="228">
        <v>4532.1000000000004</v>
      </c>
      <c r="F1502">
        <v>325450</v>
      </c>
      <c r="G1502" s="228">
        <v>1.1999999999999999E-3</v>
      </c>
      <c r="H1502" s="228">
        <f>YEAR(AVEU_Historical_Data__2[[#This Row],[Date]])</f>
        <v>2026</v>
      </c>
      <c r="I1502" s="228">
        <f>ROUNDUP((MOD(MONTH(AVEU_Historical_Data__2[[#This Row],[Date]])+8,12)+1)/3,0)</f>
        <v>1</v>
      </c>
      <c r="J1502" s="228">
        <f>MONTH(AVEU_Historical_Data__2[[#This Row],[Date]])</f>
        <v>4</v>
      </c>
      <c r="K1502" s="228"/>
    </row>
    <row r="1503" spans="1:11" x14ac:dyDescent="0.25">
      <c r="A1503" s="227">
        <v>46135</v>
      </c>
      <c r="B1503" s="228">
        <v>4521.2</v>
      </c>
      <c r="C1503" s="228">
        <v>4590</v>
      </c>
      <c r="D1503" s="228">
        <v>4595</v>
      </c>
      <c r="E1503" s="228">
        <v>4512.2</v>
      </c>
      <c r="F1503">
        <v>256269.99999999997</v>
      </c>
      <c r="G1503" s="228">
        <v>-1.6E-2</v>
      </c>
      <c r="H1503" s="228">
        <f>YEAR(AVEU_Historical_Data__2[[#This Row],[Date]])</f>
        <v>2026</v>
      </c>
      <c r="I1503" s="228">
        <f>ROUNDUP((MOD(MONTH(AVEU_Historical_Data__2[[#This Row],[Date]])+8,12)+1)/3,0)</f>
        <v>1</v>
      </c>
      <c r="J1503" s="228">
        <f>MONTH(AVEU_Historical_Data__2[[#This Row],[Date]])</f>
        <v>4</v>
      </c>
      <c r="K1503" s="228"/>
    </row>
    <row r="1504" spans="1:11" x14ac:dyDescent="0.25">
      <c r="A1504" s="227">
        <v>46136</v>
      </c>
      <c r="B1504" s="228">
        <v>4443.5</v>
      </c>
      <c r="C1504" s="228">
        <v>4559.5</v>
      </c>
      <c r="D1504" s="228">
        <v>4559.5</v>
      </c>
      <c r="E1504" s="228">
        <v>4416</v>
      </c>
      <c r="F1504">
        <v>214780</v>
      </c>
      <c r="G1504" s="228">
        <v>-1.72E-2</v>
      </c>
      <c r="H1504" s="228">
        <f>YEAR(AVEU_Historical_Data__2[[#This Row],[Date]])</f>
        <v>2026</v>
      </c>
      <c r="I1504" s="228">
        <f>ROUNDUP((MOD(MONTH(AVEU_Historical_Data__2[[#This Row],[Date]])+8,12)+1)/3,0)</f>
        <v>1</v>
      </c>
      <c r="J1504" s="228">
        <f>MONTH(AVEU_Historical_Data__2[[#This Row],[Date]])</f>
        <v>4</v>
      </c>
      <c r="K1504" s="228"/>
    </row>
    <row r="1505" spans="1:11" x14ac:dyDescent="0.25">
      <c r="A1505" s="227">
        <v>46139</v>
      </c>
      <c r="B1505" s="228">
        <v>4507.1000000000004</v>
      </c>
      <c r="C1505" s="228">
        <v>4489.8</v>
      </c>
      <c r="D1505" s="228">
        <v>4529</v>
      </c>
      <c r="E1505" s="228">
        <v>4460.3</v>
      </c>
      <c r="F1505">
        <v>478310</v>
      </c>
      <c r="G1505" s="228">
        <v>1.43E-2</v>
      </c>
      <c r="H1505" s="228">
        <f>YEAR(AVEU_Historical_Data__2[[#This Row],[Date]])</f>
        <v>2026</v>
      </c>
      <c r="I1505" s="228">
        <f>ROUNDUP((MOD(MONTH(AVEU_Historical_Data__2[[#This Row],[Date]])+8,12)+1)/3,0)</f>
        <v>1</v>
      </c>
      <c r="J1505" s="228">
        <f>MONTH(AVEU_Historical_Data__2[[#This Row],[Date]])</f>
        <v>4</v>
      </c>
      <c r="K1505" s="228"/>
    </row>
    <row r="1506" spans="1:11" x14ac:dyDescent="0.25">
      <c r="A1506" s="227">
        <v>46140</v>
      </c>
      <c r="B1506" s="228">
        <v>4544.3999999999996</v>
      </c>
      <c r="C1506" s="228">
        <v>4506.3999999999996</v>
      </c>
      <c r="D1506" s="228">
        <v>4600.5</v>
      </c>
      <c r="E1506" s="228">
        <v>4480</v>
      </c>
      <c r="F1506">
        <v>447100</v>
      </c>
      <c r="G1506" s="228">
        <v>8.3000000000000001E-3</v>
      </c>
      <c r="H1506" s="228">
        <f>YEAR(AVEU_Historical_Data__2[[#This Row],[Date]])</f>
        <v>2026</v>
      </c>
      <c r="I1506" s="228">
        <f>ROUNDUP((MOD(MONTH(AVEU_Historical_Data__2[[#This Row],[Date]])+8,12)+1)/3,0)</f>
        <v>1</v>
      </c>
      <c r="J1506" s="228">
        <f>MONTH(AVEU_Historical_Data__2[[#This Row],[Date]])</f>
        <v>4</v>
      </c>
      <c r="K1506" s="228"/>
    </row>
    <row r="1507" spans="1:11" x14ac:dyDescent="0.25">
      <c r="A1507" s="227">
        <v>46141</v>
      </c>
      <c r="B1507" s="228">
        <v>4593.3999999999996</v>
      </c>
      <c r="C1507" s="228">
        <v>4558</v>
      </c>
      <c r="D1507" s="228">
        <v>4639.8999999999996</v>
      </c>
      <c r="E1507" s="228">
        <v>4558</v>
      </c>
      <c r="F1507">
        <v>299310</v>
      </c>
      <c r="G1507" s="228">
        <v>1.0800000000000001E-2</v>
      </c>
      <c r="H1507" s="228">
        <f>YEAR(AVEU_Historical_Data__2[[#This Row],[Date]])</f>
        <v>2026</v>
      </c>
      <c r="I1507" s="228">
        <f>ROUNDUP((MOD(MONTH(AVEU_Historical_Data__2[[#This Row],[Date]])+8,12)+1)/3,0)</f>
        <v>1</v>
      </c>
      <c r="J1507" s="228">
        <f>MONTH(AVEU_Historical_Data__2[[#This Row],[Date]])</f>
        <v>4</v>
      </c>
      <c r="K1507" s="228"/>
    </row>
    <row r="1508" spans="1:11" x14ac:dyDescent="0.25">
      <c r="A1508" s="227">
        <v>46142</v>
      </c>
      <c r="B1508" s="228">
        <v>4585.8999999999996</v>
      </c>
      <c r="C1508" s="228">
        <v>4584</v>
      </c>
      <c r="D1508" s="228">
        <v>4615</v>
      </c>
      <c r="E1508" s="228">
        <v>4511</v>
      </c>
      <c r="F1508">
        <v>528860</v>
      </c>
      <c r="G1508" s="228">
        <v>-1.6000000000000001E-3</v>
      </c>
      <c r="H1508" s="228">
        <f>YEAR(AVEU_Historical_Data__2[[#This Row],[Date]])</f>
        <v>2026</v>
      </c>
      <c r="I1508" s="228">
        <f>ROUNDUP((MOD(MONTH(AVEU_Historical_Data__2[[#This Row],[Date]])+8,12)+1)/3,0)</f>
        <v>1</v>
      </c>
      <c r="J1508" s="228">
        <f>MONTH(AVEU_Historical_Data__2[[#This Row],[Date]])</f>
        <v>4</v>
      </c>
      <c r="K1508" s="228"/>
    </row>
    <row r="1509" spans="1:11" x14ac:dyDescent="0.25">
      <c r="A1509" s="227">
        <v>46146</v>
      </c>
      <c r="B1509" s="228">
        <v>4376.5</v>
      </c>
      <c r="C1509" s="228">
        <v>4585</v>
      </c>
      <c r="D1509" s="228">
        <v>4585</v>
      </c>
      <c r="E1509" s="228">
        <v>4351</v>
      </c>
      <c r="F1509">
        <v>1360000</v>
      </c>
      <c r="G1509" s="228">
        <v>-4.5699999999999998E-2</v>
      </c>
      <c r="H1509" s="228">
        <f>YEAR(AVEU_Historical_Data__2[[#This Row],[Date]])</f>
        <v>2026</v>
      </c>
      <c r="I1509" s="228">
        <f>ROUNDUP((MOD(MONTH(AVEU_Historical_Data__2[[#This Row],[Date]])+8,12)+1)/3,0)</f>
        <v>1</v>
      </c>
      <c r="J1509" s="228">
        <f>MONTH(AVEU_Historical_Data__2[[#This Row],[Date]])</f>
        <v>5</v>
      </c>
      <c r="K1509" s="228"/>
    </row>
    <row r="1510" spans="1:11" x14ac:dyDescent="0.25">
      <c r="A1510" s="227">
        <v>46147</v>
      </c>
      <c r="B1510" s="228">
        <v>4358.7</v>
      </c>
      <c r="C1510" s="228">
        <v>4380</v>
      </c>
      <c r="D1510" s="228">
        <v>4385.8999999999996</v>
      </c>
      <c r="E1510" s="228">
        <v>4303</v>
      </c>
      <c r="F1510">
        <v>318090</v>
      </c>
      <c r="G1510" s="228">
        <v>-4.1000000000000003E-3</v>
      </c>
      <c r="H1510" s="228">
        <f>YEAR(AVEU_Historical_Data__2[[#This Row],[Date]])</f>
        <v>2026</v>
      </c>
      <c r="I1510" s="228">
        <f>ROUNDUP((MOD(MONTH(AVEU_Historical_Data__2[[#This Row],[Date]])+8,12)+1)/3,0)</f>
        <v>1</v>
      </c>
      <c r="J1510" s="228">
        <f>MONTH(AVEU_Historical_Data__2[[#This Row],[Date]])</f>
        <v>5</v>
      </c>
      <c r="K1510" s="228"/>
    </row>
    <row r="1511" spans="1:11" x14ac:dyDescent="0.25">
      <c r="A1511" s="227">
        <v>46148</v>
      </c>
      <c r="B1511" s="228">
        <v>4432.2</v>
      </c>
      <c r="C1511" s="228">
        <v>4363.3999999999996</v>
      </c>
      <c r="D1511" s="228">
        <v>4444.5</v>
      </c>
      <c r="E1511" s="228">
        <v>4342.1000000000004</v>
      </c>
      <c r="F1511">
        <v>396400</v>
      </c>
      <c r="G1511" s="228">
        <v>1.6899999999999998E-2</v>
      </c>
      <c r="H1511" s="228">
        <f>YEAR(AVEU_Historical_Data__2[[#This Row],[Date]])</f>
        <v>2026</v>
      </c>
      <c r="I1511" s="228">
        <f>ROUNDUP((MOD(MONTH(AVEU_Historical_Data__2[[#This Row],[Date]])+8,12)+1)/3,0)</f>
        <v>1</v>
      </c>
      <c r="J1511" s="228">
        <f>MONTH(AVEU_Historical_Data__2[[#This Row],[Date]])</f>
        <v>5</v>
      </c>
      <c r="K1511" s="228"/>
    </row>
    <row r="1512" spans="1:11" x14ac:dyDescent="0.25">
      <c r="A1512" s="227">
        <v>46149</v>
      </c>
      <c r="B1512" s="228">
        <v>4386.5</v>
      </c>
      <c r="C1512" s="228">
        <v>4430</v>
      </c>
      <c r="D1512" s="228">
        <v>4437.2</v>
      </c>
      <c r="E1512" s="228">
        <v>4371</v>
      </c>
      <c r="F1512">
        <v>320800</v>
      </c>
      <c r="G1512" s="228">
        <v>-1.03E-2</v>
      </c>
      <c r="H1512" s="228">
        <f>YEAR(AVEU_Historical_Data__2[[#This Row],[Date]])</f>
        <v>2026</v>
      </c>
      <c r="I1512" s="228">
        <f>ROUNDUP((MOD(MONTH(AVEU_Historical_Data__2[[#This Row],[Date]])+8,12)+1)/3,0)</f>
        <v>1</v>
      </c>
      <c r="J1512" s="228">
        <f>MONTH(AVEU_Historical_Data__2[[#This Row],[Date]])</f>
        <v>5</v>
      </c>
      <c r="K1512" s="228"/>
    </row>
    <row r="1513" spans="1:11" x14ac:dyDescent="0.25">
      <c r="A1513" s="227">
        <v>46150</v>
      </c>
      <c r="B1513" s="228">
        <v>4402.1000000000004</v>
      </c>
      <c r="C1513" s="228">
        <v>4410.2</v>
      </c>
      <c r="D1513" s="228">
        <v>4448</v>
      </c>
      <c r="E1513" s="228">
        <v>4382.3999999999996</v>
      </c>
      <c r="F1513">
        <v>266660</v>
      </c>
      <c r="G1513" s="228">
        <v>3.5999999999999999E-3</v>
      </c>
      <c r="H1513" s="228">
        <f>YEAR(AVEU_Historical_Data__2[[#This Row],[Date]])</f>
        <v>2026</v>
      </c>
      <c r="I1513" s="228">
        <f>ROUNDUP((MOD(MONTH(AVEU_Historical_Data__2[[#This Row],[Date]])+8,12)+1)/3,0)</f>
        <v>1</v>
      </c>
      <c r="J1513" s="228">
        <f>MONTH(AVEU_Historical_Data__2[[#This Row],[Date]])</f>
        <v>5</v>
      </c>
      <c r="K1513" s="228"/>
    </row>
    <row r="1514" spans="1:11" x14ac:dyDescent="0.25">
      <c r="A1514" s="227">
        <v>46153</v>
      </c>
      <c r="B1514" s="228">
        <v>4389.3999999999996</v>
      </c>
      <c r="C1514" s="228">
        <v>4401.3999999999996</v>
      </c>
      <c r="D1514" s="228">
        <v>4431.8</v>
      </c>
      <c r="E1514" s="228">
        <v>4368.6000000000004</v>
      </c>
      <c r="F1514">
        <v>165020</v>
      </c>
      <c r="G1514" s="228">
        <v>-2.8999999999999998E-3</v>
      </c>
      <c r="H1514" s="228">
        <f>YEAR(AVEU_Historical_Data__2[[#This Row],[Date]])</f>
        <v>2026</v>
      </c>
      <c r="I1514" s="228">
        <f>ROUNDUP((MOD(MONTH(AVEU_Historical_Data__2[[#This Row],[Date]])+8,12)+1)/3,0)</f>
        <v>1</v>
      </c>
      <c r="J1514" s="228">
        <f>MONTH(AVEU_Historical_Data__2[[#This Row],[Date]])</f>
        <v>5</v>
      </c>
      <c r="K1514" s="228"/>
    </row>
    <row r="1515" spans="1:11" x14ac:dyDescent="0.25">
      <c r="A1515" s="227">
        <v>46154</v>
      </c>
      <c r="B1515" s="228">
        <v>4331.7</v>
      </c>
      <c r="C1515" s="228">
        <v>4389</v>
      </c>
      <c r="D1515" s="228">
        <v>4419.2</v>
      </c>
      <c r="E1515" s="228">
        <v>4325</v>
      </c>
      <c r="F1515">
        <v>245220</v>
      </c>
      <c r="G1515" s="228">
        <v>-1.3100000000000001E-2</v>
      </c>
      <c r="H1515" s="228">
        <f>YEAR(AVEU_Historical_Data__2[[#This Row],[Date]])</f>
        <v>2026</v>
      </c>
      <c r="I1515" s="228">
        <f>ROUNDUP((MOD(MONTH(AVEU_Historical_Data__2[[#This Row],[Date]])+8,12)+1)/3,0)</f>
        <v>1</v>
      </c>
      <c r="J1515" s="228">
        <f>MONTH(AVEU_Historical_Data__2[[#This Row],[Date]])</f>
        <v>5</v>
      </c>
      <c r="K1515" s="228"/>
    </row>
    <row r="1516" spans="1:11" x14ac:dyDescent="0.25">
      <c r="A1516" s="227">
        <v>46155</v>
      </c>
      <c r="B1516" s="228">
        <v>4334.7</v>
      </c>
      <c r="C1516" s="228">
        <v>4331.7</v>
      </c>
      <c r="D1516" s="228">
        <v>4388.8999999999996</v>
      </c>
      <c r="E1516" s="228">
        <v>4325</v>
      </c>
      <c r="F1516">
        <v>225240</v>
      </c>
      <c r="G1516" s="228">
        <v>6.9999999999999999E-4</v>
      </c>
      <c r="H1516" s="228">
        <f>YEAR(AVEU_Historical_Data__2[[#This Row],[Date]])</f>
        <v>2026</v>
      </c>
      <c r="I1516" s="228">
        <f>ROUNDUP((MOD(MONTH(AVEU_Historical_Data__2[[#This Row],[Date]])+8,12)+1)/3,0)</f>
        <v>1</v>
      </c>
      <c r="J1516" s="228">
        <f>MONTH(AVEU_Historical_Data__2[[#This Row],[Date]])</f>
        <v>5</v>
      </c>
      <c r="K1516" s="228"/>
    </row>
    <row r="1517" spans="1:11" x14ac:dyDescent="0.25">
      <c r="A1517" s="227">
        <v>46156</v>
      </c>
      <c r="B1517" s="228">
        <v>4341.3999999999996</v>
      </c>
      <c r="C1517" s="228">
        <v>4370</v>
      </c>
      <c r="D1517" s="228">
        <v>4388</v>
      </c>
      <c r="E1517" s="228">
        <v>4281.2</v>
      </c>
      <c r="F1517">
        <v>309430</v>
      </c>
      <c r="G1517" s="228">
        <v>1.5E-3</v>
      </c>
      <c r="H1517" s="228">
        <f>YEAR(AVEU_Historical_Data__2[[#This Row],[Date]])</f>
        <v>2026</v>
      </c>
      <c r="I1517" s="228">
        <f>ROUNDUP((MOD(MONTH(AVEU_Historical_Data__2[[#This Row],[Date]])+8,12)+1)/3,0)</f>
        <v>1</v>
      </c>
      <c r="J1517" s="228">
        <f>MONTH(AVEU_Historical_Data__2[[#This Row],[Date]])</f>
        <v>5</v>
      </c>
      <c r="K1517" s="228"/>
    </row>
    <row r="1518" spans="1:11" x14ac:dyDescent="0.25">
      <c r="A1518" s="227">
        <v>46157</v>
      </c>
      <c r="B1518" s="228">
        <v>4358.7</v>
      </c>
      <c r="C1518" s="228">
        <v>4341.3999999999996</v>
      </c>
      <c r="D1518" s="228">
        <v>4387</v>
      </c>
      <c r="E1518" s="228">
        <v>4330.3</v>
      </c>
      <c r="F1518">
        <v>145950</v>
      </c>
      <c r="G1518" s="228">
        <v>4.0000000000000001E-3</v>
      </c>
      <c r="H1518" s="228">
        <f>YEAR(AVEU_Historical_Data__2[[#This Row],[Date]])</f>
        <v>2026</v>
      </c>
      <c r="I1518" s="228">
        <f>ROUNDUP((MOD(MONTH(AVEU_Historical_Data__2[[#This Row],[Date]])+8,12)+1)/3,0)</f>
        <v>1</v>
      </c>
      <c r="J1518" s="228">
        <f>MONTH(AVEU_Historical_Data__2[[#This Row],[Date]])</f>
        <v>5</v>
      </c>
      <c r="K1518" s="228"/>
    </row>
    <row r="1519" spans="1:11" x14ac:dyDescent="0.25">
      <c r="A1519" s="227">
        <v>46160</v>
      </c>
      <c r="B1519" s="228">
        <v>4304.7</v>
      </c>
      <c r="C1519" s="228">
        <v>4335.3</v>
      </c>
      <c r="D1519" s="228">
        <v>4345.6000000000004</v>
      </c>
      <c r="E1519" s="228">
        <v>4268</v>
      </c>
      <c r="F1519">
        <v>168640</v>
      </c>
      <c r="G1519" s="228">
        <v>-1.24E-2</v>
      </c>
      <c r="H1519" s="228">
        <f>YEAR(AVEU_Historical_Data__2[[#This Row],[Date]])</f>
        <v>2026</v>
      </c>
      <c r="I1519" s="228">
        <f>ROUNDUP((MOD(MONTH(AVEU_Historical_Data__2[[#This Row],[Date]])+8,12)+1)/3,0)</f>
        <v>1</v>
      </c>
      <c r="J1519" s="228">
        <f>MONTH(AVEU_Historical_Data__2[[#This Row],[Date]])</f>
        <v>5</v>
      </c>
      <c r="K1519" s="228"/>
    </row>
    <row r="1520" spans="1:11" x14ac:dyDescent="0.25">
      <c r="A1520" s="227">
        <v>46161</v>
      </c>
      <c r="B1520" s="228">
        <v>4236</v>
      </c>
      <c r="C1520" s="228">
        <v>4304</v>
      </c>
      <c r="D1520" s="228">
        <v>4315.5</v>
      </c>
      <c r="E1520" s="228">
        <v>4211</v>
      </c>
      <c r="F1520">
        <v>367520</v>
      </c>
      <c r="G1520" s="228">
        <v>-1.6E-2</v>
      </c>
      <c r="H1520" s="228">
        <f>YEAR(AVEU_Historical_Data__2[[#This Row],[Date]])</f>
        <v>2026</v>
      </c>
      <c r="I1520" s="228">
        <f>ROUNDUP((MOD(MONTH(AVEU_Historical_Data__2[[#This Row],[Date]])+8,12)+1)/3,0)</f>
        <v>1</v>
      </c>
      <c r="J1520" s="228">
        <f>MONTH(AVEU_Historical_Data__2[[#This Row],[Date]])</f>
        <v>5</v>
      </c>
      <c r="K1520" s="228"/>
    </row>
    <row r="1521" spans="1:11" x14ac:dyDescent="0.25">
      <c r="A1521" s="227">
        <v>46162</v>
      </c>
      <c r="B1521" s="228">
        <v>4144.2</v>
      </c>
      <c r="C1521" s="228">
        <v>4235</v>
      </c>
      <c r="D1521" s="228">
        <v>4240.2</v>
      </c>
      <c r="E1521" s="228">
        <v>4111</v>
      </c>
      <c r="F1521">
        <v>346220</v>
      </c>
      <c r="G1521" s="228">
        <v>-2.1700000000000001E-2</v>
      </c>
      <c r="H1521" s="228">
        <f>YEAR(AVEU_Historical_Data__2[[#This Row],[Date]])</f>
        <v>2026</v>
      </c>
      <c r="I1521" s="228">
        <f>ROUNDUP((MOD(MONTH(AVEU_Historical_Data__2[[#This Row],[Date]])+8,12)+1)/3,0)</f>
        <v>1</v>
      </c>
      <c r="J1521" s="228">
        <f>MONTH(AVEU_Historical_Data__2[[#This Row],[Date]])</f>
        <v>5</v>
      </c>
      <c r="K1521" s="228"/>
    </row>
    <row r="1522" spans="1:11" x14ac:dyDescent="0.25">
      <c r="A1522" s="227">
        <v>46163</v>
      </c>
      <c r="B1522" s="228">
        <v>4137.2</v>
      </c>
      <c r="C1522" s="228">
        <v>4167.3999999999996</v>
      </c>
      <c r="D1522" s="228">
        <v>4253</v>
      </c>
      <c r="E1522" s="228">
        <v>4122.3</v>
      </c>
      <c r="F1522">
        <v>498130</v>
      </c>
      <c r="G1522" s="228">
        <v>-1.6999999999999999E-3</v>
      </c>
      <c r="H1522" s="228">
        <f>YEAR(AVEU_Historical_Data__2[[#This Row],[Date]])</f>
        <v>2026</v>
      </c>
      <c r="I1522" s="228">
        <f>ROUNDUP((MOD(MONTH(AVEU_Historical_Data__2[[#This Row],[Date]])+8,12)+1)/3,0)</f>
        <v>1</v>
      </c>
      <c r="J1522" s="228">
        <f>MONTH(AVEU_Historical_Data__2[[#This Row],[Date]])</f>
        <v>5</v>
      </c>
      <c r="K1522" s="228"/>
    </row>
    <row r="1523" spans="1:11" x14ac:dyDescent="0.25">
      <c r="A1523" s="227">
        <v>46164</v>
      </c>
      <c r="B1523" s="228">
        <v>4117</v>
      </c>
      <c r="C1523" s="228">
        <v>4145</v>
      </c>
      <c r="D1523" s="228">
        <v>4159</v>
      </c>
      <c r="E1523" s="228">
        <v>4103.6000000000004</v>
      </c>
      <c r="F1523">
        <v>207040</v>
      </c>
      <c r="G1523" s="228">
        <v>-4.8999999999999998E-3</v>
      </c>
      <c r="H1523" s="228">
        <f>YEAR(AVEU_Historical_Data__2[[#This Row],[Date]])</f>
        <v>2026</v>
      </c>
      <c r="I1523" s="228">
        <f>ROUNDUP((MOD(MONTH(AVEU_Historical_Data__2[[#This Row],[Date]])+8,12)+1)/3,0)</f>
        <v>1</v>
      </c>
      <c r="J1523" s="228">
        <f>MONTH(AVEU_Historical_Data__2[[#This Row],[Date]])</f>
        <v>5</v>
      </c>
      <c r="K1523" s="228"/>
    </row>
    <row r="1524" spans="1:11" x14ac:dyDescent="0.25">
      <c r="A1524" s="227">
        <v>46167</v>
      </c>
      <c r="B1524" s="228">
        <v>4097.2</v>
      </c>
      <c r="C1524" s="228">
        <v>4150</v>
      </c>
      <c r="D1524" s="228">
        <v>4154.8999999999996</v>
      </c>
      <c r="E1524" s="228">
        <v>4077.6</v>
      </c>
      <c r="F1524">
        <v>284290</v>
      </c>
      <c r="G1524" s="228">
        <v>-4.7999999999999996E-3</v>
      </c>
      <c r="H1524" s="228">
        <f>YEAR(AVEU_Historical_Data__2[[#This Row],[Date]])</f>
        <v>2026</v>
      </c>
      <c r="I1524" s="228">
        <f>ROUNDUP((MOD(MONTH(AVEU_Historical_Data__2[[#This Row],[Date]])+8,12)+1)/3,0)</f>
        <v>1</v>
      </c>
      <c r="J1524" s="228">
        <f>MONTH(AVEU_Historical_Data__2[[#This Row],[Date]])</f>
        <v>5</v>
      </c>
      <c r="K1524" s="228"/>
    </row>
    <row r="1525" spans="1:11" x14ac:dyDescent="0.25">
      <c r="A1525" s="227">
        <v>46168</v>
      </c>
      <c r="B1525" s="228">
        <v>4103.6000000000004</v>
      </c>
      <c r="C1525" s="228">
        <v>4099.8999999999996</v>
      </c>
      <c r="D1525" s="228">
        <v>4119.8</v>
      </c>
      <c r="E1525" s="228">
        <v>4059.9</v>
      </c>
      <c r="F1525">
        <v>479390</v>
      </c>
      <c r="G1525" s="228">
        <v>1.6000000000000001E-3</v>
      </c>
      <c r="H1525" s="228">
        <f>YEAR(AVEU_Historical_Data__2[[#This Row],[Date]])</f>
        <v>2026</v>
      </c>
      <c r="I1525" s="228">
        <f>ROUNDUP((MOD(MONTH(AVEU_Historical_Data__2[[#This Row],[Date]])+8,12)+1)/3,0)</f>
        <v>1</v>
      </c>
      <c r="J1525" s="228">
        <f>MONTH(AVEU_Historical_Data__2[[#This Row],[Date]])</f>
        <v>5</v>
      </c>
      <c r="K1525" s="228"/>
    </row>
    <row r="1526" spans="1:11" x14ac:dyDescent="0.25">
      <c r="A1526" s="227">
        <v>46169</v>
      </c>
      <c r="B1526" s="228">
        <v>4124.3999999999996</v>
      </c>
      <c r="C1526" s="228">
        <v>4103</v>
      </c>
      <c r="D1526" s="228">
        <v>4144.2</v>
      </c>
      <c r="E1526" s="228">
        <v>4068.7</v>
      </c>
      <c r="F1526">
        <v>229900</v>
      </c>
      <c r="G1526" s="228">
        <v>5.1000000000000004E-3</v>
      </c>
      <c r="H1526" s="228">
        <f>YEAR(AVEU_Historical_Data__2[[#This Row],[Date]])</f>
        <v>2026</v>
      </c>
      <c r="I1526" s="228">
        <f>ROUNDUP((MOD(MONTH(AVEU_Historical_Data__2[[#This Row],[Date]])+8,12)+1)/3,0)</f>
        <v>1</v>
      </c>
      <c r="J1526" s="228">
        <f>MONTH(AVEU_Historical_Data__2[[#This Row],[Date]])</f>
        <v>5</v>
      </c>
      <c r="K1526" s="228"/>
    </row>
    <row r="1527" spans="1:11" x14ac:dyDescent="0.25">
      <c r="A1527" s="227">
        <v>46171</v>
      </c>
      <c r="B1527" s="228">
        <v>4054.5</v>
      </c>
      <c r="C1527" s="228">
        <v>4149.8999999999996</v>
      </c>
      <c r="D1527" s="228">
        <v>4149.8999999999996</v>
      </c>
      <c r="E1527" s="228">
        <v>4000.1</v>
      </c>
      <c r="F1527">
        <v>2180000</v>
      </c>
      <c r="G1527" s="228">
        <v>-1.6899999999999998E-2</v>
      </c>
      <c r="H1527" s="228">
        <f>YEAR(AVEU_Historical_Data__2[[#This Row],[Date]])</f>
        <v>2026</v>
      </c>
      <c r="I1527" s="228">
        <f>ROUNDUP((MOD(MONTH(AVEU_Historical_Data__2[[#This Row],[Date]])+8,12)+1)/3,0)</f>
        <v>1</v>
      </c>
      <c r="J1527" s="228">
        <f>MONTH(AVEU_Historical_Data__2[[#This Row],[Date]])</f>
        <v>5</v>
      </c>
      <c r="K1527" s="228"/>
    </row>
    <row r="1528" spans="1:11" x14ac:dyDescent="0.25">
      <c r="A1528" s="227">
        <v>46174</v>
      </c>
      <c r="B1528" s="228">
        <v>4071.8</v>
      </c>
      <c r="C1528" s="228">
        <v>4074.9</v>
      </c>
      <c r="D1528" s="228">
        <v>4106</v>
      </c>
      <c r="E1528" s="228">
        <v>4041</v>
      </c>
      <c r="F1528">
        <v>307600</v>
      </c>
      <c r="G1528" s="228">
        <v>4.3E-3</v>
      </c>
      <c r="H1528" s="228">
        <f>YEAR(AVEU_Historical_Data__2[[#This Row],[Date]])</f>
        <v>2026</v>
      </c>
      <c r="I1528" s="228">
        <f>ROUNDUP((MOD(MONTH(AVEU_Historical_Data__2[[#This Row],[Date]])+8,12)+1)/3,0)</f>
        <v>1</v>
      </c>
      <c r="J1528" s="228">
        <f>MONTH(AVEU_Historical_Data__2[[#This Row],[Date]])</f>
        <v>6</v>
      </c>
      <c r="K1528" s="228"/>
    </row>
    <row r="1529" spans="1:11" x14ac:dyDescent="0.25">
      <c r="A1529" s="227">
        <v>46175</v>
      </c>
      <c r="B1529" s="228">
        <v>4057</v>
      </c>
      <c r="C1529" s="228">
        <v>4025</v>
      </c>
      <c r="D1529" s="228">
        <v>4068.9</v>
      </c>
      <c r="E1529" s="228">
        <v>3988.8</v>
      </c>
      <c r="F1529">
        <v>467980</v>
      </c>
      <c r="G1529" s="228">
        <v>-3.5999999999999999E-3</v>
      </c>
      <c r="H1529" s="228">
        <f>YEAR(AVEU_Historical_Data__2[[#This Row],[Date]])</f>
        <v>2026</v>
      </c>
      <c r="I1529" s="228">
        <f>ROUNDUP((MOD(MONTH(AVEU_Historical_Data__2[[#This Row],[Date]])+8,12)+1)/3,0)</f>
        <v>1</v>
      </c>
      <c r="J1529" s="228">
        <f>MONTH(AVEU_Historical_Data__2[[#This Row],[Date]])</f>
        <v>6</v>
      </c>
      <c r="K1529" s="228"/>
    </row>
    <row r="1530" spans="1:11" x14ac:dyDescent="0.25">
      <c r="A1530" s="227">
        <v>46176</v>
      </c>
      <c r="B1530" s="228">
        <v>4168.3999999999996</v>
      </c>
      <c r="C1530" s="228">
        <v>4064.9</v>
      </c>
      <c r="D1530" s="228">
        <v>4193.8999999999996</v>
      </c>
      <c r="E1530" s="228">
        <v>4017.1</v>
      </c>
      <c r="F1530">
        <v>857620</v>
      </c>
      <c r="G1530" s="228">
        <v>2.75E-2</v>
      </c>
      <c r="H1530" s="228">
        <f>YEAR(AVEU_Historical_Data__2[[#This Row],[Date]])</f>
        <v>2026</v>
      </c>
      <c r="I1530" s="228">
        <f>ROUNDUP((MOD(MONTH(AVEU_Historical_Data__2[[#This Row],[Date]])+8,12)+1)/3,0)</f>
        <v>1</v>
      </c>
      <c r="J1530" s="228">
        <f>MONTH(AVEU_Historical_Data__2[[#This Row],[Date]])</f>
        <v>6</v>
      </c>
      <c r="K1530" s="228"/>
    </row>
    <row r="1531" spans="1:11" x14ac:dyDescent="0.25">
      <c r="A1531" s="227">
        <v>46177</v>
      </c>
      <c r="B1531" s="228">
        <v>4139.3</v>
      </c>
      <c r="C1531" s="228">
        <v>4160</v>
      </c>
      <c r="D1531" s="228">
        <v>4225</v>
      </c>
      <c r="E1531" s="228">
        <v>4128</v>
      </c>
      <c r="F1531">
        <v>487770</v>
      </c>
      <c r="G1531" s="228">
        <v>-7.0000000000000001E-3</v>
      </c>
      <c r="H1531" s="228">
        <f>YEAR(AVEU_Historical_Data__2[[#This Row],[Date]])</f>
        <v>2026</v>
      </c>
      <c r="I1531" s="228">
        <f>ROUNDUP((MOD(MONTH(AVEU_Historical_Data__2[[#This Row],[Date]])+8,12)+1)/3,0)</f>
        <v>1</v>
      </c>
      <c r="J1531" s="228">
        <f>MONTH(AVEU_Historical_Data__2[[#This Row],[Date]])</f>
        <v>6</v>
      </c>
      <c r="K1531" s="228"/>
    </row>
    <row r="1532" spans="1:11" x14ac:dyDescent="0.25">
      <c r="A1532" s="227">
        <v>46178</v>
      </c>
      <c r="B1532" s="228">
        <v>4144.2</v>
      </c>
      <c r="C1532" s="228">
        <v>4139.3</v>
      </c>
      <c r="D1532" s="228">
        <v>4235.2</v>
      </c>
      <c r="E1532" s="228">
        <v>4112</v>
      </c>
      <c r="F1532">
        <v>366230</v>
      </c>
      <c r="G1532" s="228">
        <v>1.1999999999999999E-3</v>
      </c>
      <c r="H1532" s="228">
        <f>YEAR(AVEU_Historical_Data__2[[#This Row],[Date]])</f>
        <v>2026</v>
      </c>
      <c r="I1532" s="228">
        <f>ROUNDUP((MOD(MONTH(AVEU_Historical_Data__2[[#This Row],[Date]])+8,12)+1)/3,0)</f>
        <v>1</v>
      </c>
      <c r="J1532" s="228">
        <f>MONTH(AVEU_Historical_Data__2[[#This Row],[Date]])</f>
        <v>6</v>
      </c>
      <c r="K1532" s="228"/>
    </row>
    <row r="1533" spans="1:11" x14ac:dyDescent="0.25">
      <c r="A1533" s="227">
        <v>46181</v>
      </c>
      <c r="B1533" s="228">
        <v>4063.3</v>
      </c>
      <c r="C1533" s="228">
        <v>4100</v>
      </c>
      <c r="D1533" s="228">
        <v>4147.6000000000004</v>
      </c>
      <c r="E1533" s="228">
        <v>4035.2</v>
      </c>
      <c r="F1533">
        <v>265670</v>
      </c>
      <c r="G1533" s="228">
        <v>-1.95E-2</v>
      </c>
      <c r="H1533" s="228">
        <f>YEAR(AVEU_Historical_Data__2[[#This Row],[Date]])</f>
        <v>2026</v>
      </c>
      <c r="I1533" s="228">
        <f>ROUNDUP((MOD(MONTH(AVEU_Historical_Data__2[[#This Row],[Date]])+8,12)+1)/3,0)</f>
        <v>1</v>
      </c>
      <c r="J1533" s="228">
        <f>MONTH(AVEU_Historical_Data__2[[#This Row],[Date]])</f>
        <v>6</v>
      </c>
      <c r="K1533" s="228"/>
    </row>
    <row r="1534" spans="1:11" x14ac:dyDescent="0.25">
      <c r="A1534" s="227">
        <v>46182</v>
      </c>
      <c r="B1534" s="228">
        <v>4092</v>
      </c>
      <c r="C1534" s="228">
        <v>4092</v>
      </c>
      <c r="D1534" s="228">
        <v>4150</v>
      </c>
      <c r="E1534" s="228">
        <v>4070</v>
      </c>
      <c r="F1534">
        <v>336810</v>
      </c>
      <c r="G1534" s="228">
        <v>7.1000000000000004E-3</v>
      </c>
      <c r="H1534" s="228">
        <f>YEAR(AVEU_Historical_Data__2[[#This Row],[Date]])</f>
        <v>2026</v>
      </c>
      <c r="I1534" s="228">
        <f>ROUNDUP((MOD(MONTH(AVEU_Historical_Data__2[[#This Row],[Date]])+8,12)+1)/3,0)</f>
        <v>1</v>
      </c>
      <c r="J1534" s="228">
        <f>MONTH(AVEU_Historical_Data__2[[#This Row],[Date]])</f>
        <v>6</v>
      </c>
      <c r="K1534" s="228"/>
    </row>
    <row r="1535" spans="1:11" x14ac:dyDescent="0.25">
      <c r="A1535" s="227">
        <v>46183</v>
      </c>
      <c r="B1535" s="228">
        <v>4043.4</v>
      </c>
      <c r="C1535" s="228">
        <v>4078.4</v>
      </c>
      <c r="D1535" s="228">
        <v>4208.8</v>
      </c>
      <c r="E1535" s="228">
        <v>4031</v>
      </c>
      <c r="F1535">
        <v>604570</v>
      </c>
      <c r="G1535" s="228">
        <v>-1.1900000000000001E-2</v>
      </c>
      <c r="H1535" s="228">
        <f>YEAR(AVEU_Historical_Data__2[[#This Row],[Date]])</f>
        <v>2026</v>
      </c>
      <c r="I1535" s="228">
        <f>ROUNDUP((MOD(MONTH(AVEU_Historical_Data__2[[#This Row],[Date]])+8,12)+1)/3,0)</f>
        <v>1</v>
      </c>
      <c r="J1535" s="228">
        <f>MONTH(AVEU_Historical_Data__2[[#This Row],[Date]])</f>
        <v>6</v>
      </c>
      <c r="K1535" s="228"/>
    </row>
    <row r="1536" spans="1:11" x14ac:dyDescent="0.25">
      <c r="A1536" s="227">
        <v>46184</v>
      </c>
      <c r="B1536" s="228">
        <v>3987</v>
      </c>
      <c r="C1536" s="228">
        <v>4043.4</v>
      </c>
      <c r="D1536" s="228">
        <v>4089</v>
      </c>
      <c r="E1536" s="228">
        <v>3975</v>
      </c>
      <c r="F1536">
        <v>279380</v>
      </c>
      <c r="G1536" s="228">
        <v>-1.3899999999999999E-2</v>
      </c>
      <c r="H1536" s="228">
        <f>YEAR(AVEU_Historical_Data__2[[#This Row],[Date]])</f>
        <v>2026</v>
      </c>
      <c r="I1536" s="228">
        <f>ROUNDUP((MOD(MONTH(AVEU_Historical_Data__2[[#This Row],[Date]])+8,12)+1)/3,0)</f>
        <v>1</v>
      </c>
      <c r="J1536" s="228">
        <f>MONTH(AVEU_Historical_Data__2[[#This Row],[Date]])</f>
        <v>6</v>
      </c>
      <c r="K1536" s="228"/>
    </row>
    <row r="1537" spans="1:11" x14ac:dyDescent="0.25">
      <c r="A1537" s="227">
        <v>46185</v>
      </c>
      <c r="B1537" s="228">
        <v>3993.6</v>
      </c>
      <c r="C1537" s="228">
        <v>4045</v>
      </c>
      <c r="D1537" s="228">
        <v>4045.7</v>
      </c>
      <c r="E1537" s="228">
        <v>3955</v>
      </c>
      <c r="F1537">
        <v>363310</v>
      </c>
      <c r="G1537" s="228">
        <v>1.6999999999999999E-3</v>
      </c>
      <c r="H1537" s="228">
        <f>YEAR(AVEU_Historical_Data__2[[#This Row],[Date]])</f>
        <v>2026</v>
      </c>
      <c r="I1537" s="228">
        <f>ROUNDUP((MOD(MONTH(AVEU_Historical_Data__2[[#This Row],[Date]])+8,12)+1)/3,0)</f>
        <v>1</v>
      </c>
      <c r="J1537" s="228">
        <f>MONTH(AVEU_Historical_Data__2[[#This Row],[Date]])</f>
        <v>6</v>
      </c>
      <c r="K1537" s="228"/>
    </row>
    <row r="1538" spans="1:11" x14ac:dyDescent="0.25">
      <c r="A1538" s="227">
        <v>46188</v>
      </c>
      <c r="B1538" s="228">
        <v>4099</v>
      </c>
      <c r="C1538" s="228">
        <v>4040</v>
      </c>
      <c r="D1538" s="228">
        <v>4143.6000000000004</v>
      </c>
      <c r="E1538" s="228">
        <v>4013.5</v>
      </c>
      <c r="F1538">
        <v>452050</v>
      </c>
      <c r="G1538" s="228">
        <v>2.64E-2</v>
      </c>
      <c r="H1538" s="228">
        <f>YEAR(AVEU_Historical_Data__2[[#This Row],[Date]])</f>
        <v>2026</v>
      </c>
      <c r="I1538" s="228">
        <f>ROUNDUP((MOD(MONTH(AVEU_Historical_Data__2[[#This Row],[Date]])+8,12)+1)/3,0)</f>
        <v>1</v>
      </c>
      <c r="J1538" s="228">
        <f>MONTH(AVEU_Historical_Data__2[[#This Row],[Date]])</f>
        <v>6</v>
      </c>
      <c r="K1538" s="228"/>
    </row>
    <row r="1539" spans="1:11" x14ac:dyDescent="0.25">
      <c r="A1539" s="227">
        <v>46189</v>
      </c>
      <c r="B1539" s="228">
        <v>4201.3</v>
      </c>
      <c r="C1539" s="228">
        <v>4109</v>
      </c>
      <c r="D1539" s="228">
        <v>4209</v>
      </c>
      <c r="E1539" s="228">
        <v>4109</v>
      </c>
      <c r="F1539">
        <v>483670</v>
      </c>
      <c r="G1539" s="228">
        <v>2.5000000000000001E-2</v>
      </c>
      <c r="H1539" s="228">
        <f>YEAR(AVEU_Historical_Data__2[[#This Row],[Date]])</f>
        <v>2026</v>
      </c>
      <c r="I1539" s="228">
        <f>ROUNDUP((MOD(MONTH(AVEU_Historical_Data__2[[#This Row],[Date]])+8,12)+1)/3,0)</f>
        <v>1</v>
      </c>
      <c r="J1539" s="228">
        <f>MONTH(AVEU_Historical_Data__2[[#This Row],[Date]])</f>
        <v>6</v>
      </c>
      <c r="K1539" s="228"/>
    </row>
    <row r="1540" spans="1:11" x14ac:dyDescent="0.25">
      <c r="A1540" s="227">
        <v>46190</v>
      </c>
      <c r="B1540" s="228">
        <v>4287.5</v>
      </c>
      <c r="C1540" s="228">
        <v>4215.1000000000004</v>
      </c>
      <c r="D1540" s="228">
        <v>4307</v>
      </c>
      <c r="E1540" s="228">
        <v>4202.3</v>
      </c>
      <c r="F1540">
        <v>1180000</v>
      </c>
      <c r="G1540" s="228">
        <v>2.0500000000000001E-2</v>
      </c>
      <c r="H1540" s="228">
        <f>YEAR(AVEU_Historical_Data__2[[#This Row],[Date]])</f>
        <v>2026</v>
      </c>
      <c r="I1540" s="228">
        <f>ROUNDUP((MOD(MONTH(AVEU_Historical_Data__2[[#This Row],[Date]])+8,12)+1)/3,0)</f>
        <v>1</v>
      </c>
      <c r="J1540" s="228">
        <f>MONTH(AVEU_Historical_Data__2[[#This Row],[Date]])</f>
        <v>6</v>
      </c>
      <c r="K1540" s="228"/>
    </row>
    <row r="1541" spans="1:11" x14ac:dyDescent="0.25">
      <c r="A1541" s="227">
        <v>46191</v>
      </c>
      <c r="B1541" s="228">
        <v>4306.7</v>
      </c>
      <c r="C1541" s="228">
        <v>4300</v>
      </c>
      <c r="D1541" s="228">
        <v>4349.6000000000004</v>
      </c>
      <c r="E1541" s="228">
        <v>4287.1000000000004</v>
      </c>
      <c r="F1541">
        <v>433140</v>
      </c>
      <c r="G1541" s="228">
        <v>4.4999999999999997E-3</v>
      </c>
      <c r="H1541" s="228">
        <f>YEAR(AVEU_Historical_Data__2[[#This Row],[Date]])</f>
        <v>2026</v>
      </c>
      <c r="I1541" s="228">
        <f>ROUNDUP((MOD(MONTH(AVEU_Historical_Data__2[[#This Row],[Date]])+8,12)+1)/3,0)</f>
        <v>1</v>
      </c>
      <c r="J1541" s="228">
        <f>MONTH(AVEU_Historical_Data__2[[#This Row],[Date]])</f>
        <v>6</v>
      </c>
      <c r="K1541" s="228"/>
    </row>
    <row r="1542" spans="1:11" x14ac:dyDescent="0.25">
      <c r="A1542" s="227">
        <v>46192</v>
      </c>
      <c r="B1542" s="228">
        <v>4286.8999999999996</v>
      </c>
      <c r="C1542" s="228">
        <v>4294.8999999999996</v>
      </c>
      <c r="D1542" s="228">
        <v>4331.3</v>
      </c>
      <c r="E1542" s="228">
        <v>4260</v>
      </c>
      <c r="F1542">
        <v>1410000</v>
      </c>
      <c r="G1542" s="228">
        <v>-4.5999999999999999E-3</v>
      </c>
      <c r="H1542" s="228">
        <f>YEAR(AVEU_Historical_Data__2[[#This Row],[Date]])</f>
        <v>2026</v>
      </c>
      <c r="I1542" s="228">
        <f>ROUNDUP((MOD(MONTH(AVEU_Historical_Data__2[[#This Row],[Date]])+8,12)+1)/3,0)</f>
        <v>1</v>
      </c>
      <c r="J1542" s="228">
        <f>MONTH(AVEU_Historical_Data__2[[#This Row],[Date]])</f>
        <v>6</v>
      </c>
      <c r="K1542" s="228"/>
    </row>
    <row r="1543" spans="1:11" x14ac:dyDescent="0.25">
      <c r="A1543" s="227">
        <v>46195</v>
      </c>
      <c r="B1543" s="228">
        <v>4330.6000000000004</v>
      </c>
      <c r="C1543" s="228">
        <v>4305.7</v>
      </c>
      <c r="D1543" s="228">
        <v>4352.3</v>
      </c>
      <c r="E1543" s="228">
        <v>4305.7</v>
      </c>
      <c r="F1543">
        <v>299790</v>
      </c>
      <c r="G1543" s="228">
        <v>1.0200000000000001E-2</v>
      </c>
      <c r="H1543" s="228">
        <f>YEAR(AVEU_Historical_Data__2[[#This Row],[Date]])</f>
        <v>2026</v>
      </c>
      <c r="I1543" s="228">
        <f>ROUNDUP((MOD(MONTH(AVEU_Historical_Data__2[[#This Row],[Date]])+8,12)+1)/3,0)</f>
        <v>1</v>
      </c>
      <c r="J1543" s="228">
        <f>MONTH(AVEU_Historical_Data__2[[#This Row],[Date]])</f>
        <v>6</v>
      </c>
      <c r="K1543" s="228"/>
    </row>
    <row r="1544" spans="1:11" x14ac:dyDescent="0.25">
      <c r="A1544" s="227">
        <v>46196</v>
      </c>
      <c r="B1544" s="228">
        <v>4392.8999999999996</v>
      </c>
      <c r="C1544" s="228">
        <v>4311</v>
      </c>
      <c r="D1544" s="228">
        <v>4425</v>
      </c>
      <c r="E1544" s="228">
        <v>4306</v>
      </c>
      <c r="F1544">
        <v>556330</v>
      </c>
      <c r="G1544" s="228">
        <v>1.44E-2</v>
      </c>
      <c r="H1544" s="228">
        <f>YEAR(AVEU_Historical_Data__2[[#This Row],[Date]])</f>
        <v>2026</v>
      </c>
      <c r="I1544" s="228">
        <f>ROUNDUP((MOD(MONTH(AVEU_Historical_Data__2[[#This Row],[Date]])+8,12)+1)/3,0)</f>
        <v>1</v>
      </c>
      <c r="J1544" s="228">
        <f>MONTH(AVEU_Historical_Data__2[[#This Row],[Date]])</f>
        <v>6</v>
      </c>
      <c r="K1544" s="228"/>
    </row>
    <row r="1545" spans="1:11" x14ac:dyDescent="0.25">
      <c r="A1545" s="227">
        <v>46197</v>
      </c>
      <c r="B1545" s="228">
        <v>4336</v>
      </c>
      <c r="C1545" s="228">
        <v>4395.1000000000004</v>
      </c>
      <c r="D1545" s="228">
        <v>4429.3999999999996</v>
      </c>
      <c r="E1545" s="228">
        <v>4304</v>
      </c>
      <c r="F1545">
        <v>307330</v>
      </c>
      <c r="G1545" s="228">
        <v>-1.2999999999999999E-2</v>
      </c>
      <c r="H1545" s="228">
        <f>YEAR(AVEU_Historical_Data__2[[#This Row],[Date]])</f>
        <v>2026</v>
      </c>
      <c r="I1545" s="228">
        <f>ROUNDUP((MOD(MONTH(AVEU_Historical_Data__2[[#This Row],[Date]])+8,12)+1)/3,0)</f>
        <v>1</v>
      </c>
      <c r="J1545" s="228">
        <f>MONTH(AVEU_Historical_Data__2[[#This Row],[Date]])</f>
        <v>6</v>
      </c>
      <c r="K1545" s="228"/>
    </row>
    <row r="1546" spans="1:11" x14ac:dyDescent="0.25">
      <c r="A1546" s="227">
        <v>46198</v>
      </c>
      <c r="B1546" s="228">
        <v>4294.6000000000004</v>
      </c>
      <c r="C1546" s="228">
        <v>4350</v>
      </c>
      <c r="D1546" s="228">
        <v>4364.3999999999996</v>
      </c>
      <c r="E1546" s="228">
        <v>4285</v>
      </c>
      <c r="F1546">
        <v>372530</v>
      </c>
      <c r="G1546" s="228">
        <v>-9.4999999999999998E-3</v>
      </c>
      <c r="H1546" s="228">
        <f>YEAR(AVEU_Historical_Data__2[[#This Row],[Date]])</f>
        <v>2026</v>
      </c>
      <c r="I1546" s="228">
        <f>ROUNDUP((MOD(MONTH(AVEU_Historical_Data__2[[#This Row],[Date]])+8,12)+1)/3,0)</f>
        <v>1</v>
      </c>
      <c r="J1546" s="228">
        <f>MONTH(AVEU_Historical_Data__2[[#This Row],[Date]])</f>
        <v>6</v>
      </c>
      <c r="K1546" s="228"/>
    </row>
    <row r="1547" spans="1:11" x14ac:dyDescent="0.25">
      <c r="A1547" s="227">
        <v>46202</v>
      </c>
      <c r="B1547" s="228">
        <v>4357</v>
      </c>
      <c r="C1547" s="228">
        <v>4290.1000000000004</v>
      </c>
      <c r="D1547" s="228">
        <v>4385</v>
      </c>
      <c r="E1547" s="228">
        <v>4277.7</v>
      </c>
      <c r="F1547">
        <v>722210</v>
      </c>
      <c r="G1547" s="228">
        <v>1.4500000000000001E-2</v>
      </c>
      <c r="H1547" s="228">
        <f>YEAR(AVEU_Historical_Data__2[[#This Row],[Date]])</f>
        <v>2026</v>
      </c>
      <c r="I1547" s="228">
        <f>ROUNDUP((MOD(MONTH(AVEU_Historical_Data__2[[#This Row],[Date]])+8,12)+1)/3,0)</f>
        <v>1</v>
      </c>
      <c r="J1547" s="228">
        <f>MONTH(AVEU_Historical_Data__2[[#This Row],[Date]])</f>
        <v>6</v>
      </c>
      <c r="K1547" s="228"/>
    </row>
    <row r="1548" spans="1:11" x14ac:dyDescent="0.25">
      <c r="A1548" s="227">
        <v>46203</v>
      </c>
      <c r="B1548" s="228">
        <v>4380.7</v>
      </c>
      <c r="C1548" s="228">
        <v>4357.8999999999996</v>
      </c>
      <c r="D1548" s="228">
        <v>4402</v>
      </c>
      <c r="E1548" s="228">
        <v>4312.5</v>
      </c>
      <c r="F1548">
        <v>379460</v>
      </c>
      <c r="G1548" s="228">
        <v>5.4000000000000003E-3</v>
      </c>
      <c r="H1548" s="228">
        <f>YEAR(AVEU_Historical_Data__2[[#This Row],[Date]])</f>
        <v>2026</v>
      </c>
      <c r="I1548" s="228">
        <f>ROUNDUP((MOD(MONTH(AVEU_Historical_Data__2[[#This Row],[Date]])+8,12)+1)/3,0)</f>
        <v>1</v>
      </c>
      <c r="J1548" s="228">
        <f>MONTH(AVEU_Historical_Data__2[[#This Row],[Date]])</f>
        <v>6</v>
      </c>
      <c r="K1548" s="228"/>
    </row>
    <row r="1549" spans="1:11" x14ac:dyDescent="0.25">
      <c r="A1549" s="227">
        <v>46204</v>
      </c>
      <c r="B1549" s="228">
        <v>4328.6000000000004</v>
      </c>
      <c r="C1549" s="228">
        <v>4368.8</v>
      </c>
      <c r="D1549" s="228">
        <v>4374.7</v>
      </c>
      <c r="E1549" s="228">
        <v>4220.5</v>
      </c>
      <c r="F1549">
        <v>930650</v>
      </c>
      <c r="G1549" s="228">
        <v>-1.1900000000000001E-2</v>
      </c>
      <c r="H1549" s="228">
        <f>YEAR(AVEU_Historical_Data__2[[#This Row],[Date]])</f>
        <v>2026</v>
      </c>
      <c r="I1549" s="228">
        <f>ROUNDUP((MOD(MONTH(AVEU_Historical_Data__2[[#This Row],[Date]])+8,12)+1)/3,0)</f>
        <v>2</v>
      </c>
      <c r="J1549" s="228">
        <f>MONTH(AVEU_Historical_Data__2[[#This Row],[Date]])</f>
        <v>7</v>
      </c>
      <c r="K1549" s="228"/>
    </row>
    <row r="1550" spans="1:11" x14ac:dyDescent="0.25">
      <c r="A1550" s="227">
        <v>46205</v>
      </c>
      <c r="B1550" s="228">
        <v>4187</v>
      </c>
      <c r="C1550" s="228">
        <v>4328.6000000000004</v>
      </c>
      <c r="D1550" s="228">
        <v>4334.6000000000004</v>
      </c>
      <c r="E1550" s="228">
        <v>4176</v>
      </c>
      <c r="F1550">
        <v>1250000</v>
      </c>
      <c r="G1550" s="228">
        <v>-3.27E-2</v>
      </c>
      <c r="H1550" s="228">
        <f>YEAR(AVEU_Historical_Data__2[[#This Row],[Date]])</f>
        <v>2026</v>
      </c>
      <c r="I1550" s="228">
        <f>ROUNDUP((MOD(MONTH(AVEU_Historical_Data__2[[#This Row],[Date]])+8,12)+1)/3,0)</f>
        <v>2</v>
      </c>
      <c r="J1550" s="228">
        <f>MONTH(AVEU_Historical_Data__2[[#This Row],[Date]])</f>
        <v>7</v>
      </c>
      <c r="K1550" s="228"/>
    </row>
    <row r="1551" spans="1:11" x14ac:dyDescent="0.25">
      <c r="A1551" s="227">
        <v>46206</v>
      </c>
      <c r="B1551" s="228">
        <v>3994.4</v>
      </c>
      <c r="C1551" s="228">
        <v>4090</v>
      </c>
      <c r="D1551" s="228">
        <v>4090</v>
      </c>
      <c r="E1551" s="228">
        <v>3982.7</v>
      </c>
      <c r="F1551">
        <v>1900000</v>
      </c>
      <c r="G1551" s="228">
        <v>-4.5999999999999999E-2</v>
      </c>
      <c r="H1551" s="228">
        <f>YEAR(AVEU_Historical_Data__2[[#This Row],[Date]])</f>
        <v>2026</v>
      </c>
      <c r="I1551" s="228">
        <f>ROUNDUP((MOD(MONTH(AVEU_Historical_Data__2[[#This Row],[Date]])+8,12)+1)/3,0)</f>
        <v>2</v>
      </c>
      <c r="J1551" s="228">
        <f>MONTH(AVEU_Historical_Data__2[[#This Row],[Date]])</f>
        <v>7</v>
      </c>
      <c r="K1551" s="228"/>
    </row>
    <row r="1552" spans="1:11" x14ac:dyDescent="0.25">
      <c r="A1552" s="227">
        <v>46209</v>
      </c>
      <c r="B1552" s="228">
        <v>4064.7</v>
      </c>
      <c r="C1552" s="228">
        <v>4024.2</v>
      </c>
      <c r="D1552" s="228">
        <v>4076</v>
      </c>
      <c r="E1552" s="228">
        <v>3996.7</v>
      </c>
      <c r="F1552">
        <v>610590</v>
      </c>
      <c r="G1552" s="228">
        <v>1.7600000000000001E-2</v>
      </c>
      <c r="H1552" s="228">
        <f>YEAR(AVEU_Historical_Data__2[[#This Row],[Date]])</f>
        <v>2026</v>
      </c>
      <c r="I1552" s="228">
        <f>ROUNDUP((MOD(MONTH(AVEU_Historical_Data__2[[#This Row],[Date]])+8,12)+1)/3,0)</f>
        <v>2</v>
      </c>
      <c r="J1552" s="228">
        <f>MONTH(AVEU_Historical_Data__2[[#This Row],[Date]])</f>
        <v>7</v>
      </c>
      <c r="K1552" s="228"/>
    </row>
    <row r="1553" spans="1:14" x14ac:dyDescent="0.25">
      <c r="A1553" s="227">
        <v>46210</v>
      </c>
      <c r="B1553" s="228">
        <v>4070.9</v>
      </c>
      <c r="C1553" s="228">
        <v>4076.1</v>
      </c>
      <c r="D1553" s="228">
        <v>4094.6</v>
      </c>
      <c r="E1553" s="228">
        <v>4042.4</v>
      </c>
      <c r="F1553">
        <v>550080</v>
      </c>
      <c r="G1553" s="228">
        <v>1.5E-3</v>
      </c>
      <c r="H1553" s="228">
        <f>YEAR(AVEU_Historical_Data__2[[#This Row],[Date]])</f>
        <v>2026</v>
      </c>
      <c r="I1553" s="228">
        <f>ROUNDUP((MOD(MONTH(AVEU_Historical_Data__2[[#This Row],[Date]])+8,12)+1)/3,0)</f>
        <v>2</v>
      </c>
      <c r="J1553" s="228">
        <f>MONTH(AVEU_Historical_Data__2[[#This Row],[Date]])</f>
        <v>7</v>
      </c>
      <c r="K1553" s="228"/>
    </row>
    <row r="1554" spans="1:14" x14ac:dyDescent="0.25">
      <c r="A1554" s="227">
        <v>46211</v>
      </c>
      <c r="B1554" s="228">
        <v>4038.6</v>
      </c>
      <c r="C1554" s="228">
        <v>4050</v>
      </c>
      <c r="D1554" s="228">
        <v>4071.2</v>
      </c>
      <c r="E1554" s="228">
        <v>4009.9</v>
      </c>
      <c r="F1554">
        <v>236680</v>
      </c>
      <c r="G1554" s="228">
        <v>-7.9000000000000008E-3</v>
      </c>
      <c r="H1554" s="228">
        <f>YEAR(AVEU_Historical_Data__2[[#This Row],[Date]])</f>
        <v>2026</v>
      </c>
      <c r="I1554" s="228">
        <f>ROUNDUP((MOD(MONTH(AVEU_Historical_Data__2[[#This Row],[Date]])+8,12)+1)/3,0)</f>
        <v>2</v>
      </c>
      <c r="J1554" s="228">
        <f>MONTH(AVEU_Historical_Data__2[[#This Row],[Date]])</f>
        <v>7</v>
      </c>
      <c r="K1554" s="228"/>
    </row>
    <row r="1555" spans="1:14" x14ac:dyDescent="0.25">
      <c r="A1555" s="227">
        <v>46212</v>
      </c>
      <c r="B1555" s="228">
        <v>4079.4</v>
      </c>
      <c r="C1555" s="228">
        <v>4034</v>
      </c>
      <c r="D1555" s="228">
        <v>4086.2</v>
      </c>
      <c r="E1555" s="228">
        <v>3980</v>
      </c>
      <c r="F1555">
        <v>533040</v>
      </c>
      <c r="G1555" s="228">
        <v>1.01E-2</v>
      </c>
      <c r="H1555" s="228">
        <f>YEAR(AVEU_Historical_Data__2[[#This Row],[Date]])</f>
        <v>2026</v>
      </c>
      <c r="I1555" s="228">
        <f>ROUNDUP((MOD(MONTH(AVEU_Historical_Data__2[[#This Row],[Date]])+8,12)+1)/3,0)</f>
        <v>2</v>
      </c>
      <c r="J1555" s="228">
        <f>MONTH(AVEU_Historical_Data__2[[#This Row],[Date]])</f>
        <v>7</v>
      </c>
      <c r="K1555" s="228"/>
    </row>
    <row r="1556" spans="1:14" x14ac:dyDescent="0.25">
      <c r="A1556" s="227">
        <v>46213</v>
      </c>
      <c r="B1556" s="228">
        <v>4081.1</v>
      </c>
      <c r="C1556" s="228">
        <v>4089</v>
      </c>
      <c r="D1556" s="228">
        <v>4108</v>
      </c>
      <c r="E1556" s="228">
        <v>4025.7</v>
      </c>
      <c r="F1556">
        <v>752660</v>
      </c>
      <c r="G1556" s="228">
        <v>4.0000000000000002E-4</v>
      </c>
      <c r="H1556" s="228">
        <f>YEAR(AVEU_Historical_Data__2[[#This Row],[Date]])</f>
        <v>2026</v>
      </c>
      <c r="I1556" s="228">
        <f>ROUNDUP((MOD(MONTH(AVEU_Historical_Data__2[[#This Row],[Date]])+8,12)+1)/3,0)</f>
        <v>2</v>
      </c>
      <c r="J1556" s="228">
        <f>MONTH(AVEU_Historical_Data__2[[#This Row],[Date]])</f>
        <v>7</v>
      </c>
      <c r="K1556" s="228"/>
    </row>
    <row r="1557" spans="1:14" x14ac:dyDescent="0.25">
      <c r="A1557" s="227">
        <v>46216</v>
      </c>
      <c r="B1557" s="228">
        <v>3994.1</v>
      </c>
      <c r="C1557" s="228">
        <v>3950</v>
      </c>
      <c r="D1557" s="228">
        <v>4012.8</v>
      </c>
      <c r="E1557" s="228">
        <v>3908</v>
      </c>
      <c r="F1557">
        <v>2290000</v>
      </c>
      <c r="G1557" s="228">
        <v>-2.1299999999999999E-2</v>
      </c>
      <c r="H1557" s="228">
        <f>YEAR(AVEU_Historical_Data__2[[#This Row],[Date]])</f>
        <v>2026</v>
      </c>
      <c r="I1557" s="228">
        <f>ROUNDUP((MOD(MONTH(AVEU_Historical_Data__2[[#This Row],[Date]])+8,12)+1)/3,0)</f>
        <v>2</v>
      </c>
      <c r="J1557" s="228">
        <f>MONTH(AVEU_Historical_Data__2[[#This Row],[Date]])</f>
        <v>7</v>
      </c>
      <c r="K1557" s="228"/>
    </row>
    <row r="1558" spans="1:14" x14ac:dyDescent="0.25">
      <c r="A1558" s="227">
        <v>46217</v>
      </c>
      <c r="B1558" s="228">
        <v>3915.9</v>
      </c>
      <c r="C1558" s="228">
        <v>3988.9</v>
      </c>
      <c r="D1558" s="228">
        <v>3994.4</v>
      </c>
      <c r="E1558" s="228">
        <v>3895.1</v>
      </c>
      <c r="F1558">
        <v>678160</v>
      </c>
      <c r="G1558" s="228">
        <v>-1.9599999999999999E-2</v>
      </c>
      <c r="H1558" s="228">
        <f>YEAR(AVEU_Historical_Data__2[[#This Row],[Date]])</f>
        <v>2026</v>
      </c>
      <c r="I1558" s="228">
        <f>ROUNDUP((MOD(MONTH(AVEU_Historical_Data__2[[#This Row],[Date]])+8,12)+1)/3,0)</f>
        <v>2</v>
      </c>
      <c r="J1558" s="228">
        <f>MONTH(AVEU_Historical_Data__2[[#This Row],[Date]])</f>
        <v>7</v>
      </c>
      <c r="K1558" s="228"/>
    </row>
    <row r="1559" spans="1:14" x14ac:dyDescent="0.25">
      <c r="A1559" s="227">
        <v>46218</v>
      </c>
      <c r="B1559" s="228">
        <v>3929.3</v>
      </c>
      <c r="C1559" s="228">
        <v>3919.6</v>
      </c>
      <c r="D1559" s="228">
        <v>3941.8</v>
      </c>
      <c r="E1559" s="228">
        <v>3886.7</v>
      </c>
      <c r="F1559">
        <v>346730</v>
      </c>
      <c r="G1559" s="228">
        <v>3.3999999999999998E-3</v>
      </c>
      <c r="H1559" s="228">
        <f>YEAR(AVEU_Historical_Data__2[[#This Row],[Date]])</f>
        <v>2026</v>
      </c>
      <c r="I1559" s="228">
        <f>ROUNDUP((MOD(MONTH(AVEU_Historical_Data__2[[#This Row],[Date]])+8,12)+1)/3,0)</f>
        <v>2</v>
      </c>
      <c r="J1559" s="228">
        <f>MONTH(AVEU_Historical_Data__2[[#This Row],[Date]])</f>
        <v>7</v>
      </c>
      <c r="K1559" s="228"/>
    </row>
    <row r="1560" spans="1:14" x14ac:dyDescent="0.25">
      <c r="A1560" s="227">
        <v>46219</v>
      </c>
      <c r="B1560" s="228">
        <v>3950.9</v>
      </c>
      <c r="C1560" s="228">
        <v>3930</v>
      </c>
      <c r="D1560" s="228">
        <v>3987</v>
      </c>
      <c r="E1560" s="228">
        <v>3930</v>
      </c>
      <c r="F1560">
        <v>356590</v>
      </c>
      <c r="G1560" s="228">
        <v>5.4999999999999997E-3</v>
      </c>
      <c r="H1560" s="228">
        <f>YEAR(AVEU_Historical_Data__2[[#This Row],[Date]])</f>
        <v>2026</v>
      </c>
      <c r="I1560" s="228">
        <f>ROUNDUP((MOD(MONTH(AVEU_Historical_Data__2[[#This Row],[Date]])+8,12)+1)/3,0)</f>
        <v>2</v>
      </c>
      <c r="J1560" s="228">
        <f>MONTH(AVEU_Historical_Data__2[[#This Row],[Date]])</f>
        <v>7</v>
      </c>
      <c r="K1560" s="228"/>
    </row>
    <row r="1561" spans="1:14" x14ac:dyDescent="0.25">
      <c r="A1561" s="227">
        <v>46220</v>
      </c>
      <c r="B1561" s="228">
        <v>3951.9</v>
      </c>
      <c r="C1561" s="228">
        <v>3955</v>
      </c>
      <c r="D1561" s="228">
        <v>3989</v>
      </c>
      <c r="E1561" s="228">
        <v>3927.5</v>
      </c>
      <c r="F1561">
        <v>356570</v>
      </c>
      <c r="G1561" s="228">
        <v>2.9999999999999997E-4</v>
      </c>
      <c r="H1561" s="228">
        <f>YEAR(AVEU_Historical_Data__2[[#This Row],[Date]])</f>
        <v>2026</v>
      </c>
      <c r="I1561" s="228">
        <f>ROUNDUP((MOD(MONTH(AVEU_Historical_Data__2[[#This Row],[Date]])+8,12)+1)/3,0)</f>
        <v>2</v>
      </c>
      <c r="J1561" s="228">
        <f>MONTH(AVEU_Historical_Data__2[[#This Row],[Date]])</f>
        <v>7</v>
      </c>
      <c r="K1561" s="228"/>
    </row>
    <row r="1562" spans="1:14" x14ac:dyDescent="0.25">
      <c r="A1562" s="227">
        <v>46223</v>
      </c>
      <c r="B1562" s="228">
        <v>3975.5</v>
      </c>
      <c r="C1562" s="228">
        <v>3950</v>
      </c>
      <c r="D1562" s="228">
        <v>3997.8</v>
      </c>
      <c r="E1562" s="228">
        <v>3930.4</v>
      </c>
      <c r="F1562">
        <v>273450</v>
      </c>
      <c r="G1562" s="228">
        <v>6.0000000000000001E-3</v>
      </c>
      <c r="H1562" s="228">
        <f>YEAR(AVEU_Historical_Data__2[[#This Row],[Date]])</f>
        <v>2026</v>
      </c>
      <c r="I1562" s="228">
        <f>ROUNDUP((MOD(MONTH(AVEU_Historical_Data__2[[#This Row],[Date]])+8,12)+1)/3,0)</f>
        <v>2</v>
      </c>
      <c r="J1562" s="228">
        <f>MONTH(AVEU_Historical_Data__2[[#This Row],[Date]])</f>
        <v>7</v>
      </c>
      <c r="K1562" s="228"/>
    </row>
    <row r="1563" spans="1:14" x14ac:dyDescent="0.25">
      <c r="A1563" s="227">
        <v>46224</v>
      </c>
      <c r="B1563" s="228">
        <v>3975.6</v>
      </c>
      <c r="C1563" s="228">
        <v>3974.8</v>
      </c>
      <c r="D1563" s="228">
        <v>4009</v>
      </c>
      <c r="E1563" s="228">
        <v>3955.2</v>
      </c>
      <c r="F1563">
        <v>314700</v>
      </c>
      <c r="G1563" s="228">
        <v>0</v>
      </c>
      <c r="H1563" s="228">
        <f>YEAR(AVEU_Historical_Data__2[[#This Row],[Date]])</f>
        <v>2026</v>
      </c>
      <c r="I1563" s="228">
        <f>ROUNDUP((MOD(MONTH(AVEU_Historical_Data__2[[#This Row],[Date]])+8,12)+1)/3,0)</f>
        <v>2</v>
      </c>
      <c r="J1563" s="228">
        <f>MONTH(AVEU_Historical_Data__2[[#This Row],[Date]])</f>
        <v>7</v>
      </c>
      <c r="K1563" s="228"/>
    </row>
    <row r="1564" spans="1:14" x14ac:dyDescent="0.25">
      <c r="A1564" s="227">
        <v>46225</v>
      </c>
      <c r="B1564" s="228">
        <v>4000.5</v>
      </c>
      <c r="C1564" s="228">
        <v>3970</v>
      </c>
      <c r="D1564" s="228">
        <v>4012.3</v>
      </c>
      <c r="E1564" s="228">
        <v>3957.3</v>
      </c>
      <c r="F1564">
        <v>324610</v>
      </c>
      <c r="G1564" s="228">
        <v>6.3E-3</v>
      </c>
      <c r="H1564" s="228">
        <f>YEAR(AVEU_Historical_Data__2[[#This Row],[Date]])</f>
        <v>2026</v>
      </c>
      <c r="I1564" s="228">
        <f>ROUNDUP((MOD(MONTH(AVEU_Historical_Data__2[[#This Row],[Date]])+8,12)+1)/3,0)</f>
        <v>2</v>
      </c>
      <c r="J1564" s="228">
        <f>MONTH(AVEU_Historical_Data__2[[#This Row],[Date]])</f>
        <v>7</v>
      </c>
      <c r="K1564" s="228"/>
    </row>
    <row r="1565" spans="1:14" x14ac:dyDescent="0.25">
      <c r="A1565" s="227">
        <v>46226</v>
      </c>
      <c r="B1565" s="228">
        <v>4035</v>
      </c>
      <c r="C1565" s="228">
        <v>3984</v>
      </c>
      <c r="D1565" s="228">
        <v>4124.8999999999996</v>
      </c>
      <c r="E1565" s="228">
        <v>3981.9</v>
      </c>
      <c r="F1565">
        <v>740770</v>
      </c>
      <c r="G1565" s="228">
        <v>8.6E-3</v>
      </c>
      <c r="H1565" s="228">
        <f>YEAR(AVEU_Historical_Data__2[[#This Row],[Date]])</f>
        <v>2026</v>
      </c>
      <c r="I1565" s="228">
        <f>ROUNDUP((MOD(MONTH(AVEU_Historical_Data__2[[#This Row],[Date]])+8,12)+1)/3,0)</f>
        <v>2</v>
      </c>
      <c r="J1565" s="228">
        <f>MONTH(AVEU_Historical_Data__2[[#This Row],[Date]])</f>
        <v>7</v>
      </c>
      <c r="K1565" s="228"/>
    </row>
    <row r="1566" spans="1:14" x14ac:dyDescent="0.25">
      <c r="A1566" s="227">
        <v>46227</v>
      </c>
      <c r="B1566" s="228">
        <v>4018.8</v>
      </c>
      <c r="C1566" s="228">
        <v>4010</v>
      </c>
      <c r="D1566" s="228">
        <v>4074.8</v>
      </c>
      <c r="E1566" s="228">
        <v>3990</v>
      </c>
      <c r="F1566">
        <v>332480</v>
      </c>
      <c r="G1566" s="228">
        <v>-4.0000000000000001E-3</v>
      </c>
      <c r="H1566" s="228">
        <f>YEAR(AVEU_Historical_Data__2[[#This Row],[Date]])</f>
        <v>2026</v>
      </c>
      <c r="I1566" s="228">
        <f>ROUNDUP((MOD(MONTH(AVEU_Historical_Data__2[[#This Row],[Date]])+8,12)+1)/3,0)</f>
        <v>2</v>
      </c>
      <c r="J1566" s="228">
        <f>MONTH(AVEU_Historical_Data__2[[#This Row],[Date]])</f>
        <v>7</v>
      </c>
      <c r="K1566" s="228"/>
    </row>
    <row r="1567" spans="1:14" x14ac:dyDescent="0.25">
      <c r="A1567" s="227">
        <v>46230</v>
      </c>
      <c r="B1567" s="228">
        <v>4027.7</v>
      </c>
      <c r="C1567" s="228">
        <v>4030</v>
      </c>
      <c r="D1567" s="228">
        <v>4074.1</v>
      </c>
      <c r="E1567" s="228">
        <v>4013</v>
      </c>
      <c r="F1567">
        <v>384730</v>
      </c>
      <c r="G1567" s="228">
        <v>2.2000000000000001E-3</v>
      </c>
      <c r="H1567" s="228">
        <f>YEAR(AVEU_Historical_Data__2[[#This Row],[Date]])</f>
        <v>2026</v>
      </c>
      <c r="I1567" s="228">
        <f>ROUNDUP((MOD(MONTH(AVEU_Historical_Data__2[[#This Row],[Date]])+8,12)+1)/3,0)</f>
        <v>2</v>
      </c>
      <c r="J1567" s="228">
        <f>MONTH(AVEU_Historical_Data__2[[#This Row],[Date]])</f>
        <v>7</v>
      </c>
      <c r="K1567" s="228"/>
      <c r="N1567">
        <v>1000</v>
      </c>
    </row>
    <row r="1568" spans="1:14" x14ac:dyDescent="0.25">
      <c r="A1568" s="227">
        <v>46231</v>
      </c>
      <c r="B1568" s="228">
        <v>3846.6</v>
      </c>
      <c r="C1568" s="228">
        <v>4027.7</v>
      </c>
      <c r="D1568" s="228">
        <v>4094.2</v>
      </c>
      <c r="E1568" s="228">
        <v>3755.1</v>
      </c>
      <c r="F1568">
        <v>2410000</v>
      </c>
      <c r="G1568" s="228">
        <v>-4.4999999999999998E-2</v>
      </c>
      <c r="H1568" s="228">
        <f>YEAR(AVEU_Historical_Data__2[[#This Row],[Date]])</f>
        <v>2026</v>
      </c>
      <c r="I1568" s="228">
        <f>ROUNDUP((MOD(MONTH(AVEU_Historical_Data__2[[#This Row],[Date]])+8,12)+1)/3,0)</f>
        <v>2</v>
      </c>
      <c r="J1568" s="228">
        <f>MONTH(AVEU_Historical_Data__2[[#This Row],[Date]])</f>
        <v>7</v>
      </c>
      <c r="K1568" s="228"/>
    </row>
    <row r="1569" spans="1:11" x14ac:dyDescent="0.25">
      <c r="A1569" s="227">
        <v>46232</v>
      </c>
      <c r="B1569" s="228">
        <v>3848.1</v>
      </c>
      <c r="C1569" s="228">
        <v>3859.3</v>
      </c>
      <c r="D1569" s="228">
        <v>3879.8</v>
      </c>
      <c r="E1569" s="228">
        <v>3826</v>
      </c>
      <c r="F1569">
        <v>629780</v>
      </c>
      <c r="G1569" s="228">
        <v>4.0000000000000002E-4</v>
      </c>
      <c r="H1569" s="228">
        <f>YEAR(AVEU_Historical_Data__2[[#This Row],[Date]])</f>
        <v>2026</v>
      </c>
      <c r="I1569" s="228">
        <f>ROUNDUP((MOD(MONTH(AVEU_Historical_Data__2[[#This Row],[Date]])+8,12)+1)/3,0)</f>
        <v>2</v>
      </c>
      <c r="J1569" s="228">
        <f>MONTH(AVEU_Historical_Data__2[[#This Row],[Date]])</f>
        <v>7</v>
      </c>
      <c r="K1569" s="228"/>
    </row>
    <row r="1570" spans="1:11" x14ac:dyDescent="0.25">
      <c r="A1570" s="227">
        <v>46233</v>
      </c>
      <c r="B1570" s="228">
        <v>3874</v>
      </c>
      <c r="C1570" s="228">
        <v>3849</v>
      </c>
      <c r="D1570" s="228">
        <v>3967.2</v>
      </c>
      <c r="E1570" s="228">
        <v>3837.1</v>
      </c>
      <c r="F1570">
        <v>1040000</v>
      </c>
      <c r="G1570" s="228">
        <v>6.7000000000000002E-3</v>
      </c>
      <c r="H1570" s="228">
        <f>YEAR(AVEU_Historical_Data__2[[#This Row],[Date]])</f>
        <v>2026</v>
      </c>
      <c r="I1570" s="228">
        <f>ROUNDUP((MOD(MONTH(AVEU_Historical_Data__2[[#This Row],[Date]])+8,12)+1)/3,0)</f>
        <v>2</v>
      </c>
      <c r="J1570" s="228">
        <f>MONTH(AVEU_Historical_Data__2[[#This Row],[Date]])</f>
        <v>7</v>
      </c>
      <c r="K1570" s="228"/>
    </row>
    <row r="1571" spans="1:11" x14ac:dyDescent="0.25">
      <c r="A1571" s="227">
        <v>46234</v>
      </c>
      <c r="B1571" s="228">
        <v>3921</v>
      </c>
      <c r="C1571" s="228">
        <v>3900.1</v>
      </c>
      <c r="D1571" s="228">
        <v>3946.5</v>
      </c>
      <c r="E1571" s="228">
        <v>3889.7</v>
      </c>
      <c r="F1571">
        <v>551950</v>
      </c>
      <c r="G1571" s="228">
        <v>1.21E-2</v>
      </c>
      <c r="H1571" s="228">
        <f>YEAR(AVEU_Historical_Data__2[[#This Row],[Date]])</f>
        <v>2026</v>
      </c>
      <c r="I1571" s="228">
        <f>ROUNDUP((MOD(MONTH(AVEU_Historical_Data__2[[#This Row],[Date]])+8,12)+1)/3,0)</f>
        <v>2</v>
      </c>
      <c r="J1571" s="228">
        <f>MONTH(AVEU_Historical_Data__2[[#This Row],[Date]])</f>
        <v>7</v>
      </c>
      <c r="K1571" s="228"/>
    </row>
    <row r="1572" spans="1:11" x14ac:dyDescent="0.25">
      <c r="A1572" s="227">
        <v>46237</v>
      </c>
      <c r="B1572" s="228">
        <v>4015</v>
      </c>
      <c r="C1572" s="228">
        <v>3945.1</v>
      </c>
      <c r="D1572" s="228">
        <v>4017</v>
      </c>
      <c r="E1572" s="228">
        <v>3912.1</v>
      </c>
      <c r="F1572">
        <v>497300</v>
      </c>
      <c r="G1572" s="228">
        <v>2.4E-2</v>
      </c>
      <c r="H1572" s="228">
        <f>YEAR(AVEU_Historical_Data__2[[#This Row],[Date]])</f>
        <v>2026</v>
      </c>
      <c r="I1572" s="228">
        <f>ROUNDUP((MOD(MONTH(AVEU_Historical_Data__2[[#This Row],[Date]])+8,12)+1)/3,0)</f>
        <v>2</v>
      </c>
      <c r="J1572" s="228">
        <f>MONTH(AVEU_Historical_Data__2[[#This Row],[Date]])</f>
        <v>8</v>
      </c>
      <c r="K1572" s="228"/>
    </row>
    <row r="1573" spans="1:11" x14ac:dyDescent="0.25">
      <c r="A1573" s="227">
        <v>46238</v>
      </c>
      <c r="B1573" s="228">
        <v>4023</v>
      </c>
      <c r="C1573" s="228">
        <v>4023</v>
      </c>
      <c r="D1573" s="228">
        <v>4023</v>
      </c>
      <c r="E1573" s="228">
        <v>3969.7</v>
      </c>
      <c r="F1573">
        <v>448870</v>
      </c>
      <c r="G1573" s="228">
        <v>2E-3</v>
      </c>
      <c r="H1573" s="228">
        <f>YEAR(AVEU_Historical_Data__2[[#This Row],[Date]])</f>
        <v>2026</v>
      </c>
      <c r="I1573" s="228">
        <f>ROUNDUP((MOD(MONTH(AVEU_Historical_Data__2[[#This Row],[Date]])+8,12)+1)/3,0)</f>
        <v>2</v>
      </c>
      <c r="J1573" s="228">
        <f>MONTH(AVEU_Historical_Data__2[[#This Row],[Date]])</f>
        <v>8</v>
      </c>
      <c r="K1573" s="228"/>
    </row>
    <row r="1574" spans="1:11" x14ac:dyDescent="0.25">
      <c r="A1574" s="227">
        <v>46239</v>
      </c>
      <c r="B1574" s="228">
        <v>3946</v>
      </c>
      <c r="C1574" s="228">
        <v>4018</v>
      </c>
      <c r="D1574" s="228">
        <v>4018.5</v>
      </c>
      <c r="E1574" s="228">
        <v>3946</v>
      </c>
      <c r="F1574">
        <v>347770</v>
      </c>
      <c r="G1574" s="228">
        <v>-1.9099999999999999E-2</v>
      </c>
      <c r="H1574" s="228">
        <f>YEAR(AVEU_Historical_Data__2[[#This Row],[Date]])</f>
        <v>2026</v>
      </c>
      <c r="I1574" s="228">
        <f>ROUNDUP((MOD(MONTH(AVEU_Historical_Data__2[[#This Row],[Date]])+8,12)+1)/3,0)</f>
        <v>2</v>
      </c>
      <c r="J1574" s="228">
        <f>MONTH(AVEU_Historical_Data__2[[#This Row],[Date]])</f>
        <v>8</v>
      </c>
      <c r="K1574" s="228"/>
    </row>
    <row r="1575" spans="1:11" x14ac:dyDescent="0.25">
      <c r="A1575" s="227">
        <v>46240</v>
      </c>
      <c r="B1575" s="228">
        <v>3931.2</v>
      </c>
      <c r="C1575" s="228">
        <v>3988.9</v>
      </c>
      <c r="D1575" s="228">
        <v>3988.9</v>
      </c>
      <c r="E1575" s="228">
        <v>3927.6</v>
      </c>
      <c r="F1575">
        <v>250190</v>
      </c>
      <c r="G1575" s="228">
        <v>-3.8E-3</v>
      </c>
      <c r="H1575" s="228">
        <f>YEAR(AVEU_Historical_Data__2[[#This Row],[Date]])</f>
        <v>2026</v>
      </c>
      <c r="I1575" s="228">
        <f>ROUNDUP((MOD(MONTH(AVEU_Historical_Data__2[[#This Row],[Date]])+8,12)+1)/3,0)</f>
        <v>2</v>
      </c>
      <c r="J1575" s="228">
        <f>MONTH(AVEU_Historical_Data__2[[#This Row],[Date]])</f>
        <v>8</v>
      </c>
      <c r="K1575" s="228"/>
    </row>
    <row r="1576" spans="1:11" x14ac:dyDescent="0.25">
      <c r="A1576" s="227">
        <v>46241</v>
      </c>
      <c r="B1576" s="228">
        <v>3900</v>
      </c>
      <c r="C1576" s="228">
        <v>3945</v>
      </c>
      <c r="D1576" s="228">
        <v>3948.4</v>
      </c>
      <c r="E1576" s="228">
        <v>3885.5</v>
      </c>
      <c r="F1576">
        <v>374240</v>
      </c>
      <c r="G1576" s="228">
        <v>-7.9000000000000008E-3</v>
      </c>
      <c r="H1576" s="228">
        <f>YEAR(AVEU_Historical_Data__2[[#This Row],[Date]])</f>
        <v>2026</v>
      </c>
      <c r="I1576" s="228">
        <f>ROUNDUP((MOD(MONTH(AVEU_Historical_Data__2[[#This Row],[Date]])+8,12)+1)/3,0)</f>
        <v>2</v>
      </c>
      <c r="J1576" s="228">
        <f>MONTH(AVEU_Historical_Data__2[[#This Row],[Date]])</f>
        <v>8</v>
      </c>
      <c r="K1576" s="228"/>
    </row>
    <row r="1577" spans="1:11" x14ac:dyDescent="0.25">
      <c r="A1577" s="227">
        <v>46244</v>
      </c>
      <c r="B1577" s="228">
        <v>4054</v>
      </c>
      <c r="C1577" s="228">
        <v>3910</v>
      </c>
      <c r="D1577" s="228">
        <v>4059.8</v>
      </c>
      <c r="E1577" s="228">
        <v>3897</v>
      </c>
      <c r="F1577">
        <v>552730</v>
      </c>
      <c r="G1577" s="228">
        <v>3.95E-2</v>
      </c>
      <c r="H1577" s="228">
        <f>YEAR(AVEU_Historical_Data__2[[#This Row],[Date]])</f>
        <v>2026</v>
      </c>
      <c r="I1577" s="228">
        <f>ROUNDUP((MOD(MONTH(AVEU_Historical_Data__2[[#This Row],[Date]])+8,12)+1)/3,0)</f>
        <v>2</v>
      </c>
      <c r="J1577" s="228">
        <f>MONTH(AVEU_Historical_Data__2[[#This Row],[Date]])</f>
        <v>8</v>
      </c>
      <c r="K1577" s="228"/>
    </row>
    <row r="1578" spans="1:11" x14ac:dyDescent="0.25">
      <c r="A1578" s="227">
        <v>46245</v>
      </c>
      <c r="B1578" s="228">
        <v>4054.9</v>
      </c>
      <c r="C1578" s="228">
        <v>4054</v>
      </c>
      <c r="D1578" s="228">
        <v>4085</v>
      </c>
      <c r="E1578" s="228">
        <v>4003.2</v>
      </c>
      <c r="F1578">
        <v>413760</v>
      </c>
      <c r="G1578" s="228">
        <v>2.0000000000000001E-4</v>
      </c>
      <c r="H1578" s="228">
        <f>YEAR(AVEU_Historical_Data__2[[#This Row],[Date]])</f>
        <v>2026</v>
      </c>
      <c r="I1578" s="228">
        <f>ROUNDUP((MOD(MONTH(AVEU_Historical_Data__2[[#This Row],[Date]])+8,12)+1)/3,0)</f>
        <v>2</v>
      </c>
      <c r="J1578" s="228">
        <f>MONTH(AVEU_Historical_Data__2[[#This Row],[Date]])</f>
        <v>8</v>
      </c>
      <c r="K1578" s="228"/>
    </row>
    <row r="1579" spans="1:11" x14ac:dyDescent="0.25">
      <c r="A1579" s="227">
        <v>46246</v>
      </c>
      <c r="B1579" s="228">
        <v>4040</v>
      </c>
      <c r="C1579" s="228">
        <v>4035</v>
      </c>
      <c r="D1579" s="228">
        <v>4068.9</v>
      </c>
      <c r="E1579" s="228">
        <v>4020</v>
      </c>
      <c r="F1579">
        <v>336890</v>
      </c>
      <c r="G1579" s="228">
        <v>-3.7000000000000002E-3</v>
      </c>
      <c r="H1579" s="228">
        <f>YEAR(AVEU_Historical_Data__2[[#This Row],[Date]])</f>
        <v>2026</v>
      </c>
      <c r="I1579" s="228">
        <f>ROUNDUP((MOD(MONTH(AVEU_Historical_Data__2[[#This Row],[Date]])+8,12)+1)/3,0)</f>
        <v>2</v>
      </c>
      <c r="J1579" s="228">
        <f>MONTH(AVEU_Historical_Data__2[[#This Row],[Date]])</f>
        <v>8</v>
      </c>
      <c r="K1579" s="228"/>
    </row>
    <row r="1580" spans="1:11" x14ac:dyDescent="0.25">
      <c r="A1580" s="227">
        <v>46247</v>
      </c>
      <c r="B1580" s="228">
        <v>4070</v>
      </c>
      <c r="C1580" s="228">
        <v>4060</v>
      </c>
      <c r="D1580" s="228">
        <v>4075</v>
      </c>
      <c r="E1580" s="228">
        <v>4010</v>
      </c>
      <c r="F1580">
        <v>397090</v>
      </c>
      <c r="G1580" s="228">
        <v>7.4000000000000003E-3</v>
      </c>
      <c r="H1580" s="228">
        <f>YEAR(AVEU_Historical_Data__2[[#This Row],[Date]])</f>
        <v>2026</v>
      </c>
      <c r="I1580" s="228">
        <f>ROUNDUP((MOD(MONTH(AVEU_Historical_Data__2[[#This Row],[Date]])+8,12)+1)/3,0)</f>
        <v>2</v>
      </c>
      <c r="J1580" s="228">
        <f>MONTH(AVEU_Historical_Data__2[[#This Row],[Date]])</f>
        <v>8</v>
      </c>
      <c r="K1580" s="228"/>
    </row>
    <row r="1581" spans="1:11" x14ac:dyDescent="0.25">
      <c r="A1581" s="227">
        <v>46248</v>
      </c>
      <c r="B1581" s="228">
        <v>4060</v>
      </c>
      <c r="C1581" s="228">
        <v>4074.8</v>
      </c>
      <c r="D1581" s="228">
        <v>4098.8999999999996</v>
      </c>
      <c r="E1581" s="228">
        <v>4038</v>
      </c>
      <c r="F1581">
        <v>357870</v>
      </c>
      <c r="G1581" s="228">
        <v>-2.5000000000000001E-3</v>
      </c>
      <c r="H1581" s="228">
        <f>YEAR(AVEU_Historical_Data__2[[#This Row],[Date]])</f>
        <v>2026</v>
      </c>
      <c r="I1581" s="228">
        <f>ROUNDUP((MOD(MONTH(AVEU_Historical_Data__2[[#This Row],[Date]])+8,12)+1)/3,0)</f>
        <v>2</v>
      </c>
      <c r="J1581" s="228">
        <f>MONTH(AVEU_Historical_Data__2[[#This Row],[Date]])</f>
        <v>8</v>
      </c>
      <c r="K1581" s="228"/>
    </row>
    <row r="1582" spans="1:11" x14ac:dyDescent="0.25">
      <c r="A1582" s="227">
        <v>46251</v>
      </c>
      <c r="B1582" s="228">
        <v>3995</v>
      </c>
      <c r="C1582" s="228">
        <v>4050</v>
      </c>
      <c r="D1582" s="228">
        <v>4050</v>
      </c>
      <c r="E1582" s="228">
        <v>3995</v>
      </c>
      <c r="F1582">
        <v>263000</v>
      </c>
      <c r="G1582" s="228">
        <v>-1.6E-2</v>
      </c>
      <c r="H1582" s="228">
        <f>YEAR(AVEU_Historical_Data__2[[#This Row],[Date]])</f>
        <v>2026</v>
      </c>
      <c r="I1582" s="228">
        <f>ROUNDUP((MOD(MONTH(AVEU_Historical_Data__2[[#This Row],[Date]])+8,12)+1)/3,0)</f>
        <v>2</v>
      </c>
      <c r="J1582" s="228">
        <f>MONTH(AVEU_Historical_Data__2[[#This Row],[Date]])</f>
        <v>8</v>
      </c>
      <c r="K1582" s="228"/>
    </row>
    <row r="1583" spans="1:11" x14ac:dyDescent="0.25">
      <c r="A1583" s="227">
        <v>46252</v>
      </c>
      <c r="B1583" s="228">
        <v>3981</v>
      </c>
      <c r="C1583" s="228">
        <v>3989.6</v>
      </c>
      <c r="D1583" s="228">
        <v>4019.1</v>
      </c>
      <c r="E1583" s="228">
        <v>3946.7</v>
      </c>
      <c r="F1583">
        <v>339330</v>
      </c>
      <c r="G1583" s="228">
        <v>-3.5000000000000001E-3</v>
      </c>
      <c r="H1583" s="228">
        <f>YEAR(AVEU_Historical_Data__2[[#This Row],[Date]])</f>
        <v>2026</v>
      </c>
      <c r="I1583" s="228">
        <f>ROUNDUP((MOD(MONTH(AVEU_Historical_Data__2[[#This Row],[Date]])+8,12)+1)/3,0)</f>
        <v>2</v>
      </c>
      <c r="J1583" s="228">
        <f>MONTH(AVEU_Historical_Data__2[[#This Row],[Date]])</f>
        <v>8</v>
      </c>
      <c r="K1583" s="228"/>
    </row>
    <row r="1584" spans="1:11" x14ac:dyDescent="0.25">
      <c r="A1584" s="227">
        <v>46253</v>
      </c>
      <c r="B1584" s="228">
        <v>3965</v>
      </c>
      <c r="C1584" s="228">
        <v>3988.8</v>
      </c>
      <c r="D1584" s="228">
        <v>4024.7</v>
      </c>
      <c r="E1584" s="228">
        <v>3965</v>
      </c>
      <c r="F1584">
        <v>214610</v>
      </c>
      <c r="G1584" s="228">
        <v>-4.0000000000000001E-3</v>
      </c>
      <c r="H1584" s="228">
        <f>YEAR(AVEU_Historical_Data__2[[#This Row],[Date]])</f>
        <v>2026</v>
      </c>
      <c r="I1584" s="228">
        <f>ROUNDUP((MOD(MONTH(AVEU_Historical_Data__2[[#This Row],[Date]])+8,12)+1)/3,0)</f>
        <v>2</v>
      </c>
      <c r="J1584" s="228">
        <f>MONTH(AVEU_Historical_Data__2[[#This Row],[Date]])</f>
        <v>8</v>
      </c>
      <c r="K1584" s="228"/>
    </row>
    <row r="1585" spans="1:11" x14ac:dyDescent="0.25">
      <c r="A1585" s="227">
        <v>46254</v>
      </c>
      <c r="B1585" s="228">
        <v>3960</v>
      </c>
      <c r="C1585" s="228">
        <v>3973.1</v>
      </c>
      <c r="D1585" s="228">
        <v>4070</v>
      </c>
      <c r="E1585" s="228">
        <v>3955.1</v>
      </c>
      <c r="F1585">
        <v>399620</v>
      </c>
      <c r="G1585" s="228">
        <v>-1.2999999999999999E-3</v>
      </c>
      <c r="H1585" s="228">
        <f>YEAR(AVEU_Historical_Data__2[[#This Row],[Date]])</f>
        <v>2026</v>
      </c>
      <c r="I1585" s="228">
        <f>ROUNDUP((MOD(MONTH(AVEU_Historical_Data__2[[#This Row],[Date]])+8,12)+1)/3,0)</f>
        <v>2</v>
      </c>
      <c r="J1585" s="228">
        <f>MONTH(AVEU_Historical_Data__2[[#This Row],[Date]])</f>
        <v>8</v>
      </c>
      <c r="K1585" s="228"/>
    </row>
    <row r="1586" spans="1:11" x14ac:dyDescent="0.25">
      <c r="A1586" s="227">
        <v>46255</v>
      </c>
      <c r="B1586" s="228">
        <v>3906</v>
      </c>
      <c r="C1586" s="228">
        <v>3979.8</v>
      </c>
      <c r="D1586" s="228">
        <v>3990</v>
      </c>
      <c r="E1586" s="228">
        <v>3866.4</v>
      </c>
      <c r="F1586">
        <v>417780</v>
      </c>
      <c r="G1586" s="228">
        <v>-1.3599999999999999E-2</v>
      </c>
      <c r="H1586" s="228">
        <f>YEAR(AVEU_Historical_Data__2[[#This Row],[Date]])</f>
        <v>2026</v>
      </c>
      <c r="I1586" s="228">
        <f>ROUNDUP((MOD(MONTH(AVEU_Historical_Data__2[[#This Row],[Date]])+8,12)+1)/3,0)</f>
        <v>2</v>
      </c>
      <c r="J1586" s="228">
        <f>MONTH(AVEU_Historical_Data__2[[#This Row],[Date]])</f>
        <v>8</v>
      </c>
      <c r="K1586" s="228"/>
    </row>
    <row r="1587" spans="1:11" x14ac:dyDescent="0.25">
      <c r="A1587" s="227">
        <v>46258</v>
      </c>
      <c r="B1587" s="228">
        <v>3940</v>
      </c>
      <c r="C1587" s="228">
        <v>3919.9</v>
      </c>
      <c r="D1587" s="228">
        <v>3940</v>
      </c>
      <c r="E1587" s="228">
        <v>3876.2</v>
      </c>
      <c r="F1587">
        <v>214120</v>
      </c>
      <c r="G1587" s="228">
        <v>8.6999999999999994E-3</v>
      </c>
      <c r="H1587" s="228">
        <f>YEAR(AVEU_Historical_Data__2[[#This Row],[Date]])</f>
        <v>2026</v>
      </c>
      <c r="I1587" s="228">
        <f>ROUNDUP((MOD(MONTH(AVEU_Historical_Data__2[[#This Row],[Date]])+8,12)+1)/3,0)</f>
        <v>2</v>
      </c>
      <c r="J1587" s="228">
        <f>MONTH(AVEU_Historical_Data__2[[#This Row],[Date]])</f>
        <v>8</v>
      </c>
      <c r="K1587" s="228"/>
    </row>
    <row r="1588" spans="1:11" x14ac:dyDescent="0.25">
      <c r="A1588" s="227">
        <v>46259</v>
      </c>
      <c r="B1588" s="228">
        <v>3909.6</v>
      </c>
      <c r="C1588" s="228">
        <v>3940</v>
      </c>
      <c r="D1588" s="228">
        <v>3960</v>
      </c>
      <c r="E1588" s="228">
        <v>3897.4</v>
      </c>
      <c r="F1588">
        <v>215830</v>
      </c>
      <c r="G1588" s="228">
        <v>-7.7000000000000002E-3</v>
      </c>
      <c r="H1588" s="228">
        <f>YEAR(AVEU_Historical_Data__2[[#This Row],[Date]])</f>
        <v>2026</v>
      </c>
      <c r="I1588" s="228">
        <f>ROUNDUP((MOD(MONTH(AVEU_Historical_Data__2[[#This Row],[Date]])+8,12)+1)/3,0)</f>
        <v>2</v>
      </c>
      <c r="J1588" s="228">
        <f>MONTH(AVEU_Historical_Data__2[[#This Row],[Date]])</f>
        <v>8</v>
      </c>
      <c r="K1588" s="228"/>
    </row>
    <row r="1589" spans="1:11" x14ac:dyDescent="0.25">
      <c r="A1589" s="227">
        <v>46260</v>
      </c>
      <c r="B1589" s="228">
        <v>3826.9</v>
      </c>
      <c r="C1589" s="228">
        <v>3922.9</v>
      </c>
      <c r="D1589" s="228">
        <v>3935.5</v>
      </c>
      <c r="E1589" s="228">
        <v>3737.2</v>
      </c>
      <c r="F1589">
        <v>2370000</v>
      </c>
      <c r="G1589" s="228">
        <v>-2.12E-2</v>
      </c>
      <c r="H1589" s="228">
        <f>YEAR(AVEU_Historical_Data__2[[#This Row],[Date]])</f>
        <v>2026</v>
      </c>
      <c r="I1589" s="228">
        <f>ROUNDUP((MOD(MONTH(AVEU_Historical_Data__2[[#This Row],[Date]])+8,12)+1)/3,0)</f>
        <v>2</v>
      </c>
      <c r="J1589" s="228">
        <f>MONTH(AVEU_Historical_Data__2[[#This Row],[Date]])</f>
        <v>8</v>
      </c>
      <c r="K1589" s="228"/>
    </row>
    <row r="1590" spans="1:11" x14ac:dyDescent="0.25">
      <c r="A1590" s="227">
        <v>46261</v>
      </c>
      <c r="B1590" s="228">
        <v>3847.4</v>
      </c>
      <c r="C1590" s="228">
        <v>3820</v>
      </c>
      <c r="D1590" s="228">
        <v>3874.4</v>
      </c>
      <c r="E1590" s="228">
        <v>3818</v>
      </c>
      <c r="F1590">
        <v>416840</v>
      </c>
      <c r="G1590" s="228">
        <v>5.4000000000000003E-3</v>
      </c>
      <c r="H1590" s="228">
        <f>YEAR(AVEU_Historical_Data__2[[#This Row],[Date]])</f>
        <v>2026</v>
      </c>
      <c r="I1590" s="228">
        <f>ROUNDUP((MOD(MONTH(AVEU_Historical_Data__2[[#This Row],[Date]])+8,12)+1)/3,0)</f>
        <v>2</v>
      </c>
      <c r="J1590" s="228">
        <f>MONTH(AVEU_Historical_Data__2[[#This Row],[Date]])</f>
        <v>8</v>
      </c>
      <c r="K1590" s="228"/>
    </row>
    <row r="1591" spans="1:11" x14ac:dyDescent="0.25">
      <c r="A1591" s="227">
        <v>46262</v>
      </c>
      <c r="B1591" s="228">
        <v>3830.6</v>
      </c>
      <c r="C1591" s="228">
        <v>3850</v>
      </c>
      <c r="D1591" s="228">
        <v>3853.9</v>
      </c>
      <c r="E1591" s="228">
        <v>3822</v>
      </c>
      <c r="F1591">
        <v>276880</v>
      </c>
      <c r="G1591" s="228">
        <v>-4.4000000000000003E-3</v>
      </c>
      <c r="H1591" s="228">
        <f>YEAR(AVEU_Historical_Data__2[[#This Row],[Date]])</f>
        <v>2026</v>
      </c>
      <c r="I1591" s="228">
        <f>ROUNDUP((MOD(MONTH(AVEU_Historical_Data__2[[#This Row],[Date]])+8,12)+1)/3,0)</f>
        <v>2</v>
      </c>
      <c r="J1591" s="228">
        <f>MONTH(AVEU_Historical_Data__2[[#This Row],[Date]])</f>
        <v>8</v>
      </c>
      <c r="K1591" s="228"/>
    </row>
    <row r="1592" spans="1:11" x14ac:dyDescent="0.25">
      <c r="A1592" s="227">
        <v>46265</v>
      </c>
      <c r="B1592" s="228">
        <v>3900</v>
      </c>
      <c r="C1592" s="228">
        <v>3819.1</v>
      </c>
      <c r="D1592" s="228">
        <v>3900</v>
      </c>
      <c r="E1592" s="228">
        <v>3755</v>
      </c>
      <c r="F1592">
        <v>546670</v>
      </c>
      <c r="G1592" s="228">
        <v>1.8100000000000002E-2</v>
      </c>
      <c r="H1592" s="228">
        <f>YEAR(AVEU_Historical_Data__2[[#This Row],[Date]])</f>
        <v>2026</v>
      </c>
      <c r="I1592" s="228">
        <f>ROUNDUP((MOD(MONTH(AVEU_Historical_Data__2[[#This Row],[Date]])+8,12)+1)/3,0)</f>
        <v>2</v>
      </c>
      <c r="J1592" s="228">
        <f>MONTH(AVEU_Historical_Data__2[[#This Row],[Date]])</f>
        <v>8</v>
      </c>
      <c r="K1592" s="228"/>
    </row>
    <row r="1593" spans="1:11" x14ac:dyDescent="0.25">
      <c r="A1593" s="227">
        <v>46266</v>
      </c>
      <c r="B1593" s="228">
        <v>3784.4</v>
      </c>
      <c r="C1593" s="228">
        <v>3850</v>
      </c>
      <c r="D1593" s="228">
        <v>3850</v>
      </c>
      <c r="E1593" s="228">
        <v>3766.2</v>
      </c>
      <c r="F1593">
        <v>209190</v>
      </c>
      <c r="G1593" s="228">
        <v>-2.9600000000000001E-2</v>
      </c>
      <c r="H1593" s="228">
        <f>YEAR(AVEU_Historical_Data__2[[#This Row],[Date]])</f>
        <v>2026</v>
      </c>
      <c r="I1593" s="228">
        <f>ROUNDUP((MOD(MONTH(AVEU_Historical_Data__2[[#This Row],[Date]])+8,12)+1)/3,0)</f>
        <v>2</v>
      </c>
      <c r="J1593" s="228">
        <f>MONTH(AVEU_Historical_Data__2[[#This Row],[Date]])</f>
        <v>9</v>
      </c>
      <c r="K1593" s="228"/>
    </row>
  </sheetData>
  <pageMargins left="0.7" right="0.7" top="0.75" bottom="0.75" header="0.3" footer="0.3"/>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3"/>
  <sheetViews>
    <sheetView showGridLines="0" zoomScale="40" zoomScaleNormal="40" zoomScaleSheetLayoutView="40" zoomScalePageLayoutView="62" workbookViewId="0">
      <selection activeCell="O34" sqref="O34"/>
    </sheetView>
  </sheetViews>
  <sheetFormatPr defaultRowHeight="15" x14ac:dyDescent="0.25"/>
  <cols>
    <col min="1" max="1" width="2.7109375" customWidth="1"/>
    <col min="2" max="11" width="16" customWidth="1"/>
    <col min="12" max="12" width="2.7109375" customWidth="1"/>
  </cols>
  <sheetData>
    <row r="1" spans="1:12" ht="15.75" thickTop="1" x14ac:dyDescent="0.25">
      <c r="A1" s="585"/>
      <c r="B1" s="586"/>
      <c r="C1" s="586"/>
      <c r="D1" s="586"/>
      <c r="E1" s="586"/>
      <c r="F1" s="586"/>
      <c r="G1" s="586"/>
      <c r="H1" s="586"/>
      <c r="I1" s="586"/>
      <c r="J1" s="586"/>
      <c r="K1" s="586"/>
      <c r="L1" s="587"/>
    </row>
    <row r="2" spans="1:12" x14ac:dyDescent="0.25">
      <c r="A2" s="588"/>
      <c r="B2" s="589"/>
      <c r="C2" s="589"/>
      <c r="D2" s="589"/>
      <c r="E2" s="589"/>
      <c r="F2" s="589"/>
      <c r="G2" s="589"/>
      <c r="H2" s="589"/>
      <c r="I2" s="589"/>
      <c r="J2" s="589"/>
      <c r="K2" s="589"/>
      <c r="L2" s="590"/>
    </row>
    <row r="3" spans="1:12" x14ac:dyDescent="0.25">
      <c r="A3" s="588"/>
      <c r="B3" s="589"/>
      <c r="C3" s="589"/>
      <c r="D3" s="589"/>
      <c r="E3" s="589"/>
      <c r="F3" s="589"/>
      <c r="G3" s="589"/>
      <c r="H3" s="589"/>
      <c r="I3" s="589"/>
      <c r="J3" s="589"/>
      <c r="K3" s="589"/>
      <c r="L3" s="590"/>
    </row>
    <row r="4" spans="1:12" x14ac:dyDescent="0.25">
      <c r="A4" s="588"/>
      <c r="B4" s="589"/>
      <c r="C4" s="589"/>
      <c r="D4" s="589"/>
      <c r="E4" s="589"/>
      <c r="F4" s="589"/>
      <c r="G4" s="589"/>
      <c r="H4" s="589"/>
      <c r="I4" s="589"/>
      <c r="J4" s="589"/>
      <c r="K4" s="589"/>
      <c r="L4" s="590"/>
    </row>
    <row r="5" spans="1:12" x14ac:dyDescent="0.25">
      <c r="A5" s="588"/>
      <c r="B5" s="589"/>
      <c r="C5" s="589"/>
      <c r="D5" s="589"/>
      <c r="E5" s="589"/>
      <c r="F5" s="589"/>
      <c r="G5" s="589"/>
      <c r="H5" s="589"/>
      <c r="I5" s="589"/>
      <c r="J5" s="589"/>
      <c r="K5" s="589"/>
      <c r="L5" s="590"/>
    </row>
    <row r="6" spans="1:12" x14ac:dyDescent="0.25">
      <c r="A6" s="588"/>
      <c r="B6" s="589"/>
      <c r="C6" s="589"/>
      <c r="D6" s="589"/>
      <c r="E6" s="589"/>
      <c r="F6" s="589"/>
      <c r="G6" s="589"/>
      <c r="H6" s="589"/>
      <c r="I6" s="589"/>
      <c r="J6" s="589"/>
      <c r="K6" s="589"/>
      <c r="L6" s="590"/>
    </row>
    <row r="7" spans="1:12" x14ac:dyDescent="0.25">
      <c r="A7" s="588"/>
      <c r="B7" s="589"/>
      <c r="C7" s="589"/>
      <c r="D7" s="589"/>
      <c r="E7" s="589"/>
      <c r="F7" s="589"/>
      <c r="G7" s="589"/>
      <c r="H7" s="589"/>
      <c r="I7" s="589"/>
      <c r="J7" s="589"/>
      <c r="K7" s="589"/>
      <c r="L7" s="590"/>
    </row>
    <row r="8" spans="1:12" x14ac:dyDescent="0.25">
      <c r="A8" s="588"/>
      <c r="B8" s="589"/>
      <c r="C8" s="589"/>
      <c r="D8" s="589"/>
      <c r="E8" s="589"/>
      <c r="F8" s="589"/>
      <c r="G8" s="589"/>
      <c r="H8" s="589"/>
      <c r="I8" s="589"/>
      <c r="J8" s="589"/>
      <c r="K8" s="589"/>
      <c r="L8" s="590"/>
    </row>
    <row r="9" spans="1:12" x14ac:dyDescent="0.25">
      <c r="A9" s="588"/>
      <c r="B9" s="589"/>
      <c r="C9" s="589"/>
      <c r="D9" s="589"/>
      <c r="E9" s="589"/>
      <c r="F9" s="589"/>
      <c r="G9" s="589"/>
      <c r="H9" s="589"/>
      <c r="I9" s="589"/>
      <c r="J9" s="589"/>
      <c r="K9" s="589"/>
      <c r="L9" s="590"/>
    </row>
    <row r="10" spans="1:12" x14ac:dyDescent="0.25">
      <c r="A10" s="588"/>
      <c r="B10" s="589"/>
      <c r="C10" s="589"/>
      <c r="D10" s="589"/>
      <c r="E10" s="589"/>
      <c r="F10" s="589"/>
      <c r="G10" s="589"/>
      <c r="H10" s="589"/>
      <c r="I10" s="589"/>
      <c r="J10" s="589"/>
      <c r="K10" s="589"/>
      <c r="L10" s="590"/>
    </row>
    <row r="11" spans="1:12" x14ac:dyDescent="0.25">
      <c r="A11" s="588"/>
      <c r="B11" s="589"/>
      <c r="C11" s="589"/>
      <c r="D11" s="589"/>
      <c r="E11" s="589"/>
      <c r="F11" s="589"/>
      <c r="G11" s="589"/>
      <c r="H11" s="589"/>
      <c r="I11" s="589"/>
      <c r="J11" s="589"/>
      <c r="K11" s="589"/>
      <c r="L11" s="590"/>
    </row>
    <row r="12" spans="1:12" x14ac:dyDescent="0.25">
      <c r="A12" s="588"/>
      <c r="B12" s="589"/>
      <c r="C12" s="589"/>
      <c r="D12" s="589"/>
      <c r="E12" s="589"/>
      <c r="F12" s="589"/>
      <c r="G12" s="589"/>
      <c r="H12" s="589"/>
      <c r="I12" s="589"/>
      <c r="J12" s="589"/>
      <c r="K12" s="589"/>
      <c r="L12" s="590"/>
    </row>
    <row r="13" spans="1:12" x14ac:dyDescent="0.25">
      <c r="A13" s="588"/>
      <c r="B13" s="589"/>
      <c r="C13" s="589"/>
      <c r="D13" s="589"/>
      <c r="E13" s="589"/>
      <c r="F13" s="589"/>
      <c r="G13" s="589"/>
      <c r="H13" s="589"/>
      <c r="I13" s="589"/>
      <c r="J13" s="589"/>
      <c r="K13" s="589"/>
      <c r="L13" s="590"/>
    </row>
    <row r="14" spans="1:12" x14ac:dyDescent="0.25">
      <c r="A14" s="588"/>
      <c r="B14" s="589"/>
      <c r="C14" s="589"/>
      <c r="D14" s="589"/>
      <c r="E14" s="589"/>
      <c r="F14" s="589"/>
      <c r="G14" s="589"/>
      <c r="H14" s="589"/>
      <c r="I14" s="589"/>
      <c r="J14" s="589"/>
      <c r="K14" s="589"/>
      <c r="L14" s="590"/>
    </row>
    <row r="15" spans="1:12" x14ac:dyDescent="0.25">
      <c r="A15" s="588"/>
      <c r="B15" s="589"/>
      <c r="C15" s="589"/>
      <c r="D15" s="589"/>
      <c r="E15" s="589"/>
      <c r="F15" s="589"/>
      <c r="G15" s="589"/>
      <c r="H15" s="589"/>
      <c r="I15" s="589"/>
      <c r="J15" s="589"/>
      <c r="K15" s="589"/>
      <c r="L15" s="590"/>
    </row>
    <row r="16" spans="1:12" x14ac:dyDescent="0.25">
      <c r="A16" s="588"/>
      <c r="B16" s="589"/>
      <c r="C16" s="589"/>
      <c r="D16" s="589"/>
      <c r="E16" s="589"/>
      <c r="F16" s="589"/>
      <c r="G16" s="589"/>
      <c r="H16" s="589"/>
      <c r="I16" s="589"/>
      <c r="J16" s="589"/>
      <c r="K16" s="589"/>
      <c r="L16" s="590"/>
    </row>
    <row r="17" spans="1:12" x14ac:dyDescent="0.25">
      <c r="A17" s="588"/>
      <c r="B17" s="589"/>
      <c r="C17" s="589"/>
      <c r="D17" s="589"/>
      <c r="E17" s="589"/>
      <c r="F17" s="589"/>
      <c r="G17" s="589"/>
      <c r="H17" s="589"/>
      <c r="I17" s="589"/>
      <c r="J17" s="589"/>
      <c r="K17" s="589"/>
      <c r="L17" s="590"/>
    </row>
    <row r="18" spans="1:12" x14ac:dyDescent="0.25">
      <c r="A18" s="588"/>
      <c r="B18" s="589"/>
      <c r="C18" s="589"/>
      <c r="D18" s="589"/>
      <c r="E18" s="589"/>
      <c r="F18" s="589"/>
      <c r="G18" s="589"/>
      <c r="H18" s="589"/>
      <c r="I18" s="589"/>
      <c r="J18" s="589"/>
      <c r="K18" s="589"/>
      <c r="L18" s="590"/>
    </row>
    <row r="19" spans="1:12" ht="15" customHeight="1" x14ac:dyDescent="0.25">
      <c r="A19" s="588"/>
      <c r="B19" s="616" t="s">
        <v>428</v>
      </c>
      <c r="C19" s="616"/>
      <c r="D19" s="616"/>
      <c r="E19" s="616"/>
      <c r="F19" s="616"/>
      <c r="G19" s="616"/>
      <c r="H19" s="616"/>
      <c r="I19" s="616"/>
      <c r="J19" s="616"/>
      <c r="K19" s="616"/>
      <c r="L19" s="590"/>
    </row>
    <row r="20" spans="1:12" ht="15" customHeight="1" x14ac:dyDescent="0.25">
      <c r="A20" s="588"/>
      <c r="B20" s="616"/>
      <c r="C20" s="616"/>
      <c r="D20" s="616"/>
      <c r="E20" s="616"/>
      <c r="F20" s="616"/>
      <c r="G20" s="616"/>
      <c r="H20" s="616"/>
      <c r="I20" s="616"/>
      <c r="J20" s="616"/>
      <c r="K20" s="616"/>
      <c r="L20" s="590"/>
    </row>
    <row r="21" spans="1:12" ht="15" customHeight="1" x14ac:dyDescent="0.25">
      <c r="A21" s="588"/>
      <c r="B21" s="616"/>
      <c r="C21" s="616"/>
      <c r="D21" s="616"/>
      <c r="E21" s="616"/>
      <c r="F21" s="616"/>
      <c r="G21" s="616"/>
      <c r="H21" s="616"/>
      <c r="I21" s="616"/>
      <c r="J21" s="616"/>
      <c r="K21" s="616"/>
      <c r="L21" s="590"/>
    </row>
    <row r="22" spans="1:12" ht="15" customHeight="1" x14ac:dyDescent="0.25">
      <c r="A22" s="588"/>
      <c r="B22" s="616"/>
      <c r="C22" s="616"/>
      <c r="D22" s="616"/>
      <c r="E22" s="616"/>
      <c r="F22" s="616"/>
      <c r="G22" s="616"/>
      <c r="H22" s="616"/>
      <c r="I22" s="616"/>
      <c r="J22" s="616"/>
      <c r="K22" s="616"/>
      <c r="L22" s="590"/>
    </row>
    <row r="23" spans="1:12" ht="15" customHeight="1" x14ac:dyDescent="0.25">
      <c r="A23" s="588"/>
      <c r="B23" s="616"/>
      <c r="C23" s="616"/>
      <c r="D23" s="616"/>
      <c r="E23" s="616"/>
      <c r="F23" s="616"/>
      <c r="G23" s="616"/>
      <c r="H23" s="616"/>
      <c r="I23" s="616"/>
      <c r="J23" s="616"/>
      <c r="K23" s="616"/>
      <c r="L23" s="590"/>
    </row>
    <row r="24" spans="1:12" ht="15" customHeight="1" x14ac:dyDescent="0.25">
      <c r="A24" s="588"/>
      <c r="B24" s="616"/>
      <c r="C24" s="616"/>
      <c r="D24" s="616"/>
      <c r="E24" s="616"/>
      <c r="F24" s="616"/>
      <c r="G24" s="616"/>
      <c r="H24" s="616"/>
      <c r="I24" s="616"/>
      <c r="J24" s="616"/>
      <c r="K24" s="616"/>
      <c r="L24" s="590"/>
    </row>
    <row r="25" spans="1:12" ht="15" customHeight="1" x14ac:dyDescent="0.25">
      <c r="A25" s="588"/>
      <c r="B25" s="616"/>
      <c r="C25" s="616"/>
      <c r="D25" s="616"/>
      <c r="E25" s="616"/>
      <c r="F25" s="616"/>
      <c r="G25" s="616"/>
      <c r="H25" s="616"/>
      <c r="I25" s="616"/>
      <c r="J25" s="616"/>
      <c r="K25" s="616"/>
      <c r="L25" s="590"/>
    </row>
    <row r="26" spans="1:12" ht="15" customHeight="1" x14ac:dyDescent="0.25">
      <c r="A26" s="588"/>
      <c r="B26" s="616"/>
      <c r="C26" s="616"/>
      <c r="D26" s="616"/>
      <c r="E26" s="616"/>
      <c r="F26" s="616"/>
      <c r="G26" s="616"/>
      <c r="H26" s="616"/>
      <c r="I26" s="616"/>
      <c r="J26" s="616"/>
      <c r="K26" s="616"/>
      <c r="L26" s="590"/>
    </row>
    <row r="27" spans="1:12" ht="15" customHeight="1" x14ac:dyDescent="0.25">
      <c r="A27" s="588"/>
      <c r="B27" s="616"/>
      <c r="C27" s="616"/>
      <c r="D27" s="616"/>
      <c r="E27" s="616"/>
      <c r="F27" s="616"/>
      <c r="G27" s="616"/>
      <c r="H27" s="616"/>
      <c r="I27" s="616"/>
      <c r="J27" s="616"/>
      <c r="K27" s="616"/>
      <c r="L27" s="590"/>
    </row>
    <row r="28" spans="1:12" ht="15" customHeight="1" x14ac:dyDescent="0.25">
      <c r="A28" s="588"/>
      <c r="B28" s="616"/>
      <c r="C28" s="616"/>
      <c r="D28" s="616"/>
      <c r="E28" s="616"/>
      <c r="F28" s="616"/>
      <c r="G28" s="616"/>
      <c r="H28" s="616"/>
      <c r="I28" s="616"/>
      <c r="J28" s="616"/>
      <c r="K28" s="616"/>
      <c r="L28" s="590"/>
    </row>
    <row r="29" spans="1:12" x14ac:dyDescent="0.25">
      <c r="A29" s="588"/>
      <c r="B29" s="616"/>
      <c r="C29" s="616"/>
      <c r="D29" s="616"/>
      <c r="E29" s="616"/>
      <c r="F29" s="616"/>
      <c r="G29" s="616"/>
      <c r="H29" s="616"/>
      <c r="I29" s="616"/>
      <c r="J29" s="616"/>
      <c r="K29" s="616"/>
      <c r="L29" s="590"/>
    </row>
    <row r="30" spans="1:12" x14ac:dyDescent="0.25">
      <c r="A30" s="588"/>
      <c r="B30" s="616"/>
      <c r="C30" s="616"/>
      <c r="D30" s="616"/>
      <c r="E30" s="616"/>
      <c r="F30" s="616"/>
      <c r="G30" s="616"/>
      <c r="H30" s="616"/>
      <c r="I30" s="616"/>
      <c r="J30" s="616"/>
      <c r="K30" s="616"/>
      <c r="L30" s="590"/>
    </row>
    <row r="31" spans="1:12" x14ac:dyDescent="0.25">
      <c r="A31" s="588"/>
      <c r="B31" s="616"/>
      <c r="C31" s="616"/>
      <c r="D31" s="616"/>
      <c r="E31" s="616"/>
      <c r="F31" s="616"/>
      <c r="G31" s="616"/>
      <c r="H31" s="616"/>
      <c r="I31" s="616"/>
      <c r="J31" s="616"/>
      <c r="K31" s="616"/>
      <c r="L31" s="590"/>
    </row>
    <row r="32" spans="1:12" x14ac:dyDescent="0.25">
      <c r="A32" s="588"/>
      <c r="B32" s="616"/>
      <c r="C32" s="616"/>
      <c r="D32" s="616"/>
      <c r="E32" s="616"/>
      <c r="F32" s="616"/>
      <c r="G32" s="616"/>
      <c r="H32" s="616"/>
      <c r="I32" s="616"/>
      <c r="J32" s="616"/>
      <c r="K32" s="616"/>
      <c r="L32" s="590"/>
    </row>
    <row r="33" spans="1:12" x14ac:dyDescent="0.25">
      <c r="A33" s="588"/>
      <c r="B33" s="616"/>
      <c r="C33" s="616"/>
      <c r="D33" s="616"/>
      <c r="E33" s="616"/>
      <c r="F33" s="616"/>
      <c r="G33" s="616"/>
      <c r="H33" s="616"/>
      <c r="I33" s="616"/>
      <c r="J33" s="616"/>
      <c r="K33" s="616"/>
      <c r="L33" s="590"/>
    </row>
    <row r="34" spans="1:12" x14ac:dyDescent="0.25">
      <c r="A34" s="588"/>
      <c r="B34" s="616"/>
      <c r="C34" s="616"/>
      <c r="D34" s="616"/>
      <c r="E34" s="616"/>
      <c r="F34" s="616"/>
      <c r="G34" s="616"/>
      <c r="H34" s="616"/>
      <c r="I34" s="616"/>
      <c r="J34" s="616"/>
      <c r="K34" s="616"/>
      <c r="L34" s="590"/>
    </row>
    <row r="35" spans="1:12" x14ac:dyDescent="0.25">
      <c r="A35" s="588"/>
      <c r="B35" s="616"/>
      <c r="C35" s="616"/>
      <c r="D35" s="616"/>
      <c r="E35" s="616"/>
      <c r="F35" s="616"/>
      <c r="G35" s="616"/>
      <c r="H35" s="616"/>
      <c r="I35" s="616"/>
      <c r="J35" s="616"/>
      <c r="K35" s="616"/>
      <c r="L35" s="590"/>
    </row>
    <row r="36" spans="1:12" x14ac:dyDescent="0.25">
      <c r="A36" s="588"/>
      <c r="B36" s="591"/>
      <c r="C36" s="591"/>
      <c r="D36" s="591"/>
      <c r="E36" s="591"/>
      <c r="F36" s="591"/>
      <c r="G36" s="591"/>
      <c r="H36" s="591"/>
      <c r="I36" s="591"/>
      <c r="J36" s="591"/>
      <c r="K36" s="591"/>
      <c r="L36" s="590"/>
    </row>
    <row r="37" spans="1:12" x14ac:dyDescent="0.25">
      <c r="A37" s="588"/>
      <c r="B37" s="591"/>
      <c r="C37" s="591"/>
      <c r="D37" s="591"/>
      <c r="E37" s="613">
        <v>2026</v>
      </c>
      <c r="F37" s="613"/>
      <c r="G37" s="613"/>
      <c r="H37" s="613"/>
      <c r="I37" s="591"/>
      <c r="J37" s="591"/>
      <c r="K37" s="591"/>
      <c r="L37" s="590"/>
    </row>
    <row r="38" spans="1:12" x14ac:dyDescent="0.25">
      <c r="A38" s="588"/>
      <c r="B38" s="591"/>
      <c r="C38" s="591"/>
      <c r="D38" s="591"/>
      <c r="E38" s="613"/>
      <c r="F38" s="613"/>
      <c r="G38" s="613"/>
      <c r="H38" s="613"/>
      <c r="I38" s="591"/>
      <c r="J38" s="591"/>
      <c r="K38" s="591"/>
      <c r="L38" s="590"/>
    </row>
    <row r="39" spans="1:12" x14ac:dyDescent="0.25">
      <c r="A39" s="588"/>
      <c r="B39" s="591"/>
      <c r="C39" s="591"/>
      <c r="D39" s="591"/>
      <c r="E39" s="613"/>
      <c r="F39" s="613"/>
      <c r="G39" s="613"/>
      <c r="H39" s="613"/>
      <c r="I39" s="591"/>
      <c r="J39" s="591"/>
      <c r="K39" s="591"/>
      <c r="L39" s="590"/>
    </row>
    <row r="40" spans="1:12" x14ac:dyDescent="0.25">
      <c r="A40" s="588"/>
      <c r="B40" s="591"/>
      <c r="C40" s="591"/>
      <c r="D40" s="591"/>
      <c r="E40" s="613"/>
      <c r="F40" s="613"/>
      <c r="G40" s="613"/>
      <c r="H40" s="613"/>
      <c r="I40" s="591"/>
      <c r="J40" s="591"/>
      <c r="K40" s="591"/>
      <c r="L40" s="590"/>
    </row>
    <row r="41" spans="1:12" x14ac:dyDescent="0.25">
      <c r="A41" s="588"/>
      <c r="B41" s="591"/>
      <c r="C41" s="591"/>
      <c r="D41" s="591"/>
      <c r="E41" s="613"/>
      <c r="F41" s="613"/>
      <c r="G41" s="613"/>
      <c r="H41" s="613"/>
      <c r="I41" s="591"/>
      <c r="J41" s="591"/>
      <c r="K41" s="591"/>
      <c r="L41" s="590"/>
    </row>
    <row r="42" spans="1:12" x14ac:dyDescent="0.25">
      <c r="A42" s="588"/>
      <c r="B42" s="591"/>
      <c r="C42" s="591"/>
      <c r="D42" s="591"/>
      <c r="E42" s="591"/>
      <c r="F42" s="591"/>
      <c r="G42" s="591"/>
      <c r="H42" s="591"/>
      <c r="I42" s="614" t="s">
        <v>426</v>
      </c>
      <c r="J42" s="614"/>
      <c r="K42" s="591"/>
      <c r="L42" s="590"/>
    </row>
    <row r="43" spans="1:12" ht="15" customHeight="1" x14ac:dyDescent="0.35">
      <c r="A43" s="588"/>
      <c r="B43" s="591"/>
      <c r="C43" s="591"/>
      <c r="D43" s="591"/>
      <c r="E43" s="591"/>
      <c r="F43" s="591"/>
      <c r="G43" s="591"/>
      <c r="H43" s="591"/>
      <c r="I43" s="614"/>
      <c r="J43" s="614"/>
      <c r="K43" s="592"/>
      <c r="L43" s="590"/>
    </row>
    <row r="44" spans="1:12" ht="15" customHeight="1" x14ac:dyDescent="0.35">
      <c r="A44" s="588"/>
      <c r="B44" s="591"/>
      <c r="C44" s="591"/>
      <c r="D44" s="591"/>
      <c r="E44" s="591"/>
      <c r="F44" s="591"/>
      <c r="G44" s="591"/>
      <c r="H44" s="591"/>
      <c r="I44" s="592"/>
      <c r="J44" s="615" t="s">
        <v>427</v>
      </c>
      <c r="K44" s="615"/>
      <c r="L44" s="590"/>
    </row>
    <row r="45" spans="1:12" ht="15" customHeight="1" x14ac:dyDescent="0.35">
      <c r="A45" s="588"/>
      <c r="B45" s="591"/>
      <c r="C45" s="591"/>
      <c r="D45" s="591"/>
      <c r="E45" s="591"/>
      <c r="F45" s="591"/>
      <c r="G45" s="591"/>
      <c r="H45" s="591"/>
      <c r="I45" s="592"/>
      <c r="J45" s="615"/>
      <c r="K45" s="615"/>
      <c r="L45" s="590"/>
    </row>
    <row r="46" spans="1:12" ht="15" customHeight="1" x14ac:dyDescent="0.35">
      <c r="A46" s="588"/>
      <c r="B46" s="591"/>
      <c r="C46" s="591"/>
      <c r="D46" s="591"/>
      <c r="E46" s="591"/>
      <c r="F46" s="591"/>
      <c r="G46" s="591"/>
      <c r="H46" s="591"/>
      <c r="I46" s="592"/>
      <c r="J46" s="592"/>
      <c r="K46" s="592"/>
      <c r="L46" s="590"/>
    </row>
    <row r="47" spans="1:12" ht="15" customHeight="1" x14ac:dyDescent="0.35">
      <c r="A47" s="588"/>
      <c r="B47" s="591"/>
      <c r="C47" s="591"/>
      <c r="D47" s="591"/>
      <c r="E47" s="591"/>
      <c r="F47" s="591"/>
      <c r="G47" s="591"/>
      <c r="H47" s="591"/>
      <c r="I47" s="592"/>
      <c r="J47" s="592"/>
      <c r="K47" s="592"/>
      <c r="L47" s="590"/>
    </row>
    <row r="48" spans="1:12" x14ac:dyDescent="0.25">
      <c r="A48" s="593"/>
      <c r="B48" s="594"/>
      <c r="C48" s="594"/>
      <c r="D48" s="594"/>
      <c r="E48" s="594"/>
      <c r="F48" s="594"/>
      <c r="G48" s="594"/>
      <c r="H48" s="594"/>
      <c r="I48" s="594"/>
      <c r="J48" s="594"/>
      <c r="K48" s="594"/>
      <c r="L48" s="595"/>
    </row>
    <row r="49" spans="1:12" x14ac:dyDescent="0.25">
      <c r="A49" s="593"/>
      <c r="B49" s="594"/>
      <c r="C49" s="594"/>
      <c r="D49" s="594"/>
      <c r="E49" s="594"/>
      <c r="F49" s="594"/>
      <c r="G49" s="594"/>
      <c r="H49" s="594"/>
      <c r="I49" s="594"/>
      <c r="J49" s="594"/>
      <c r="K49" s="594"/>
      <c r="L49" s="595"/>
    </row>
    <row r="50" spans="1:12" x14ac:dyDescent="0.25">
      <c r="A50" s="593"/>
      <c r="B50" s="594"/>
      <c r="C50" s="594"/>
      <c r="D50" s="594"/>
      <c r="E50" s="594"/>
      <c r="F50" s="594"/>
      <c r="G50" s="594"/>
      <c r="H50" s="594"/>
      <c r="I50" s="594"/>
      <c r="J50" s="594"/>
      <c r="K50" s="594"/>
      <c r="L50" s="595"/>
    </row>
    <row r="51" spans="1:12" x14ac:dyDescent="0.25">
      <c r="A51" s="593"/>
      <c r="B51" s="594"/>
      <c r="C51" s="594"/>
      <c r="D51" s="594"/>
      <c r="E51" s="594"/>
      <c r="F51" s="594"/>
      <c r="G51" s="594"/>
      <c r="H51" s="594"/>
      <c r="I51" s="594"/>
      <c r="J51" s="594"/>
      <c r="K51" s="594"/>
      <c r="L51" s="595"/>
    </row>
    <row r="52" spans="1:12" x14ac:dyDescent="0.25">
      <c r="A52" s="593"/>
      <c r="B52" s="596"/>
      <c r="C52" s="596"/>
      <c r="D52" s="596"/>
      <c r="E52" s="596"/>
      <c r="F52" s="596"/>
      <c r="G52" s="596"/>
      <c r="H52" s="596"/>
      <c r="I52" s="596"/>
      <c r="J52" s="596"/>
      <c r="K52" s="596"/>
      <c r="L52" s="595"/>
    </row>
    <row r="53" spans="1:12" x14ac:dyDescent="0.25">
      <c r="A53" s="593"/>
      <c r="B53" s="596"/>
      <c r="C53" s="596"/>
      <c r="D53" s="596"/>
      <c r="E53" s="596"/>
      <c r="F53" s="596"/>
      <c r="G53" s="596"/>
      <c r="H53" s="596"/>
      <c r="I53" s="596"/>
      <c r="J53" s="596"/>
      <c r="K53" s="596"/>
      <c r="L53" s="595"/>
    </row>
    <row r="54" spans="1:12" x14ac:dyDescent="0.25">
      <c r="A54" s="593"/>
      <c r="B54" s="596"/>
      <c r="C54" s="596"/>
      <c r="D54" s="596"/>
      <c r="E54" s="596"/>
      <c r="F54" s="596"/>
      <c r="G54" s="596"/>
      <c r="H54" s="596"/>
      <c r="I54" s="596"/>
      <c r="J54" s="596"/>
      <c r="K54" s="596"/>
      <c r="L54" s="595"/>
    </row>
    <row r="55" spans="1:12" x14ac:dyDescent="0.25">
      <c r="A55" s="593"/>
      <c r="B55" s="596"/>
      <c r="C55" s="596"/>
      <c r="D55" s="596"/>
      <c r="E55" s="596"/>
      <c r="F55" s="596"/>
      <c r="G55" s="596"/>
      <c r="H55" s="596"/>
      <c r="I55" s="596"/>
      <c r="J55" s="596"/>
      <c r="K55" s="596"/>
      <c r="L55" s="595"/>
    </row>
    <row r="56" spans="1:12" x14ac:dyDescent="0.25">
      <c r="A56" s="593"/>
      <c r="B56" s="596"/>
      <c r="C56" s="596"/>
      <c r="D56" s="596"/>
      <c r="E56" s="596"/>
      <c r="F56" s="596"/>
      <c r="G56" s="596"/>
      <c r="H56" s="596"/>
      <c r="I56" s="596"/>
      <c r="J56" s="596"/>
      <c r="K56" s="596"/>
      <c r="L56" s="595"/>
    </row>
    <row r="57" spans="1:12" x14ac:dyDescent="0.25">
      <c r="A57" s="593"/>
      <c r="B57" s="596"/>
      <c r="C57" s="596"/>
      <c r="D57" s="596"/>
      <c r="E57" s="596"/>
      <c r="F57" s="596"/>
      <c r="G57" s="596"/>
      <c r="H57" s="596"/>
      <c r="I57" s="596"/>
      <c r="J57" s="596"/>
      <c r="K57" s="596"/>
      <c r="L57" s="595"/>
    </row>
    <row r="58" spans="1:12" x14ac:dyDescent="0.25">
      <c r="A58" s="593"/>
      <c r="B58" s="596"/>
      <c r="C58" s="596"/>
      <c r="D58" s="596"/>
      <c r="E58" s="596"/>
      <c r="F58" s="596"/>
      <c r="G58" s="596"/>
      <c r="H58" s="596"/>
      <c r="I58" s="596"/>
      <c r="J58" s="596"/>
      <c r="K58" s="596"/>
      <c r="L58" s="595"/>
    </row>
    <row r="59" spans="1:12" x14ac:dyDescent="0.25">
      <c r="A59" s="593"/>
      <c r="B59" s="596"/>
      <c r="C59" s="596"/>
      <c r="D59" s="596"/>
      <c r="E59" s="596"/>
      <c r="F59" s="596"/>
      <c r="G59" s="596"/>
      <c r="H59" s="596"/>
      <c r="I59" s="596"/>
      <c r="J59" s="596"/>
      <c r="K59" s="596"/>
      <c r="L59" s="595"/>
    </row>
    <row r="60" spans="1:12" x14ac:dyDescent="0.25">
      <c r="A60" s="593"/>
      <c r="B60" s="596"/>
      <c r="C60" s="596"/>
      <c r="D60" s="596"/>
      <c r="E60" s="596"/>
      <c r="F60" s="596"/>
      <c r="G60" s="596"/>
      <c r="H60" s="596"/>
      <c r="I60" s="596"/>
      <c r="J60" s="596"/>
      <c r="K60" s="596"/>
      <c r="L60" s="595"/>
    </row>
    <row r="61" spans="1:12" x14ac:dyDescent="0.25">
      <c r="A61" s="593"/>
      <c r="B61" s="596"/>
      <c r="C61" s="596"/>
      <c r="D61" s="596"/>
      <c r="E61" s="596"/>
      <c r="F61" s="596"/>
      <c r="G61" s="596"/>
      <c r="H61" s="596"/>
      <c r="I61" s="596"/>
      <c r="J61" s="596"/>
      <c r="K61" s="596"/>
      <c r="L61" s="595"/>
    </row>
    <row r="62" spans="1:12" x14ac:dyDescent="0.25">
      <c r="A62" s="593"/>
      <c r="B62" s="596"/>
      <c r="C62" s="596"/>
      <c r="D62" s="596"/>
      <c r="E62" s="596"/>
      <c r="F62" s="596"/>
      <c r="G62" s="596"/>
      <c r="H62" s="596"/>
      <c r="I62" s="596"/>
      <c r="J62" s="596"/>
      <c r="K62" s="596"/>
      <c r="L62" s="595"/>
    </row>
    <row r="63" spans="1:12" x14ac:dyDescent="0.25">
      <c r="A63" s="597"/>
      <c r="B63" s="598"/>
      <c r="C63" s="598"/>
      <c r="D63" s="598"/>
      <c r="E63" s="598"/>
      <c r="F63" s="598"/>
      <c r="G63" s="598"/>
      <c r="H63" s="598"/>
      <c r="I63" s="598"/>
      <c r="J63" s="598"/>
      <c r="K63" s="598"/>
      <c r="L63" s="599"/>
    </row>
    <row r="64" spans="1:12" x14ac:dyDescent="0.25">
      <c r="A64" s="597"/>
      <c r="B64" s="598"/>
      <c r="C64" s="598"/>
      <c r="D64" s="598"/>
      <c r="E64" s="598"/>
      <c r="F64" s="598"/>
      <c r="G64" s="598"/>
      <c r="H64" s="598"/>
      <c r="I64" s="598"/>
      <c r="J64" s="598"/>
      <c r="K64" s="598"/>
      <c r="L64" s="599"/>
    </row>
    <row r="65" spans="1:12" x14ac:dyDescent="0.25">
      <c r="A65" s="597"/>
      <c r="B65" s="598"/>
      <c r="C65" s="598"/>
      <c r="D65" s="598"/>
      <c r="E65" s="598"/>
      <c r="F65" s="598"/>
      <c r="G65" s="598"/>
      <c r="H65" s="598"/>
      <c r="I65" s="598"/>
      <c r="J65" s="598"/>
      <c r="K65" s="598"/>
      <c r="L65" s="599"/>
    </row>
    <row r="66" spans="1:12" x14ac:dyDescent="0.25">
      <c r="A66" s="597"/>
      <c r="B66" s="598"/>
      <c r="C66" s="598"/>
      <c r="D66" s="598"/>
      <c r="E66" s="598"/>
      <c r="F66" s="598"/>
      <c r="G66" s="598"/>
      <c r="H66" s="598"/>
      <c r="I66" s="598"/>
      <c r="J66" s="598"/>
      <c r="K66" s="598"/>
      <c r="L66" s="599"/>
    </row>
    <row r="67" spans="1:12" x14ac:dyDescent="0.25">
      <c r="A67" s="597"/>
      <c r="B67" s="598"/>
      <c r="C67" s="598"/>
      <c r="D67" s="598"/>
      <c r="E67" s="598"/>
      <c r="F67" s="598"/>
      <c r="G67" s="598"/>
      <c r="H67" s="598"/>
      <c r="I67" s="598"/>
      <c r="J67" s="598"/>
      <c r="K67" s="598"/>
      <c r="L67" s="599"/>
    </row>
    <row r="68" spans="1:12" x14ac:dyDescent="0.25">
      <c r="A68" s="597"/>
      <c r="B68" s="598"/>
      <c r="C68" s="598"/>
      <c r="D68" s="598"/>
      <c r="E68" s="598"/>
      <c r="F68" s="598"/>
      <c r="G68" s="598"/>
      <c r="H68" s="598"/>
      <c r="I68" s="598"/>
      <c r="J68" s="598"/>
      <c r="K68" s="598"/>
      <c r="L68" s="599"/>
    </row>
    <row r="69" spans="1:12" x14ac:dyDescent="0.25">
      <c r="A69" s="597"/>
      <c r="B69" s="598"/>
      <c r="C69" s="598"/>
      <c r="D69" s="598"/>
      <c r="E69" s="598"/>
      <c r="F69" s="598"/>
      <c r="G69" s="598"/>
      <c r="H69" s="598"/>
      <c r="I69" s="598"/>
      <c r="J69" s="598"/>
      <c r="K69" s="598"/>
      <c r="L69" s="599"/>
    </row>
    <row r="70" spans="1:12" x14ac:dyDescent="0.25">
      <c r="A70" s="597"/>
      <c r="B70" s="598"/>
      <c r="C70" s="598"/>
      <c r="D70" s="598"/>
      <c r="E70" s="598"/>
      <c r="F70" s="598"/>
      <c r="G70" s="598"/>
      <c r="H70" s="598"/>
      <c r="I70" s="598"/>
      <c r="J70" s="598"/>
      <c r="K70" s="598"/>
      <c r="L70" s="599"/>
    </row>
    <row r="71" spans="1:12" x14ac:dyDescent="0.25">
      <c r="A71" s="597"/>
      <c r="B71" s="598"/>
      <c r="C71" s="598"/>
      <c r="D71" s="598"/>
      <c r="E71" s="598"/>
      <c r="F71" s="598"/>
      <c r="G71" s="598"/>
      <c r="H71" s="598"/>
      <c r="I71" s="598"/>
      <c r="J71" s="598"/>
      <c r="K71" s="598"/>
      <c r="L71" s="599"/>
    </row>
    <row r="72" spans="1:12" x14ac:dyDescent="0.25">
      <c r="A72" s="597"/>
      <c r="B72" s="598"/>
      <c r="C72" s="598"/>
      <c r="D72" s="598"/>
      <c r="E72" s="598"/>
      <c r="F72" s="598"/>
      <c r="G72" s="598"/>
      <c r="H72" s="598"/>
      <c r="I72" s="598"/>
      <c r="J72" s="598"/>
      <c r="K72" s="598"/>
      <c r="L72" s="599"/>
    </row>
    <row r="73" spans="1:12" x14ac:dyDescent="0.25">
      <c r="A73" s="597"/>
      <c r="B73" s="598"/>
      <c r="C73" s="598"/>
      <c r="D73" s="598"/>
      <c r="E73" s="598"/>
      <c r="F73" s="598"/>
      <c r="G73" s="598"/>
      <c r="H73" s="598"/>
      <c r="I73" s="598"/>
      <c r="J73" s="598"/>
      <c r="K73" s="598"/>
      <c r="L73" s="599"/>
    </row>
    <row r="74" spans="1:12" x14ac:dyDescent="0.25">
      <c r="A74" s="597"/>
      <c r="B74" s="598"/>
      <c r="C74" s="598"/>
      <c r="D74" s="598"/>
      <c r="E74" s="598"/>
      <c r="F74" s="598"/>
      <c r="G74" s="598"/>
      <c r="H74" s="598"/>
      <c r="I74" s="598"/>
      <c r="J74" s="598"/>
      <c r="K74" s="598"/>
      <c r="L74" s="599"/>
    </row>
    <row r="75" spans="1:12" x14ac:dyDescent="0.25">
      <c r="A75" s="597"/>
      <c r="B75" s="598"/>
      <c r="C75" s="598"/>
      <c r="D75" s="598"/>
      <c r="E75" s="598"/>
      <c r="F75" s="598"/>
      <c r="G75" s="598"/>
      <c r="H75" s="598"/>
      <c r="I75" s="598"/>
      <c r="J75" s="598"/>
      <c r="K75" s="598"/>
      <c r="L75" s="599"/>
    </row>
    <row r="76" spans="1:12" x14ac:dyDescent="0.25">
      <c r="A76" s="597"/>
      <c r="B76" s="598"/>
      <c r="C76" s="598"/>
      <c r="D76" s="598"/>
      <c r="E76" s="598"/>
      <c r="F76" s="598"/>
      <c r="G76" s="598"/>
      <c r="H76" s="598"/>
      <c r="I76" s="598"/>
      <c r="J76" s="598"/>
      <c r="K76" s="598"/>
      <c r="L76" s="599"/>
    </row>
    <row r="77" spans="1:12" x14ac:dyDescent="0.25">
      <c r="A77" s="597"/>
      <c r="B77" s="598"/>
      <c r="C77" s="598"/>
      <c r="D77" s="598"/>
      <c r="E77" s="598"/>
      <c r="F77" s="598"/>
      <c r="G77" s="598"/>
      <c r="H77" s="598"/>
      <c r="I77" s="598"/>
      <c r="J77" s="598"/>
      <c r="K77" s="598"/>
      <c r="L77" s="599"/>
    </row>
    <row r="78" spans="1:12" x14ac:dyDescent="0.25">
      <c r="A78" s="597"/>
      <c r="B78" s="598"/>
      <c r="C78" s="598"/>
      <c r="D78" s="598"/>
      <c r="E78" s="598"/>
      <c r="F78" s="598"/>
      <c r="G78" s="598"/>
      <c r="H78" s="598"/>
      <c r="I78" s="598"/>
      <c r="J78" s="598"/>
      <c r="K78" s="598"/>
      <c r="L78" s="599"/>
    </row>
    <row r="79" spans="1:12" x14ac:dyDescent="0.25">
      <c r="A79" s="597"/>
      <c r="B79" s="598"/>
      <c r="C79" s="598"/>
      <c r="D79" s="598"/>
      <c r="E79" s="598"/>
      <c r="F79" s="598"/>
      <c r="G79" s="598"/>
      <c r="H79" s="598"/>
      <c r="I79" s="598"/>
      <c r="J79" s="598"/>
      <c r="K79" s="598"/>
      <c r="L79" s="599"/>
    </row>
    <row r="80" spans="1:12" x14ac:dyDescent="0.25">
      <c r="A80" s="597"/>
      <c r="B80" s="598"/>
      <c r="C80" s="598"/>
      <c r="D80" s="598"/>
      <c r="E80" s="598"/>
      <c r="F80" s="598"/>
      <c r="G80" s="598"/>
      <c r="H80" s="598"/>
      <c r="I80" s="598"/>
      <c r="J80" s="598"/>
      <c r="K80" s="598"/>
      <c r="L80" s="599"/>
    </row>
    <row r="81" spans="1:14" x14ac:dyDescent="0.25">
      <c r="A81" s="597"/>
      <c r="B81" s="598"/>
      <c r="C81" s="598"/>
      <c r="D81" s="598"/>
      <c r="E81" s="598"/>
      <c r="F81" s="598"/>
      <c r="G81" s="598"/>
      <c r="H81" s="598"/>
      <c r="I81" s="598"/>
      <c r="J81" s="598"/>
      <c r="K81" s="598"/>
      <c r="L81" s="599"/>
    </row>
    <row r="82" spans="1:14" x14ac:dyDescent="0.25">
      <c r="A82" s="593"/>
      <c r="B82" s="596"/>
      <c r="C82" s="596"/>
      <c r="D82" s="596"/>
      <c r="E82" s="596"/>
      <c r="F82" s="596"/>
      <c r="G82" s="596"/>
      <c r="H82" s="596"/>
      <c r="I82" s="596"/>
      <c r="J82" s="596"/>
      <c r="K82" s="596"/>
      <c r="L82" s="595"/>
    </row>
    <row r="83" spans="1:14" x14ac:dyDescent="0.25">
      <c r="A83" s="593"/>
      <c r="B83" s="596"/>
      <c r="C83" s="596"/>
      <c r="D83" s="596"/>
      <c r="E83" s="596"/>
      <c r="F83" s="596"/>
      <c r="G83" s="596"/>
      <c r="H83" s="596"/>
      <c r="I83" s="596"/>
      <c r="J83" s="596"/>
      <c r="K83" s="596"/>
      <c r="L83" s="595"/>
    </row>
    <row r="84" spans="1:14" x14ac:dyDescent="0.25">
      <c r="A84" s="593"/>
      <c r="B84" s="596"/>
      <c r="C84" s="596"/>
      <c r="D84" s="596"/>
      <c r="E84" s="596"/>
      <c r="F84" s="596"/>
      <c r="G84" s="596"/>
      <c r="H84" s="596"/>
      <c r="I84" s="596"/>
      <c r="J84" s="596"/>
      <c r="K84" s="596"/>
      <c r="L84" s="595"/>
    </row>
    <row r="85" spans="1:14" x14ac:dyDescent="0.25">
      <c r="A85" s="593"/>
      <c r="B85" s="596"/>
      <c r="C85" s="596"/>
      <c r="D85" s="596"/>
      <c r="E85" s="596"/>
      <c r="F85" s="596"/>
      <c r="G85" s="596"/>
      <c r="H85" s="596"/>
      <c r="I85" s="596"/>
      <c r="J85" s="596"/>
      <c r="K85" s="596"/>
      <c r="L85" s="595"/>
    </row>
    <row r="86" spans="1:14" x14ac:dyDescent="0.25">
      <c r="A86" s="593"/>
      <c r="B86" s="596"/>
      <c r="C86" s="596"/>
      <c r="D86" s="596"/>
      <c r="E86" s="596"/>
      <c r="F86" s="596"/>
      <c r="G86" s="596"/>
      <c r="H86" s="596"/>
      <c r="I86" s="596"/>
      <c r="J86" s="596"/>
      <c r="K86" s="596"/>
      <c r="L86" s="595"/>
    </row>
    <row r="87" spans="1:14" ht="15.75" thickBot="1" x14ac:dyDescent="0.3">
      <c r="A87" s="600"/>
      <c r="B87" s="601"/>
      <c r="C87" s="601"/>
      <c r="D87" s="601"/>
      <c r="E87" s="601"/>
      <c r="F87" s="601"/>
      <c r="G87" s="601"/>
      <c r="H87" s="601"/>
      <c r="I87" s="601"/>
      <c r="J87" s="601"/>
      <c r="K87" s="601"/>
      <c r="L87" s="602"/>
      <c r="M87" s="584"/>
      <c r="N87" s="584"/>
    </row>
    <row r="88" spans="1:14" ht="15.75" thickTop="1" x14ac:dyDescent="0.25">
      <c r="A88" s="584"/>
      <c r="B88" s="584"/>
      <c r="C88" s="584"/>
      <c r="D88" s="584"/>
      <c r="E88" s="584"/>
      <c r="F88" s="584"/>
      <c r="G88" s="584"/>
      <c r="H88" s="584"/>
      <c r="I88" s="584"/>
      <c r="J88" s="584"/>
      <c r="K88" s="584"/>
      <c r="L88" s="584"/>
      <c r="M88" s="584"/>
      <c r="N88" s="584"/>
    </row>
    <row r="89" spans="1:14" x14ac:dyDescent="0.25">
      <c r="A89" s="584"/>
      <c r="B89" s="584"/>
      <c r="C89" s="584"/>
      <c r="D89" s="584"/>
      <c r="E89" s="584"/>
      <c r="F89" s="584"/>
      <c r="G89" s="584"/>
      <c r="H89" s="584"/>
      <c r="I89" s="584"/>
      <c r="J89" s="584"/>
      <c r="K89" s="584"/>
      <c r="L89" s="584"/>
      <c r="M89" s="584"/>
      <c r="N89" s="584"/>
    </row>
    <row r="90" spans="1:14" x14ac:dyDescent="0.25">
      <c r="A90" s="584"/>
      <c r="B90" s="584"/>
      <c r="C90" s="584"/>
      <c r="D90" s="584"/>
      <c r="E90" s="584"/>
      <c r="F90" s="584"/>
      <c r="G90" s="584"/>
      <c r="H90" s="584"/>
      <c r="I90" s="584"/>
      <c r="J90" s="584"/>
      <c r="K90" s="584"/>
      <c r="L90" s="584"/>
      <c r="M90" s="584"/>
      <c r="N90" s="584"/>
    </row>
    <row r="91" spans="1:14" x14ac:dyDescent="0.25">
      <c r="A91" s="584"/>
      <c r="B91" s="584"/>
      <c r="C91" s="584"/>
      <c r="D91" s="584"/>
      <c r="E91" s="584"/>
      <c r="F91" s="584"/>
      <c r="G91" s="584"/>
      <c r="H91" s="584"/>
      <c r="I91" s="584"/>
      <c r="J91" s="584"/>
      <c r="K91" s="584"/>
      <c r="L91" s="584"/>
      <c r="M91" s="584"/>
      <c r="N91" s="584"/>
    </row>
    <row r="92" spans="1:14" x14ac:dyDescent="0.25">
      <c r="A92" s="584"/>
      <c r="B92" s="584"/>
      <c r="C92" s="584"/>
      <c r="D92" s="584"/>
      <c r="E92" s="584"/>
      <c r="F92" s="584"/>
      <c r="G92" s="584"/>
      <c r="H92" s="584"/>
      <c r="I92" s="584"/>
      <c r="J92" s="584"/>
      <c r="K92" s="584"/>
      <c r="L92" s="584"/>
    </row>
    <row r="93" spans="1:14" x14ac:dyDescent="0.25">
      <c r="A93" s="584"/>
      <c r="B93" s="584"/>
      <c r="C93" s="584"/>
      <c r="D93" s="584"/>
      <c r="E93" s="584"/>
      <c r="F93" s="584"/>
      <c r="G93" s="584"/>
      <c r="H93" s="584"/>
      <c r="I93" s="584"/>
      <c r="J93" s="584"/>
      <c r="K93" s="584"/>
      <c r="L93" s="584"/>
    </row>
  </sheetData>
  <sheetProtection sheet="1" objects="1" scenarios="1"/>
  <mergeCells count="4">
    <mergeCell ref="E37:H41"/>
    <mergeCell ref="I42:J43"/>
    <mergeCell ref="J44:K45"/>
    <mergeCell ref="B19:K35"/>
  </mergeCells>
  <pageMargins left="0.23622047244094491" right="0.23622047244094491" top="0.23622047244094491" bottom="3.937007874015748E-2" header="0.31496062992125984" footer="0.31496062992125984"/>
  <pageSetup paperSize="9" scale="6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
  <sheetViews>
    <sheetView showGridLines="0" zoomScale="40" zoomScaleNormal="40" zoomScaleSheetLayoutView="40" zoomScalePageLayoutView="40" workbookViewId="0">
      <selection activeCell="AB24" sqref="AB24"/>
    </sheetView>
  </sheetViews>
  <sheetFormatPr defaultRowHeight="15" x14ac:dyDescent="0.25"/>
  <cols>
    <col min="1" max="1" width="2.7109375" customWidth="1"/>
    <col min="2" max="11" width="16" customWidth="1"/>
    <col min="12" max="12" width="2.7109375" customWidth="1"/>
  </cols>
  <sheetData>
    <row r="1" spans="1:12" ht="15.75" thickTop="1" x14ac:dyDescent="0.25">
      <c r="A1" s="603"/>
      <c r="B1" s="604"/>
      <c r="C1" s="604"/>
      <c r="D1" s="604"/>
      <c r="E1" s="604"/>
      <c r="F1" s="604"/>
      <c r="G1" s="604"/>
      <c r="H1" s="604"/>
      <c r="I1" s="604"/>
      <c r="J1" s="604"/>
      <c r="K1" s="604"/>
      <c r="L1" s="605"/>
    </row>
    <row r="2" spans="1:12" x14ac:dyDescent="0.25">
      <c r="A2" s="606"/>
      <c r="B2" s="607"/>
      <c r="C2" s="607"/>
      <c r="D2" s="607"/>
      <c r="E2" s="607"/>
      <c r="F2" s="607"/>
      <c r="G2" s="607"/>
      <c r="H2" s="607"/>
      <c r="I2" s="607"/>
      <c r="J2" s="607"/>
      <c r="K2" s="607"/>
      <c r="L2" s="608"/>
    </row>
    <row r="3" spans="1:12" x14ac:dyDescent="0.25">
      <c r="A3" s="606"/>
      <c r="B3" s="607"/>
      <c r="C3" s="607"/>
      <c r="D3" s="607"/>
      <c r="E3" s="607"/>
      <c r="F3" s="607"/>
      <c r="G3" s="607"/>
      <c r="H3" s="607"/>
      <c r="I3" s="607"/>
      <c r="J3" s="607"/>
      <c r="K3" s="607"/>
      <c r="L3" s="608"/>
    </row>
    <row r="4" spans="1:12" x14ac:dyDescent="0.25">
      <c r="A4" s="606"/>
      <c r="B4" s="607"/>
      <c r="C4" s="607"/>
      <c r="D4" s="607"/>
      <c r="E4" s="607"/>
      <c r="F4" s="607"/>
      <c r="G4" s="607"/>
      <c r="H4" s="607"/>
      <c r="I4" s="607"/>
      <c r="J4" s="607"/>
      <c r="K4" s="607"/>
      <c r="L4" s="608"/>
    </row>
    <row r="5" spans="1:12" x14ac:dyDescent="0.25">
      <c r="A5" s="606"/>
      <c r="B5" s="607"/>
      <c r="C5" s="607"/>
      <c r="D5" s="607"/>
      <c r="E5" s="607"/>
      <c r="F5" s="607"/>
      <c r="G5" s="607"/>
      <c r="H5" s="607"/>
      <c r="I5" s="607"/>
      <c r="J5" s="607"/>
      <c r="K5" s="607"/>
      <c r="L5" s="608"/>
    </row>
    <row r="6" spans="1:12" x14ac:dyDescent="0.25">
      <c r="A6" s="606"/>
      <c r="B6" s="607"/>
      <c r="C6" s="607"/>
      <c r="D6" s="607"/>
      <c r="E6" s="607"/>
      <c r="F6" s="607"/>
      <c r="G6" s="607"/>
      <c r="H6" s="607"/>
      <c r="I6" s="607"/>
      <c r="J6" s="607"/>
      <c r="K6" s="607"/>
      <c r="L6" s="608"/>
    </row>
    <row r="7" spans="1:12" x14ac:dyDescent="0.25">
      <c r="A7" s="606"/>
      <c r="B7" s="607"/>
      <c r="C7" s="607"/>
      <c r="D7" s="607"/>
      <c r="E7" s="607"/>
      <c r="F7" s="607"/>
      <c r="G7" s="607"/>
      <c r="H7" s="607"/>
      <c r="I7" s="607"/>
      <c r="J7" s="607"/>
      <c r="K7" s="607"/>
      <c r="L7" s="608"/>
    </row>
    <row r="8" spans="1:12" x14ac:dyDescent="0.25">
      <c r="A8" s="606"/>
      <c r="B8" s="607"/>
      <c r="C8" s="607"/>
      <c r="D8" s="607"/>
      <c r="E8" s="607"/>
      <c r="F8" s="607"/>
      <c r="G8" s="607"/>
      <c r="H8" s="607"/>
      <c r="I8" s="607"/>
      <c r="J8" s="607"/>
      <c r="K8" s="607"/>
      <c r="L8" s="608"/>
    </row>
    <row r="9" spans="1:12" x14ac:dyDescent="0.25">
      <c r="A9" s="606"/>
      <c r="B9" s="607"/>
      <c r="C9" s="607"/>
      <c r="D9" s="607"/>
      <c r="E9" s="607"/>
      <c r="F9" s="607"/>
      <c r="G9" s="607"/>
      <c r="H9" s="607"/>
      <c r="I9" s="607"/>
      <c r="J9" s="607"/>
      <c r="K9" s="607"/>
      <c r="L9" s="608"/>
    </row>
    <row r="10" spans="1:12" x14ac:dyDescent="0.25">
      <c r="A10" s="606"/>
      <c r="B10" s="607"/>
      <c r="C10" s="607"/>
      <c r="D10" s="607"/>
      <c r="E10" s="607"/>
      <c r="F10" s="607"/>
      <c r="G10" s="607"/>
      <c r="H10" s="607"/>
      <c r="I10" s="607"/>
      <c r="J10" s="607"/>
      <c r="K10" s="607"/>
      <c r="L10" s="608"/>
    </row>
    <row r="11" spans="1:12" x14ac:dyDescent="0.25">
      <c r="A11" s="606"/>
      <c r="B11" s="607"/>
      <c r="C11" s="607"/>
      <c r="D11" s="607"/>
      <c r="E11" s="607"/>
      <c r="F11" s="607"/>
      <c r="G11" s="607"/>
      <c r="H11" s="607"/>
      <c r="I11" s="607"/>
      <c r="J11" s="607"/>
      <c r="K11" s="607"/>
      <c r="L11" s="608"/>
    </row>
    <row r="12" spans="1:12" x14ac:dyDescent="0.25">
      <c r="A12" s="606"/>
      <c r="B12" s="607"/>
      <c r="C12" s="607"/>
      <c r="D12" s="607"/>
      <c r="E12" s="607"/>
      <c r="F12" s="607"/>
      <c r="G12" s="607"/>
      <c r="H12" s="607"/>
      <c r="I12" s="607"/>
      <c r="J12" s="607"/>
      <c r="K12" s="607"/>
      <c r="L12" s="608"/>
    </row>
    <row r="13" spans="1:12" x14ac:dyDescent="0.25">
      <c r="A13" s="606"/>
      <c r="B13" s="607"/>
      <c r="C13" s="607"/>
      <c r="D13" s="607"/>
      <c r="E13" s="607"/>
      <c r="F13" s="607"/>
      <c r="G13" s="607"/>
      <c r="H13" s="607"/>
      <c r="I13" s="607"/>
      <c r="J13" s="607"/>
      <c r="K13" s="607"/>
      <c r="L13" s="608"/>
    </row>
    <row r="14" spans="1:12" x14ac:dyDescent="0.25">
      <c r="A14" s="606"/>
      <c r="B14" s="607"/>
      <c r="C14" s="607"/>
      <c r="D14" s="607"/>
      <c r="E14" s="607"/>
      <c r="F14" s="607"/>
      <c r="G14" s="607"/>
      <c r="H14" s="607"/>
      <c r="I14" s="607"/>
      <c r="J14" s="607"/>
      <c r="K14" s="607"/>
      <c r="L14" s="608"/>
    </row>
    <row r="15" spans="1:12" x14ac:dyDescent="0.25">
      <c r="A15" s="606"/>
      <c r="B15" s="607"/>
      <c r="C15" s="607"/>
      <c r="D15" s="607"/>
      <c r="E15" s="607"/>
      <c r="F15" s="607"/>
      <c r="G15" s="607"/>
      <c r="H15" s="607"/>
      <c r="I15" s="607"/>
      <c r="J15" s="607"/>
      <c r="K15" s="607"/>
      <c r="L15" s="608"/>
    </row>
    <row r="16" spans="1:12" x14ac:dyDescent="0.25">
      <c r="A16" s="606"/>
      <c r="B16" s="607"/>
      <c r="C16" s="607"/>
      <c r="D16" s="607"/>
      <c r="E16" s="607"/>
      <c r="F16" s="607"/>
      <c r="G16" s="607"/>
      <c r="H16" s="607"/>
      <c r="I16" s="607"/>
      <c r="J16" s="607"/>
      <c r="K16" s="607"/>
      <c r="L16" s="608"/>
    </row>
    <row r="17" spans="1:12" x14ac:dyDescent="0.25">
      <c r="A17" s="606"/>
      <c r="B17" s="607"/>
      <c r="C17" s="607"/>
      <c r="D17" s="607"/>
      <c r="E17" s="607"/>
      <c r="F17" s="607"/>
      <c r="G17" s="607"/>
      <c r="H17" s="607"/>
      <c r="I17" s="607"/>
      <c r="J17" s="607"/>
      <c r="K17" s="607"/>
      <c r="L17" s="608"/>
    </row>
    <row r="18" spans="1:12" x14ac:dyDescent="0.25">
      <c r="A18" s="606"/>
      <c r="B18" s="607"/>
      <c r="C18" s="607"/>
      <c r="D18" s="607"/>
      <c r="E18" s="607"/>
      <c r="F18" s="607"/>
      <c r="G18" s="607"/>
      <c r="H18" s="607"/>
      <c r="I18" s="607"/>
      <c r="J18" s="607"/>
      <c r="K18" s="607"/>
      <c r="L18" s="608"/>
    </row>
    <row r="19" spans="1:12" x14ac:dyDescent="0.25">
      <c r="A19" s="606"/>
      <c r="B19" s="607"/>
      <c r="C19" s="607"/>
      <c r="D19" s="607"/>
      <c r="E19" s="607"/>
      <c r="F19" s="607"/>
      <c r="G19" s="607"/>
      <c r="H19" s="607"/>
      <c r="I19" s="607"/>
      <c r="J19" s="607"/>
      <c r="K19" s="607"/>
      <c r="L19" s="608"/>
    </row>
    <row r="20" spans="1:12" ht="15" customHeight="1" x14ac:dyDescent="0.25">
      <c r="A20" s="606"/>
      <c r="B20" s="618" t="s">
        <v>429</v>
      </c>
      <c r="C20" s="618"/>
      <c r="D20" s="618"/>
      <c r="E20" s="618"/>
      <c r="F20" s="618"/>
      <c r="G20" s="618"/>
      <c r="H20" s="618"/>
      <c r="I20" s="618"/>
      <c r="J20" s="618"/>
      <c r="K20" s="618"/>
      <c r="L20" s="608"/>
    </row>
    <row r="21" spans="1:12" ht="15" customHeight="1" x14ac:dyDescent="0.25">
      <c r="A21" s="606"/>
      <c r="B21" s="618"/>
      <c r="C21" s="618"/>
      <c r="D21" s="618"/>
      <c r="E21" s="618"/>
      <c r="F21" s="618"/>
      <c r="G21" s="618"/>
      <c r="H21" s="618"/>
      <c r="I21" s="618"/>
      <c r="J21" s="618"/>
      <c r="K21" s="618"/>
      <c r="L21" s="608"/>
    </row>
    <row r="22" spans="1:12" ht="15" customHeight="1" x14ac:dyDescent="0.25">
      <c r="A22" s="606"/>
      <c r="B22" s="618"/>
      <c r="C22" s="618"/>
      <c r="D22" s="618"/>
      <c r="E22" s="618"/>
      <c r="F22" s="618"/>
      <c r="G22" s="618"/>
      <c r="H22" s="618"/>
      <c r="I22" s="618"/>
      <c r="J22" s="618"/>
      <c r="K22" s="618"/>
      <c r="L22" s="608"/>
    </row>
    <row r="23" spans="1:12" ht="15" customHeight="1" x14ac:dyDescent="0.25">
      <c r="A23" s="606"/>
      <c r="B23" s="609"/>
      <c r="C23" s="609"/>
      <c r="D23" s="609"/>
      <c r="E23" s="609"/>
      <c r="F23" s="609"/>
      <c r="G23" s="609"/>
      <c r="H23" s="609"/>
      <c r="I23" s="609"/>
      <c r="J23" s="609"/>
      <c r="K23" s="609"/>
      <c r="L23" s="608"/>
    </row>
    <row r="24" spans="1:12" ht="15" customHeight="1" x14ac:dyDescent="0.25">
      <c r="A24" s="606"/>
      <c r="B24" s="619" t="s">
        <v>430</v>
      </c>
      <c r="C24" s="619"/>
      <c r="D24" s="619" t="s">
        <v>438</v>
      </c>
      <c r="E24" s="619"/>
      <c r="F24" s="619"/>
      <c r="G24" s="619"/>
      <c r="H24" s="619"/>
      <c r="I24" s="619"/>
      <c r="J24" s="619"/>
      <c r="K24" s="619"/>
      <c r="L24" s="608"/>
    </row>
    <row r="25" spans="1:12" ht="15" customHeight="1" x14ac:dyDescent="0.25">
      <c r="A25" s="606"/>
      <c r="B25" s="619"/>
      <c r="C25" s="619"/>
      <c r="D25" s="619"/>
      <c r="E25" s="619"/>
      <c r="F25" s="619"/>
      <c r="G25" s="619"/>
      <c r="H25" s="619"/>
      <c r="I25" s="619"/>
      <c r="J25" s="619"/>
      <c r="K25" s="619"/>
      <c r="L25" s="608"/>
    </row>
    <row r="26" spans="1:12" ht="15" customHeight="1" x14ac:dyDescent="0.25">
      <c r="A26" s="606"/>
      <c r="B26" s="619"/>
      <c r="C26" s="619"/>
      <c r="D26" s="619"/>
      <c r="E26" s="619"/>
      <c r="F26" s="619"/>
      <c r="G26" s="619"/>
      <c r="H26" s="619"/>
      <c r="I26" s="619"/>
      <c r="J26" s="619"/>
      <c r="K26" s="619"/>
      <c r="L26" s="608"/>
    </row>
    <row r="27" spans="1:12" ht="15" customHeight="1" x14ac:dyDescent="0.25">
      <c r="A27" s="606"/>
      <c r="B27" s="619"/>
      <c r="C27" s="619"/>
      <c r="D27" s="619"/>
      <c r="E27" s="619"/>
      <c r="F27" s="619"/>
      <c r="G27" s="619"/>
      <c r="H27" s="619"/>
      <c r="I27" s="619"/>
      <c r="J27" s="619"/>
      <c r="K27" s="619"/>
      <c r="L27" s="608"/>
    </row>
    <row r="28" spans="1:12" ht="15" customHeight="1" x14ac:dyDescent="0.25">
      <c r="A28" s="606"/>
      <c r="B28" s="619"/>
      <c r="C28" s="619"/>
      <c r="D28" s="619"/>
      <c r="E28" s="619"/>
      <c r="F28" s="619"/>
      <c r="G28" s="619"/>
      <c r="H28" s="619"/>
      <c r="I28" s="619"/>
      <c r="J28" s="619"/>
      <c r="K28" s="619"/>
      <c r="L28" s="608"/>
    </row>
    <row r="29" spans="1:12" ht="15" customHeight="1" x14ac:dyDescent="0.25">
      <c r="A29" s="606"/>
      <c r="B29" s="620">
        <v>1</v>
      </c>
      <c r="C29" s="620"/>
      <c r="D29" s="617" t="s">
        <v>431</v>
      </c>
      <c r="E29" s="617"/>
      <c r="F29" s="617"/>
      <c r="G29" s="617"/>
      <c r="H29" s="617"/>
      <c r="I29" s="617"/>
      <c r="J29" s="617"/>
      <c r="K29" s="617"/>
      <c r="L29" s="608"/>
    </row>
    <row r="30" spans="1:12" ht="15" customHeight="1" x14ac:dyDescent="0.25">
      <c r="A30" s="606"/>
      <c r="B30" s="620"/>
      <c r="C30" s="620"/>
      <c r="D30" s="617"/>
      <c r="E30" s="617"/>
      <c r="F30" s="617"/>
      <c r="G30" s="617"/>
      <c r="H30" s="617"/>
      <c r="I30" s="617"/>
      <c r="J30" s="617"/>
      <c r="K30" s="617"/>
      <c r="L30" s="608"/>
    </row>
    <row r="31" spans="1:12" ht="15" customHeight="1" x14ac:dyDescent="0.25">
      <c r="A31" s="606"/>
      <c r="B31" s="620"/>
      <c r="C31" s="620"/>
      <c r="D31" s="617"/>
      <c r="E31" s="617"/>
      <c r="F31" s="617"/>
      <c r="G31" s="617"/>
      <c r="H31" s="617"/>
      <c r="I31" s="617"/>
      <c r="J31" s="617"/>
      <c r="K31" s="617"/>
      <c r="L31" s="608"/>
    </row>
    <row r="32" spans="1:12" ht="15" customHeight="1" x14ac:dyDescent="0.25">
      <c r="A32" s="606"/>
      <c r="B32" s="620">
        <v>2</v>
      </c>
      <c r="C32" s="620"/>
      <c r="D32" s="617" t="s">
        <v>432</v>
      </c>
      <c r="E32" s="617"/>
      <c r="F32" s="617"/>
      <c r="G32" s="617"/>
      <c r="H32" s="617"/>
      <c r="I32" s="617"/>
      <c r="J32" s="617"/>
      <c r="K32" s="617"/>
      <c r="L32" s="608"/>
    </row>
    <row r="33" spans="1:12" ht="15" customHeight="1" x14ac:dyDescent="0.25">
      <c r="A33" s="606"/>
      <c r="B33" s="620"/>
      <c r="C33" s="620"/>
      <c r="D33" s="617"/>
      <c r="E33" s="617"/>
      <c r="F33" s="617"/>
      <c r="G33" s="617"/>
      <c r="H33" s="617"/>
      <c r="I33" s="617"/>
      <c r="J33" s="617"/>
      <c r="K33" s="617"/>
      <c r="L33" s="608"/>
    </row>
    <row r="34" spans="1:12" ht="15" customHeight="1" x14ac:dyDescent="0.25">
      <c r="A34" s="606"/>
      <c r="B34" s="620"/>
      <c r="C34" s="620"/>
      <c r="D34" s="617"/>
      <c r="E34" s="617"/>
      <c r="F34" s="617"/>
      <c r="G34" s="617"/>
      <c r="H34" s="617"/>
      <c r="I34" s="617"/>
      <c r="J34" s="617"/>
      <c r="K34" s="617"/>
      <c r="L34" s="608"/>
    </row>
    <row r="35" spans="1:12" ht="15" customHeight="1" x14ac:dyDescent="0.25">
      <c r="A35" s="606"/>
      <c r="B35" s="620">
        <v>3</v>
      </c>
      <c r="C35" s="620"/>
      <c r="D35" s="617" t="s">
        <v>433</v>
      </c>
      <c r="E35" s="617"/>
      <c r="F35" s="617"/>
      <c r="G35" s="617"/>
      <c r="H35" s="617"/>
      <c r="I35" s="617"/>
      <c r="J35" s="617"/>
      <c r="K35" s="617"/>
      <c r="L35" s="608"/>
    </row>
    <row r="36" spans="1:12" ht="15" customHeight="1" x14ac:dyDescent="0.25">
      <c r="A36" s="606"/>
      <c r="B36" s="620"/>
      <c r="C36" s="620"/>
      <c r="D36" s="617"/>
      <c r="E36" s="617"/>
      <c r="F36" s="617"/>
      <c r="G36" s="617"/>
      <c r="H36" s="617"/>
      <c r="I36" s="617"/>
      <c r="J36" s="617"/>
      <c r="K36" s="617"/>
      <c r="L36" s="608"/>
    </row>
    <row r="37" spans="1:12" ht="15" customHeight="1" x14ac:dyDescent="0.25">
      <c r="A37" s="606"/>
      <c r="B37" s="620"/>
      <c r="C37" s="620"/>
      <c r="D37" s="617"/>
      <c r="E37" s="617"/>
      <c r="F37" s="617"/>
      <c r="G37" s="617"/>
      <c r="H37" s="617"/>
      <c r="I37" s="617"/>
      <c r="J37" s="617"/>
      <c r="K37" s="617"/>
      <c r="L37" s="608"/>
    </row>
    <row r="38" spans="1:12" ht="15" customHeight="1" x14ac:dyDescent="0.25">
      <c r="A38" s="606"/>
      <c r="B38" s="620">
        <v>4</v>
      </c>
      <c r="C38" s="620"/>
      <c r="D38" s="617" t="s">
        <v>434</v>
      </c>
      <c r="E38" s="617"/>
      <c r="F38" s="617"/>
      <c r="G38" s="617"/>
      <c r="H38" s="617"/>
      <c r="I38" s="617"/>
      <c r="J38" s="617"/>
      <c r="K38" s="617"/>
      <c r="L38" s="608"/>
    </row>
    <row r="39" spans="1:12" ht="15" customHeight="1" x14ac:dyDescent="0.25">
      <c r="A39" s="606"/>
      <c r="B39" s="620"/>
      <c r="C39" s="620"/>
      <c r="D39" s="617"/>
      <c r="E39" s="617"/>
      <c r="F39" s="617"/>
      <c r="G39" s="617"/>
      <c r="H39" s="617"/>
      <c r="I39" s="617"/>
      <c r="J39" s="617"/>
      <c r="K39" s="617"/>
      <c r="L39" s="608"/>
    </row>
    <row r="40" spans="1:12" ht="15" customHeight="1" x14ac:dyDescent="0.25">
      <c r="A40" s="606"/>
      <c r="B40" s="620"/>
      <c r="C40" s="620"/>
      <c r="D40" s="617"/>
      <c r="E40" s="617"/>
      <c r="F40" s="617"/>
      <c r="G40" s="617"/>
      <c r="H40" s="617"/>
      <c r="I40" s="617"/>
      <c r="J40" s="617"/>
      <c r="K40" s="617"/>
      <c r="L40" s="608"/>
    </row>
    <row r="41" spans="1:12" x14ac:dyDescent="0.25">
      <c r="A41" s="606"/>
      <c r="B41" s="620">
        <v>5</v>
      </c>
      <c r="C41" s="620"/>
      <c r="D41" s="621" t="s">
        <v>434</v>
      </c>
      <c r="E41" s="621"/>
      <c r="F41" s="621"/>
      <c r="G41" s="621"/>
      <c r="H41" s="621"/>
      <c r="I41" s="621"/>
      <c r="J41" s="621"/>
      <c r="K41" s="621"/>
      <c r="L41" s="608"/>
    </row>
    <row r="42" spans="1:12" ht="15" customHeight="1" x14ac:dyDescent="0.25">
      <c r="A42" s="606"/>
      <c r="B42" s="620"/>
      <c r="C42" s="620"/>
      <c r="D42" s="621"/>
      <c r="E42" s="621"/>
      <c r="F42" s="621"/>
      <c r="G42" s="621"/>
      <c r="H42" s="621"/>
      <c r="I42" s="621"/>
      <c r="J42" s="621"/>
      <c r="K42" s="621"/>
      <c r="L42" s="608"/>
    </row>
    <row r="43" spans="1:12" ht="15" customHeight="1" x14ac:dyDescent="0.25">
      <c r="A43" s="606"/>
      <c r="B43" s="620"/>
      <c r="C43" s="620"/>
      <c r="D43" s="621"/>
      <c r="E43" s="621"/>
      <c r="F43" s="621"/>
      <c r="G43" s="621"/>
      <c r="H43" s="621"/>
      <c r="I43" s="621"/>
      <c r="J43" s="621"/>
      <c r="K43" s="621"/>
      <c r="L43" s="608"/>
    </row>
    <row r="44" spans="1:12" ht="15" customHeight="1" x14ac:dyDescent="0.25">
      <c r="A44" s="606"/>
      <c r="B44" s="620">
        <v>6</v>
      </c>
      <c r="C44" s="620"/>
      <c r="D44" s="621" t="s">
        <v>435</v>
      </c>
      <c r="E44" s="621"/>
      <c r="F44" s="621"/>
      <c r="G44" s="621"/>
      <c r="H44" s="621"/>
      <c r="I44" s="621"/>
      <c r="J44" s="621"/>
      <c r="K44" s="621"/>
      <c r="L44" s="608"/>
    </row>
    <row r="45" spans="1:12" ht="15" customHeight="1" x14ac:dyDescent="0.25">
      <c r="A45" s="606"/>
      <c r="B45" s="620"/>
      <c r="C45" s="620"/>
      <c r="D45" s="621"/>
      <c r="E45" s="621"/>
      <c r="F45" s="621"/>
      <c r="G45" s="621"/>
      <c r="H45" s="621"/>
      <c r="I45" s="621"/>
      <c r="J45" s="621"/>
      <c r="K45" s="621"/>
      <c r="L45" s="608"/>
    </row>
    <row r="46" spans="1:12" ht="15" customHeight="1" x14ac:dyDescent="0.25">
      <c r="A46" s="606"/>
      <c r="B46" s="620"/>
      <c r="C46" s="620"/>
      <c r="D46" s="621"/>
      <c r="E46" s="621"/>
      <c r="F46" s="621"/>
      <c r="G46" s="621"/>
      <c r="H46" s="621"/>
      <c r="I46" s="621"/>
      <c r="J46" s="621"/>
      <c r="K46" s="621"/>
      <c r="L46" s="608"/>
    </row>
    <row r="47" spans="1:12" ht="15" customHeight="1" x14ac:dyDescent="0.25">
      <c r="A47" s="606"/>
      <c r="B47" s="620">
        <v>7</v>
      </c>
      <c r="C47" s="620"/>
      <c r="D47" s="621" t="s">
        <v>436</v>
      </c>
      <c r="E47" s="621"/>
      <c r="F47" s="621"/>
      <c r="G47" s="621"/>
      <c r="H47" s="621"/>
      <c r="I47" s="621"/>
      <c r="J47" s="621"/>
      <c r="K47" s="621"/>
      <c r="L47" s="608"/>
    </row>
    <row r="48" spans="1:12" ht="15" customHeight="1" x14ac:dyDescent="0.25">
      <c r="A48" s="606"/>
      <c r="B48" s="620"/>
      <c r="C48" s="620"/>
      <c r="D48" s="621"/>
      <c r="E48" s="621"/>
      <c r="F48" s="621"/>
      <c r="G48" s="621"/>
      <c r="H48" s="621"/>
      <c r="I48" s="621"/>
      <c r="J48" s="621"/>
      <c r="K48" s="621"/>
      <c r="L48" s="608"/>
    </row>
    <row r="49" spans="1:12" ht="15" customHeight="1" x14ac:dyDescent="0.25">
      <c r="A49" s="606"/>
      <c r="B49" s="620"/>
      <c r="C49" s="620"/>
      <c r="D49" s="621"/>
      <c r="E49" s="621"/>
      <c r="F49" s="621"/>
      <c r="G49" s="621"/>
      <c r="H49" s="621"/>
      <c r="I49" s="621"/>
      <c r="J49" s="621"/>
      <c r="K49" s="621"/>
      <c r="L49" s="608"/>
    </row>
    <row r="50" spans="1:12" ht="15" customHeight="1" x14ac:dyDescent="0.25">
      <c r="A50" s="606"/>
      <c r="B50" s="620">
        <v>8</v>
      </c>
      <c r="C50" s="620"/>
      <c r="D50" s="621" t="s">
        <v>437</v>
      </c>
      <c r="E50" s="621"/>
      <c r="F50" s="621"/>
      <c r="G50" s="621"/>
      <c r="H50" s="621"/>
      <c r="I50" s="621"/>
      <c r="J50" s="621"/>
      <c r="K50" s="621"/>
      <c r="L50" s="608"/>
    </row>
    <row r="51" spans="1:12" ht="15" customHeight="1" x14ac:dyDescent="0.25">
      <c r="A51" s="606"/>
      <c r="B51" s="620"/>
      <c r="C51" s="620"/>
      <c r="D51" s="621"/>
      <c r="E51" s="621"/>
      <c r="F51" s="621"/>
      <c r="G51" s="621"/>
      <c r="H51" s="621"/>
      <c r="I51" s="621"/>
      <c r="J51" s="621"/>
      <c r="K51" s="621"/>
      <c r="L51" s="608"/>
    </row>
    <row r="52" spans="1:12" ht="15" customHeight="1" x14ac:dyDescent="0.25">
      <c r="A52" s="606"/>
      <c r="B52" s="620"/>
      <c r="C52" s="620"/>
      <c r="D52" s="621"/>
      <c r="E52" s="621"/>
      <c r="F52" s="621"/>
      <c r="G52" s="621"/>
      <c r="H52" s="621"/>
      <c r="I52" s="621"/>
      <c r="J52" s="621"/>
      <c r="K52" s="621"/>
      <c r="L52" s="608"/>
    </row>
    <row r="53" spans="1:12" x14ac:dyDescent="0.25">
      <c r="A53" s="606"/>
      <c r="B53" s="610"/>
      <c r="C53" s="610"/>
      <c r="D53" s="610"/>
      <c r="E53" s="610"/>
      <c r="F53" s="610"/>
      <c r="G53" s="610"/>
      <c r="H53" s="610"/>
      <c r="I53" s="610"/>
      <c r="J53" s="610"/>
      <c r="K53" s="610"/>
      <c r="L53" s="608"/>
    </row>
    <row r="54" spans="1:12" ht="45" x14ac:dyDescent="0.25">
      <c r="A54" s="606"/>
      <c r="B54" s="610"/>
      <c r="C54" s="611"/>
      <c r="D54" s="611"/>
      <c r="E54" s="607"/>
      <c r="F54" s="607"/>
      <c r="G54" s="607"/>
      <c r="H54" s="607"/>
      <c r="I54" s="607"/>
      <c r="J54" s="607"/>
      <c r="K54" s="607"/>
      <c r="L54" s="608"/>
    </row>
    <row r="55" spans="1:12" ht="45" x14ac:dyDescent="0.25">
      <c r="A55" s="606"/>
      <c r="B55" s="610"/>
      <c r="C55" s="611"/>
      <c r="D55" s="611"/>
      <c r="E55" s="607"/>
      <c r="F55" s="607"/>
      <c r="G55" s="607"/>
      <c r="H55" s="607"/>
      <c r="I55" s="607"/>
      <c r="J55" s="607"/>
      <c r="K55" s="607"/>
      <c r="L55" s="608"/>
    </row>
    <row r="56" spans="1:12" ht="45" x14ac:dyDescent="0.25">
      <c r="A56" s="606"/>
      <c r="B56" s="610"/>
      <c r="C56" s="611"/>
      <c r="D56" s="611"/>
      <c r="E56" s="611"/>
      <c r="F56" s="611"/>
      <c r="G56" s="611"/>
      <c r="H56" s="611"/>
      <c r="I56" s="611"/>
      <c r="J56" s="611"/>
      <c r="K56" s="611"/>
      <c r="L56" s="612"/>
    </row>
    <row r="57" spans="1:12" ht="45" x14ac:dyDescent="0.25">
      <c r="A57" s="606"/>
      <c r="B57" s="607"/>
      <c r="C57" s="611"/>
      <c r="D57" s="611"/>
      <c r="E57" s="611"/>
      <c r="F57" s="611"/>
      <c r="G57" s="611"/>
      <c r="H57" s="611"/>
      <c r="I57" s="611"/>
      <c r="J57" s="611"/>
      <c r="K57" s="611"/>
      <c r="L57" s="612"/>
    </row>
    <row r="58" spans="1:12" ht="45" x14ac:dyDescent="0.25">
      <c r="A58" s="606"/>
      <c r="B58" s="607"/>
      <c r="C58" s="611"/>
      <c r="D58" s="611"/>
      <c r="E58" s="611"/>
      <c r="F58" s="611"/>
      <c r="G58" s="611"/>
      <c r="H58" s="611"/>
      <c r="I58" s="611"/>
      <c r="J58" s="611"/>
      <c r="K58" s="611"/>
      <c r="L58" s="612"/>
    </row>
    <row r="59" spans="1:12" ht="45" x14ac:dyDescent="0.25">
      <c r="A59" s="606"/>
      <c r="B59" s="607"/>
      <c r="C59" s="611"/>
      <c r="D59" s="611"/>
      <c r="E59" s="611"/>
      <c r="F59" s="611"/>
      <c r="G59" s="611"/>
      <c r="H59" s="611"/>
      <c r="I59" s="611"/>
      <c r="J59" s="611"/>
      <c r="K59" s="611"/>
      <c r="L59" s="612"/>
    </row>
    <row r="60" spans="1:12" x14ac:dyDescent="0.25">
      <c r="A60" s="606"/>
      <c r="B60" s="607"/>
      <c r="C60" s="607"/>
      <c r="D60" s="607"/>
      <c r="E60" s="607"/>
      <c r="F60" s="607"/>
      <c r="G60" s="607"/>
      <c r="H60" s="607"/>
      <c r="I60" s="607"/>
      <c r="J60" s="607"/>
      <c r="K60" s="607"/>
      <c r="L60" s="608"/>
    </row>
    <row r="61" spans="1:12" x14ac:dyDescent="0.25">
      <c r="A61" s="606"/>
      <c r="B61" s="607"/>
      <c r="C61" s="607"/>
      <c r="D61" s="607"/>
      <c r="E61" s="607"/>
      <c r="F61" s="607"/>
      <c r="G61" s="607"/>
      <c r="H61" s="607"/>
      <c r="I61" s="607"/>
      <c r="J61" s="607"/>
      <c r="K61" s="607"/>
      <c r="L61" s="608"/>
    </row>
    <row r="62" spans="1:12" x14ac:dyDescent="0.25">
      <c r="A62" s="606"/>
      <c r="B62" s="607"/>
      <c r="C62" s="607"/>
      <c r="D62" s="607"/>
      <c r="E62" s="607"/>
      <c r="F62" s="607"/>
      <c r="G62" s="607"/>
      <c r="H62" s="607"/>
      <c r="I62" s="607"/>
      <c r="J62" s="607"/>
      <c r="K62" s="607"/>
      <c r="L62" s="608"/>
    </row>
    <row r="63" spans="1:12" x14ac:dyDescent="0.25">
      <c r="A63" s="606"/>
      <c r="B63" s="607"/>
      <c r="C63" s="607"/>
      <c r="D63" s="607"/>
      <c r="E63" s="607"/>
      <c r="F63" s="607"/>
      <c r="G63" s="607"/>
      <c r="H63" s="607"/>
      <c r="I63" s="607"/>
      <c r="J63" s="607"/>
      <c r="K63" s="607"/>
      <c r="L63" s="608"/>
    </row>
    <row r="64" spans="1:12" x14ac:dyDescent="0.25">
      <c r="A64" s="606"/>
      <c r="B64" s="607"/>
      <c r="C64" s="607"/>
      <c r="D64" s="607"/>
      <c r="E64" s="607"/>
      <c r="F64" s="607"/>
      <c r="G64" s="607"/>
      <c r="H64" s="607"/>
      <c r="I64" s="607"/>
      <c r="J64" s="607"/>
      <c r="K64" s="607"/>
      <c r="L64" s="608"/>
    </row>
    <row r="65" spans="1:12" x14ac:dyDescent="0.25">
      <c r="A65" s="606"/>
      <c r="B65" s="607"/>
      <c r="C65" s="607"/>
      <c r="D65" s="607"/>
      <c r="E65" s="607"/>
      <c r="F65" s="607"/>
      <c r="G65" s="607"/>
      <c r="H65" s="607"/>
      <c r="I65" s="607"/>
      <c r="J65" s="607"/>
      <c r="K65" s="607"/>
      <c r="L65" s="608"/>
    </row>
    <row r="66" spans="1:12" x14ac:dyDescent="0.25">
      <c r="A66" s="606"/>
      <c r="B66" s="607"/>
      <c r="C66" s="607"/>
      <c r="D66" s="607"/>
      <c r="E66" s="607"/>
      <c r="F66" s="607"/>
      <c r="G66" s="607"/>
      <c r="H66" s="607"/>
      <c r="I66" s="607"/>
      <c r="J66" s="607"/>
      <c r="K66" s="607"/>
      <c r="L66" s="608"/>
    </row>
    <row r="67" spans="1:12" x14ac:dyDescent="0.25">
      <c r="A67" s="606"/>
      <c r="B67" s="607"/>
      <c r="C67" s="607"/>
      <c r="D67" s="607"/>
      <c r="E67" s="607"/>
      <c r="F67" s="607"/>
      <c r="G67" s="607"/>
      <c r="H67" s="607"/>
      <c r="I67" s="607"/>
      <c r="J67" s="607"/>
      <c r="K67" s="607"/>
      <c r="L67" s="608"/>
    </row>
    <row r="68" spans="1:12" x14ac:dyDescent="0.25">
      <c r="A68" s="606"/>
      <c r="B68" s="607"/>
      <c r="C68" s="607"/>
      <c r="D68" s="607"/>
      <c r="E68" s="607"/>
      <c r="F68" s="607"/>
      <c r="G68" s="607"/>
      <c r="H68" s="607"/>
      <c r="I68" s="607"/>
      <c r="J68" s="607"/>
      <c r="K68" s="607"/>
      <c r="L68" s="608"/>
    </row>
    <row r="69" spans="1:12" x14ac:dyDescent="0.25">
      <c r="A69" s="606"/>
      <c r="B69" s="607"/>
      <c r="C69" s="607"/>
      <c r="D69" s="607"/>
      <c r="E69" s="607"/>
      <c r="F69" s="607"/>
      <c r="G69" s="607"/>
      <c r="H69" s="607"/>
      <c r="I69" s="607"/>
      <c r="J69" s="607"/>
      <c r="K69" s="607"/>
      <c r="L69" s="608"/>
    </row>
    <row r="70" spans="1:12" x14ac:dyDescent="0.25">
      <c r="A70" s="606"/>
      <c r="B70" s="607"/>
      <c r="C70" s="607"/>
      <c r="D70" s="607"/>
      <c r="E70" s="607"/>
      <c r="F70" s="607"/>
      <c r="G70" s="607"/>
      <c r="H70" s="607"/>
      <c r="I70" s="607"/>
      <c r="J70" s="607"/>
      <c r="K70" s="607"/>
      <c r="L70" s="608"/>
    </row>
    <row r="71" spans="1:12" x14ac:dyDescent="0.25">
      <c r="A71" s="606"/>
      <c r="B71" s="607"/>
      <c r="C71" s="607"/>
      <c r="D71" s="607"/>
      <c r="E71" s="607"/>
      <c r="F71" s="607"/>
      <c r="G71" s="607"/>
      <c r="H71" s="607"/>
      <c r="I71" s="607"/>
      <c r="J71" s="607"/>
      <c r="K71" s="607"/>
      <c r="L71" s="608"/>
    </row>
    <row r="72" spans="1:12" x14ac:dyDescent="0.25">
      <c r="A72" s="606"/>
      <c r="B72" s="607"/>
      <c r="C72" s="607"/>
      <c r="D72" s="607"/>
      <c r="E72" s="607"/>
      <c r="F72" s="607"/>
      <c r="G72" s="607"/>
      <c r="H72" s="607"/>
      <c r="I72" s="607"/>
      <c r="J72" s="607"/>
      <c r="K72" s="607"/>
      <c r="L72" s="608"/>
    </row>
    <row r="73" spans="1:12" x14ac:dyDescent="0.25">
      <c r="A73" s="606"/>
      <c r="B73" s="607"/>
      <c r="C73" s="607"/>
      <c r="D73" s="607"/>
      <c r="E73" s="607"/>
      <c r="F73" s="607"/>
      <c r="G73" s="607"/>
      <c r="H73" s="607"/>
      <c r="I73" s="607"/>
      <c r="J73" s="607"/>
      <c r="K73" s="607"/>
      <c r="L73" s="608"/>
    </row>
    <row r="74" spans="1:12" x14ac:dyDescent="0.25">
      <c r="A74" s="606"/>
      <c r="B74" s="607"/>
      <c r="C74" s="607"/>
      <c r="D74" s="607"/>
      <c r="E74" s="607"/>
      <c r="F74" s="607"/>
      <c r="G74" s="607"/>
      <c r="H74" s="607"/>
      <c r="I74" s="607"/>
      <c r="J74" s="607"/>
      <c r="K74" s="607"/>
      <c r="L74" s="608"/>
    </row>
    <row r="75" spans="1:12" ht="15.75" thickBot="1" x14ac:dyDescent="0.3">
      <c r="A75" s="600"/>
      <c r="B75" s="601"/>
      <c r="C75" s="601"/>
      <c r="D75" s="601"/>
      <c r="E75" s="601"/>
      <c r="F75" s="601"/>
      <c r="G75" s="601"/>
      <c r="H75" s="601"/>
      <c r="I75" s="601"/>
      <c r="J75" s="601"/>
      <c r="K75" s="601"/>
      <c r="L75" s="602"/>
    </row>
    <row r="76" spans="1:12" ht="15.75" thickTop="1" x14ac:dyDescent="0.25">
      <c r="A76" s="584"/>
      <c r="B76" s="584"/>
      <c r="C76" s="584"/>
      <c r="D76" s="584"/>
      <c r="E76" s="584"/>
      <c r="F76" s="584"/>
      <c r="G76" s="584"/>
      <c r="H76" s="584"/>
      <c r="I76" s="584"/>
      <c r="J76" s="584"/>
      <c r="K76" s="584"/>
      <c r="L76" s="584"/>
    </row>
    <row r="77" spans="1:12" x14ac:dyDescent="0.25">
      <c r="A77" s="584"/>
      <c r="B77" s="584"/>
      <c r="C77" s="584"/>
      <c r="D77" s="584"/>
      <c r="E77" s="584"/>
      <c r="F77" s="584"/>
      <c r="G77" s="584"/>
      <c r="H77" s="584"/>
      <c r="I77" s="584"/>
      <c r="J77" s="584"/>
      <c r="K77" s="584"/>
      <c r="L77" s="584"/>
    </row>
    <row r="78" spans="1:12" x14ac:dyDescent="0.25">
      <c r="A78" s="584"/>
      <c r="B78" s="584"/>
      <c r="C78" s="584"/>
      <c r="D78" s="584"/>
      <c r="E78" s="584"/>
      <c r="F78" s="584"/>
      <c r="G78" s="584"/>
      <c r="H78" s="584"/>
      <c r="I78" s="584"/>
      <c r="J78" s="584"/>
      <c r="K78" s="584"/>
      <c r="L78" s="584"/>
    </row>
    <row r="79" spans="1:12" x14ac:dyDescent="0.25">
      <c r="A79" s="584"/>
      <c r="B79" s="584"/>
      <c r="C79" s="584"/>
      <c r="D79" s="584"/>
      <c r="E79" s="584"/>
      <c r="F79" s="584"/>
      <c r="G79" s="584"/>
      <c r="H79" s="584"/>
      <c r="I79" s="584"/>
      <c r="J79" s="584"/>
      <c r="K79" s="584"/>
      <c r="L79" s="584"/>
    </row>
    <row r="80" spans="1:12" x14ac:dyDescent="0.25">
      <c r="A80" s="584"/>
      <c r="B80" s="584"/>
      <c r="C80" s="584"/>
      <c r="D80" s="584"/>
      <c r="E80" s="584"/>
      <c r="F80" s="584"/>
      <c r="G80" s="584"/>
      <c r="H80" s="584"/>
      <c r="I80" s="584"/>
      <c r="J80" s="584"/>
      <c r="K80" s="584"/>
      <c r="L80" s="584"/>
    </row>
    <row r="81" spans="1:12" x14ac:dyDescent="0.25">
      <c r="A81" s="584"/>
      <c r="B81" s="584"/>
      <c r="C81" s="584"/>
      <c r="D81" s="584"/>
      <c r="E81" s="584"/>
      <c r="F81" s="584"/>
      <c r="G81" s="584"/>
      <c r="H81" s="584"/>
      <c r="I81" s="584"/>
      <c r="J81" s="584"/>
      <c r="K81" s="584"/>
      <c r="L81" s="584"/>
    </row>
    <row r="82" spans="1:12" x14ac:dyDescent="0.25">
      <c r="A82" s="584"/>
      <c r="B82" s="584"/>
      <c r="C82" s="584"/>
      <c r="D82" s="584"/>
      <c r="E82" s="584"/>
      <c r="F82" s="584"/>
      <c r="G82" s="584"/>
      <c r="H82" s="584"/>
      <c r="I82" s="584"/>
      <c r="J82" s="584"/>
      <c r="K82" s="584"/>
      <c r="L82" s="584"/>
    </row>
    <row r="83" spans="1:12" x14ac:dyDescent="0.25">
      <c r="A83" s="584"/>
      <c r="B83" s="584"/>
      <c r="C83" s="584"/>
      <c r="D83" s="584"/>
      <c r="E83" s="584"/>
      <c r="F83" s="584"/>
      <c r="G83" s="584"/>
      <c r="H83" s="584"/>
      <c r="I83" s="584"/>
      <c r="J83" s="584"/>
      <c r="K83" s="584"/>
      <c r="L83" s="584"/>
    </row>
    <row r="84" spans="1:12" x14ac:dyDescent="0.25">
      <c r="A84" s="584"/>
      <c r="B84" s="584"/>
      <c r="C84" s="584"/>
      <c r="D84" s="584"/>
      <c r="E84" s="584"/>
      <c r="F84" s="584"/>
      <c r="G84" s="584"/>
      <c r="H84" s="584"/>
      <c r="I84" s="584"/>
      <c r="J84" s="584"/>
      <c r="K84" s="584"/>
      <c r="L84" s="584"/>
    </row>
    <row r="85" spans="1:12" x14ac:dyDescent="0.25">
      <c r="A85" s="584"/>
      <c r="B85" s="584"/>
      <c r="C85" s="584"/>
      <c r="D85" s="584"/>
      <c r="E85" s="584"/>
      <c r="F85" s="584"/>
      <c r="G85" s="584"/>
      <c r="H85" s="584"/>
      <c r="I85" s="584"/>
      <c r="J85" s="584"/>
      <c r="K85" s="584"/>
      <c r="L85" s="584"/>
    </row>
    <row r="86" spans="1:12" x14ac:dyDescent="0.25">
      <c r="A86" s="584"/>
      <c r="B86" s="584"/>
      <c r="C86" s="584"/>
      <c r="D86" s="584"/>
      <c r="E86" s="584"/>
      <c r="F86" s="584"/>
      <c r="G86" s="584"/>
      <c r="H86" s="584"/>
      <c r="I86" s="584"/>
      <c r="J86" s="584"/>
      <c r="K86" s="584"/>
      <c r="L86" s="584"/>
    </row>
    <row r="87" spans="1:12" x14ac:dyDescent="0.25">
      <c r="A87" s="584"/>
      <c r="B87" s="584"/>
      <c r="C87" s="584"/>
      <c r="D87" s="584"/>
      <c r="E87" s="584"/>
      <c r="F87" s="584"/>
      <c r="G87" s="584"/>
      <c r="H87" s="584"/>
      <c r="I87" s="584"/>
      <c r="J87" s="584"/>
      <c r="K87" s="584"/>
      <c r="L87" s="584"/>
    </row>
    <row r="88" spans="1:12" x14ac:dyDescent="0.25">
      <c r="A88" s="584"/>
      <c r="B88" s="584"/>
      <c r="C88" s="584"/>
      <c r="D88" s="584"/>
      <c r="E88" s="584"/>
      <c r="F88" s="584"/>
      <c r="G88" s="584"/>
      <c r="H88" s="584"/>
      <c r="I88" s="584"/>
      <c r="J88" s="584"/>
      <c r="K88" s="584"/>
      <c r="L88" s="584"/>
    </row>
    <row r="89" spans="1:12" x14ac:dyDescent="0.25">
      <c r="A89" s="584"/>
      <c r="B89" s="584"/>
      <c r="C89" s="584"/>
      <c r="D89" s="584"/>
      <c r="E89" s="584"/>
      <c r="F89" s="584"/>
      <c r="G89" s="584"/>
      <c r="H89" s="584"/>
      <c r="I89" s="584"/>
      <c r="J89" s="584"/>
      <c r="K89" s="584"/>
      <c r="L89" s="584"/>
    </row>
    <row r="90" spans="1:12" x14ac:dyDescent="0.25">
      <c r="A90" s="584"/>
      <c r="B90" s="584"/>
      <c r="C90" s="584"/>
      <c r="D90" s="584"/>
      <c r="E90" s="584"/>
      <c r="F90" s="584"/>
      <c r="G90" s="584"/>
      <c r="H90" s="584"/>
      <c r="I90" s="584"/>
      <c r="J90" s="584"/>
      <c r="K90" s="584"/>
      <c r="L90" s="584"/>
    </row>
    <row r="91" spans="1:12" x14ac:dyDescent="0.25">
      <c r="A91" s="584"/>
      <c r="B91" s="584"/>
      <c r="C91" s="584"/>
      <c r="D91" s="584"/>
      <c r="E91" s="584"/>
      <c r="F91" s="584"/>
      <c r="G91" s="584"/>
      <c r="H91" s="584"/>
      <c r="I91" s="584"/>
      <c r="J91" s="584"/>
      <c r="K91" s="584"/>
      <c r="L91" s="584"/>
    </row>
    <row r="92" spans="1:12" x14ac:dyDescent="0.25">
      <c r="A92" s="584"/>
      <c r="B92" s="584"/>
      <c r="C92" s="584"/>
      <c r="D92" s="584"/>
      <c r="E92" s="584"/>
      <c r="F92" s="584"/>
      <c r="G92" s="584"/>
      <c r="H92" s="584"/>
      <c r="I92" s="584"/>
      <c r="J92" s="584"/>
      <c r="K92" s="584"/>
      <c r="L92" s="584"/>
    </row>
    <row r="93" spans="1:12" x14ac:dyDescent="0.25">
      <c r="A93" s="584"/>
      <c r="B93" s="584"/>
      <c r="C93" s="584"/>
      <c r="D93" s="584"/>
      <c r="E93" s="584"/>
      <c r="F93" s="584"/>
      <c r="G93" s="584"/>
      <c r="H93" s="584"/>
      <c r="I93" s="584"/>
      <c r="J93" s="584"/>
      <c r="K93" s="584"/>
      <c r="L93" s="584"/>
    </row>
    <row r="94" spans="1:12" x14ac:dyDescent="0.25">
      <c r="A94" s="584"/>
      <c r="B94" s="584"/>
      <c r="C94" s="584"/>
      <c r="D94" s="584"/>
      <c r="E94" s="584"/>
      <c r="F94" s="584"/>
      <c r="G94" s="584"/>
      <c r="H94" s="584"/>
      <c r="I94" s="584"/>
      <c r="J94" s="584"/>
      <c r="K94" s="584"/>
      <c r="L94" s="584"/>
    </row>
    <row r="95" spans="1:12" x14ac:dyDescent="0.25">
      <c r="A95" s="584"/>
      <c r="B95" s="584"/>
      <c r="C95" s="584"/>
      <c r="D95" s="584"/>
      <c r="E95" s="584"/>
      <c r="F95" s="584"/>
      <c r="G95" s="584"/>
      <c r="H95" s="584"/>
      <c r="I95" s="584"/>
      <c r="J95" s="584"/>
      <c r="K95" s="584"/>
      <c r="L95" s="584"/>
    </row>
    <row r="96" spans="1:12" x14ac:dyDescent="0.25">
      <c r="A96" s="584"/>
      <c r="B96" s="584"/>
      <c r="C96" s="584"/>
      <c r="D96" s="584"/>
      <c r="E96" s="584"/>
      <c r="F96" s="584"/>
      <c r="G96" s="584"/>
      <c r="H96" s="584"/>
      <c r="I96" s="584"/>
      <c r="J96" s="584"/>
      <c r="K96" s="584"/>
      <c r="L96" s="584"/>
    </row>
    <row r="97" spans="1:12" x14ac:dyDescent="0.25">
      <c r="A97" s="584"/>
      <c r="B97" s="584"/>
      <c r="C97" s="584"/>
      <c r="D97" s="584"/>
      <c r="E97" s="584"/>
      <c r="F97" s="584"/>
      <c r="G97" s="584"/>
      <c r="H97" s="584"/>
      <c r="I97" s="584"/>
      <c r="J97" s="584"/>
      <c r="K97" s="584"/>
      <c r="L97" s="584"/>
    </row>
    <row r="98" spans="1:12" x14ac:dyDescent="0.25">
      <c r="A98" s="584"/>
      <c r="B98" s="584"/>
      <c r="C98" s="584"/>
      <c r="D98" s="584"/>
      <c r="E98" s="584"/>
      <c r="F98" s="584"/>
      <c r="G98" s="584"/>
      <c r="H98" s="584"/>
      <c r="I98" s="584"/>
      <c r="J98" s="584"/>
      <c r="K98" s="584"/>
      <c r="L98" s="584"/>
    </row>
    <row r="99" spans="1:12" x14ac:dyDescent="0.25">
      <c r="A99" s="584"/>
      <c r="B99" s="584"/>
      <c r="C99" s="584"/>
      <c r="D99" s="584"/>
      <c r="E99" s="584"/>
      <c r="F99" s="584"/>
      <c r="G99" s="584"/>
      <c r="H99" s="584"/>
      <c r="I99" s="584"/>
      <c r="J99" s="584"/>
      <c r="K99" s="584"/>
      <c r="L99" s="584"/>
    </row>
  </sheetData>
  <sheetProtection sheet="1" objects="1" scenarios="1"/>
  <mergeCells count="19">
    <mergeCell ref="D41:K43"/>
    <mergeCell ref="B32:C34"/>
    <mergeCell ref="B35:C37"/>
    <mergeCell ref="D35:K37"/>
    <mergeCell ref="B38:C40"/>
    <mergeCell ref="B41:C43"/>
    <mergeCell ref="D38:K40"/>
    <mergeCell ref="B47:C49"/>
    <mergeCell ref="B50:C52"/>
    <mergeCell ref="D50:K52"/>
    <mergeCell ref="D47:K49"/>
    <mergeCell ref="D44:K46"/>
    <mergeCell ref="B44:C46"/>
    <mergeCell ref="D29:K31"/>
    <mergeCell ref="D32:K34"/>
    <mergeCell ref="B20:K22"/>
    <mergeCell ref="B24:C28"/>
    <mergeCell ref="D24:K28"/>
    <mergeCell ref="B29:C31"/>
  </mergeCells>
  <pageMargins left="0.23622047244094491" right="0.23622047244094491" top="0.23622047244094491" bottom="3.937007874015748E-2" header="0.31496062992125984" footer="0.31496062992125984"/>
  <pageSetup paperSize="9"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6"/>
  <sheetViews>
    <sheetView showGridLines="0" tabSelected="1" topLeftCell="A17" zoomScale="70" zoomScaleNormal="70" zoomScaleSheetLayoutView="55" zoomScalePageLayoutView="40" workbookViewId="0">
      <selection activeCell="E35" sqref="E35:F35"/>
    </sheetView>
  </sheetViews>
  <sheetFormatPr defaultRowHeight="15.75" x14ac:dyDescent="0.25"/>
  <cols>
    <col min="1" max="2" width="2.7109375" style="7" customWidth="1"/>
    <col min="3" max="3" width="38.42578125" style="7" customWidth="1"/>
    <col min="4" max="10" width="16.7109375" style="8" customWidth="1"/>
    <col min="11" max="11" width="2.7109375" style="8" customWidth="1"/>
    <col min="12" max="12" width="2.7109375" style="7" customWidth="1"/>
    <col min="13" max="17" width="14.85546875" style="8" customWidth="1"/>
    <col min="18" max="16384" width="9.140625" style="8"/>
  </cols>
  <sheetData>
    <row r="1" spans="1:12" ht="16.5" thickTop="1" x14ac:dyDescent="0.25">
      <c r="A1" s="438"/>
      <c r="B1" s="439"/>
      <c r="C1" s="439"/>
      <c r="D1" s="440"/>
      <c r="E1" s="440"/>
      <c r="F1" s="440"/>
      <c r="G1" s="440"/>
      <c r="H1" s="440"/>
      <c r="I1" s="440"/>
      <c r="J1" s="440"/>
      <c r="K1" s="440"/>
      <c r="L1" s="441"/>
    </row>
    <row r="2" spans="1:12" ht="9.9499999999999993" customHeight="1" x14ac:dyDescent="0.25">
      <c r="A2" s="442"/>
      <c r="B2" s="624" t="s">
        <v>329</v>
      </c>
      <c r="C2" s="624"/>
      <c r="D2" s="624"/>
      <c r="E2" s="624"/>
      <c r="F2" s="624"/>
      <c r="G2" s="624"/>
      <c r="H2" s="624"/>
      <c r="I2" s="624"/>
      <c r="J2" s="624"/>
      <c r="K2" s="443"/>
      <c r="L2" s="444"/>
    </row>
    <row r="3" spans="1:12" ht="9.9499999999999993" customHeight="1" x14ac:dyDescent="0.25">
      <c r="A3" s="442"/>
      <c r="B3" s="624"/>
      <c r="C3" s="624"/>
      <c r="D3" s="624"/>
      <c r="E3" s="624"/>
      <c r="F3" s="624"/>
      <c r="G3" s="624"/>
      <c r="H3" s="624"/>
      <c r="I3" s="624"/>
      <c r="J3" s="624"/>
      <c r="K3" s="443"/>
      <c r="L3" s="444"/>
    </row>
    <row r="4" spans="1:12" ht="5.0999999999999996" customHeight="1" x14ac:dyDescent="0.25">
      <c r="A4" s="442"/>
      <c r="B4" s="47"/>
      <c r="C4" s="273"/>
      <c r="D4" s="273"/>
      <c r="E4" s="273"/>
      <c r="F4" s="273"/>
      <c r="G4" s="273"/>
      <c r="H4" s="273"/>
      <c r="I4" s="273"/>
      <c r="J4" s="273"/>
      <c r="K4" s="273"/>
      <c r="L4" s="444"/>
    </row>
    <row r="5" spans="1:12" ht="15.75" customHeight="1" x14ac:dyDescent="0.25">
      <c r="A5" s="442"/>
      <c r="B5" s="47"/>
      <c r="C5" s="47"/>
      <c r="D5" s="33"/>
      <c r="E5" s="33"/>
      <c r="F5" s="628" t="s">
        <v>330</v>
      </c>
      <c r="G5" s="628"/>
      <c r="H5" s="628"/>
      <c r="I5" s="628"/>
      <c r="J5" s="628"/>
      <c r="K5" s="445"/>
      <c r="L5" s="444"/>
    </row>
    <row r="6" spans="1:12" x14ac:dyDescent="0.25">
      <c r="A6" s="442"/>
      <c r="B6" s="47"/>
      <c r="C6" s="47"/>
      <c r="D6" s="33"/>
      <c r="E6" s="33"/>
      <c r="F6" s="628"/>
      <c r="G6" s="628"/>
      <c r="H6" s="628"/>
      <c r="I6" s="628"/>
      <c r="J6" s="628"/>
      <c r="K6" s="445"/>
      <c r="L6" s="444"/>
    </row>
    <row r="7" spans="1:12" x14ac:dyDescent="0.25">
      <c r="A7" s="442"/>
      <c r="B7" s="47"/>
      <c r="C7" s="47"/>
      <c r="D7" s="33"/>
      <c r="E7" s="33"/>
      <c r="F7" s="628"/>
      <c r="G7" s="628"/>
      <c r="H7" s="628"/>
      <c r="I7" s="628"/>
      <c r="J7" s="628"/>
      <c r="K7" s="445"/>
      <c r="L7" s="444"/>
    </row>
    <row r="8" spans="1:12" x14ac:dyDescent="0.25">
      <c r="A8" s="442"/>
      <c r="B8" s="47"/>
      <c r="C8" s="47"/>
      <c r="D8" s="33"/>
      <c r="E8" s="33"/>
      <c r="F8" s="628"/>
      <c r="G8" s="628"/>
      <c r="H8" s="628"/>
      <c r="I8" s="628"/>
      <c r="J8" s="628"/>
      <c r="K8" s="445"/>
      <c r="L8" s="444"/>
    </row>
    <row r="9" spans="1:12" x14ac:dyDescent="0.25">
      <c r="A9" s="442"/>
      <c r="B9" s="47"/>
      <c r="C9" s="47"/>
      <c r="D9" s="33"/>
      <c r="E9" s="33"/>
      <c r="F9" s="628"/>
      <c r="G9" s="628"/>
      <c r="H9" s="628"/>
      <c r="I9" s="628"/>
      <c r="J9" s="628"/>
      <c r="K9" s="445"/>
      <c r="L9" s="444"/>
    </row>
    <row r="10" spans="1:12" x14ac:dyDescent="0.25">
      <c r="A10" s="442"/>
      <c r="B10" s="47"/>
      <c r="C10" s="47"/>
      <c r="D10" s="33"/>
      <c r="E10" s="33"/>
      <c r="F10" s="628"/>
      <c r="G10" s="628"/>
      <c r="H10" s="628"/>
      <c r="I10" s="628"/>
      <c r="J10" s="628"/>
      <c r="K10" s="445"/>
      <c r="L10" s="444"/>
    </row>
    <row r="11" spans="1:12" x14ac:dyDescent="0.25">
      <c r="A11" s="442"/>
      <c r="B11" s="47"/>
      <c r="C11" s="47"/>
      <c r="D11" s="33"/>
      <c r="E11" s="33"/>
      <c r="F11" s="628"/>
      <c r="G11" s="628"/>
      <c r="H11" s="628"/>
      <c r="I11" s="628"/>
      <c r="J11" s="628"/>
      <c r="K11" s="445"/>
      <c r="L11" s="444"/>
    </row>
    <row r="12" spans="1:12" x14ac:dyDescent="0.25">
      <c r="A12" s="442"/>
      <c r="B12" s="47"/>
      <c r="C12" s="47"/>
      <c r="D12" s="33"/>
      <c r="E12" s="33"/>
      <c r="F12" s="628"/>
      <c r="G12" s="628"/>
      <c r="H12" s="628"/>
      <c r="I12" s="628"/>
      <c r="J12" s="628"/>
      <c r="K12" s="445"/>
      <c r="L12" s="444"/>
    </row>
    <row r="13" spans="1:12" ht="4.5" customHeight="1" x14ac:dyDescent="0.25">
      <c r="A13" s="442"/>
      <c r="B13" s="47"/>
      <c r="C13" s="47"/>
      <c r="D13" s="33"/>
      <c r="E13" s="33"/>
      <c r="F13" s="446"/>
      <c r="G13" s="446"/>
      <c r="H13" s="446"/>
      <c r="I13" s="446"/>
      <c r="J13" s="446"/>
      <c r="K13" s="446"/>
      <c r="L13" s="444"/>
    </row>
    <row r="14" spans="1:12" ht="9.9499999999999993" customHeight="1" x14ac:dyDescent="0.25">
      <c r="A14" s="442"/>
      <c r="B14" s="625" t="s">
        <v>346</v>
      </c>
      <c r="C14" s="625"/>
      <c r="D14" s="625"/>
      <c r="E14" s="625"/>
      <c r="F14" s="625"/>
      <c r="G14" s="625"/>
      <c r="H14" s="625"/>
      <c r="I14" s="625"/>
      <c r="J14" s="625"/>
      <c r="K14" s="447"/>
      <c r="L14" s="444"/>
    </row>
    <row r="15" spans="1:12" ht="9.9499999999999993" customHeight="1" x14ac:dyDescent="0.25">
      <c r="A15" s="442"/>
      <c r="B15" s="625"/>
      <c r="C15" s="625"/>
      <c r="D15" s="625"/>
      <c r="E15" s="625"/>
      <c r="F15" s="625"/>
      <c r="G15" s="625"/>
      <c r="H15" s="625"/>
      <c r="I15" s="625"/>
      <c r="J15" s="625"/>
      <c r="K15" s="447"/>
      <c r="L15" s="444"/>
    </row>
    <row r="16" spans="1:12" x14ac:dyDescent="0.25">
      <c r="A16" s="442"/>
      <c r="B16" s="47"/>
      <c r="C16" s="47"/>
      <c r="D16" s="33"/>
      <c r="E16" s="33"/>
      <c r="F16" s="33"/>
      <c r="G16" s="33"/>
      <c r="H16" s="33"/>
      <c r="I16" s="33"/>
      <c r="J16" s="33"/>
      <c r="K16" s="33"/>
      <c r="L16" s="444"/>
    </row>
    <row r="17" spans="1:14" s="7" customFormat="1" ht="16.5" thickBot="1" x14ac:dyDescent="0.3">
      <c r="A17" s="442"/>
      <c r="B17" s="47"/>
      <c r="C17" s="240" t="s">
        <v>284</v>
      </c>
      <c r="D17" s="448">
        <v>43921</v>
      </c>
      <c r="E17" s="448">
        <f t="shared" ref="E17:J17" si="0">EOMONTH(D17,12)</f>
        <v>44286</v>
      </c>
      <c r="F17" s="448">
        <f t="shared" si="0"/>
        <v>44651</v>
      </c>
      <c r="G17" s="448">
        <f t="shared" si="0"/>
        <v>45016</v>
      </c>
      <c r="H17" s="448">
        <f t="shared" si="0"/>
        <v>45382</v>
      </c>
      <c r="I17" s="448">
        <f t="shared" si="0"/>
        <v>45747</v>
      </c>
      <c r="J17" s="448">
        <f t="shared" si="0"/>
        <v>46112</v>
      </c>
      <c r="K17" s="262"/>
      <c r="L17" s="449"/>
    </row>
    <row r="18" spans="1:14" ht="16.5" thickTop="1" x14ac:dyDescent="0.25">
      <c r="A18" s="442"/>
      <c r="B18" s="47"/>
      <c r="C18" s="329" t="s">
        <v>9</v>
      </c>
      <c r="D18" s="300">
        <f>'P &amp; L'!C8</f>
        <v>248702</v>
      </c>
      <c r="E18" s="300">
        <f>'P &amp; L'!D8</f>
        <v>241430.6</v>
      </c>
      <c r="F18" s="300">
        <f>'P &amp; L'!E8</f>
        <v>309762.7</v>
      </c>
      <c r="G18" s="300">
        <f>'P &amp; L'!F8</f>
        <v>428395.6</v>
      </c>
      <c r="H18" s="300">
        <f>'P &amp; L'!G8</f>
        <v>507888.3</v>
      </c>
      <c r="I18" s="300">
        <f>'P &amp; L'!H8</f>
        <v>593580.5</v>
      </c>
      <c r="J18" s="300">
        <f>'P &amp; L'!I8</f>
        <v>688207.4</v>
      </c>
      <c r="K18" s="221"/>
      <c r="L18" s="444"/>
    </row>
    <row r="19" spans="1:14" x14ac:dyDescent="0.25">
      <c r="A19" s="442"/>
      <c r="B19" s="47"/>
      <c r="C19" s="332" t="s">
        <v>283</v>
      </c>
      <c r="D19" s="299">
        <v>0.24322903023916598</v>
      </c>
      <c r="E19" s="299">
        <f t="shared" ref="E19:J19" si="1">(E18/D18)-1</f>
        <v>-2.9237400583831175E-2</v>
      </c>
      <c r="F19" s="299">
        <f t="shared" si="1"/>
        <v>0.28302998874210639</v>
      </c>
      <c r="G19" s="299">
        <f t="shared" si="1"/>
        <v>0.38297993915987938</v>
      </c>
      <c r="H19" s="299">
        <f t="shared" si="1"/>
        <v>0.18555909537819715</v>
      </c>
      <c r="I19" s="299">
        <f t="shared" si="1"/>
        <v>0.16872253210007004</v>
      </c>
      <c r="J19" s="299">
        <f t="shared" si="1"/>
        <v>0.15941713044818684</v>
      </c>
      <c r="K19" s="223"/>
      <c r="L19" s="444"/>
      <c r="N19" s="106"/>
    </row>
    <row r="20" spans="1:14" x14ac:dyDescent="0.25">
      <c r="A20" s="442"/>
      <c r="B20" s="47"/>
      <c r="C20" s="329" t="s">
        <v>280</v>
      </c>
      <c r="D20" s="299">
        <f>'P &amp; L'!C13</f>
        <v>0.15147726998576613</v>
      </c>
      <c r="E20" s="299">
        <f>'P &amp; L'!D13</f>
        <v>0.14862987541761477</v>
      </c>
      <c r="F20" s="299">
        <f>'P &amp; L'!E13</f>
        <v>0.14781895948091875</v>
      </c>
      <c r="G20" s="299">
        <f>'P &amp; L'!F13</f>
        <v>0.15069272420164923</v>
      </c>
      <c r="H20" s="299">
        <f>'P &amp; L'!G13</f>
        <v>0.1479516263713892</v>
      </c>
      <c r="I20" s="299">
        <f>'P &amp; L'!H13</f>
        <v>0.14835982651047322</v>
      </c>
      <c r="J20" s="299">
        <f>'P &amp; L'!I13</f>
        <v>0.15055069155025066</v>
      </c>
      <c r="K20" s="223"/>
      <c r="L20" s="444"/>
    </row>
    <row r="21" spans="1:14" x14ac:dyDescent="0.25">
      <c r="A21" s="442"/>
      <c r="B21" s="47"/>
      <c r="C21" s="322" t="s">
        <v>28</v>
      </c>
      <c r="D21" s="299">
        <f>'P &amp; L'!C18</f>
        <v>8.5576714300649018E-2</v>
      </c>
      <c r="E21" s="299">
        <f>'P &amp; L'!D18</f>
        <v>7.2196730654689109E-2</v>
      </c>
      <c r="F21" s="299">
        <f>'P &amp; L'!E18</f>
        <v>8.0658516987358347E-2</v>
      </c>
      <c r="G21" s="299">
        <f>'P &amp; L'!F18</f>
        <v>8.4898864507478675E-2</v>
      </c>
      <c r="H21" s="299">
        <f>'P &amp; L'!G18</f>
        <v>8.0800640613300265E-2</v>
      </c>
      <c r="I21" s="299">
        <f>'P &amp; L'!H18</f>
        <v>7.5597665354572713E-2</v>
      </c>
      <c r="J21" s="299">
        <f>'P &amp; L'!I18</f>
        <v>7.5363763888618415E-2</v>
      </c>
      <c r="K21" s="223"/>
      <c r="L21" s="444"/>
    </row>
    <row r="22" spans="1:14" x14ac:dyDescent="0.25">
      <c r="A22" s="442"/>
      <c r="B22" s="47"/>
      <c r="C22" s="322" t="s">
        <v>29</v>
      </c>
      <c r="D22" s="299">
        <f>'P &amp; L'!C21</f>
        <v>7.0522151008033773E-2</v>
      </c>
      <c r="E22" s="299">
        <f>'P &amp; L'!D21</f>
        <v>5.5042318579334948E-2</v>
      </c>
      <c r="F22" s="299">
        <f>'P &amp; L'!E21</f>
        <v>6.4579111687753196E-2</v>
      </c>
      <c r="G22" s="299">
        <f>'P &amp; L'!F21</f>
        <v>6.9985779499135925E-2</v>
      </c>
      <c r="H22" s="299">
        <f>'P &amp; L'!G21</f>
        <v>6.6412437537939004E-2</v>
      </c>
      <c r="I22" s="299">
        <f>'P &amp; L'!H21</f>
        <v>6.094893615945933E-2</v>
      </c>
      <c r="J22" s="299">
        <f>'P &amp; L'!I21</f>
        <v>6.0295341200922815E-2</v>
      </c>
      <c r="K22" s="223"/>
      <c r="L22" s="444"/>
    </row>
    <row r="23" spans="1:14" x14ac:dyDescent="0.25">
      <c r="A23" s="442"/>
      <c r="B23" s="47"/>
      <c r="C23" s="322" t="s">
        <v>30</v>
      </c>
      <c r="D23" s="299">
        <f>'P &amp; L'!C26</f>
        <v>7.0155044993606863E-2</v>
      </c>
      <c r="E23" s="299">
        <f>'P &amp; L'!D26</f>
        <v>6.1444158279853445E-2</v>
      </c>
      <c r="F23" s="299">
        <f>'P &amp; L'!E26</f>
        <v>6.6635524548307429E-2</v>
      </c>
      <c r="G23" s="299">
        <f>'P &amp; L'!F26</f>
        <v>7.1431405924804167E-2</v>
      </c>
      <c r="H23" s="299">
        <f>'P &amp; L'!G26</f>
        <v>6.8151402582024484E-2</v>
      </c>
      <c r="I23" s="299">
        <f>'P &amp; L'!H26</f>
        <v>6.1873157895180088E-2</v>
      </c>
      <c r="J23" s="299">
        <f>'P &amp; L'!I26</f>
        <v>5.9307993491496847E-2</v>
      </c>
      <c r="K23" s="223"/>
      <c r="L23" s="450"/>
    </row>
    <row r="24" spans="1:14" x14ac:dyDescent="0.25">
      <c r="A24" s="442"/>
      <c r="B24" s="47"/>
      <c r="C24" s="322" t="s">
        <v>33</v>
      </c>
      <c r="D24" s="299">
        <f>'P &amp; L'!C33</f>
        <v>5.2310797661458353E-2</v>
      </c>
      <c r="E24" s="299">
        <f>'P &amp; L'!D33</f>
        <v>4.5538138081916646E-2</v>
      </c>
      <c r="F24" s="299">
        <f>'P &amp; L'!E33</f>
        <v>4.8178815590127502E-2</v>
      </c>
      <c r="G24" s="299">
        <f>'P &amp; L'!F33</f>
        <v>5.551737692917489E-2</v>
      </c>
      <c r="H24" s="299">
        <f>'P &amp; L'!G33</f>
        <v>4.9924560183804242E-2</v>
      </c>
      <c r="I24" s="299">
        <f>'P &amp; L'!H33</f>
        <v>4.5612178971512617E-2</v>
      </c>
      <c r="J24" s="299">
        <f>'P &amp; L'!I33</f>
        <v>4.3164313548502919E-2</v>
      </c>
      <c r="K24" s="223"/>
      <c r="L24" s="444"/>
    </row>
    <row r="25" spans="1:14" x14ac:dyDescent="0.25">
      <c r="A25" s="442"/>
      <c r="B25" s="47"/>
      <c r="C25" s="322" t="s">
        <v>281</v>
      </c>
      <c r="D25" s="300">
        <f>'P &amp; L'!C36</f>
        <v>20.71</v>
      </c>
      <c r="E25" s="300">
        <f>'P &amp; L'!D36</f>
        <v>16.97</v>
      </c>
      <c r="F25" s="300">
        <f>'P &amp; L'!E36</f>
        <v>23.04</v>
      </c>
      <c r="G25" s="300">
        <f>'P &amp; L'!F36</f>
        <v>36.72</v>
      </c>
      <c r="H25" s="300">
        <f>'P &amp; L'!G36</f>
        <v>38.99</v>
      </c>
      <c r="I25" s="300">
        <f>'P &amp; L'!H36</f>
        <v>41.61</v>
      </c>
      <c r="J25" s="300">
        <f>'P &amp; L'!I36</f>
        <v>45.65</v>
      </c>
      <c r="K25" s="221"/>
      <c r="L25" s="444"/>
    </row>
    <row r="26" spans="1:14" x14ac:dyDescent="0.25">
      <c r="A26" s="442"/>
      <c r="B26" s="47"/>
      <c r="C26" s="329" t="s">
        <v>282</v>
      </c>
      <c r="D26" s="300">
        <v>0</v>
      </c>
      <c r="E26" s="299">
        <f t="shared" ref="E26:J26" si="2">(E25/D25)-1</f>
        <v>-0.18058908739739266</v>
      </c>
      <c r="F26" s="299">
        <f t="shared" si="2"/>
        <v>0.3576900412492634</v>
      </c>
      <c r="G26" s="299">
        <f t="shared" si="2"/>
        <v>0.59375</v>
      </c>
      <c r="H26" s="299">
        <f t="shared" si="2"/>
        <v>6.1819172113289911E-2</v>
      </c>
      <c r="I26" s="299">
        <f t="shared" si="2"/>
        <v>6.7196717106950521E-2</v>
      </c>
      <c r="J26" s="299">
        <f t="shared" si="2"/>
        <v>9.7092045181446762E-2</v>
      </c>
      <c r="K26" s="223"/>
      <c r="L26" s="444"/>
    </row>
    <row r="27" spans="1:14" x14ac:dyDescent="0.25">
      <c r="A27" s="442"/>
      <c r="B27" s="47"/>
      <c r="C27" s="329" t="s">
        <v>288</v>
      </c>
      <c r="D27" s="300">
        <v>2218</v>
      </c>
      <c r="E27" s="301">
        <v>2885</v>
      </c>
      <c r="F27" s="301">
        <v>4013</v>
      </c>
      <c r="G27" s="301">
        <v>341305</v>
      </c>
      <c r="H27" s="301">
        <v>4570</v>
      </c>
      <c r="I27" s="301">
        <v>4109.75</v>
      </c>
      <c r="J27" s="301">
        <v>4075</v>
      </c>
      <c r="K27" s="44"/>
      <c r="L27" s="444"/>
    </row>
    <row r="28" spans="1:14" x14ac:dyDescent="0.25">
      <c r="A28" s="442"/>
      <c r="B28" s="47"/>
      <c r="C28" s="329" t="s">
        <v>285</v>
      </c>
      <c r="D28" s="300">
        <f>2218/'P &amp; L'!C36</f>
        <v>107.09802028005794</v>
      </c>
      <c r="E28" s="300">
        <f>2885/'P &amp; L'!D36</f>
        <v>170.00589275191516</v>
      </c>
      <c r="F28" s="300">
        <f>4013/'P &amp; L'!E36</f>
        <v>174.17534722222223</v>
      </c>
      <c r="G28" s="300">
        <f>3413.05/'P &amp; L'!F36</f>
        <v>92.947984749455344</v>
      </c>
      <c r="H28" s="300">
        <f>4570/'P &amp; L'!G36</f>
        <v>117.2095409079251</v>
      </c>
      <c r="I28" s="300">
        <f>4109.75/'P &amp; L'!H36</f>
        <v>98.768324921893779</v>
      </c>
      <c r="J28" s="300">
        <f>4075/'P &amp; L'!I36</f>
        <v>89.266155531215773</v>
      </c>
      <c r="K28" s="221"/>
      <c r="L28" s="444"/>
    </row>
    <row r="29" spans="1:14" x14ac:dyDescent="0.25">
      <c r="A29" s="442"/>
      <c r="B29" s="47"/>
      <c r="C29" s="322" t="s">
        <v>286</v>
      </c>
      <c r="D29" s="302">
        <f>D27/10</f>
        <v>221.8</v>
      </c>
      <c r="E29" s="302">
        <f t="shared" ref="E29:J29" si="3">E27/10</f>
        <v>288.5</v>
      </c>
      <c r="F29" s="302">
        <f t="shared" si="3"/>
        <v>401.3</v>
      </c>
      <c r="G29" s="302">
        <f t="shared" si="3"/>
        <v>34130.5</v>
      </c>
      <c r="H29" s="302">
        <f t="shared" si="3"/>
        <v>457</v>
      </c>
      <c r="I29" s="302">
        <f t="shared" si="3"/>
        <v>410.97500000000002</v>
      </c>
      <c r="J29" s="302">
        <f t="shared" si="3"/>
        <v>407.5</v>
      </c>
      <c r="K29" s="226"/>
      <c r="L29" s="444"/>
    </row>
    <row r="30" spans="1:14" x14ac:dyDescent="0.25">
      <c r="A30" s="442"/>
      <c r="B30" s="47"/>
      <c r="C30" s="322" t="s">
        <v>287</v>
      </c>
      <c r="D30" s="310">
        <f>D25/D27</f>
        <v>9.3372407574391341E-3</v>
      </c>
      <c r="E30" s="310">
        <f t="shared" ref="E30:J30" si="4">E25/E27</f>
        <v>5.8821490467937604E-3</v>
      </c>
      <c r="F30" s="310">
        <f t="shared" si="4"/>
        <v>5.7413406429105409E-3</v>
      </c>
      <c r="G30" s="310">
        <f t="shared" si="4"/>
        <v>1.0758705556613585E-4</v>
      </c>
      <c r="H30" s="310">
        <f t="shared" si="4"/>
        <v>8.5317286652078772E-3</v>
      </c>
      <c r="I30" s="310">
        <f t="shared" si="4"/>
        <v>1.0124703449114909E-2</v>
      </c>
      <c r="J30" s="310">
        <f t="shared" si="4"/>
        <v>1.120245398773006E-2</v>
      </c>
      <c r="K30" s="275"/>
      <c r="L30" s="451"/>
    </row>
    <row r="31" spans="1:14" x14ac:dyDescent="0.25">
      <c r="A31" s="442"/>
      <c r="B31" s="47"/>
      <c r="C31" s="224"/>
      <c r="D31" s="221"/>
      <c r="E31" s="221"/>
      <c r="F31" s="221"/>
      <c r="G31" s="221"/>
      <c r="H31" s="221"/>
      <c r="I31" s="452"/>
      <c r="J31" s="452"/>
      <c r="K31" s="452"/>
      <c r="L31" s="444"/>
    </row>
    <row r="32" spans="1:14" ht="16.5" thickBot="1" x14ac:dyDescent="0.3">
      <c r="A32" s="442"/>
      <c r="B32" s="47"/>
      <c r="C32" s="240" t="s">
        <v>298</v>
      </c>
      <c r="D32" s="453" t="s">
        <v>299</v>
      </c>
      <c r="E32" s="631" t="s">
        <v>300</v>
      </c>
      <c r="F32" s="631"/>
      <c r="G32" s="453" t="s">
        <v>301</v>
      </c>
      <c r="H32" s="232"/>
      <c r="I32" s="630" t="s">
        <v>333</v>
      </c>
      <c r="J32" s="630"/>
      <c r="K32" s="339"/>
      <c r="L32" s="444"/>
    </row>
    <row r="33" spans="1:12" ht="15.75" customHeight="1" thickTop="1" x14ac:dyDescent="0.25">
      <c r="A33" s="442"/>
      <c r="B33" s="47"/>
      <c r="C33" s="454" t="s">
        <v>320</v>
      </c>
      <c r="D33" s="455">
        <v>485747156</v>
      </c>
      <c r="E33" s="632">
        <v>0.74519999999999997</v>
      </c>
      <c r="F33" s="632"/>
      <c r="G33" s="301">
        <f>E33*'DCF Valuation'!$C$42</f>
        <v>1834274.669752537</v>
      </c>
      <c r="H33" s="44"/>
      <c r="I33" s="332" t="s">
        <v>258</v>
      </c>
      <c r="J33" s="301">
        <f>'DCF Valuation'!C40</f>
        <v>3781</v>
      </c>
      <c r="K33" s="44"/>
      <c r="L33" s="456"/>
    </row>
    <row r="34" spans="1:12" ht="15.75" customHeight="1" thickBot="1" x14ac:dyDescent="0.3">
      <c r="A34" s="442"/>
      <c r="B34" s="47"/>
      <c r="C34" s="454" t="s">
        <v>319</v>
      </c>
      <c r="D34" s="455"/>
      <c r="E34" s="623"/>
      <c r="F34" s="623"/>
      <c r="G34" s="301"/>
      <c r="H34" s="44"/>
      <c r="I34" s="332" t="s">
        <v>259</v>
      </c>
      <c r="J34" s="301">
        <f>'DCF Valuation'!C41</f>
        <v>651.00578099999996</v>
      </c>
      <c r="K34" s="44"/>
      <c r="L34" s="451"/>
    </row>
    <row r="35" spans="1:12" ht="15.75" customHeight="1" thickTop="1" x14ac:dyDescent="0.25">
      <c r="A35" s="442"/>
      <c r="B35" s="47"/>
      <c r="C35" s="457" t="s">
        <v>306</v>
      </c>
      <c r="D35" s="455">
        <v>15248</v>
      </c>
      <c r="E35" s="623">
        <v>0</v>
      </c>
      <c r="F35" s="623"/>
      <c r="G35" s="301">
        <f>E35*'DCF Valuation'!$C$42</f>
        <v>0</v>
      </c>
      <c r="H35" s="44"/>
      <c r="I35" s="333" t="s">
        <v>260</v>
      </c>
      <c r="J35" s="243">
        <f>J33*J34</f>
        <v>2461452.8579609999</v>
      </c>
      <c r="K35" s="221"/>
      <c r="L35" s="444"/>
    </row>
    <row r="36" spans="1:12" ht="15.75" customHeight="1" x14ac:dyDescent="0.25">
      <c r="A36" s="442"/>
      <c r="B36" s="47"/>
      <c r="C36" s="457" t="s">
        <v>307</v>
      </c>
      <c r="D36" s="455">
        <v>49677262</v>
      </c>
      <c r="E36" s="623">
        <v>6.7699999999999996E-2</v>
      </c>
      <c r="F36" s="623"/>
      <c r="G36" s="301">
        <f>E36*'DCF Valuation'!$C$42</f>
        <v>166640.35848395969</v>
      </c>
      <c r="H36" s="44"/>
      <c r="I36" s="332" t="s">
        <v>327</v>
      </c>
      <c r="J36" s="300">
        <f>'DCF Valuation'!C45</f>
        <v>-965.6</v>
      </c>
      <c r="K36" s="221"/>
      <c r="L36" s="444"/>
    </row>
    <row r="37" spans="1:12" ht="15.75" customHeight="1" thickBot="1" x14ac:dyDescent="0.3">
      <c r="A37" s="442"/>
      <c r="B37" s="47"/>
      <c r="C37" s="457" t="s">
        <v>302</v>
      </c>
      <c r="D37" s="455">
        <v>6187</v>
      </c>
      <c r="E37" s="623">
        <v>0</v>
      </c>
      <c r="F37" s="623"/>
      <c r="G37" s="301">
        <f>E37*'DCF Valuation'!$C$42</f>
        <v>0</v>
      </c>
      <c r="H37" s="44"/>
      <c r="I37" s="332" t="s">
        <v>328</v>
      </c>
      <c r="J37" s="300">
        <f>'DCF Valuation'!C44</f>
        <v>14597.2</v>
      </c>
      <c r="K37" s="221"/>
      <c r="L37" s="444"/>
    </row>
    <row r="38" spans="1:12" ht="15.75" customHeight="1" thickTop="1" thickBot="1" x14ac:dyDescent="0.3">
      <c r="A38" s="442"/>
      <c r="B38" s="47"/>
      <c r="C38" s="457" t="s">
        <v>308</v>
      </c>
      <c r="D38" s="455">
        <v>3915195</v>
      </c>
      <c r="E38" s="623">
        <v>4.7000000000000002E-3</v>
      </c>
      <c r="F38" s="623"/>
      <c r="G38" s="301">
        <f>E38*'DCF Valuation'!$C$42</f>
        <v>11568.8284324167</v>
      </c>
      <c r="H38" s="44"/>
      <c r="I38" s="334" t="s">
        <v>246</v>
      </c>
      <c r="J38" s="244">
        <f>SUM(J35:J37)</f>
        <v>2475084.457961</v>
      </c>
      <c r="K38" s="361"/>
      <c r="L38" s="444"/>
    </row>
    <row r="39" spans="1:12" ht="15.75" customHeight="1" thickTop="1" x14ac:dyDescent="0.25">
      <c r="A39" s="442"/>
      <c r="B39" s="47"/>
      <c r="C39" s="457" t="s">
        <v>309</v>
      </c>
      <c r="D39" s="455">
        <v>53208934</v>
      </c>
      <c r="E39" s="623">
        <v>0.09</v>
      </c>
      <c r="F39" s="623"/>
      <c r="G39" s="301">
        <f>E39*'DCF Valuation'!$C$42</f>
        <v>221530.75721648999</v>
      </c>
      <c r="H39" s="44"/>
      <c r="I39" s="33"/>
      <c r="J39" s="44"/>
      <c r="K39" s="44"/>
      <c r="L39" s="451"/>
    </row>
    <row r="40" spans="1:12" ht="15.75" customHeight="1" x14ac:dyDescent="0.25">
      <c r="A40" s="442"/>
      <c r="B40" s="47"/>
      <c r="C40" s="457" t="s">
        <v>310</v>
      </c>
      <c r="D40" s="455">
        <v>239444</v>
      </c>
      <c r="E40" s="623">
        <v>6.9999999999999999E-4</v>
      </c>
      <c r="F40" s="623"/>
      <c r="G40" s="301">
        <f>E40*'DCF Valuation'!$C$42</f>
        <v>1723.0170005727</v>
      </c>
      <c r="H40" s="44"/>
      <c r="I40" s="222"/>
      <c r="J40" s="222"/>
      <c r="K40" s="222"/>
      <c r="L40" s="444"/>
    </row>
    <row r="41" spans="1:12" ht="15.75" customHeight="1" x14ac:dyDescent="0.25">
      <c r="A41" s="442"/>
      <c r="B41" s="47"/>
      <c r="C41" s="457" t="s">
        <v>311</v>
      </c>
      <c r="D41" s="455">
        <v>5261246</v>
      </c>
      <c r="E41" s="623">
        <v>1.46E-2</v>
      </c>
      <c r="F41" s="623"/>
      <c r="G41" s="301">
        <f>E41*'DCF Valuation'!$C$42</f>
        <v>35937.211726230598</v>
      </c>
      <c r="H41" s="44"/>
      <c r="I41" s="44"/>
      <c r="J41" s="44"/>
      <c r="K41" s="44"/>
      <c r="L41" s="451"/>
    </row>
    <row r="42" spans="1:12" ht="15.75" customHeight="1" x14ac:dyDescent="0.25">
      <c r="A42" s="442"/>
      <c r="B42" s="47"/>
      <c r="C42" s="457" t="s">
        <v>312</v>
      </c>
      <c r="D42" s="455">
        <v>430903</v>
      </c>
      <c r="E42" s="623">
        <v>6.9999999999999999E-4</v>
      </c>
      <c r="F42" s="623"/>
      <c r="G42" s="301">
        <f>E42*'DCF Valuation'!$C$42</f>
        <v>1723.0170005727</v>
      </c>
      <c r="H42" s="44"/>
      <c r="I42" s="44"/>
      <c r="J42" s="44"/>
      <c r="K42" s="44"/>
      <c r="L42" s="458"/>
    </row>
    <row r="43" spans="1:12" ht="15.75" customHeight="1" x14ac:dyDescent="0.25">
      <c r="A43" s="442"/>
      <c r="B43" s="47"/>
      <c r="C43" s="457" t="s">
        <v>303</v>
      </c>
      <c r="D43" s="455">
        <v>49969654</v>
      </c>
      <c r="E43" s="623">
        <v>7.1900000000000006E-2</v>
      </c>
      <c r="F43" s="623"/>
      <c r="G43" s="301">
        <f>E43*'DCF Valuation'!$C$42</f>
        <v>176978.4604873959</v>
      </c>
      <c r="H43" s="44"/>
      <c r="I43" s="44"/>
      <c r="J43" s="44"/>
      <c r="K43" s="44"/>
      <c r="L43" s="459"/>
    </row>
    <row r="44" spans="1:12" ht="15.75" customHeight="1" x14ac:dyDescent="0.25">
      <c r="A44" s="442"/>
      <c r="B44" s="47"/>
      <c r="C44" s="457" t="s">
        <v>304</v>
      </c>
      <c r="D44" s="455">
        <v>863</v>
      </c>
      <c r="E44" s="623">
        <v>0</v>
      </c>
      <c r="F44" s="623"/>
      <c r="G44" s="301">
        <f>E44*'DCF Valuation'!$C$42</f>
        <v>0</v>
      </c>
      <c r="H44" s="44"/>
      <c r="I44" s="44"/>
      <c r="J44" s="44"/>
      <c r="K44" s="44"/>
      <c r="L44" s="459"/>
    </row>
    <row r="45" spans="1:12" ht="15.75" customHeight="1" x14ac:dyDescent="0.25">
      <c r="A45" s="442"/>
      <c r="B45" s="47"/>
      <c r="C45" s="457" t="s">
        <v>305</v>
      </c>
      <c r="D45" s="455">
        <v>2297</v>
      </c>
      <c r="E45" s="623">
        <v>0</v>
      </c>
      <c r="F45" s="623"/>
      <c r="G45" s="301">
        <f>E45*'DCF Valuation'!$C$42</f>
        <v>0</v>
      </c>
      <c r="H45" s="44"/>
      <c r="I45" s="44"/>
      <c r="J45" s="44"/>
      <c r="K45" s="44"/>
      <c r="L45" s="459"/>
    </row>
    <row r="46" spans="1:12" ht="15.75" customHeight="1" x14ac:dyDescent="0.25">
      <c r="A46" s="442"/>
      <c r="B46" s="47"/>
      <c r="C46" s="457" t="s">
        <v>313</v>
      </c>
      <c r="D46" s="455">
        <v>517942</v>
      </c>
      <c r="E46" s="623">
        <v>6.9999999999999999E-4</v>
      </c>
      <c r="F46" s="623"/>
      <c r="G46" s="301">
        <f>E46*'DCF Valuation'!$C$42</f>
        <v>1723.0170005727</v>
      </c>
      <c r="H46" s="44"/>
      <c r="I46" s="44"/>
      <c r="J46" s="44"/>
      <c r="K46" s="44"/>
      <c r="L46" s="459"/>
    </row>
    <row r="47" spans="1:12" ht="15.75" customHeight="1" x14ac:dyDescent="0.25">
      <c r="A47" s="442"/>
      <c r="B47" s="47"/>
      <c r="C47" s="457" t="s">
        <v>314</v>
      </c>
      <c r="D47" s="455">
        <v>714736</v>
      </c>
      <c r="E47" s="623">
        <v>1.1000000000000001E-3</v>
      </c>
      <c r="F47" s="623"/>
      <c r="G47" s="301">
        <f>E47*'DCF Valuation'!$C$42</f>
        <v>2707.5981437570999</v>
      </c>
      <c r="H47" s="44"/>
      <c r="I47" s="44"/>
      <c r="J47" s="44"/>
      <c r="K47" s="44"/>
      <c r="L47" s="459"/>
    </row>
    <row r="48" spans="1:12" ht="15.75" customHeight="1" x14ac:dyDescent="0.25">
      <c r="A48" s="442"/>
      <c r="B48" s="47"/>
      <c r="C48" s="457" t="s">
        <v>315</v>
      </c>
      <c r="D48" s="455">
        <v>11811</v>
      </c>
      <c r="E48" s="623">
        <v>1.1999999999999999E-3</v>
      </c>
      <c r="F48" s="623"/>
      <c r="G48" s="301">
        <f>E48*'DCF Valuation'!$C$42</f>
        <v>2953.7434295531998</v>
      </c>
      <c r="H48" s="44"/>
      <c r="I48" s="33"/>
      <c r="J48" s="33"/>
      <c r="K48" s="33"/>
      <c r="L48" s="444"/>
    </row>
    <row r="49" spans="1:22" ht="15.75" customHeight="1" x14ac:dyDescent="0.25">
      <c r="A49" s="442"/>
      <c r="B49" s="47"/>
      <c r="C49" s="457" t="s">
        <v>316</v>
      </c>
      <c r="D49" s="455">
        <v>971836</v>
      </c>
      <c r="E49" s="623">
        <v>1.4E-3</v>
      </c>
      <c r="F49" s="623"/>
      <c r="G49" s="301">
        <f>E49*'DCF Valuation'!$C$42</f>
        <v>3446.0340011454</v>
      </c>
      <c r="H49" s="44"/>
      <c r="I49" s="33"/>
      <c r="J49" s="33"/>
      <c r="K49" s="33"/>
      <c r="L49" s="444"/>
    </row>
    <row r="50" spans="1:22" ht="15.75" customHeight="1" thickBot="1" x14ac:dyDescent="0.3">
      <c r="A50" s="442"/>
      <c r="B50" s="47"/>
      <c r="C50" s="457" t="s">
        <v>317</v>
      </c>
      <c r="D50" s="455">
        <v>42354</v>
      </c>
      <c r="E50" s="623">
        <v>1E-4</v>
      </c>
      <c r="F50" s="623"/>
      <c r="G50" s="301">
        <f>E50*'DCF Valuation'!$C$42</f>
        <v>246.14528579610001</v>
      </c>
      <c r="H50" s="44"/>
      <c r="I50" s="33"/>
      <c r="J50" s="33"/>
      <c r="K50" s="33"/>
      <c r="L50" s="444"/>
    </row>
    <row r="51" spans="1:22" ht="15.75" customHeight="1" thickTop="1" thickBot="1" x14ac:dyDescent="0.3">
      <c r="A51" s="442"/>
      <c r="B51" s="47"/>
      <c r="C51" s="331" t="s">
        <v>318</v>
      </c>
      <c r="D51" s="303">
        <v>650733068</v>
      </c>
      <c r="E51" s="622">
        <f>SUM(E33:F50)</f>
        <v>0.99999999999999989</v>
      </c>
      <c r="F51" s="622"/>
      <c r="G51" s="304">
        <f>SUM(G33:G50)</f>
        <v>2461452.8579610004</v>
      </c>
      <c r="H51" s="33"/>
      <c r="I51" s="33"/>
      <c r="J51" s="33"/>
      <c r="K51" s="33"/>
      <c r="L51" s="444"/>
    </row>
    <row r="52" spans="1:22" ht="15.75" customHeight="1" thickTop="1" x14ac:dyDescent="0.25">
      <c r="A52" s="442"/>
      <c r="B52" s="47"/>
      <c r="C52" s="236"/>
      <c r="D52" s="237"/>
      <c r="E52" s="238"/>
      <c r="F52" s="238"/>
      <c r="G52" s="218"/>
      <c r="H52" s="33"/>
      <c r="I52" s="33"/>
      <c r="J52" s="33"/>
      <c r="K52" s="33"/>
      <c r="L52" s="444"/>
    </row>
    <row r="53" spans="1:22" ht="15.75" customHeight="1" x14ac:dyDescent="0.25">
      <c r="A53" s="442"/>
      <c r="B53" s="47"/>
      <c r="C53" s="239"/>
      <c r="D53" s="239"/>
      <c r="E53" s="239"/>
      <c r="F53" s="629"/>
      <c r="G53" s="629"/>
      <c r="H53" s="33"/>
      <c r="I53" s="33"/>
      <c r="J53" s="33"/>
      <c r="K53" s="33"/>
      <c r="L53" s="444"/>
    </row>
    <row r="54" spans="1:22" ht="15.75" customHeight="1" x14ac:dyDescent="0.25">
      <c r="A54" s="442"/>
      <c r="B54" s="47"/>
      <c r="C54" s="236"/>
      <c r="D54" s="237"/>
      <c r="E54" s="238"/>
      <c r="F54" s="238"/>
      <c r="G54" s="218"/>
      <c r="H54" s="33"/>
      <c r="I54" s="33"/>
      <c r="J54" s="33"/>
      <c r="K54" s="33"/>
      <c r="L54" s="444"/>
    </row>
    <row r="55" spans="1:22" ht="15.75" customHeight="1" x14ac:dyDescent="0.25">
      <c r="A55" s="442"/>
      <c r="B55" s="47"/>
      <c r="C55" s="236"/>
      <c r="D55" s="237"/>
      <c r="E55" s="238"/>
      <c r="F55" s="238"/>
      <c r="G55" s="218"/>
      <c r="H55" s="33"/>
      <c r="I55" s="33"/>
      <c r="J55" s="33"/>
      <c r="K55" s="33"/>
      <c r="L55" s="444"/>
    </row>
    <row r="56" spans="1:22" ht="15.75" customHeight="1" x14ac:dyDescent="0.25">
      <c r="A56" s="442"/>
      <c r="B56" s="47"/>
      <c r="C56" s="236"/>
      <c r="D56" s="237"/>
      <c r="E56" s="238"/>
      <c r="F56" s="238"/>
      <c r="G56" s="218"/>
      <c r="H56" s="33"/>
      <c r="I56" s="33"/>
      <c r="J56" s="33"/>
      <c r="K56" s="33"/>
      <c r="L56" s="444"/>
    </row>
    <row r="57" spans="1:22" ht="15.75" customHeight="1" x14ac:dyDescent="0.25">
      <c r="A57" s="442"/>
      <c r="B57" s="47"/>
      <c r="C57" s="236"/>
      <c r="D57" s="237"/>
      <c r="E57" s="238"/>
      <c r="F57" s="238"/>
      <c r="G57" s="218"/>
      <c r="H57" s="33"/>
      <c r="I57" s="33"/>
      <c r="J57" s="33"/>
      <c r="K57" s="33"/>
      <c r="L57" s="444"/>
    </row>
    <row r="58" spans="1:22" ht="15.75" customHeight="1" x14ac:dyDescent="0.25">
      <c r="A58" s="442"/>
      <c r="B58" s="47"/>
      <c r="C58" s="236"/>
      <c r="D58" s="237"/>
      <c r="E58" s="238"/>
      <c r="F58" s="238"/>
      <c r="G58" s="218"/>
      <c r="H58" s="33"/>
      <c r="I58" s="33"/>
      <c r="J58" s="33"/>
      <c r="K58" s="33"/>
      <c r="L58" s="444"/>
    </row>
    <row r="59" spans="1:22" ht="15.75" customHeight="1" x14ac:dyDescent="0.25">
      <c r="A59" s="442"/>
      <c r="B59" s="47"/>
      <c r="C59" s="236"/>
      <c r="D59" s="237"/>
      <c r="E59" s="238"/>
      <c r="F59" s="238"/>
      <c r="G59" s="218"/>
      <c r="H59" s="33"/>
      <c r="I59" s="33"/>
      <c r="J59" s="33"/>
      <c r="K59" s="33"/>
      <c r="L59" s="444"/>
    </row>
    <row r="60" spans="1:22" ht="15.75" customHeight="1" x14ac:dyDescent="0.25">
      <c r="A60" s="442"/>
      <c r="B60" s="47"/>
      <c r="C60" s="236"/>
      <c r="D60" s="237"/>
      <c r="E60" s="238"/>
      <c r="F60" s="238"/>
      <c r="G60" s="218"/>
      <c r="H60" s="33"/>
      <c r="I60" s="33"/>
      <c r="J60" s="33"/>
      <c r="K60" s="33"/>
      <c r="L60" s="444"/>
    </row>
    <row r="61" spans="1:22" ht="15.75" customHeight="1" x14ac:dyDescent="0.25">
      <c r="A61" s="442"/>
      <c r="B61" s="47"/>
      <c r="C61" s="236"/>
      <c r="D61" s="237"/>
      <c r="E61" s="238"/>
      <c r="F61" s="238"/>
      <c r="G61" s="218"/>
      <c r="H61" s="33"/>
      <c r="I61" s="33"/>
      <c r="J61" s="33"/>
      <c r="K61" s="33"/>
      <c r="L61" s="444"/>
    </row>
    <row r="62" spans="1:22" ht="15.75" customHeight="1" x14ac:dyDescent="0.25">
      <c r="A62" s="442"/>
      <c r="B62" s="47"/>
      <c r="C62" s="236"/>
      <c r="D62" s="237"/>
      <c r="E62" s="238"/>
      <c r="F62" s="238"/>
      <c r="G62" s="218"/>
      <c r="H62" s="33"/>
      <c r="I62" s="33"/>
      <c r="J62" s="33"/>
      <c r="K62" s="33"/>
      <c r="L62" s="444"/>
    </row>
    <row r="63" spans="1:22" ht="15.75" customHeight="1" x14ac:dyDescent="0.25">
      <c r="A63" s="442"/>
      <c r="B63" s="47"/>
      <c r="C63" s="236"/>
      <c r="D63" s="237"/>
      <c r="E63" s="238"/>
      <c r="F63" s="238"/>
      <c r="G63" s="218"/>
      <c r="H63" s="33"/>
      <c r="I63" s="33"/>
      <c r="J63" s="33"/>
      <c r="K63" s="33"/>
      <c r="L63" s="444"/>
    </row>
    <row r="64" spans="1:22" ht="15.75" customHeight="1" x14ac:dyDescent="0.25">
      <c r="A64" s="442"/>
      <c r="B64" s="47"/>
      <c r="C64" s="236"/>
      <c r="D64" s="237"/>
      <c r="E64" s="238"/>
      <c r="F64" s="238"/>
      <c r="G64" s="218"/>
      <c r="H64" s="33"/>
      <c r="I64" s="33"/>
      <c r="J64" s="33"/>
      <c r="K64" s="33"/>
      <c r="L64" s="444"/>
      <c r="V64" s="7"/>
    </row>
    <row r="65" spans="1:12" ht="15.75" customHeight="1" x14ac:dyDescent="0.25">
      <c r="A65" s="442"/>
      <c r="B65" s="47"/>
      <c r="C65" s="236"/>
      <c r="D65" s="237"/>
      <c r="E65" s="238"/>
      <c r="F65" s="238"/>
      <c r="G65" s="218"/>
      <c r="H65" s="33"/>
      <c r="I65" s="33"/>
      <c r="J65" s="33"/>
      <c r="K65" s="33"/>
      <c r="L65" s="444"/>
    </row>
    <row r="66" spans="1:12" ht="15.75" customHeight="1" x14ac:dyDescent="0.25">
      <c r="A66" s="442"/>
      <c r="B66" s="47"/>
      <c r="C66" s="236"/>
      <c r="D66" s="237"/>
      <c r="E66" s="238"/>
      <c r="F66" s="238"/>
      <c r="G66" s="218"/>
      <c r="H66" s="33"/>
      <c r="I66" s="33"/>
      <c r="J66" s="33"/>
      <c r="K66" s="33"/>
      <c r="L66" s="444"/>
    </row>
    <row r="67" spans="1:12" ht="9.9499999999999993" customHeight="1" x14ac:dyDescent="0.25">
      <c r="A67" s="442"/>
      <c r="B67" s="625" t="s">
        <v>331</v>
      </c>
      <c r="C67" s="625"/>
      <c r="D67" s="625"/>
      <c r="E67" s="625"/>
      <c r="F67" s="625"/>
      <c r="G67" s="625"/>
      <c r="H67" s="625"/>
      <c r="I67" s="625"/>
      <c r="J67" s="625"/>
      <c r="K67" s="447"/>
      <c r="L67" s="444"/>
    </row>
    <row r="68" spans="1:12" ht="9.9499999999999993" customHeight="1" x14ac:dyDescent="0.25">
      <c r="A68" s="442"/>
      <c r="B68" s="625"/>
      <c r="C68" s="625"/>
      <c r="D68" s="625"/>
      <c r="E68" s="625"/>
      <c r="F68" s="625"/>
      <c r="G68" s="625"/>
      <c r="H68" s="625"/>
      <c r="I68" s="625"/>
      <c r="J68" s="625"/>
      <c r="K68" s="447"/>
      <c r="L68" s="444"/>
    </row>
    <row r="69" spans="1:12" s="46" customFormat="1" ht="5.0999999999999996" customHeight="1" x14ac:dyDescent="0.25">
      <c r="A69" s="460"/>
      <c r="B69" s="271"/>
      <c r="C69" s="277"/>
      <c r="D69" s="277"/>
      <c r="E69" s="277"/>
      <c r="F69" s="277"/>
      <c r="G69" s="277"/>
      <c r="H69" s="277"/>
      <c r="I69" s="277"/>
      <c r="J69" s="277"/>
      <c r="K69" s="277"/>
      <c r="L69" s="461"/>
    </row>
    <row r="70" spans="1:12" x14ac:dyDescent="0.25">
      <c r="A70" s="442"/>
      <c r="B70" s="47"/>
      <c r="C70" s="626" t="s">
        <v>417</v>
      </c>
      <c r="D70" s="627"/>
      <c r="E70" s="627"/>
      <c r="F70" s="627"/>
      <c r="G70" s="627"/>
      <c r="H70" s="627"/>
      <c r="I70" s="627"/>
      <c r="J70" s="627"/>
      <c r="K70" s="462"/>
      <c r="L70" s="444"/>
    </row>
    <row r="71" spans="1:12" x14ac:dyDescent="0.25">
      <c r="A71" s="442"/>
      <c r="B71" s="47"/>
      <c r="C71" s="627"/>
      <c r="D71" s="627"/>
      <c r="E71" s="627"/>
      <c r="F71" s="627"/>
      <c r="G71" s="627"/>
      <c r="H71" s="627"/>
      <c r="I71" s="627"/>
      <c r="J71" s="627"/>
      <c r="K71" s="462"/>
      <c r="L71" s="444"/>
    </row>
    <row r="72" spans="1:12" x14ac:dyDescent="0.25">
      <c r="A72" s="442"/>
      <c r="B72" s="47"/>
      <c r="C72" s="627"/>
      <c r="D72" s="627"/>
      <c r="E72" s="627"/>
      <c r="F72" s="627"/>
      <c r="G72" s="627"/>
      <c r="H72" s="627"/>
      <c r="I72" s="627"/>
      <c r="J72" s="627"/>
      <c r="K72" s="462"/>
      <c r="L72" s="444"/>
    </row>
    <row r="73" spans="1:12" x14ac:dyDescent="0.25">
      <c r="A73" s="442"/>
      <c r="B73" s="47"/>
      <c r="C73" s="627"/>
      <c r="D73" s="627"/>
      <c r="E73" s="627"/>
      <c r="F73" s="627"/>
      <c r="G73" s="627"/>
      <c r="H73" s="627"/>
      <c r="I73" s="627"/>
      <c r="J73" s="627"/>
      <c r="K73" s="462"/>
      <c r="L73" s="444"/>
    </row>
    <row r="74" spans="1:12" x14ac:dyDescent="0.25">
      <c r="A74" s="442"/>
      <c r="B74" s="47"/>
      <c r="C74" s="627"/>
      <c r="D74" s="627"/>
      <c r="E74" s="627"/>
      <c r="F74" s="627"/>
      <c r="G74" s="627"/>
      <c r="H74" s="627"/>
      <c r="I74" s="627"/>
      <c r="J74" s="627"/>
      <c r="K74" s="462"/>
      <c r="L74" s="444"/>
    </row>
    <row r="75" spans="1:12" x14ac:dyDescent="0.25">
      <c r="A75" s="442"/>
      <c r="B75" s="47"/>
      <c r="C75" s="627"/>
      <c r="D75" s="627"/>
      <c r="E75" s="627"/>
      <c r="F75" s="627"/>
      <c r="G75" s="627"/>
      <c r="H75" s="627"/>
      <c r="I75" s="627"/>
      <c r="J75" s="627"/>
      <c r="K75" s="462"/>
      <c r="L75" s="444"/>
    </row>
    <row r="76" spans="1:12" x14ac:dyDescent="0.25">
      <c r="A76" s="442"/>
      <c r="B76" s="47"/>
      <c r="C76" s="627"/>
      <c r="D76" s="627"/>
      <c r="E76" s="627"/>
      <c r="F76" s="627"/>
      <c r="G76" s="627"/>
      <c r="H76" s="627"/>
      <c r="I76" s="627"/>
      <c r="J76" s="627"/>
      <c r="K76" s="462"/>
      <c r="L76" s="444"/>
    </row>
    <row r="77" spans="1:12" x14ac:dyDescent="0.25">
      <c r="A77" s="442"/>
      <c r="B77" s="47"/>
      <c r="C77" s="627"/>
      <c r="D77" s="627"/>
      <c r="E77" s="627"/>
      <c r="F77" s="627"/>
      <c r="G77" s="627"/>
      <c r="H77" s="627"/>
      <c r="I77" s="627"/>
      <c r="J77" s="627"/>
      <c r="K77" s="462"/>
      <c r="L77" s="444"/>
    </row>
    <row r="78" spans="1:12" x14ac:dyDescent="0.25">
      <c r="A78" s="442"/>
      <c r="B78" s="47"/>
      <c r="C78" s="627"/>
      <c r="D78" s="627"/>
      <c r="E78" s="627"/>
      <c r="F78" s="627"/>
      <c r="G78" s="627"/>
      <c r="H78" s="627"/>
      <c r="I78" s="627"/>
      <c r="J78" s="627"/>
      <c r="K78" s="462"/>
      <c r="L78" s="444"/>
    </row>
    <row r="79" spans="1:12" x14ac:dyDescent="0.25">
      <c r="A79" s="442"/>
      <c r="B79" s="47"/>
      <c r="C79" s="627"/>
      <c r="D79" s="627"/>
      <c r="E79" s="627"/>
      <c r="F79" s="627"/>
      <c r="G79" s="627"/>
      <c r="H79" s="627"/>
      <c r="I79" s="627"/>
      <c r="J79" s="627"/>
      <c r="K79" s="462"/>
      <c r="L79" s="444"/>
    </row>
    <row r="80" spans="1:12" ht="5.0999999999999996" customHeight="1" x14ac:dyDescent="0.25">
      <c r="A80" s="442"/>
      <c r="B80" s="47"/>
      <c r="C80" s="463"/>
      <c r="D80" s="463"/>
      <c r="E80" s="463"/>
      <c r="F80" s="463"/>
      <c r="G80" s="463"/>
      <c r="H80" s="463"/>
      <c r="I80" s="463"/>
      <c r="J80" s="463"/>
      <c r="K80" s="463"/>
      <c r="L80" s="444"/>
    </row>
    <row r="81" spans="1:12" ht="9.9499999999999993" customHeight="1" x14ac:dyDescent="0.25">
      <c r="A81" s="464"/>
      <c r="B81" s="624"/>
      <c r="C81" s="624"/>
      <c r="D81" s="624"/>
      <c r="E81" s="624"/>
      <c r="F81" s="624"/>
      <c r="G81" s="624"/>
      <c r="H81" s="624"/>
      <c r="I81" s="624"/>
      <c r="J81" s="624"/>
      <c r="K81" s="624"/>
      <c r="L81" s="444"/>
    </row>
    <row r="82" spans="1:12" ht="9.9499999999999993" customHeight="1" x14ac:dyDescent="0.25">
      <c r="A82" s="464"/>
      <c r="B82" s="624"/>
      <c r="C82" s="624"/>
      <c r="D82" s="624"/>
      <c r="E82" s="624"/>
      <c r="F82" s="624"/>
      <c r="G82" s="624"/>
      <c r="H82" s="624"/>
      <c r="I82" s="624"/>
      <c r="J82" s="624"/>
      <c r="K82" s="624"/>
      <c r="L82" s="444"/>
    </row>
    <row r="83" spans="1:12" ht="16.5" thickBot="1" x14ac:dyDescent="0.3">
      <c r="A83" s="465"/>
      <c r="B83" s="466"/>
      <c r="C83" s="466"/>
      <c r="D83" s="467"/>
      <c r="E83" s="467"/>
      <c r="F83" s="467"/>
      <c r="G83" s="467"/>
      <c r="H83" s="467"/>
      <c r="I83" s="467"/>
      <c r="J83" s="467"/>
      <c r="K83" s="467"/>
      <c r="L83" s="468"/>
    </row>
    <row r="84" spans="1:12" ht="5.0999999999999996" customHeight="1" thickTop="1" x14ac:dyDescent="0.25"/>
    <row r="85" spans="1:12" ht="9.9499999999999993" customHeight="1" x14ac:dyDescent="0.25"/>
    <row r="86" spans="1:12" ht="9.9499999999999993" customHeight="1" x14ac:dyDescent="0.25"/>
  </sheetData>
  <sheetProtection sheet="1" objects="1" scenarios="1"/>
  <mergeCells count="28">
    <mergeCell ref="B2:J3"/>
    <mergeCell ref="B14:J15"/>
    <mergeCell ref="B67:J68"/>
    <mergeCell ref="B81:K82"/>
    <mergeCell ref="C70:J79"/>
    <mergeCell ref="F5:J12"/>
    <mergeCell ref="F53:G53"/>
    <mergeCell ref="I32:J32"/>
    <mergeCell ref="E38:F38"/>
    <mergeCell ref="E39:F39"/>
    <mergeCell ref="E40:F40"/>
    <mergeCell ref="E41:F41"/>
    <mergeCell ref="E34:F34"/>
    <mergeCell ref="E32:F32"/>
    <mergeCell ref="E33:F33"/>
    <mergeCell ref="E35:F35"/>
    <mergeCell ref="E36:F36"/>
    <mergeCell ref="E37:F37"/>
    <mergeCell ref="E48:F48"/>
    <mergeCell ref="E49:F49"/>
    <mergeCell ref="E50:F50"/>
    <mergeCell ref="E51:F51"/>
    <mergeCell ref="E42:F42"/>
    <mergeCell ref="E43:F43"/>
    <mergeCell ref="E44:F44"/>
    <mergeCell ref="E45:F45"/>
    <mergeCell ref="E46:F46"/>
    <mergeCell ref="E47:F47"/>
  </mergeCells>
  <pageMargins left="0.23622047244094491" right="0.25196850393700793" top="0.74803149606299213" bottom="0.74803149606299213" header="0.31496062992125984" footer="0.31496062992125984"/>
  <pageSetup paperSize="9" scale="59" fitToWidth="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4"/>
  <sheetViews>
    <sheetView showGridLines="0" zoomScale="55" zoomScaleNormal="55" zoomScaleSheetLayoutView="55" zoomScalePageLayoutView="55" workbookViewId="0"/>
  </sheetViews>
  <sheetFormatPr defaultRowHeight="15.75" x14ac:dyDescent="0.25"/>
  <cols>
    <col min="1" max="1" width="2.7109375" style="7" customWidth="1"/>
    <col min="2" max="2" width="2.7109375" style="47" customWidth="1"/>
    <col min="3" max="3" width="16.7109375" style="7" customWidth="1"/>
    <col min="4" max="6" width="16.7109375" style="8" customWidth="1"/>
    <col min="7" max="7" width="2.7109375" style="33" customWidth="1"/>
    <col min="8" max="11" width="16.7109375" style="8" customWidth="1"/>
    <col min="12" max="12" width="2.7109375" style="47" customWidth="1"/>
    <col min="13" max="16" width="16.7109375" style="8" customWidth="1"/>
    <col min="17" max="17" width="2.7109375" style="33" customWidth="1"/>
    <col min="18" max="18" width="2.7109375" style="8" customWidth="1"/>
    <col min="19" max="16384" width="9.140625" style="8"/>
  </cols>
  <sheetData>
    <row r="1" spans="1:21" ht="16.5" thickTop="1" x14ac:dyDescent="0.25">
      <c r="A1" s="438"/>
      <c r="B1" s="439"/>
      <c r="C1" s="439"/>
      <c r="D1" s="440"/>
      <c r="E1" s="440"/>
      <c r="F1" s="440"/>
      <c r="G1" s="440"/>
      <c r="H1" s="440"/>
      <c r="I1" s="440"/>
      <c r="J1" s="440"/>
      <c r="K1" s="440"/>
      <c r="L1" s="439"/>
      <c r="M1" s="440"/>
      <c r="N1" s="440"/>
      <c r="O1" s="440"/>
      <c r="P1" s="440"/>
      <c r="Q1" s="440"/>
      <c r="R1" s="469"/>
    </row>
    <row r="2" spans="1:21" ht="9.9499999999999993" customHeight="1" x14ac:dyDescent="0.25">
      <c r="A2" s="442"/>
      <c r="B2" s="625" t="s">
        <v>360</v>
      </c>
      <c r="C2" s="625"/>
      <c r="D2" s="625"/>
      <c r="E2" s="625"/>
      <c r="F2" s="625"/>
      <c r="G2" s="625"/>
      <c r="H2" s="625"/>
      <c r="I2" s="625"/>
      <c r="J2" s="625"/>
      <c r="K2" s="625"/>
      <c r="L2" s="625"/>
      <c r="M2" s="625"/>
      <c r="N2" s="625"/>
      <c r="O2" s="625"/>
      <c r="P2" s="625"/>
      <c r="Q2" s="625"/>
      <c r="R2" s="470"/>
    </row>
    <row r="3" spans="1:21" ht="9.9499999999999993" customHeight="1" x14ac:dyDescent="0.25">
      <c r="A3" s="442"/>
      <c r="B3" s="625"/>
      <c r="C3" s="625"/>
      <c r="D3" s="625"/>
      <c r="E3" s="625"/>
      <c r="F3" s="625"/>
      <c r="G3" s="625"/>
      <c r="H3" s="625"/>
      <c r="I3" s="625"/>
      <c r="J3" s="625"/>
      <c r="K3" s="625"/>
      <c r="L3" s="625"/>
      <c r="M3" s="625"/>
      <c r="N3" s="625"/>
      <c r="O3" s="625"/>
      <c r="P3" s="625"/>
      <c r="Q3" s="625"/>
      <c r="R3" s="470"/>
    </row>
    <row r="4" spans="1:21" s="47" customFormat="1" ht="15" customHeight="1" x14ac:dyDescent="0.25">
      <c r="A4" s="442"/>
      <c r="C4" s="273"/>
      <c r="D4" s="273"/>
      <c r="E4" s="273"/>
      <c r="F4" s="273"/>
      <c r="G4" s="273"/>
      <c r="H4" s="273"/>
      <c r="I4" s="273"/>
      <c r="J4" s="273"/>
      <c r="K4" s="273"/>
      <c r="M4" s="33"/>
      <c r="N4" s="33"/>
      <c r="O4" s="33"/>
      <c r="P4" s="33"/>
      <c r="Q4" s="33"/>
      <c r="R4" s="470"/>
      <c r="S4" s="33"/>
      <c r="T4" s="33"/>
      <c r="U4" s="33"/>
    </row>
    <row r="5" spans="1:21" s="47" customFormat="1" ht="15.75" customHeight="1" x14ac:dyDescent="0.25">
      <c r="A5" s="442"/>
      <c r="C5" s="271"/>
      <c r="D5" s="105"/>
      <c r="E5" s="105"/>
      <c r="F5" s="105"/>
      <c r="G5" s="272"/>
      <c r="H5" s="272"/>
      <c r="I5" s="272"/>
      <c r="J5" s="272"/>
      <c r="K5" s="272"/>
      <c r="M5" s="33"/>
      <c r="N5" s="33"/>
      <c r="O5" s="33"/>
      <c r="P5" s="33"/>
      <c r="Q5" s="33"/>
      <c r="R5" s="470"/>
      <c r="S5" s="33"/>
      <c r="T5" s="33"/>
      <c r="U5" s="33"/>
    </row>
    <row r="6" spans="1:21" ht="15.75" customHeight="1" x14ac:dyDescent="0.25">
      <c r="A6" s="442"/>
      <c r="C6" s="271"/>
      <c r="D6" s="105"/>
      <c r="E6" s="105"/>
      <c r="F6" s="105"/>
      <c r="G6" s="272"/>
      <c r="H6" s="272"/>
      <c r="I6" s="272"/>
      <c r="J6" s="272"/>
      <c r="K6" s="272"/>
      <c r="M6" s="33"/>
      <c r="N6" s="33"/>
      <c r="O6" s="33"/>
      <c r="P6" s="33"/>
      <c r="R6" s="470"/>
    </row>
    <row r="7" spans="1:21" ht="15.75" customHeight="1" x14ac:dyDescent="0.25">
      <c r="A7" s="442"/>
      <c r="C7" s="271"/>
      <c r="D7" s="105"/>
      <c r="E7" s="105"/>
      <c r="F7" s="105"/>
      <c r="G7" s="272"/>
      <c r="H7" s="272"/>
      <c r="I7" s="272"/>
      <c r="J7" s="272"/>
      <c r="K7" s="272"/>
      <c r="M7" s="33"/>
      <c r="N7" s="33"/>
      <c r="O7" s="33"/>
      <c r="P7" s="33"/>
      <c r="R7" s="470"/>
    </row>
    <row r="8" spans="1:21" ht="15.75" customHeight="1" x14ac:dyDescent="0.25">
      <c r="A8" s="442"/>
      <c r="C8" s="271"/>
      <c r="D8" s="105"/>
      <c r="E8" s="105"/>
      <c r="F8" s="105"/>
      <c r="G8" s="272"/>
      <c r="H8" s="272"/>
      <c r="I8" s="272"/>
      <c r="J8" s="272"/>
      <c r="K8" s="272"/>
      <c r="M8" s="33"/>
      <c r="N8" s="33"/>
      <c r="O8" s="33"/>
      <c r="P8" s="33"/>
      <c r="R8" s="470"/>
    </row>
    <row r="9" spans="1:21" ht="15.75" customHeight="1" x14ac:dyDescent="0.25">
      <c r="A9" s="442"/>
      <c r="C9" s="271"/>
      <c r="D9" s="105"/>
      <c r="E9" s="105"/>
      <c r="F9" s="105"/>
      <c r="G9" s="272"/>
      <c r="H9" s="272"/>
      <c r="I9" s="272"/>
      <c r="J9" s="272"/>
      <c r="K9" s="272"/>
      <c r="M9" s="33"/>
      <c r="N9" s="33"/>
      <c r="O9" s="33"/>
      <c r="P9" s="33"/>
      <c r="R9" s="470"/>
    </row>
    <row r="10" spans="1:21" ht="15.75" customHeight="1" x14ac:dyDescent="0.25">
      <c r="A10" s="442"/>
      <c r="C10" s="271"/>
      <c r="D10" s="105"/>
      <c r="E10" s="105"/>
      <c r="F10" s="105"/>
      <c r="G10" s="272"/>
      <c r="H10" s="272"/>
      <c r="I10" s="272"/>
      <c r="J10" s="272"/>
      <c r="K10" s="272"/>
      <c r="M10" s="33"/>
      <c r="N10" s="33"/>
      <c r="O10" s="33"/>
      <c r="P10" s="33"/>
      <c r="R10" s="470"/>
    </row>
    <row r="11" spans="1:21" ht="15.75" customHeight="1" x14ac:dyDescent="0.25">
      <c r="A11" s="442"/>
      <c r="C11" s="271"/>
      <c r="D11" s="105"/>
      <c r="E11" s="105"/>
      <c r="F11" s="105"/>
      <c r="G11" s="272"/>
      <c r="H11" s="272"/>
      <c r="I11" s="272"/>
      <c r="J11" s="272"/>
      <c r="K11" s="272"/>
      <c r="M11" s="33"/>
      <c r="N11" s="33"/>
      <c r="O11" s="33"/>
      <c r="P11" s="33"/>
      <c r="R11" s="470"/>
    </row>
    <row r="12" spans="1:21" ht="15.75" customHeight="1" x14ac:dyDescent="0.25">
      <c r="A12" s="442"/>
      <c r="C12" s="271"/>
      <c r="D12" s="105"/>
      <c r="E12" s="105"/>
      <c r="F12" s="105"/>
      <c r="G12" s="272"/>
      <c r="H12" s="272"/>
      <c r="I12" s="272"/>
      <c r="J12" s="272"/>
      <c r="K12" s="272"/>
      <c r="M12" s="33"/>
      <c r="N12" s="33"/>
      <c r="O12" s="33"/>
      <c r="P12" s="33"/>
      <c r="R12" s="470"/>
    </row>
    <row r="13" spans="1:21" ht="15.75" customHeight="1" x14ac:dyDescent="0.25">
      <c r="A13" s="442"/>
      <c r="C13" s="271"/>
      <c r="D13" s="105"/>
      <c r="E13" s="105"/>
      <c r="F13" s="105"/>
      <c r="G13" s="274"/>
      <c r="H13" s="274"/>
      <c r="I13" s="274"/>
      <c r="J13" s="274"/>
      <c r="K13" s="274"/>
      <c r="M13" s="33"/>
      <c r="N13" s="33"/>
      <c r="O13" s="33"/>
      <c r="P13" s="33"/>
      <c r="R13" s="470"/>
    </row>
    <row r="14" spans="1:21" ht="15.75" customHeight="1" x14ac:dyDescent="0.25">
      <c r="A14" s="442"/>
      <c r="C14" s="638"/>
      <c r="D14" s="638"/>
      <c r="E14" s="638"/>
      <c r="F14" s="638"/>
      <c r="G14" s="638"/>
      <c r="H14" s="638"/>
      <c r="I14" s="638"/>
      <c r="J14" s="638"/>
      <c r="K14" s="338"/>
      <c r="M14" s="33"/>
      <c r="N14" s="33"/>
      <c r="O14" s="33"/>
      <c r="P14" s="33"/>
      <c r="R14" s="470"/>
    </row>
    <row r="15" spans="1:21" ht="15.75" customHeight="1" x14ac:dyDescent="0.25">
      <c r="A15" s="442"/>
      <c r="C15" s="638"/>
      <c r="D15" s="638"/>
      <c r="E15" s="638"/>
      <c r="F15" s="638"/>
      <c r="G15" s="638"/>
      <c r="H15" s="638"/>
      <c r="I15" s="638"/>
      <c r="J15" s="638"/>
      <c r="K15" s="338"/>
      <c r="M15" s="33"/>
      <c r="N15" s="33"/>
      <c r="O15" s="33"/>
      <c r="P15" s="33"/>
      <c r="R15" s="470"/>
    </row>
    <row r="16" spans="1:21" ht="15.75" customHeight="1" x14ac:dyDescent="0.25">
      <c r="A16" s="442"/>
      <c r="C16" s="271"/>
      <c r="D16" s="105"/>
      <c r="E16" s="105"/>
      <c r="F16" s="105"/>
      <c r="G16" s="105"/>
      <c r="H16" s="105"/>
      <c r="I16" s="105"/>
      <c r="J16" s="105"/>
      <c r="K16" s="105"/>
      <c r="M16" s="33"/>
      <c r="N16" s="33"/>
      <c r="O16" s="33"/>
      <c r="P16" s="33"/>
      <c r="R16" s="470"/>
    </row>
    <row r="17" spans="1:18" s="7" customFormat="1" ht="15.75" customHeight="1" x14ac:dyDescent="0.25">
      <c r="A17" s="442"/>
      <c r="B17" s="47"/>
      <c r="C17" s="261"/>
      <c r="D17" s="262"/>
      <c r="E17" s="262"/>
      <c r="F17" s="262"/>
      <c r="G17" s="262"/>
      <c r="H17" s="262"/>
      <c r="I17" s="262"/>
      <c r="J17" s="262"/>
      <c r="K17" s="262"/>
      <c r="L17" s="280"/>
      <c r="M17" s="47"/>
      <c r="N17" s="47"/>
      <c r="O17" s="47"/>
      <c r="P17" s="47"/>
      <c r="Q17" s="47"/>
      <c r="R17" s="444"/>
    </row>
    <row r="18" spans="1:18" s="33" customFormat="1" ht="15.75" customHeight="1" x14ac:dyDescent="0.25">
      <c r="A18" s="442"/>
      <c r="B18" s="47"/>
      <c r="C18" s="224"/>
      <c r="D18" s="221"/>
      <c r="E18" s="221"/>
      <c r="F18" s="221"/>
      <c r="G18" s="221"/>
      <c r="H18" s="221"/>
      <c r="I18" s="221"/>
      <c r="J18" s="221"/>
      <c r="K18" s="221"/>
      <c r="L18" s="47"/>
      <c r="R18" s="470"/>
    </row>
    <row r="19" spans="1:18" ht="15.75" customHeight="1" x14ac:dyDescent="0.25">
      <c r="A19" s="442"/>
      <c r="C19" s="471"/>
      <c r="D19" s="223"/>
      <c r="E19" s="223"/>
      <c r="F19" s="223"/>
      <c r="G19" s="223"/>
      <c r="H19" s="223"/>
      <c r="I19" s="223"/>
      <c r="J19" s="223"/>
      <c r="K19" s="223"/>
      <c r="M19" s="33"/>
      <c r="N19" s="472"/>
      <c r="O19" s="33"/>
      <c r="P19" s="33"/>
      <c r="R19" s="470"/>
    </row>
    <row r="20" spans="1:18" ht="15.75" customHeight="1" x14ac:dyDescent="0.25">
      <c r="A20" s="442"/>
      <c r="C20" s="224"/>
      <c r="D20" s="223"/>
      <c r="E20" s="223"/>
      <c r="F20" s="223"/>
      <c r="G20" s="223"/>
      <c r="H20" s="223"/>
      <c r="I20" s="223"/>
      <c r="J20" s="223"/>
      <c r="K20" s="223"/>
      <c r="M20" s="33"/>
      <c r="N20" s="33"/>
      <c r="O20" s="33"/>
      <c r="P20" s="33"/>
      <c r="R20" s="470"/>
    </row>
    <row r="21" spans="1:18" ht="15.75" customHeight="1" x14ac:dyDescent="0.25">
      <c r="A21" s="442"/>
      <c r="C21" s="225"/>
      <c r="D21" s="223"/>
      <c r="E21" s="223"/>
      <c r="F21" s="223"/>
      <c r="G21" s="223"/>
      <c r="H21" s="223"/>
      <c r="I21" s="223"/>
      <c r="J21" s="223"/>
      <c r="K21" s="223"/>
      <c r="M21" s="33"/>
      <c r="N21" s="33"/>
      <c r="O21" s="33"/>
      <c r="P21" s="33"/>
      <c r="R21" s="470"/>
    </row>
    <row r="22" spans="1:18" ht="15.75" customHeight="1" x14ac:dyDescent="0.25">
      <c r="A22" s="442"/>
      <c r="C22" s="225"/>
      <c r="D22" s="223"/>
      <c r="E22" s="223"/>
      <c r="F22" s="223"/>
      <c r="G22" s="223"/>
      <c r="H22" s="223"/>
      <c r="I22" s="223"/>
      <c r="J22" s="223"/>
      <c r="K22" s="223"/>
      <c r="M22" s="33"/>
      <c r="N22" s="33"/>
      <c r="O22" s="33"/>
      <c r="P22" s="33"/>
      <c r="R22" s="470"/>
    </row>
    <row r="23" spans="1:18" ht="15.75" customHeight="1" x14ac:dyDescent="0.25">
      <c r="A23" s="442"/>
      <c r="C23" s="225"/>
      <c r="D23" s="223"/>
      <c r="E23" s="223"/>
      <c r="F23" s="223"/>
      <c r="G23" s="223"/>
      <c r="H23" s="223"/>
      <c r="I23" s="223"/>
      <c r="J23" s="223"/>
      <c r="K23" s="223"/>
      <c r="L23" s="223"/>
      <c r="M23" s="33"/>
      <c r="N23" s="33"/>
      <c r="O23" s="33"/>
      <c r="P23" s="33"/>
      <c r="R23" s="470"/>
    </row>
    <row r="24" spans="1:18" ht="15.75" customHeight="1" x14ac:dyDescent="0.25">
      <c r="A24" s="442"/>
      <c r="C24" s="225"/>
      <c r="D24" s="223"/>
      <c r="E24" s="223"/>
      <c r="F24" s="223"/>
      <c r="G24" s="223"/>
      <c r="H24" s="223"/>
      <c r="I24" s="223"/>
      <c r="J24" s="223"/>
      <c r="K24" s="223"/>
      <c r="M24" s="33"/>
      <c r="N24" s="33"/>
      <c r="O24" s="33"/>
      <c r="P24" s="33"/>
      <c r="R24" s="470"/>
    </row>
    <row r="25" spans="1:18" ht="15.75" customHeight="1" x14ac:dyDescent="0.25">
      <c r="A25" s="442"/>
      <c r="C25" s="225"/>
      <c r="D25" s="221"/>
      <c r="E25" s="221"/>
      <c r="F25" s="221"/>
      <c r="G25" s="221"/>
      <c r="H25" s="221"/>
      <c r="I25" s="221"/>
      <c r="J25" s="221"/>
      <c r="K25" s="221"/>
      <c r="M25" s="33"/>
      <c r="N25" s="33"/>
      <c r="O25" s="33"/>
      <c r="P25" s="33"/>
      <c r="R25" s="470"/>
    </row>
    <row r="26" spans="1:18" ht="15.75" customHeight="1" x14ac:dyDescent="0.25">
      <c r="A26" s="442"/>
      <c r="C26" s="224"/>
      <c r="D26" s="221"/>
      <c r="E26" s="223"/>
      <c r="F26" s="223"/>
      <c r="G26" s="223"/>
      <c r="H26" s="223"/>
      <c r="I26" s="223"/>
      <c r="J26" s="223"/>
      <c r="K26" s="223"/>
      <c r="M26" s="33"/>
      <c r="N26" s="33"/>
      <c r="O26" s="33"/>
      <c r="P26" s="33"/>
      <c r="R26" s="470"/>
    </row>
    <row r="27" spans="1:18" ht="15.75" customHeight="1" x14ac:dyDescent="0.25">
      <c r="A27" s="442"/>
      <c r="C27" s="224"/>
      <c r="D27" s="221"/>
      <c r="E27" s="44"/>
      <c r="F27" s="44"/>
      <c r="G27" s="44"/>
      <c r="H27" s="44"/>
      <c r="I27" s="44"/>
      <c r="J27" s="44"/>
      <c r="K27" s="44"/>
      <c r="M27" s="33"/>
      <c r="N27" s="33"/>
      <c r="O27" s="33"/>
      <c r="P27" s="33"/>
      <c r="R27" s="470"/>
    </row>
    <row r="28" spans="1:18" ht="15.75" customHeight="1" x14ac:dyDescent="0.25">
      <c r="A28" s="442"/>
      <c r="C28" s="224"/>
      <c r="D28" s="221"/>
      <c r="E28" s="221"/>
      <c r="F28" s="221"/>
      <c r="G28" s="221"/>
      <c r="H28" s="221"/>
      <c r="I28" s="221"/>
      <c r="J28" s="221"/>
      <c r="K28" s="221"/>
      <c r="M28" s="33"/>
      <c r="N28" s="33"/>
      <c r="O28" s="33"/>
      <c r="P28" s="33"/>
      <c r="R28" s="470"/>
    </row>
    <row r="29" spans="1:18" ht="15.75" customHeight="1" x14ac:dyDescent="0.25">
      <c r="A29" s="442"/>
      <c r="C29" s="225"/>
      <c r="D29" s="226"/>
      <c r="E29" s="226"/>
      <c r="F29" s="226"/>
      <c r="G29" s="226"/>
      <c r="H29" s="226"/>
      <c r="I29" s="226"/>
      <c r="J29" s="226"/>
      <c r="K29" s="226"/>
      <c r="M29" s="33"/>
      <c r="N29" s="33"/>
      <c r="O29" s="33"/>
      <c r="P29" s="33"/>
      <c r="R29" s="470"/>
    </row>
    <row r="30" spans="1:18" ht="15.75" customHeight="1" x14ac:dyDescent="0.25">
      <c r="A30" s="442"/>
      <c r="C30" s="225"/>
      <c r="D30" s="275"/>
      <c r="E30" s="275"/>
      <c r="F30" s="275"/>
      <c r="G30" s="275"/>
      <c r="H30" s="275"/>
      <c r="I30" s="275"/>
      <c r="J30" s="275"/>
      <c r="K30" s="275"/>
      <c r="L30" s="281"/>
      <c r="M30" s="33"/>
      <c r="N30" s="33"/>
      <c r="O30" s="33"/>
      <c r="P30" s="33"/>
      <c r="R30" s="470"/>
    </row>
    <row r="31" spans="1:18" ht="15.75" customHeight="1" x14ac:dyDescent="0.25">
      <c r="A31" s="442"/>
      <c r="C31" s="224"/>
      <c r="D31" s="221"/>
      <c r="E31" s="221"/>
      <c r="F31" s="221"/>
      <c r="G31" s="221"/>
      <c r="H31" s="221"/>
      <c r="I31" s="452"/>
      <c r="J31" s="452"/>
      <c r="K31" s="452"/>
      <c r="M31" s="33"/>
      <c r="N31" s="33"/>
      <c r="O31" s="33"/>
      <c r="P31" s="33"/>
      <c r="R31" s="470"/>
    </row>
    <row r="32" spans="1:18" s="33" customFormat="1" ht="15.75" customHeight="1" x14ac:dyDescent="0.25">
      <c r="A32" s="442"/>
      <c r="B32" s="47"/>
      <c r="C32" s="261"/>
      <c r="D32" s="263"/>
      <c r="E32" s="282"/>
      <c r="F32" s="282"/>
      <c r="G32" s="263"/>
      <c r="H32" s="232"/>
      <c r="I32" s="639"/>
      <c r="J32" s="639"/>
      <c r="K32" s="339"/>
      <c r="L32" s="47"/>
      <c r="R32" s="470"/>
    </row>
    <row r="33" spans="1:21" ht="15.75" customHeight="1" x14ac:dyDescent="0.25">
      <c r="A33" s="442"/>
      <c r="C33" s="473"/>
      <c r="D33" s="474"/>
      <c r="E33" s="475"/>
      <c r="F33" s="475"/>
      <c r="G33" s="44"/>
      <c r="H33" s="44"/>
      <c r="I33" s="44"/>
      <c r="J33" s="44"/>
      <c r="K33" s="44"/>
      <c r="L33" s="44"/>
      <c r="M33" s="33"/>
      <c r="N33" s="33"/>
      <c r="O33" s="33"/>
      <c r="P33" s="33"/>
      <c r="R33" s="470"/>
    </row>
    <row r="34" spans="1:21" ht="15.75" customHeight="1" x14ac:dyDescent="0.25">
      <c r="A34" s="442"/>
      <c r="C34" s="473"/>
      <c r="D34" s="474"/>
      <c r="E34" s="475"/>
      <c r="F34" s="475"/>
      <c r="G34" s="44"/>
      <c r="H34" s="44"/>
      <c r="I34" s="105"/>
      <c r="J34" s="105"/>
      <c r="K34" s="105"/>
      <c r="M34" s="33"/>
      <c r="N34" s="33"/>
      <c r="O34" s="33"/>
      <c r="P34" s="33"/>
      <c r="R34" s="470"/>
    </row>
    <row r="35" spans="1:21" ht="15.75" customHeight="1" x14ac:dyDescent="0.25">
      <c r="A35" s="442"/>
      <c r="C35" s="473"/>
      <c r="D35" s="474"/>
      <c r="E35" s="475"/>
      <c r="F35" s="475"/>
      <c r="G35" s="44"/>
      <c r="H35" s="44"/>
      <c r="I35" s="105"/>
      <c r="J35" s="105"/>
      <c r="K35" s="105"/>
      <c r="M35" s="33"/>
      <c r="N35" s="33"/>
      <c r="O35" s="33"/>
      <c r="P35" s="33"/>
      <c r="R35" s="470"/>
    </row>
    <row r="36" spans="1:21" ht="15.75" customHeight="1" x14ac:dyDescent="0.25">
      <c r="A36" s="442"/>
      <c r="C36" s="473"/>
      <c r="D36" s="474"/>
      <c r="E36" s="475"/>
      <c r="F36" s="475"/>
      <c r="G36" s="44"/>
      <c r="H36" s="44"/>
      <c r="I36" s="105"/>
      <c r="J36" s="105"/>
      <c r="K36" s="105"/>
      <c r="M36" s="33"/>
      <c r="N36" s="33"/>
      <c r="O36" s="33"/>
      <c r="P36" s="33"/>
      <c r="R36" s="470"/>
    </row>
    <row r="37" spans="1:21" ht="15.75" customHeight="1" x14ac:dyDescent="0.25">
      <c r="A37" s="442"/>
      <c r="C37" s="256"/>
      <c r="D37" s="257"/>
      <c r="E37" s="266"/>
      <c r="F37" s="266"/>
      <c r="G37" s="259"/>
      <c r="H37" s="105"/>
      <c r="I37" s="105"/>
      <c r="J37" s="105"/>
      <c r="K37" s="105"/>
      <c r="M37" s="33"/>
      <c r="N37" s="33"/>
      <c r="O37" s="33"/>
      <c r="P37" s="33"/>
      <c r="R37" s="470"/>
    </row>
    <row r="38" spans="1:21" ht="15.75" customHeight="1" x14ac:dyDescent="0.25">
      <c r="A38" s="442"/>
      <c r="C38" s="256"/>
      <c r="D38" s="257"/>
      <c r="E38" s="258"/>
      <c r="F38" s="258"/>
      <c r="G38" s="259"/>
      <c r="H38" s="105"/>
      <c r="I38" s="105"/>
      <c r="J38" s="105"/>
      <c r="K38" s="105"/>
      <c r="M38" s="33"/>
      <c r="N38" s="33"/>
      <c r="O38" s="33"/>
      <c r="P38" s="33"/>
      <c r="R38" s="470"/>
    </row>
    <row r="39" spans="1:21" ht="15.75" customHeight="1" x14ac:dyDescent="0.25">
      <c r="A39" s="442"/>
      <c r="C39" s="239"/>
      <c r="D39" s="239"/>
      <c r="E39" s="239"/>
      <c r="F39" s="239"/>
      <c r="G39" s="267"/>
      <c r="H39" s="105"/>
      <c r="I39" s="105"/>
      <c r="J39" s="105"/>
      <c r="K39" s="105"/>
      <c r="M39" s="33"/>
      <c r="N39" s="33"/>
      <c r="O39" s="33"/>
      <c r="P39" s="33"/>
      <c r="R39" s="470"/>
    </row>
    <row r="40" spans="1:21" ht="15.75" customHeight="1" x14ac:dyDescent="0.25">
      <c r="A40" s="442"/>
      <c r="C40" s="256"/>
      <c r="D40" s="257"/>
      <c r="E40" s="258"/>
      <c r="F40" s="258"/>
      <c r="G40" s="259"/>
      <c r="H40" s="105"/>
      <c r="I40" s="105"/>
      <c r="J40" s="105"/>
      <c r="K40" s="105"/>
      <c r="M40" s="33"/>
      <c r="N40" s="33"/>
      <c r="O40" s="33"/>
      <c r="P40" s="33"/>
      <c r="R40" s="470"/>
      <c r="U40" s="33"/>
    </row>
    <row r="41" spans="1:21" ht="15.75" customHeight="1" x14ac:dyDescent="0.25">
      <c r="A41" s="442"/>
      <c r="C41" s="256"/>
      <c r="D41" s="257"/>
      <c r="E41" s="258"/>
      <c r="F41" s="258"/>
      <c r="G41" s="259"/>
      <c r="H41" s="105"/>
      <c r="I41" s="105"/>
      <c r="J41" s="105"/>
      <c r="K41" s="105"/>
      <c r="M41" s="33"/>
      <c r="N41" s="33"/>
      <c r="O41" s="33"/>
      <c r="P41" s="33"/>
      <c r="R41" s="470"/>
    </row>
    <row r="42" spans="1:21" ht="15.75" customHeight="1" x14ac:dyDescent="0.25">
      <c r="A42" s="442"/>
      <c r="C42" s="256"/>
      <c r="D42" s="257"/>
      <c r="E42" s="258"/>
      <c r="F42" s="258"/>
      <c r="G42" s="259"/>
      <c r="H42" s="105"/>
      <c r="I42" s="105"/>
      <c r="J42" s="105"/>
      <c r="K42" s="105"/>
      <c r="M42" s="33"/>
      <c r="N42" s="33"/>
      <c r="O42" s="33"/>
      <c r="P42" s="33"/>
      <c r="R42" s="470"/>
    </row>
    <row r="43" spans="1:21" ht="15.75" customHeight="1" x14ac:dyDescent="0.25">
      <c r="A43" s="442"/>
      <c r="C43" s="256"/>
      <c r="D43" s="257"/>
      <c r="E43" s="258"/>
      <c r="F43" s="258"/>
      <c r="G43" s="259"/>
      <c r="H43" s="105"/>
      <c r="I43" s="105"/>
      <c r="J43" s="105"/>
      <c r="K43" s="105"/>
      <c r="M43" s="33"/>
      <c r="N43" s="33"/>
      <c r="O43" s="33"/>
      <c r="P43" s="33"/>
      <c r="R43" s="470"/>
    </row>
    <row r="44" spans="1:21" ht="15.75" customHeight="1" x14ac:dyDescent="0.25">
      <c r="A44" s="442"/>
      <c r="C44" s="256"/>
      <c r="D44" s="257"/>
      <c r="E44" s="258"/>
      <c r="F44" s="258"/>
      <c r="G44" s="259"/>
      <c r="H44" s="105"/>
      <c r="I44" s="105"/>
      <c r="J44" s="105"/>
      <c r="K44" s="105"/>
      <c r="M44" s="33"/>
      <c r="N44" s="33"/>
      <c r="O44" s="33"/>
      <c r="P44" s="33"/>
      <c r="R44" s="470"/>
    </row>
    <row r="45" spans="1:21" ht="15.75" customHeight="1" x14ac:dyDescent="0.25">
      <c r="A45" s="442"/>
      <c r="C45" s="256"/>
      <c r="D45" s="257"/>
      <c r="E45" s="258"/>
      <c r="F45" s="258"/>
      <c r="G45" s="259"/>
      <c r="H45" s="105"/>
      <c r="I45" s="105"/>
      <c r="J45" s="105"/>
      <c r="K45" s="105"/>
      <c r="M45" s="33"/>
      <c r="N45" s="33"/>
      <c r="O45" s="33"/>
      <c r="P45" s="33"/>
      <c r="R45" s="470"/>
    </row>
    <row r="46" spans="1:21" s="33" customFormat="1" ht="15.75" customHeight="1" x14ac:dyDescent="0.25">
      <c r="A46" s="442"/>
      <c r="B46" s="47"/>
      <c r="C46" s="256"/>
      <c r="D46" s="257"/>
      <c r="E46" s="258"/>
      <c r="F46" s="258"/>
      <c r="G46" s="259"/>
      <c r="H46" s="105"/>
      <c r="I46" s="105"/>
      <c r="J46" s="105"/>
      <c r="K46" s="105"/>
      <c r="L46" s="47"/>
      <c r="R46" s="470"/>
    </row>
    <row r="47" spans="1:21" ht="9.9499999999999993" customHeight="1" x14ac:dyDescent="0.25">
      <c r="A47" s="476" t="s">
        <v>332</v>
      </c>
      <c r="B47" s="625" t="s">
        <v>332</v>
      </c>
      <c r="C47" s="625"/>
      <c r="D47" s="625"/>
      <c r="E47" s="625"/>
      <c r="F47" s="625"/>
      <c r="G47" s="625"/>
      <c r="H47" s="625"/>
      <c r="I47" s="625"/>
      <c r="J47" s="625"/>
      <c r="K47" s="625"/>
      <c r="L47" s="625"/>
      <c r="M47" s="625"/>
      <c r="N47" s="625"/>
      <c r="O47" s="625"/>
      <c r="P47" s="625"/>
      <c r="Q47" s="625"/>
      <c r="R47" s="470"/>
    </row>
    <row r="48" spans="1:21" ht="9.9499999999999993" customHeight="1" x14ac:dyDescent="0.25">
      <c r="A48" s="476"/>
      <c r="B48" s="625"/>
      <c r="C48" s="625"/>
      <c r="D48" s="625"/>
      <c r="E48" s="625"/>
      <c r="F48" s="625"/>
      <c r="G48" s="625"/>
      <c r="H48" s="625"/>
      <c r="I48" s="625"/>
      <c r="J48" s="625"/>
      <c r="K48" s="625"/>
      <c r="L48" s="625"/>
      <c r="M48" s="625"/>
      <c r="N48" s="625"/>
      <c r="O48" s="625"/>
      <c r="P48" s="625"/>
      <c r="Q48" s="625"/>
      <c r="R48" s="470"/>
    </row>
    <row r="49" spans="1:21" ht="5.0999999999999996" customHeight="1" x14ac:dyDescent="0.25">
      <c r="A49" s="476"/>
      <c r="B49" s="297"/>
      <c r="C49" s="297"/>
      <c r="D49" s="297"/>
      <c r="E49" s="297"/>
      <c r="F49" s="297"/>
      <c r="G49" s="297"/>
      <c r="H49" s="297"/>
      <c r="I49" s="297"/>
      <c r="J49" s="297"/>
      <c r="K49" s="297"/>
      <c r="L49" s="297"/>
      <c r="M49" s="297"/>
      <c r="N49" s="297"/>
      <c r="O49" s="297"/>
      <c r="P49" s="297"/>
      <c r="Q49" s="297"/>
      <c r="R49" s="470"/>
    </row>
    <row r="50" spans="1:21" ht="15.75" customHeight="1" x14ac:dyDescent="0.25">
      <c r="A50" s="442"/>
      <c r="C50" s="635" t="s">
        <v>335</v>
      </c>
      <c r="D50" s="635"/>
      <c r="E50" s="636" t="s">
        <v>341</v>
      </c>
      <c r="F50" s="637"/>
      <c r="G50" s="637"/>
      <c r="H50" s="637"/>
      <c r="I50" s="637"/>
      <c r="J50" s="637"/>
      <c r="K50" s="637"/>
      <c r="L50" s="637"/>
      <c r="M50" s="637"/>
      <c r="N50" s="637"/>
      <c r="O50" s="637"/>
      <c r="P50" s="637"/>
      <c r="R50" s="470"/>
      <c r="U50" s="7"/>
    </row>
    <row r="51" spans="1:21" ht="15.75" customHeight="1" x14ac:dyDescent="0.25">
      <c r="A51" s="442"/>
      <c r="C51" s="635" t="s">
        <v>336</v>
      </c>
      <c r="D51" s="635"/>
      <c r="E51" s="636" t="s">
        <v>334</v>
      </c>
      <c r="F51" s="637"/>
      <c r="G51" s="637"/>
      <c r="H51" s="637"/>
      <c r="I51" s="637"/>
      <c r="J51" s="637"/>
      <c r="K51" s="637"/>
      <c r="L51" s="637"/>
      <c r="M51" s="637"/>
      <c r="N51" s="637"/>
      <c r="O51" s="637"/>
      <c r="P51" s="637"/>
      <c r="R51" s="470"/>
    </row>
    <row r="52" spans="1:21" ht="15.75" customHeight="1" x14ac:dyDescent="0.25">
      <c r="A52" s="442"/>
      <c r="C52" s="635" t="s">
        <v>337</v>
      </c>
      <c r="D52" s="635"/>
      <c r="E52" s="636" t="s">
        <v>338</v>
      </c>
      <c r="F52" s="637"/>
      <c r="G52" s="637"/>
      <c r="H52" s="637"/>
      <c r="I52" s="637"/>
      <c r="J52" s="637"/>
      <c r="K52" s="637"/>
      <c r="L52" s="637"/>
      <c r="M52" s="637"/>
      <c r="N52" s="637"/>
      <c r="O52" s="637"/>
      <c r="P52" s="637"/>
      <c r="R52" s="470"/>
    </row>
    <row r="53" spans="1:21" ht="15.75" customHeight="1" x14ac:dyDescent="0.25">
      <c r="A53" s="442"/>
      <c r="C53" s="635" t="s">
        <v>339</v>
      </c>
      <c r="D53" s="635"/>
      <c r="E53" s="636" t="s">
        <v>340</v>
      </c>
      <c r="F53" s="637"/>
      <c r="G53" s="637"/>
      <c r="H53" s="637"/>
      <c r="I53" s="637"/>
      <c r="J53" s="637"/>
      <c r="K53" s="637"/>
      <c r="L53" s="637"/>
      <c r="M53" s="637"/>
      <c r="N53" s="637"/>
      <c r="O53" s="637"/>
      <c r="P53" s="637"/>
      <c r="R53" s="470"/>
    </row>
    <row r="54" spans="1:21" ht="5.0999999999999996" customHeight="1" x14ac:dyDescent="0.25">
      <c r="A54" s="442"/>
      <c r="C54" s="477"/>
      <c r="D54" s="477"/>
      <c r="E54" s="478"/>
      <c r="F54" s="479"/>
      <c r="G54" s="479"/>
      <c r="H54" s="479"/>
      <c r="I54" s="479"/>
      <c r="J54" s="479"/>
      <c r="K54" s="479"/>
      <c r="L54" s="479"/>
      <c r="M54" s="479"/>
      <c r="N54" s="479"/>
      <c r="O54" s="479"/>
      <c r="P54" s="479"/>
      <c r="R54" s="470"/>
    </row>
    <row r="55" spans="1:21" ht="9.9499999999999993" customHeight="1" x14ac:dyDescent="0.25">
      <c r="A55" s="442"/>
      <c r="B55" s="625"/>
      <c r="C55" s="625"/>
      <c r="D55" s="625"/>
      <c r="E55" s="625"/>
      <c r="F55" s="625"/>
      <c r="G55" s="625"/>
      <c r="H55" s="625"/>
      <c r="I55" s="625"/>
      <c r="J55" s="625"/>
      <c r="K55" s="625"/>
      <c r="L55" s="625"/>
      <c r="M55" s="625"/>
      <c r="N55" s="625"/>
      <c r="O55" s="625"/>
      <c r="P55" s="625"/>
      <c r="Q55" s="625"/>
      <c r="R55" s="470"/>
    </row>
    <row r="56" spans="1:21" ht="9.9499999999999993" customHeight="1" x14ac:dyDescent="0.25">
      <c r="A56" s="442"/>
      <c r="B56" s="625"/>
      <c r="C56" s="625"/>
      <c r="D56" s="625"/>
      <c r="E56" s="625"/>
      <c r="F56" s="625"/>
      <c r="G56" s="625"/>
      <c r="H56" s="625"/>
      <c r="I56" s="625"/>
      <c r="J56" s="625"/>
      <c r="K56" s="625"/>
      <c r="L56" s="625"/>
      <c r="M56" s="625"/>
      <c r="N56" s="625"/>
      <c r="O56" s="625"/>
      <c r="P56" s="625"/>
      <c r="Q56" s="625"/>
      <c r="R56" s="470"/>
    </row>
    <row r="57" spans="1:21" ht="15.75" customHeight="1" thickBot="1" x14ac:dyDescent="0.3">
      <c r="A57" s="465"/>
      <c r="B57" s="480"/>
      <c r="C57" s="480"/>
      <c r="D57" s="480"/>
      <c r="E57" s="480"/>
      <c r="F57" s="480"/>
      <c r="G57" s="480"/>
      <c r="H57" s="480"/>
      <c r="I57" s="480"/>
      <c r="J57" s="480"/>
      <c r="K57" s="480"/>
      <c r="L57" s="480"/>
      <c r="M57" s="480"/>
      <c r="N57" s="480"/>
      <c r="O57" s="480"/>
      <c r="P57" s="480"/>
      <c r="Q57" s="480"/>
      <c r="R57" s="481"/>
    </row>
    <row r="58" spans="1:21" s="46" customFormat="1" ht="15.75" customHeight="1" thickTop="1" x14ac:dyDescent="0.25">
      <c r="I58" s="242"/>
      <c r="J58" s="242"/>
      <c r="K58" s="242"/>
      <c r="L58" s="271"/>
      <c r="Q58" s="105"/>
    </row>
    <row r="59" spans="1:21" ht="15.75" customHeight="1" x14ac:dyDescent="0.25">
      <c r="I59" s="269"/>
      <c r="J59" s="269"/>
      <c r="K59" s="260"/>
    </row>
    <row r="60" spans="1:21" ht="15.75" customHeight="1" x14ac:dyDescent="0.25">
      <c r="C60" s="269"/>
      <c r="D60" s="269"/>
      <c r="E60" s="269"/>
      <c r="F60" s="269"/>
      <c r="G60" s="278"/>
      <c r="H60" s="633"/>
      <c r="I60" s="634"/>
      <c r="J60" s="634"/>
      <c r="K60" s="634"/>
      <c r="L60" s="634"/>
      <c r="M60" s="634"/>
      <c r="N60" s="634"/>
    </row>
    <row r="61" spans="1:21" ht="15.75" customHeight="1" x14ac:dyDescent="0.25">
      <c r="C61" s="269"/>
      <c r="D61" s="269"/>
      <c r="E61" s="269"/>
      <c r="F61" s="269"/>
      <c r="G61" s="278"/>
      <c r="H61" s="633"/>
      <c r="I61" s="634"/>
      <c r="J61" s="634"/>
      <c r="K61" s="634"/>
      <c r="L61" s="634"/>
      <c r="M61" s="634"/>
      <c r="N61" s="634"/>
    </row>
    <row r="62" spans="1:21" ht="15.75" customHeight="1" x14ac:dyDescent="0.25">
      <c r="C62" s="269"/>
      <c r="D62" s="269"/>
      <c r="E62" s="269"/>
      <c r="F62" s="269"/>
      <c r="G62" s="278"/>
      <c r="H62" s="633"/>
      <c r="I62" s="634"/>
      <c r="J62" s="634"/>
      <c r="K62" s="634"/>
      <c r="L62" s="634"/>
      <c r="M62" s="634"/>
      <c r="N62" s="634"/>
    </row>
    <row r="63" spans="1:21" s="33" customFormat="1" ht="15.75" customHeight="1" x14ac:dyDescent="0.25">
      <c r="A63" s="47"/>
      <c r="B63" s="47"/>
      <c r="C63" s="278"/>
      <c r="D63" s="278"/>
      <c r="E63" s="278"/>
      <c r="F63" s="278"/>
      <c r="G63" s="278"/>
      <c r="H63" s="633"/>
      <c r="I63" s="634"/>
      <c r="J63" s="634"/>
      <c r="K63" s="634"/>
      <c r="L63" s="634"/>
      <c r="M63" s="634"/>
      <c r="N63" s="634"/>
    </row>
    <row r="64" spans="1:21" ht="15.75" customHeight="1" x14ac:dyDescent="0.25">
      <c r="C64" s="269"/>
      <c r="D64" s="269"/>
      <c r="E64" s="269"/>
      <c r="F64" s="269"/>
      <c r="G64" s="278"/>
      <c r="H64" s="269"/>
      <c r="I64" s="269"/>
      <c r="J64" s="269"/>
      <c r="K64" s="260"/>
    </row>
    <row r="65" spans="2:21" ht="15.75" customHeight="1" x14ac:dyDescent="0.25">
      <c r="C65" s="269"/>
      <c r="D65" s="269"/>
      <c r="E65" s="269"/>
      <c r="F65" s="269"/>
      <c r="G65" s="278"/>
      <c r="H65" s="269"/>
      <c r="I65" s="269"/>
      <c r="J65" s="269"/>
      <c r="K65" s="260"/>
    </row>
    <row r="66" spans="2:21" ht="15.75" customHeight="1" x14ac:dyDescent="0.25">
      <c r="C66" s="269"/>
      <c r="D66" s="269"/>
      <c r="E66" s="269"/>
      <c r="F66" s="269"/>
      <c r="G66" s="278"/>
      <c r="H66" s="269"/>
      <c r="I66" s="269"/>
      <c r="J66" s="269"/>
      <c r="K66" s="260"/>
    </row>
    <row r="67" spans="2:21" ht="15.75" customHeight="1" x14ac:dyDescent="0.25">
      <c r="C67" s="269"/>
      <c r="D67" s="269"/>
      <c r="E67" s="269"/>
      <c r="F67" s="269"/>
      <c r="G67" s="278"/>
      <c r="H67" s="269"/>
      <c r="I67" s="269"/>
      <c r="J67" s="269"/>
      <c r="K67" s="260"/>
    </row>
    <row r="68" spans="2:21" ht="15.75" customHeight="1" x14ac:dyDescent="0.25">
      <c r="C68" s="269"/>
      <c r="D68" s="269"/>
      <c r="E68" s="269"/>
      <c r="F68" s="269"/>
      <c r="G68" s="278"/>
      <c r="H68" s="269"/>
      <c r="I68" s="269"/>
      <c r="J68" s="269"/>
      <c r="K68" s="260"/>
    </row>
    <row r="69" spans="2:21" ht="15.75" customHeight="1" x14ac:dyDescent="0.25">
      <c r="C69" s="269"/>
      <c r="D69" s="269"/>
      <c r="E69" s="269"/>
      <c r="F69" s="269"/>
      <c r="G69" s="278"/>
      <c r="H69" s="269"/>
      <c r="I69" s="269"/>
      <c r="J69" s="269"/>
      <c r="K69" s="260"/>
    </row>
    <row r="70" spans="2:21" s="7" customFormat="1" ht="15.75" customHeight="1" x14ac:dyDescent="0.25">
      <c r="B70" s="47"/>
      <c r="C70" s="269"/>
      <c r="D70" s="269"/>
      <c r="E70" s="269"/>
      <c r="F70" s="269"/>
      <c r="G70" s="278"/>
      <c r="H70" s="269"/>
      <c r="I70" s="269"/>
      <c r="J70" s="269"/>
      <c r="K70" s="260"/>
      <c r="L70" s="47"/>
      <c r="M70" s="8"/>
      <c r="N70" s="8"/>
      <c r="O70" s="8"/>
      <c r="P70" s="8"/>
      <c r="Q70" s="33"/>
      <c r="R70" s="8"/>
      <c r="S70" s="8"/>
      <c r="T70" s="8"/>
      <c r="U70" s="8"/>
    </row>
    <row r="71" spans="2:21" s="7" customFormat="1" ht="15.75" customHeight="1" x14ac:dyDescent="0.25">
      <c r="B71" s="47"/>
      <c r="C71" s="260"/>
      <c r="D71" s="260"/>
      <c r="E71" s="260"/>
      <c r="F71" s="260"/>
      <c r="G71" s="279"/>
      <c r="H71" s="260"/>
      <c r="I71" s="260"/>
      <c r="J71" s="260"/>
      <c r="K71" s="260"/>
      <c r="L71" s="47"/>
      <c r="M71" s="8"/>
      <c r="N71" s="8"/>
      <c r="O71" s="8"/>
      <c r="P71" s="8"/>
      <c r="Q71" s="33"/>
      <c r="R71" s="8"/>
      <c r="S71" s="8"/>
      <c r="T71" s="8"/>
      <c r="U71" s="8"/>
    </row>
    <row r="72" spans="2:21" s="7" customFormat="1" ht="15.75" customHeight="1" x14ac:dyDescent="0.25">
      <c r="B72" s="47"/>
      <c r="C72" s="268"/>
      <c r="D72" s="268"/>
      <c r="E72" s="268"/>
      <c r="F72" s="268"/>
      <c r="G72" s="276"/>
      <c r="H72" s="268"/>
      <c r="I72" s="268"/>
      <c r="J72" s="268"/>
      <c r="K72" s="264"/>
      <c r="L72" s="47"/>
      <c r="M72" s="8"/>
      <c r="N72" s="8"/>
      <c r="O72" s="8"/>
      <c r="P72" s="8"/>
      <c r="Q72" s="33"/>
      <c r="R72" s="8"/>
      <c r="S72" s="8"/>
      <c r="T72" s="8"/>
      <c r="U72" s="8"/>
    </row>
    <row r="73" spans="2:21" s="7" customFormat="1" ht="15.75" customHeight="1" x14ac:dyDescent="0.25">
      <c r="B73" s="47"/>
      <c r="C73" s="268"/>
      <c r="D73" s="268"/>
      <c r="E73" s="268"/>
      <c r="F73" s="268"/>
      <c r="G73" s="276"/>
      <c r="H73" s="268"/>
      <c r="I73" s="268"/>
      <c r="J73" s="268"/>
      <c r="K73" s="264"/>
      <c r="L73" s="47"/>
      <c r="M73" s="8"/>
      <c r="N73" s="8"/>
      <c r="O73" s="8"/>
      <c r="P73" s="8"/>
      <c r="Q73" s="33"/>
      <c r="R73" s="8"/>
      <c r="S73" s="8"/>
      <c r="T73" s="8"/>
      <c r="U73" s="8"/>
    </row>
    <row r="74" spans="2:21" s="7" customFormat="1" ht="15.75" customHeight="1" x14ac:dyDescent="0.25">
      <c r="B74" s="47"/>
      <c r="C74" s="109"/>
      <c r="D74" s="46"/>
      <c r="E74" s="46"/>
      <c r="F74" s="46"/>
      <c r="G74" s="105"/>
      <c r="H74" s="46"/>
      <c r="I74" s="46"/>
      <c r="J74" s="46"/>
      <c r="K74" s="46"/>
      <c r="L74" s="47"/>
      <c r="M74" s="8"/>
      <c r="N74" s="8"/>
      <c r="O74" s="8"/>
      <c r="P74" s="8"/>
      <c r="Q74" s="33"/>
      <c r="R74" s="8"/>
      <c r="S74" s="8"/>
      <c r="T74" s="8"/>
      <c r="U74" s="8"/>
    </row>
    <row r="75" spans="2:21" s="7" customFormat="1" ht="15.75" customHeight="1" x14ac:dyDescent="0.25">
      <c r="B75" s="47"/>
      <c r="C75" s="109"/>
      <c r="D75" s="270"/>
      <c r="E75" s="269"/>
      <c r="F75" s="269"/>
      <c r="G75" s="278"/>
      <c r="H75" s="269"/>
      <c r="I75" s="269"/>
      <c r="J75" s="269"/>
      <c r="K75" s="265"/>
      <c r="L75" s="47"/>
      <c r="M75" s="8"/>
      <c r="N75" s="8"/>
      <c r="O75" s="8"/>
      <c r="P75" s="8"/>
      <c r="Q75" s="33"/>
      <c r="R75" s="8"/>
      <c r="S75" s="8"/>
      <c r="T75" s="8"/>
      <c r="U75" s="8"/>
    </row>
    <row r="76" spans="2:21" s="7" customFormat="1" ht="15.75" customHeight="1" x14ac:dyDescent="0.25">
      <c r="B76" s="47"/>
      <c r="C76" s="109"/>
      <c r="D76" s="270"/>
      <c r="E76" s="269"/>
      <c r="F76" s="269"/>
      <c r="G76" s="278"/>
      <c r="H76" s="269"/>
      <c r="I76" s="269"/>
      <c r="J76" s="269"/>
      <c r="K76" s="265"/>
      <c r="L76" s="47"/>
      <c r="M76" s="8"/>
      <c r="N76" s="8"/>
      <c r="O76" s="8"/>
      <c r="P76" s="8"/>
      <c r="Q76" s="33"/>
      <c r="R76" s="8"/>
      <c r="S76" s="8"/>
      <c r="T76" s="8"/>
      <c r="U76" s="8"/>
    </row>
    <row r="77" spans="2:21" s="7" customFormat="1" ht="15.75" customHeight="1" x14ac:dyDescent="0.25">
      <c r="B77" s="47"/>
      <c r="C77" s="109"/>
      <c r="D77" s="270"/>
      <c r="E77" s="269"/>
      <c r="F77" s="269"/>
      <c r="G77" s="278"/>
      <c r="H77" s="269"/>
      <c r="I77" s="269"/>
      <c r="J77" s="269"/>
      <c r="K77" s="265"/>
      <c r="L77" s="47"/>
      <c r="M77" s="8"/>
      <c r="N77" s="8"/>
      <c r="O77" s="8"/>
      <c r="P77" s="8"/>
      <c r="Q77" s="33"/>
      <c r="R77" s="8"/>
      <c r="S77" s="8"/>
      <c r="T77" s="8"/>
      <c r="U77" s="8"/>
    </row>
    <row r="78" spans="2:21" s="7" customFormat="1" ht="15.75" customHeight="1" x14ac:dyDescent="0.25">
      <c r="B78" s="47"/>
      <c r="C78" s="109"/>
      <c r="D78" s="270"/>
      <c r="E78" s="269"/>
      <c r="F78" s="269"/>
      <c r="G78" s="278"/>
      <c r="H78" s="269"/>
      <c r="I78" s="269"/>
      <c r="J78" s="269"/>
      <c r="K78" s="265"/>
      <c r="L78" s="47"/>
      <c r="M78" s="8"/>
      <c r="N78" s="8"/>
      <c r="O78" s="8"/>
      <c r="P78" s="8"/>
      <c r="Q78" s="33"/>
      <c r="R78" s="8"/>
      <c r="S78" s="8"/>
      <c r="T78" s="8"/>
      <c r="U78" s="8"/>
    </row>
    <row r="79" spans="2:21" s="7" customFormat="1" ht="15.75" customHeight="1" x14ac:dyDescent="0.25">
      <c r="B79" s="47"/>
      <c r="C79" s="109"/>
      <c r="D79" s="46"/>
      <c r="E79" s="46"/>
      <c r="F79" s="46"/>
      <c r="G79" s="105"/>
      <c r="H79" s="46"/>
      <c r="I79" s="46"/>
      <c r="J79" s="46"/>
      <c r="K79" s="46"/>
      <c r="L79" s="47"/>
      <c r="M79" s="8"/>
      <c r="N79" s="8"/>
      <c r="O79" s="8"/>
      <c r="P79" s="8"/>
      <c r="Q79" s="33"/>
      <c r="R79" s="8"/>
      <c r="S79" s="8"/>
      <c r="T79" s="8"/>
      <c r="U79" s="8"/>
    </row>
    <row r="80" spans="2:21" s="7" customFormat="1" ht="15.75" customHeight="1" x14ac:dyDescent="0.25">
      <c r="B80" s="47"/>
      <c r="C80" s="268"/>
      <c r="D80" s="268"/>
      <c r="E80" s="268"/>
      <c r="F80" s="268"/>
      <c r="G80" s="276"/>
      <c r="H80" s="268"/>
      <c r="I80" s="268"/>
      <c r="J80" s="268"/>
      <c r="K80" s="264"/>
      <c r="L80" s="47"/>
      <c r="M80" s="8"/>
      <c r="N80" s="8"/>
      <c r="O80" s="8"/>
      <c r="P80" s="8"/>
      <c r="Q80" s="33"/>
      <c r="R80" s="8"/>
      <c r="S80" s="8"/>
      <c r="T80" s="8"/>
      <c r="U80" s="8"/>
    </row>
    <row r="81" spans="2:21" s="7" customFormat="1" ht="15.75" customHeight="1" x14ac:dyDescent="0.25">
      <c r="B81" s="47"/>
      <c r="C81" s="268"/>
      <c r="D81" s="268"/>
      <c r="E81" s="268"/>
      <c r="F81" s="268"/>
      <c r="G81" s="276"/>
      <c r="H81" s="268"/>
      <c r="I81" s="268"/>
      <c r="J81" s="268"/>
      <c r="K81" s="264"/>
      <c r="L81" s="47"/>
      <c r="M81" s="8"/>
      <c r="N81" s="8"/>
      <c r="O81" s="8"/>
      <c r="P81" s="8"/>
      <c r="Q81" s="33"/>
      <c r="R81" s="8"/>
      <c r="S81" s="8"/>
      <c r="T81" s="8"/>
      <c r="U81" s="8"/>
    </row>
    <row r="82" spans="2:21" ht="15.75" customHeight="1" x14ac:dyDescent="0.25"/>
    <row r="83" spans="2:21" ht="15.75" customHeight="1" x14ac:dyDescent="0.25"/>
    <row r="84" spans="2:21" ht="15.75" customHeight="1" x14ac:dyDescent="0.25"/>
  </sheetData>
  <sheetProtection sheet="1" objects="1" scenarios="1"/>
  <mergeCells count="17">
    <mergeCell ref="B2:Q3"/>
    <mergeCell ref="C14:J15"/>
    <mergeCell ref="I32:J32"/>
    <mergeCell ref="H60:N60"/>
    <mergeCell ref="H61:N61"/>
    <mergeCell ref="H62:N62"/>
    <mergeCell ref="H63:N63"/>
    <mergeCell ref="B47:Q48"/>
    <mergeCell ref="C53:D53"/>
    <mergeCell ref="C52:D52"/>
    <mergeCell ref="C51:D51"/>
    <mergeCell ref="C50:D50"/>
    <mergeCell ref="E53:P53"/>
    <mergeCell ref="E52:P52"/>
    <mergeCell ref="E51:P51"/>
    <mergeCell ref="E50:P50"/>
    <mergeCell ref="B55:Q56"/>
  </mergeCells>
  <hyperlinks>
    <hyperlink ref="E50" r:id="rId1"/>
    <hyperlink ref="E51" r:id="rId2"/>
    <hyperlink ref="E52" r:id="rId3"/>
    <hyperlink ref="E53" r:id="rId4"/>
  </hyperlinks>
  <pageMargins left="0.70866141732283472" right="0.70866141732283472" top="0.74803149606299213" bottom="0.74803149606299213" header="0.31496062992125984" footer="0.31496062992125984"/>
  <pageSetup paperSize="9" scale="59" fitToWidth="0" fitToHeight="0" orientation="landscape"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3"/>
  <sheetViews>
    <sheetView showGridLines="0" zoomScale="75" zoomScaleNormal="88" zoomScaleSheetLayoutView="85" zoomScalePageLayoutView="10" workbookViewId="0">
      <selection activeCell="E65" sqref="E65"/>
    </sheetView>
  </sheetViews>
  <sheetFormatPr defaultRowHeight="15.75" x14ac:dyDescent="0.25"/>
  <cols>
    <col min="1" max="1" width="2.28515625" style="7" customWidth="1"/>
    <col min="2" max="2" width="64.140625" style="7" customWidth="1"/>
    <col min="3" max="9" width="14.85546875" style="8" customWidth="1"/>
    <col min="10" max="10" width="2.7109375" style="109" customWidth="1"/>
    <col min="11" max="20" width="14.85546875" style="8" customWidth="1"/>
    <col min="21" max="16384" width="9.140625" style="8"/>
  </cols>
  <sheetData>
    <row r="1" spans="1:20" ht="16.5" thickTop="1" x14ac:dyDescent="0.25">
      <c r="A1" s="438"/>
      <c r="B1" s="439"/>
      <c r="C1" s="440"/>
      <c r="D1" s="440"/>
      <c r="E1" s="440"/>
      <c r="F1" s="440"/>
      <c r="G1" s="440"/>
      <c r="H1" s="440"/>
      <c r="I1" s="440"/>
      <c r="J1" s="482"/>
    </row>
    <row r="2" spans="1:20" ht="9.9499999999999993" customHeight="1" x14ac:dyDescent="0.25">
      <c r="A2" s="442"/>
      <c r="B2" s="625" t="s">
        <v>362</v>
      </c>
      <c r="C2" s="625"/>
      <c r="D2" s="625"/>
      <c r="E2" s="625"/>
      <c r="F2" s="625"/>
      <c r="G2" s="625"/>
      <c r="H2" s="625"/>
      <c r="I2" s="625"/>
      <c r="J2" s="461"/>
    </row>
    <row r="3" spans="1:20" ht="9.9499999999999993" customHeight="1" x14ac:dyDescent="0.25">
      <c r="A3" s="442"/>
      <c r="B3" s="625"/>
      <c r="C3" s="625"/>
      <c r="D3" s="625"/>
      <c r="E3" s="625"/>
      <c r="F3" s="625"/>
      <c r="G3" s="625"/>
      <c r="H3" s="625"/>
      <c r="I3" s="625"/>
      <c r="J3" s="461"/>
      <c r="S3" s="286"/>
      <c r="T3" s="287"/>
    </row>
    <row r="4" spans="1:20" s="7" customFormat="1" ht="15" customHeight="1" x14ac:dyDescent="0.25">
      <c r="A4" s="442"/>
      <c r="B4" s="47"/>
      <c r="C4" s="47"/>
      <c r="D4" s="47"/>
      <c r="E4" s="47"/>
      <c r="F4" s="47"/>
      <c r="G4" s="47"/>
      <c r="H4" s="47"/>
      <c r="I4" s="47"/>
      <c r="J4" s="461"/>
    </row>
    <row r="5" spans="1:20" s="7" customFormat="1" ht="16.5" thickBot="1" x14ac:dyDescent="0.3">
      <c r="A5" s="442"/>
      <c r="B5" s="240"/>
      <c r="C5" s="448">
        <v>43921</v>
      </c>
      <c r="D5" s="448">
        <f t="shared" ref="D5:I5" si="0">EOMONTH(C5,12)</f>
        <v>44286</v>
      </c>
      <c r="E5" s="448">
        <f t="shared" si="0"/>
        <v>44651</v>
      </c>
      <c r="F5" s="448">
        <f t="shared" si="0"/>
        <v>45016</v>
      </c>
      <c r="G5" s="448">
        <f t="shared" si="0"/>
        <v>45382</v>
      </c>
      <c r="H5" s="448">
        <f t="shared" si="0"/>
        <v>45747</v>
      </c>
      <c r="I5" s="448">
        <f t="shared" si="0"/>
        <v>46112</v>
      </c>
      <c r="J5" s="483"/>
      <c r="K5" s="284"/>
      <c r="L5" s="284"/>
      <c r="M5" s="284"/>
      <c r="N5" s="284"/>
      <c r="O5" s="284"/>
      <c r="P5" s="284"/>
      <c r="Q5" s="284"/>
      <c r="R5" s="284"/>
      <c r="S5" s="284"/>
      <c r="T5" s="284"/>
    </row>
    <row r="6" spans="1:20" ht="16.5" thickTop="1" x14ac:dyDescent="0.25">
      <c r="A6" s="442"/>
      <c r="B6" s="329" t="s">
        <v>9</v>
      </c>
      <c r="C6" s="310">
        <f>'P &amp; L'!C8/'P &amp; L'!C$8</f>
        <v>1</v>
      </c>
      <c r="D6" s="310">
        <f>'P &amp; L'!D8/'P &amp; L'!D$8</f>
        <v>1</v>
      </c>
      <c r="E6" s="310">
        <f>'P &amp; L'!E8/'P &amp; L'!E$8</f>
        <v>1</v>
      </c>
      <c r="F6" s="310">
        <f>'P &amp; L'!F8/'P &amp; L'!F$8</f>
        <v>1</v>
      </c>
      <c r="G6" s="310">
        <f>'P &amp; L'!G8/'P &amp; L'!G$8</f>
        <v>1</v>
      </c>
      <c r="H6" s="310">
        <f>'P &amp; L'!H8/'P &amp; L'!H$8</f>
        <v>1</v>
      </c>
      <c r="I6" s="310">
        <f>'P &amp; L'!I8/'P &amp; L'!I$8</f>
        <v>1</v>
      </c>
      <c r="J6" s="484"/>
      <c r="K6" s="43"/>
      <c r="L6" s="43"/>
      <c r="M6" s="43"/>
      <c r="N6" s="43"/>
      <c r="O6" s="43"/>
      <c r="P6" s="43"/>
      <c r="Q6" s="43"/>
      <c r="R6" s="43"/>
      <c r="S6" s="43"/>
      <c r="T6" s="43"/>
    </row>
    <row r="7" spans="1:20" x14ac:dyDescent="0.25">
      <c r="A7" s="442"/>
      <c r="B7" s="332" t="s">
        <v>10</v>
      </c>
      <c r="C7" s="310">
        <f>'P &amp; L'!C9/'P &amp; L'!C$8</f>
        <v>-0.86214344878609739</v>
      </c>
      <c r="D7" s="310">
        <f>'P &amp; L'!D9/'P &amp; L'!D$8</f>
        <v>-0.86383250507599285</v>
      </c>
      <c r="E7" s="310">
        <f>'P &amp; L'!E9/'P &amp; L'!E$8</f>
        <v>-0.86814099954578139</v>
      </c>
      <c r="F7" s="310">
        <f>'P &amp; L'!F9/'P &amp; L'!F$8</f>
        <v>-0.86099787206031053</v>
      </c>
      <c r="G7" s="310">
        <f>'P &amp; L'!G9/'P &amp; L'!G$8</f>
        <v>-0.86551137326849226</v>
      </c>
      <c r="H7" s="310">
        <f>'P &amp; L'!H9/'P &amp; L'!H$8</f>
        <v>-0.87045918792817489</v>
      </c>
      <c r="I7" s="310">
        <f>'P &amp; L'!I9/'P &amp; L'!I$8</f>
        <v>-0.86189119733382702</v>
      </c>
      <c r="J7" s="484"/>
      <c r="K7" s="42"/>
      <c r="L7" s="42"/>
      <c r="M7" s="42"/>
      <c r="N7" s="42"/>
      <c r="O7" s="42"/>
      <c r="P7" s="42"/>
      <c r="Q7" s="42"/>
      <c r="R7" s="42"/>
      <c r="S7" s="42"/>
      <c r="T7" s="42"/>
    </row>
    <row r="8" spans="1:20" x14ac:dyDescent="0.25">
      <c r="A8" s="442"/>
      <c r="B8" s="329" t="s">
        <v>11</v>
      </c>
      <c r="C8" s="310">
        <f>'P &amp; L'!C10/'P &amp; L'!C$8</f>
        <v>1.3620718771863516E-2</v>
      </c>
      <c r="D8" s="310">
        <f>'P &amp; L'!D10/'P &amp; L'!D$8</f>
        <v>1.2462380493607688E-2</v>
      </c>
      <c r="E8" s="310">
        <f>'P &amp; L'!E10/'P &amp; L'!E$8</f>
        <v>1.5959959026700117E-2</v>
      </c>
      <c r="F8" s="310">
        <f>'P &amp; L'!F10/'P &amp; L'!F$8</f>
        <v>1.169059626195974E-2</v>
      </c>
      <c r="G8" s="310">
        <f>'P &amp; L'!G10/'P &amp; L'!G$8</f>
        <v>1.3462999639881446E-2</v>
      </c>
      <c r="H8" s="310">
        <f>'P &amp; L'!H10/'P &amp; L'!H$8</f>
        <v>1.8819014438648168E-2</v>
      </c>
      <c r="I8" s="310">
        <f>'P &amp; L'!I10/'P &amp; L'!I$8</f>
        <v>1.2441888884077677E-2</v>
      </c>
      <c r="J8" s="484"/>
      <c r="K8" s="285"/>
      <c r="L8" s="285"/>
      <c r="M8" s="285"/>
      <c r="N8" s="285"/>
      <c r="O8" s="285"/>
      <c r="P8" s="285"/>
      <c r="Q8" s="285"/>
      <c r="R8" s="285"/>
      <c r="S8" s="285"/>
      <c r="T8" s="285"/>
    </row>
    <row r="9" spans="1:20" ht="16.5" thickBot="1" x14ac:dyDescent="0.3">
      <c r="A9" s="442"/>
      <c r="B9" s="328" t="s">
        <v>12</v>
      </c>
      <c r="C9" s="310">
        <f>'P &amp; L'!C11/'P &amp; L'!C$8</f>
        <v>-0.84852273001423384</v>
      </c>
      <c r="D9" s="310">
        <f>'P &amp; L'!D11/'P &amp; L'!D$8</f>
        <v>-0.85137012458238526</v>
      </c>
      <c r="E9" s="310">
        <f>'P &amp; L'!E11/'P &amp; L'!E$8</f>
        <v>-0.85218104051908128</v>
      </c>
      <c r="F9" s="310">
        <f>'P &amp; L'!F11/'P &amp; L'!F$8</f>
        <v>-0.84930727579835075</v>
      </c>
      <c r="G9" s="310">
        <f>'P &amp; L'!G11/'P &amp; L'!G$8</f>
        <v>-0.85204837362861086</v>
      </c>
      <c r="H9" s="310">
        <f>'P &amp; L'!H11/'P &amp; L'!H$8</f>
        <v>-0.85164017348952681</v>
      </c>
      <c r="I9" s="310">
        <f>'P &amp; L'!I11/'P &amp; L'!I$8</f>
        <v>-0.84944930844974931</v>
      </c>
      <c r="J9" s="484"/>
      <c r="K9" s="42"/>
      <c r="L9" s="42"/>
      <c r="M9" s="42"/>
      <c r="N9" s="42"/>
      <c r="O9" s="42"/>
      <c r="P9" s="42"/>
      <c r="Q9" s="42"/>
      <c r="R9" s="42"/>
      <c r="S9" s="42"/>
      <c r="T9" s="42"/>
    </row>
    <row r="10" spans="1:20" ht="16.5" thickTop="1" x14ac:dyDescent="0.25">
      <c r="A10" s="442"/>
      <c r="B10" s="485" t="s">
        <v>13</v>
      </c>
      <c r="C10" s="305">
        <f t="shared" ref="C10:I10" si="1">C9+C6</f>
        <v>0.15147726998576616</v>
      </c>
      <c r="D10" s="305">
        <f t="shared" si="1"/>
        <v>0.14862987541761474</v>
      </c>
      <c r="E10" s="305">
        <f t="shared" si="1"/>
        <v>0.14781895948091872</v>
      </c>
      <c r="F10" s="305">
        <f t="shared" si="1"/>
        <v>0.15069272420164925</v>
      </c>
      <c r="G10" s="305">
        <f t="shared" si="1"/>
        <v>0.14795162637138914</v>
      </c>
      <c r="H10" s="305">
        <f t="shared" si="1"/>
        <v>0.14835982651047319</v>
      </c>
      <c r="I10" s="305">
        <f t="shared" si="1"/>
        <v>0.15055069155025069</v>
      </c>
      <c r="J10" s="461"/>
      <c r="K10" s="42"/>
      <c r="L10" s="42"/>
      <c r="M10" s="42"/>
      <c r="N10" s="42"/>
      <c r="O10" s="42"/>
      <c r="P10" s="42"/>
      <c r="Q10" s="42"/>
      <c r="R10" s="42"/>
      <c r="S10" s="42"/>
      <c r="T10" s="42"/>
    </row>
    <row r="11" spans="1:20" x14ac:dyDescent="0.25">
      <c r="A11" s="442"/>
      <c r="B11" s="329" t="s">
        <v>14</v>
      </c>
      <c r="C11" s="310">
        <f>'P &amp; L'!C14/'P &amp; L'!C$8</f>
        <v>-1.8339217215784354E-2</v>
      </c>
      <c r="D11" s="310">
        <f>'P &amp; L'!D14/'P &amp; L'!D$8</f>
        <v>-2.2224606160113923E-2</v>
      </c>
      <c r="E11" s="310">
        <f>'P &amp; L'!E14/'P &amp; L'!E$8</f>
        <v>-1.9892969682921799E-2</v>
      </c>
      <c r="F11" s="310">
        <f>'P &amp; L'!F14/'P &amp; L'!F$8</f>
        <v>-1.7436453595695196E-2</v>
      </c>
      <c r="G11" s="310">
        <f>'P &amp; L'!G14/'P &amp; L'!G$8</f>
        <v>-1.784093077158895E-2</v>
      </c>
      <c r="H11" s="310">
        <f>'P &amp; L'!H14/'P &amp; L'!H$8</f>
        <v>-1.9641817748393017E-2</v>
      </c>
      <c r="I11" s="310">
        <f>'P &amp; L'!I14/'P &amp; L'!I$8</f>
        <v>-2.2398480458071215E-2</v>
      </c>
      <c r="J11" s="461"/>
      <c r="K11" s="285"/>
      <c r="L11" s="285"/>
      <c r="M11" s="285"/>
      <c r="N11" s="285"/>
      <c r="O11" s="285"/>
      <c r="P11" s="285"/>
      <c r="Q11" s="285"/>
      <c r="R11" s="285"/>
      <c r="S11" s="285"/>
      <c r="T11" s="285"/>
    </row>
    <row r="12" spans="1:20" ht="16.5" thickBot="1" x14ac:dyDescent="0.3">
      <c r="A12" s="442"/>
      <c r="B12" s="328" t="s">
        <v>15</v>
      </c>
      <c r="C12" s="310">
        <f>'P &amp; L'!C15/'P &amp; L'!C$8</f>
        <v>-4.7561338469332769E-2</v>
      </c>
      <c r="D12" s="310">
        <f>'P &amp; L'!D15/'P &amp; L'!D$8</f>
        <v>-5.4208538602811739E-2</v>
      </c>
      <c r="E12" s="310">
        <f>'P &amp; L'!E15/'P &amp; L'!E$8</f>
        <v>-4.7267472810638596E-2</v>
      </c>
      <c r="F12" s="310">
        <f>'P &amp; L'!F15/'P &amp; L'!F$8</f>
        <v>-4.8357406098475345E-2</v>
      </c>
      <c r="G12" s="310">
        <f>'P &amp; L'!G15/'P &amp; L'!G$8</f>
        <v>-4.9310054986499985E-2</v>
      </c>
      <c r="H12" s="310">
        <f>'P &amp; L'!H15/'P &amp; L'!H$8</f>
        <v>-5.3120343407507487E-2</v>
      </c>
      <c r="I12" s="310">
        <f>'P &amp; L'!I15/'P &amp; L'!I$8</f>
        <v>-5.2788447203561017E-2</v>
      </c>
      <c r="J12" s="461"/>
      <c r="K12" s="42"/>
      <c r="L12" s="42"/>
      <c r="M12" s="42"/>
      <c r="N12" s="42"/>
      <c r="O12" s="42"/>
      <c r="P12" s="42"/>
      <c r="Q12" s="42"/>
      <c r="R12" s="42"/>
      <c r="S12" s="42"/>
      <c r="T12" s="42"/>
    </row>
    <row r="13" spans="1:20" ht="16.5" thickTop="1" x14ac:dyDescent="0.25">
      <c r="A13" s="442"/>
      <c r="B13" s="485" t="s">
        <v>16</v>
      </c>
      <c r="C13" s="305">
        <f t="shared" ref="C13:I13" si="2">C10+C11+C12</f>
        <v>8.5576714300649032E-2</v>
      </c>
      <c r="D13" s="305">
        <f t="shared" si="2"/>
        <v>7.2196730654689067E-2</v>
      </c>
      <c r="E13" s="305">
        <f t="shared" si="2"/>
        <v>8.065851698735832E-2</v>
      </c>
      <c r="F13" s="305">
        <f t="shared" si="2"/>
        <v>8.4898864507478702E-2</v>
      </c>
      <c r="G13" s="305">
        <f t="shared" si="2"/>
        <v>8.0800640613300223E-2</v>
      </c>
      <c r="H13" s="305">
        <f t="shared" si="2"/>
        <v>7.5597665354572685E-2</v>
      </c>
      <c r="I13" s="305">
        <f t="shared" si="2"/>
        <v>7.5363763888618457E-2</v>
      </c>
      <c r="J13" s="461"/>
      <c r="K13" s="285"/>
      <c r="L13" s="285"/>
      <c r="M13" s="285"/>
      <c r="N13" s="285"/>
      <c r="O13" s="285"/>
      <c r="P13" s="285"/>
      <c r="Q13" s="285"/>
      <c r="R13" s="285"/>
      <c r="S13" s="285"/>
      <c r="T13" s="285"/>
    </row>
    <row r="14" spans="1:20" ht="16.5" thickBot="1" x14ac:dyDescent="0.3">
      <c r="A14" s="442"/>
      <c r="B14" s="328" t="s">
        <v>17</v>
      </c>
      <c r="C14" s="310">
        <f>'P &amp; L'!C19/'P &amp; L'!C$8</f>
        <v>-1.505456329261526E-2</v>
      </c>
      <c r="D14" s="310">
        <f>'P &amp; L'!D19/'P &amp; L'!D$8</f>
        <v>-1.7154412075354161E-2</v>
      </c>
      <c r="E14" s="310">
        <f>'P &amp; L'!E19/'P &amp; L'!E$8</f>
        <v>-1.6079405299605148E-2</v>
      </c>
      <c r="F14" s="310">
        <f>'P &amp; L'!F19/'P &amp; L'!F$8</f>
        <v>-1.4913085008342757E-2</v>
      </c>
      <c r="G14" s="310">
        <f>'P &amp; L'!G19/'P &amp; L'!G$8</f>
        <v>-1.4388203075361256E-2</v>
      </c>
      <c r="H14" s="310">
        <f>'P &amp; L'!H19/'P &amp; L'!H$8</f>
        <v>-1.4648729195113385E-2</v>
      </c>
      <c r="I14" s="310">
        <f>'P &amp; L'!I19/'P &amp; L'!I$8</f>
        <v>-1.50684226876956E-2</v>
      </c>
      <c r="J14" s="461"/>
      <c r="K14" s="42"/>
      <c r="L14" s="42"/>
      <c r="M14" s="42"/>
      <c r="N14" s="42"/>
      <c r="O14" s="42"/>
      <c r="P14" s="42"/>
      <c r="Q14" s="42"/>
      <c r="R14" s="42"/>
      <c r="S14" s="42"/>
      <c r="T14" s="42"/>
    </row>
    <row r="15" spans="1:20" ht="16.5" thickTop="1" x14ac:dyDescent="0.25">
      <c r="A15" s="442"/>
      <c r="B15" s="485" t="s">
        <v>19</v>
      </c>
      <c r="C15" s="305">
        <f t="shared" ref="C15:I15" si="3">C14+C13</f>
        <v>7.0522151008033773E-2</v>
      </c>
      <c r="D15" s="305">
        <f t="shared" si="3"/>
        <v>5.5042318579334906E-2</v>
      </c>
      <c r="E15" s="305">
        <f t="shared" si="3"/>
        <v>6.4579111687753168E-2</v>
      </c>
      <c r="F15" s="305">
        <f t="shared" si="3"/>
        <v>6.9985779499135953E-2</v>
      </c>
      <c r="G15" s="305">
        <f t="shared" si="3"/>
        <v>6.6412437537938962E-2</v>
      </c>
      <c r="H15" s="305">
        <f t="shared" si="3"/>
        <v>6.0948936159459302E-2</v>
      </c>
      <c r="I15" s="305">
        <f t="shared" si="3"/>
        <v>6.0295341200922857E-2</v>
      </c>
      <c r="J15" s="461"/>
      <c r="K15" s="42"/>
      <c r="L15" s="42"/>
      <c r="M15" s="42"/>
      <c r="N15" s="42"/>
      <c r="O15" s="42"/>
      <c r="P15" s="42"/>
      <c r="Q15" s="42"/>
      <c r="R15" s="42"/>
      <c r="S15" s="42"/>
      <c r="T15" s="42"/>
    </row>
    <row r="16" spans="1:20" x14ac:dyDescent="0.25">
      <c r="A16" s="442"/>
      <c r="B16" s="329" t="s">
        <v>18</v>
      </c>
      <c r="C16" s="310">
        <f>'P &amp; L'!C22/'P &amp; L'!C$8</f>
        <v>-2.7792297609186899E-3</v>
      </c>
      <c r="D16" s="310">
        <f>'P &amp; L'!D22/'P &amp; L'!D$8</f>
        <v>-1.7251334337900829E-3</v>
      </c>
      <c r="E16" s="310">
        <f>'P &amp; L'!E22/'P &amp; L'!E$8</f>
        <v>-1.7364905458274993E-3</v>
      </c>
      <c r="F16" s="310">
        <f>'P &amp; L'!F22/'P &amp; L'!F$8</f>
        <v>-1.5735455732972046E-3</v>
      </c>
      <c r="G16" s="310">
        <f>'P &amp; L'!G22/'P &amp; L'!G$8</f>
        <v>-1.1445430028610623E-3</v>
      </c>
      <c r="H16" s="310">
        <f>'P &amp; L'!H22/'P &amp; L'!H$8</f>
        <v>-1.170018219938155E-3</v>
      </c>
      <c r="I16" s="310">
        <f>'P &amp; L'!I22/'P &amp; L'!I$8</f>
        <v>-2.0640580150692945E-3</v>
      </c>
      <c r="J16" s="461"/>
      <c r="K16" s="285"/>
      <c r="L16" s="285"/>
      <c r="M16" s="285"/>
      <c r="N16" s="285"/>
      <c r="O16" s="285"/>
      <c r="P16" s="285"/>
      <c r="Q16" s="285"/>
      <c r="R16" s="285"/>
      <c r="S16" s="285"/>
      <c r="T16" s="285"/>
    </row>
    <row r="17" spans="1:20" ht="16.5" thickBot="1" x14ac:dyDescent="0.3">
      <c r="A17" s="442"/>
      <c r="B17" s="328" t="s">
        <v>21</v>
      </c>
      <c r="C17" s="310">
        <f>'P &amp; L'!C23/'P &amp; L'!C$8</f>
        <v>2.4121237464917854E-3</v>
      </c>
      <c r="D17" s="310">
        <f>'P &amp; L'!D23/'P &amp; L'!D$8</f>
        <v>8.1269731343085756E-3</v>
      </c>
      <c r="E17" s="310">
        <f>'P &amp; L'!E23/'P &amp; L'!E$8</f>
        <v>3.7929034063817232E-3</v>
      </c>
      <c r="F17" s="310">
        <f>'P &amp; L'!F23/'P &amp; L'!F$8</f>
        <v>3.0191719989654427E-3</v>
      </c>
      <c r="G17" s="310">
        <f>'P &amp; L'!G23/'P &amp; L'!G$8</f>
        <v>2.8835080469465433E-3</v>
      </c>
      <c r="H17" s="310">
        <f>'P &amp; L'!H23/'P &amp; L'!H$8</f>
        <v>2.0942399556589204E-3</v>
      </c>
      <c r="I17" s="310">
        <f>'P &amp; L'!I23/'P &amp; L'!I$8</f>
        <v>1.0767103056433277E-3</v>
      </c>
      <c r="J17" s="461"/>
      <c r="K17" s="43"/>
      <c r="L17" s="43"/>
      <c r="M17" s="43"/>
      <c r="N17" s="43"/>
      <c r="O17" s="43"/>
      <c r="P17" s="43"/>
      <c r="Q17" s="43"/>
      <c r="R17" s="43"/>
      <c r="S17" s="43"/>
      <c r="T17" s="43"/>
    </row>
    <row r="18" spans="1:20" ht="16.5" thickTop="1" x14ac:dyDescent="0.25">
      <c r="A18" s="442"/>
      <c r="B18" s="485" t="s">
        <v>20</v>
      </c>
      <c r="C18" s="305">
        <f t="shared" ref="C18:I18" si="4">C15+C16+C17</f>
        <v>7.0155044993606877E-2</v>
      </c>
      <c r="D18" s="305">
        <f t="shared" si="4"/>
        <v>6.1444158279853396E-2</v>
      </c>
      <c r="E18" s="305">
        <f t="shared" si="4"/>
        <v>6.6635524548307387E-2</v>
      </c>
      <c r="F18" s="305">
        <f t="shared" si="4"/>
        <v>7.1431405924804181E-2</v>
      </c>
      <c r="G18" s="305">
        <f t="shared" si="4"/>
        <v>6.8151402582024442E-2</v>
      </c>
      <c r="H18" s="305">
        <f t="shared" si="4"/>
        <v>6.1873157895180067E-2</v>
      </c>
      <c r="I18" s="305">
        <f t="shared" si="4"/>
        <v>5.9307993491496888E-2</v>
      </c>
      <c r="J18" s="461"/>
      <c r="K18" s="43"/>
      <c r="L18" s="43"/>
      <c r="M18" s="43"/>
      <c r="N18" s="43"/>
      <c r="O18" s="43"/>
      <c r="P18" s="43"/>
      <c r="Q18" s="43"/>
      <c r="R18" s="43"/>
      <c r="S18" s="43"/>
      <c r="T18" s="43"/>
    </row>
    <row r="19" spans="1:20" x14ac:dyDescent="0.25">
      <c r="A19" s="442"/>
      <c r="B19" s="329" t="s">
        <v>22</v>
      </c>
      <c r="C19" s="310">
        <f>'P &amp; L'!C27/'P &amp; L'!C$8</f>
        <v>-1.8485577116388287E-2</v>
      </c>
      <c r="D19" s="310">
        <f>'P &amp; L'!D27/'P &amp; L'!D$8</f>
        <v>-1.6347969147241483E-2</v>
      </c>
      <c r="E19" s="310">
        <f>'P &amp; L'!E27/'P &amp; L'!E$8</f>
        <v>-1.7637049263839705E-2</v>
      </c>
      <c r="F19" s="310">
        <f>'P &amp; L'!F27/'P &amp; L'!F$8</f>
        <v>-1.8854068529181908E-2</v>
      </c>
      <c r="G19" s="310">
        <f>'P &amp; L'!G27/'P &amp; L'!G$8</f>
        <v>-1.7978165671467525E-2</v>
      </c>
      <c r="H19" s="310">
        <f>'P &amp; L'!H27/'P &amp; L'!H$8</f>
        <v>-1.6568435115371885E-2</v>
      </c>
      <c r="I19" s="310">
        <f>'P &amp; L'!I27/'P &amp; L'!I$8</f>
        <v>-1.6001426314218647E-2</v>
      </c>
      <c r="J19" s="461"/>
      <c r="K19" s="43"/>
      <c r="L19" s="43"/>
      <c r="M19" s="43"/>
      <c r="N19" s="43"/>
      <c r="O19" s="43"/>
      <c r="P19" s="43"/>
      <c r="Q19" s="43"/>
      <c r="R19" s="43"/>
      <c r="S19" s="43"/>
      <c r="T19" s="43"/>
    </row>
    <row r="20" spans="1:20" x14ac:dyDescent="0.25">
      <c r="A20" s="442"/>
      <c r="B20" s="329" t="s">
        <v>23</v>
      </c>
      <c r="C20" s="310">
        <f>'P &amp; L'!C28/'P &amp; L'!C$8</f>
        <v>6.4213395951781657E-4</v>
      </c>
      <c r="D20" s="310">
        <f>'P &amp; L'!D28/'P &amp; L'!D$8</f>
        <v>-1.313006719115141E-4</v>
      </c>
      <c r="E20" s="310">
        <f>'P &amp; L'!E28/'P &amp; L'!E$8</f>
        <v>-3.9062159517592012E-4</v>
      </c>
      <c r="F20" s="310">
        <f>'P &amp; L'!F28/'P &amp; L'!F$8</f>
        <v>-2.992561081392993E-4</v>
      </c>
      <c r="G20" s="310">
        <f>'P &amp; L'!G28/'P &amp; L'!G$8</f>
        <v>-2.3666621184224954E-4</v>
      </c>
      <c r="H20" s="310">
        <f>'P &amp; L'!H28/'P &amp; L'!H$8</f>
        <v>-2.9920120354358007E-4</v>
      </c>
      <c r="I20" s="310">
        <f>'P &amp; L'!I28/'P &amp; L'!I$8</f>
        <v>-1.4762991505177072E-4</v>
      </c>
      <c r="J20" s="461"/>
      <c r="K20" s="42"/>
      <c r="L20" s="42"/>
      <c r="M20" s="42"/>
      <c r="N20" s="42"/>
      <c r="O20" s="42"/>
      <c r="P20" s="42"/>
      <c r="Q20" s="42"/>
      <c r="R20" s="42"/>
      <c r="S20" s="42"/>
      <c r="T20" s="42"/>
    </row>
    <row r="21" spans="1:20" x14ac:dyDescent="0.25">
      <c r="A21" s="442"/>
      <c r="B21" s="329" t="s">
        <v>24</v>
      </c>
      <c r="C21" s="310">
        <f>'P &amp; L'!C29/'P &amp; L'!C$8</f>
        <v>-8.0417527804360247E-7</v>
      </c>
      <c r="D21" s="310">
        <f>'P &amp; L'!D29/'P &amp; L'!D$8</f>
        <v>5.732496212162004E-4</v>
      </c>
      <c r="E21" s="310">
        <f>'P &amp; L'!E29/'P &amp; L'!E$8</f>
        <v>-4.2903809916429567E-4</v>
      </c>
      <c r="F21" s="310">
        <f>'P &amp; L'!F29/'P &amp; L'!F$8</f>
        <v>3.2392956416919319E-3</v>
      </c>
      <c r="G21" s="310">
        <f>'P &amp; L'!G29/'P &amp; L'!G$8</f>
        <v>-1.201051491046358E-5</v>
      </c>
      <c r="H21" s="310">
        <f>'P &amp; L'!H29/'P &amp; L'!H$8</f>
        <v>6.0665739524799072E-4</v>
      </c>
      <c r="I21" s="310">
        <f>'P &amp; L'!I29/'P &amp; L'!I$8</f>
        <v>5.3762862764916504E-6</v>
      </c>
      <c r="J21" s="461"/>
      <c r="K21" s="45"/>
      <c r="L21" s="45"/>
      <c r="M21" s="45"/>
      <c r="N21" s="45"/>
      <c r="O21" s="45"/>
      <c r="P21" s="45"/>
      <c r="Q21" s="45"/>
      <c r="R21" s="45"/>
      <c r="S21" s="45"/>
      <c r="T21" s="45"/>
    </row>
    <row r="22" spans="1:20" ht="16.5" thickBot="1" x14ac:dyDescent="0.3">
      <c r="A22" s="442"/>
      <c r="B22" s="329" t="s">
        <v>25</v>
      </c>
      <c r="C22" s="310">
        <f>'P &amp; L'!C30/'P &amp; L'!C$8</f>
        <v>-1.7844247332148514E-2</v>
      </c>
      <c r="D22" s="310">
        <f>'P &amp; L'!D30/'P &amp; L'!D$8</f>
        <v>-1.5906020197936799E-2</v>
      </c>
      <c r="E22" s="310">
        <f>'P &amp; L'!E30/'P &amp; L'!E$8</f>
        <v>-1.8456708958179923E-2</v>
      </c>
      <c r="F22" s="310">
        <f>'P &amp; L'!F30/'P &amp; L'!F$8</f>
        <v>-1.5914028995629277E-2</v>
      </c>
      <c r="G22" s="310">
        <f>'P &amp; L'!G30/'P &amp; L'!G$8</f>
        <v>-1.8226842398220242E-2</v>
      </c>
      <c r="H22" s="310">
        <f>'P &amp; L'!H30/'P &amp; L'!H$8</f>
        <v>-1.6260978923667475E-2</v>
      </c>
      <c r="I22" s="310">
        <f>'P &amp; L'!I30/'P &amp; L'!I$8</f>
        <v>-1.6143679942993927E-2</v>
      </c>
      <c r="J22" s="461"/>
    </row>
    <row r="23" spans="1:20" ht="17.25" thickTop="1" thickBot="1" x14ac:dyDescent="0.3">
      <c r="A23" s="442"/>
      <c r="B23" s="330" t="s">
        <v>26</v>
      </c>
      <c r="C23" s="306">
        <f t="shared" ref="C23:I23" si="5">C22+C18</f>
        <v>5.2310797661458366E-2</v>
      </c>
      <c r="D23" s="306">
        <f t="shared" si="5"/>
        <v>4.5538138081916597E-2</v>
      </c>
      <c r="E23" s="306">
        <f t="shared" si="5"/>
        <v>4.8178815590127461E-2</v>
      </c>
      <c r="F23" s="306">
        <f t="shared" si="5"/>
        <v>5.5517376929174904E-2</v>
      </c>
      <c r="G23" s="306">
        <f t="shared" si="5"/>
        <v>4.9924560183804201E-2</v>
      </c>
      <c r="H23" s="306">
        <f t="shared" si="5"/>
        <v>4.5612178971512596E-2</v>
      </c>
      <c r="I23" s="306">
        <f t="shared" si="5"/>
        <v>4.3164313548502961E-2</v>
      </c>
      <c r="J23" s="461"/>
    </row>
    <row r="24" spans="1:20" ht="16.5" thickTop="1" x14ac:dyDescent="0.25">
      <c r="A24" s="442"/>
      <c r="B24" s="47"/>
      <c r="C24" s="33"/>
      <c r="D24" s="33"/>
      <c r="E24" s="33"/>
      <c r="F24" s="33"/>
      <c r="G24" s="33"/>
      <c r="H24" s="33"/>
      <c r="I24" s="33"/>
      <c r="J24" s="461"/>
    </row>
    <row r="25" spans="1:20" ht="9.9499999999999993" customHeight="1" x14ac:dyDescent="0.25">
      <c r="A25" s="442"/>
      <c r="B25" s="625" t="s">
        <v>363</v>
      </c>
      <c r="C25" s="625"/>
      <c r="D25" s="625"/>
      <c r="E25" s="625"/>
      <c r="F25" s="625"/>
      <c r="G25" s="625"/>
      <c r="H25" s="625"/>
      <c r="I25" s="625"/>
      <c r="J25" s="461"/>
    </row>
    <row r="26" spans="1:20" ht="9.9499999999999993" customHeight="1" x14ac:dyDescent="0.25">
      <c r="A26" s="442"/>
      <c r="B26" s="625"/>
      <c r="C26" s="625"/>
      <c r="D26" s="625"/>
      <c r="E26" s="625"/>
      <c r="F26" s="625"/>
      <c r="G26" s="625"/>
      <c r="H26" s="625"/>
      <c r="I26" s="625"/>
      <c r="J26" s="461"/>
    </row>
    <row r="27" spans="1:20" s="46" customFormat="1" ht="15" customHeight="1" x14ac:dyDescent="0.25">
      <c r="A27" s="460"/>
      <c r="B27" s="297"/>
      <c r="C27" s="297"/>
      <c r="D27" s="297"/>
      <c r="E27" s="297"/>
      <c r="F27" s="297"/>
      <c r="G27" s="297"/>
      <c r="H27" s="297"/>
      <c r="I27" s="297"/>
      <c r="J27" s="461"/>
    </row>
    <row r="28" spans="1:20" s="46" customFormat="1" ht="15" customHeight="1" thickBot="1" x14ac:dyDescent="0.3">
      <c r="A28" s="460"/>
      <c r="B28" s="240"/>
      <c r="C28" s="448">
        <v>43921</v>
      </c>
      <c r="D28" s="448">
        <f t="shared" ref="D28" si="6">EOMONTH(C28,12)</f>
        <v>44286</v>
      </c>
      <c r="E28" s="448">
        <f t="shared" ref="E28" si="7">EOMONTH(D28,12)</f>
        <v>44651</v>
      </c>
      <c r="F28" s="448">
        <f t="shared" ref="F28" si="8">EOMONTH(E28,12)</f>
        <v>45016</v>
      </c>
      <c r="G28" s="448">
        <f t="shared" ref="G28" si="9">EOMONTH(F28,12)</f>
        <v>45382</v>
      </c>
      <c r="H28" s="448">
        <f t="shared" ref="H28" si="10">EOMONTH(G28,12)</f>
        <v>45747</v>
      </c>
      <c r="I28" s="448">
        <f t="shared" ref="I28" si="11">EOMONTH(H28,12)</f>
        <v>46112</v>
      </c>
      <c r="J28" s="461"/>
    </row>
    <row r="29" spans="1:20" ht="19.5" thickTop="1" x14ac:dyDescent="0.3">
      <c r="A29" s="442"/>
      <c r="B29" s="320" t="s">
        <v>34</v>
      </c>
      <c r="C29" s="307"/>
      <c r="D29" s="307"/>
      <c r="E29" s="307"/>
      <c r="F29" s="307"/>
      <c r="G29" s="307"/>
      <c r="H29" s="308"/>
      <c r="I29" s="309"/>
      <c r="J29" s="461"/>
    </row>
    <row r="30" spans="1:20" x14ac:dyDescent="0.25">
      <c r="A30" s="442"/>
      <c r="B30" s="321" t="s">
        <v>35</v>
      </c>
      <c r="C30" s="307"/>
      <c r="D30" s="307"/>
      <c r="E30" s="307"/>
      <c r="F30" s="307"/>
      <c r="G30" s="307"/>
      <c r="H30" s="308"/>
      <c r="I30" s="309"/>
      <c r="J30" s="461"/>
    </row>
    <row r="31" spans="1:20" x14ac:dyDescent="0.25">
      <c r="A31" s="442"/>
      <c r="B31" s="322" t="s">
        <v>65</v>
      </c>
      <c r="C31" s="310">
        <f>BS!C10/BS!C$34</f>
        <v>0.42291898695394758</v>
      </c>
      <c r="D31" s="310">
        <f>BS!D10/BS!D$34</f>
        <v>0.43486475146035036</v>
      </c>
      <c r="E31" s="310">
        <f>BS!E10/BS!E$34</f>
        <v>0.5022064754301786</v>
      </c>
      <c r="F31" s="310">
        <f>BS!F10/BS!F$34</f>
        <v>0.53713985581806101</v>
      </c>
      <c r="G31" s="310">
        <f>BS!G10/BS!G$34</f>
        <v>0.55527595716147549</v>
      </c>
      <c r="H31" s="310">
        <f>BS!H10/BS!H$34</f>
        <v>0.59003531619071969</v>
      </c>
      <c r="I31" s="310">
        <f>BS!I10/BS!I$34</f>
        <v>0.59567792723678759</v>
      </c>
      <c r="J31" s="461"/>
    </row>
    <row r="32" spans="1:20" x14ac:dyDescent="0.25">
      <c r="A32" s="442"/>
      <c r="B32" s="322" t="s">
        <v>66</v>
      </c>
      <c r="C32" s="310">
        <f>BS!C11/BS!C$34</f>
        <v>3.0174430399662156E-2</v>
      </c>
      <c r="D32" s="310">
        <f>BS!D11/BS!D$34</f>
        <v>7.4662583470818999E-2</v>
      </c>
      <c r="E32" s="310">
        <f>BS!E11/BS!E$34</f>
        <v>7.2989483371939098E-2</v>
      </c>
      <c r="F32" s="310">
        <f>BS!F11/BS!F$34</f>
        <v>4.5794030693201086E-2</v>
      </c>
      <c r="G32" s="310">
        <f>BS!G11/BS!G$34</f>
        <v>4.4161645543320173E-2</v>
      </c>
      <c r="H32" s="310">
        <f>BS!H11/BS!H$34</f>
        <v>4.5202997168208109E-2</v>
      </c>
      <c r="I32" s="310">
        <f>BS!I11/BS!I$34</f>
        <v>4.4030231409694941E-2</v>
      </c>
      <c r="J32" s="461"/>
    </row>
    <row r="33" spans="1:10" x14ac:dyDescent="0.25">
      <c r="A33" s="442"/>
      <c r="B33" s="322" t="s">
        <v>67</v>
      </c>
      <c r="C33" s="310">
        <f>BS!C12/BS!C$34</f>
        <v>5.9399078371541313E-2</v>
      </c>
      <c r="D33" s="310">
        <f>BS!D12/BS!D$34</f>
        <v>7.0316498937827196E-2</v>
      </c>
      <c r="E33" s="310">
        <f>BS!E12/BS!E$34</f>
        <v>8.9748743588682983E-2</v>
      </c>
      <c r="F33" s="310">
        <f>BS!F12/BS!F$34</f>
        <v>8.3113658292228831E-2</v>
      </c>
      <c r="G33" s="310">
        <f>BS!G12/BS!G$34</f>
        <v>7.267721889579358E-2</v>
      </c>
      <c r="H33" s="310">
        <f>BS!H12/BS!H$34</f>
        <v>7.161633352233876E-2</v>
      </c>
      <c r="I33" s="310">
        <f>BS!I12/BS!I$34</f>
        <v>8.0659430583526884E-2</v>
      </c>
      <c r="J33" s="461"/>
    </row>
    <row r="34" spans="1:10" x14ac:dyDescent="0.25">
      <c r="A34" s="442"/>
      <c r="B34" s="322" t="s">
        <v>68</v>
      </c>
      <c r="C34" s="310">
        <f>BS!C13/BS!C$34</f>
        <v>1.3687797324544882E-3</v>
      </c>
      <c r="D34" s="310">
        <f>BS!D13/BS!D$34</f>
        <v>7.0079240068629338E-4</v>
      </c>
      <c r="E34" s="310">
        <f>BS!E13/BS!E$34</f>
        <v>5.8361081237590985E-4</v>
      </c>
      <c r="F34" s="310">
        <f>BS!F13/BS!F$34</f>
        <v>4.7165929629979403E-4</v>
      </c>
      <c r="G34" s="310">
        <f>BS!G13/BS!G$34</f>
        <v>3.8201461949643952E-4</v>
      </c>
      <c r="H34" s="310">
        <f>BS!H13/BS!H$34</f>
        <v>3.1455217022494385E-4</v>
      </c>
      <c r="I34" s="310">
        <f>BS!I13/BS!I$34</f>
        <v>2.4589947385641499E-4</v>
      </c>
      <c r="J34" s="461"/>
    </row>
    <row r="35" spans="1:10" x14ac:dyDescent="0.25">
      <c r="A35" s="442"/>
      <c r="B35" s="322" t="s">
        <v>69</v>
      </c>
      <c r="C35" s="310">
        <f>BS!C14/BS!C$34</f>
        <v>6.4812092957781467E-3</v>
      </c>
      <c r="D35" s="310">
        <f>BS!D14/BS!D$34</f>
        <v>5.7315591642336646E-3</v>
      </c>
      <c r="E35" s="310">
        <f>BS!E14/BS!E$34</f>
        <v>5.0586066760423551E-3</v>
      </c>
      <c r="F35" s="310">
        <f>BS!F14/BS!F$34</f>
        <v>4.3228071570708291E-3</v>
      </c>
      <c r="G35" s="310">
        <f>BS!G14/BS!G$34</f>
        <v>3.6959560281812505E-3</v>
      </c>
      <c r="H35" s="310">
        <f>BS!H14/BS!H$34</f>
        <v>3.2183004396740332E-3</v>
      </c>
      <c r="I35" s="310">
        <f>BS!I14/BS!I$34</f>
        <v>2.6510401954189531E-3</v>
      </c>
      <c r="J35" s="461"/>
    </row>
    <row r="36" spans="1:10" x14ac:dyDescent="0.25">
      <c r="A36" s="442"/>
      <c r="B36" s="322" t="s">
        <v>70</v>
      </c>
      <c r="C36" s="310">
        <f>BS!C15/BS!C$34</f>
        <v>2.363277287613496E-3</v>
      </c>
      <c r="D36" s="310">
        <f>BS!D15/BS!D$34</f>
        <v>1.627127183202658E-3</v>
      </c>
      <c r="E36" s="310">
        <f>BS!E15/BS!E$34</f>
        <v>8.7961718232958293E-4</v>
      </c>
      <c r="F36" s="310">
        <f>BS!F15/BS!F$34</f>
        <v>1.2802180899565841E-3</v>
      </c>
      <c r="G36" s="310">
        <f>BS!G15/BS!G$34</f>
        <v>1.4331450805583361E-3</v>
      </c>
      <c r="H36" s="310">
        <f>BS!H15/BS!H$34</f>
        <v>1.1915976330874344E-3</v>
      </c>
      <c r="I36" s="310">
        <f>BS!I15/BS!I$34</f>
        <v>1.2335618233954041E-3</v>
      </c>
      <c r="J36" s="461"/>
    </row>
    <row r="37" spans="1:10" x14ac:dyDescent="0.25">
      <c r="A37" s="442"/>
      <c r="B37" s="322" t="s">
        <v>364</v>
      </c>
      <c r="C37" s="310">
        <v>0.25857516074674264</v>
      </c>
      <c r="D37" s="310">
        <v>8.1230406920929088E-2</v>
      </c>
      <c r="E37" s="310">
        <v>8.160921471707476E-2</v>
      </c>
      <c r="F37" s="310">
        <v>5.9957064644386004E-3</v>
      </c>
      <c r="G37" s="310">
        <v>1.108597926071435E-2</v>
      </c>
      <c r="H37" s="310">
        <v>6.9953935582182615E-3</v>
      </c>
      <c r="I37" s="310">
        <v>6.7307360116731114E-3</v>
      </c>
      <c r="J37" s="461"/>
    </row>
    <row r="38" spans="1:10" x14ac:dyDescent="0.25">
      <c r="A38" s="442"/>
      <c r="B38" s="322" t="s">
        <v>72</v>
      </c>
      <c r="C38" s="310">
        <f>BS!C19/BS!C$34</f>
        <v>6.8314777935568822E-4</v>
      </c>
      <c r="D38" s="310">
        <f>BS!D19/BS!D$34</f>
        <v>1.1936171505942089E-4</v>
      </c>
      <c r="E38" s="310">
        <f>BS!E19/BS!E$34</f>
        <v>1.473568828590337E-4</v>
      </c>
      <c r="F38" s="310">
        <f>BS!F19/BS!F$34</f>
        <v>9.665149514340043E-4</v>
      </c>
      <c r="G38" s="310">
        <f>BS!G19/BS!G$34</f>
        <v>8.2919366110722841E-4</v>
      </c>
      <c r="H38" s="310">
        <f>BS!H19/BS!H$34</f>
        <v>7.4793516031264437E-4</v>
      </c>
      <c r="I38" s="310">
        <f>BS!I19/BS!I$34</f>
        <v>5.690235758660843E-4</v>
      </c>
      <c r="J38" s="461"/>
    </row>
    <row r="39" spans="1:10" x14ac:dyDescent="0.25">
      <c r="A39" s="442"/>
      <c r="B39" s="322" t="s">
        <v>73</v>
      </c>
      <c r="C39" s="310">
        <f>BS!C20/BS!C$34</f>
        <v>2.4013679516745402E-5</v>
      </c>
      <c r="D39" s="310">
        <f>BS!D20/BS!D$34</f>
        <v>6.7369802364826542E-5</v>
      </c>
      <c r="E39" s="310">
        <f>BS!E20/BS!E$34</f>
        <v>1.0728615155526139E-4</v>
      </c>
      <c r="F39" s="310">
        <f>BS!F20/BS!F$34</f>
        <v>9.7756083659325009E-5</v>
      </c>
      <c r="G39" s="310">
        <f>BS!G20/BS!G$34</f>
        <v>2.2288121186936889E-4</v>
      </c>
      <c r="H39" s="310">
        <f>BS!H20/BS!H$34</f>
        <v>3.0879565992017363E-4</v>
      </c>
      <c r="I39" s="310">
        <f>BS!I20/BS!I$34</f>
        <v>2.2727072583698959E-4</v>
      </c>
      <c r="J39" s="461"/>
    </row>
    <row r="40" spans="1:10" ht="16.5" thickBot="1" x14ac:dyDescent="0.3">
      <c r="A40" s="442"/>
      <c r="B40" s="322" t="s">
        <v>74</v>
      </c>
      <c r="C40" s="310">
        <f>BS!C21/BS!C$34</f>
        <v>2.3611243370361322E-2</v>
      </c>
      <c r="D40" s="310">
        <f>BS!D21/BS!D$34</f>
        <v>3.3290934294671122E-2</v>
      </c>
      <c r="E40" s="310">
        <f>BS!E21/BS!E$34</f>
        <v>2.4157480559232291E-2</v>
      </c>
      <c r="F40" s="310">
        <f>BS!F21/BS!F$34</f>
        <v>1.9906341939734753E-2</v>
      </c>
      <c r="G40" s="310">
        <f>BS!G21/BS!G$34</f>
        <v>1.7372457170919665E-2</v>
      </c>
      <c r="H40" s="310">
        <f>BS!H21/BS!H$34</f>
        <v>1.7534741567637558E-2</v>
      </c>
      <c r="I40" s="310">
        <f>BS!I21/BS!I$34</f>
        <v>1.4699098300854956E-2</v>
      </c>
      <c r="J40" s="461"/>
    </row>
    <row r="41" spans="1:10" ht="16.5" thickTop="1" x14ac:dyDescent="0.25">
      <c r="A41" s="442"/>
      <c r="B41" s="323" t="s">
        <v>36</v>
      </c>
      <c r="C41" s="311">
        <f>BS!C22/BS!C$34</f>
        <v>0.8055993276169735</v>
      </c>
      <c r="D41" s="311">
        <f>BS!D22/BS!D$34</f>
        <v>0.70261138535014356</v>
      </c>
      <c r="E41" s="311">
        <f>BS!E22/BS!E$34</f>
        <v>0.77748787537227004</v>
      </c>
      <c r="F41" s="311">
        <f>BS!F22/BS!F$34</f>
        <v>0.69908854878608484</v>
      </c>
      <c r="G41" s="311">
        <f>BS!G22/BS!G$34</f>
        <v>0.70713644863343605</v>
      </c>
      <c r="H41" s="311">
        <f>BS!H22/BS!H$34</f>
        <v>0.73716596307034166</v>
      </c>
      <c r="I41" s="311">
        <f>BS!I22/BS!I$34</f>
        <v>0.74672421933691147</v>
      </c>
      <c r="J41" s="461"/>
    </row>
    <row r="42" spans="1:10" x14ac:dyDescent="0.25">
      <c r="A42" s="442"/>
      <c r="B42" s="324" t="s">
        <v>37</v>
      </c>
      <c r="C42" s="312"/>
      <c r="D42" s="312"/>
      <c r="E42" s="312"/>
      <c r="F42" s="312"/>
      <c r="G42" s="312"/>
      <c r="H42" s="310"/>
      <c r="I42" s="312"/>
      <c r="J42" s="461"/>
    </row>
    <row r="43" spans="1:10" x14ac:dyDescent="0.25">
      <c r="A43" s="442"/>
      <c r="B43" s="322" t="s">
        <v>64</v>
      </c>
      <c r="C43" s="310">
        <f>BS!C24/BS!C$34</f>
        <v>0.16125599824451725</v>
      </c>
      <c r="D43" s="310">
        <f>BS!D24/BS!D$34</f>
        <v>0.16463715137042631</v>
      </c>
      <c r="E43" s="310">
        <f>BS!E24/BS!E$34</f>
        <v>0.17725869664129712</v>
      </c>
      <c r="F43" s="310">
        <f>BS!F24/BS!F$34</f>
        <v>0.17913553798155224</v>
      </c>
      <c r="G43" s="310">
        <f>BS!G24/BS!G$34</f>
        <v>0.18544991783616338</v>
      </c>
      <c r="H43" s="310">
        <f>BS!H24/BS!H$34</f>
        <v>0.20741405632909804</v>
      </c>
      <c r="I43" s="310">
        <f>BS!I24/BS!I$34</f>
        <v>0.19985733766062214</v>
      </c>
      <c r="J43" s="461"/>
    </row>
    <row r="44" spans="1:10" x14ac:dyDescent="0.25">
      <c r="A44" s="442"/>
      <c r="B44" s="322" t="s">
        <v>364</v>
      </c>
      <c r="C44" s="310">
        <v>2.0798330635244631E-2</v>
      </c>
      <c r="D44" s="310">
        <v>0.12156002100180362</v>
      </c>
      <c r="E44" s="310">
        <v>3.2241427448709462E-2</v>
      </c>
      <c r="F44" s="310">
        <v>0.10987618115030742</v>
      </c>
      <c r="G44" s="310">
        <v>9.6315849120752486E-2</v>
      </c>
      <c r="H44" s="310">
        <v>4.2828436667490401E-2</v>
      </c>
      <c r="I44" s="310">
        <v>4.0025389290027927E-2</v>
      </c>
      <c r="J44" s="461"/>
    </row>
    <row r="45" spans="1:10" ht="16.5" thickBot="1" x14ac:dyDescent="0.3">
      <c r="A45" s="442"/>
      <c r="B45" s="322" t="s">
        <v>75</v>
      </c>
      <c r="C45" s="310">
        <f>BS!C31/BS!C$34</f>
        <v>1.234634350326462E-2</v>
      </c>
      <c r="D45" s="310">
        <f>BS!D31/BS!D$34</f>
        <v>1.1191442277626565E-2</v>
      </c>
      <c r="E45" s="310">
        <f>BS!E31/BS!E$34</f>
        <v>1.3012000537723362E-2</v>
      </c>
      <c r="F45" s="310">
        <f>BS!F31/BS!F$34</f>
        <v>1.1899732082055461E-2</v>
      </c>
      <c r="G45" s="310">
        <f>BS!G31/BS!G$34</f>
        <v>1.1097784409648112E-2</v>
      </c>
      <c r="H45" s="310">
        <f>BS!H31/BS!H$34</f>
        <v>1.2591543933069878E-2</v>
      </c>
      <c r="I45" s="310">
        <f>BS!I31/BS!I$34</f>
        <v>1.3393053712438515E-2</v>
      </c>
      <c r="J45" s="461"/>
    </row>
    <row r="46" spans="1:10" ht="16.5" thickTop="1" x14ac:dyDescent="0.25">
      <c r="A46" s="442"/>
      <c r="B46" s="323" t="s">
        <v>38</v>
      </c>
      <c r="C46" s="311">
        <f>BS!C32/BS!C$34</f>
        <v>0.19440067238302647</v>
      </c>
      <c r="D46" s="311">
        <f>BS!D32/BS!D$34</f>
        <v>0.2973886146498565</v>
      </c>
      <c r="E46" s="311">
        <f>BS!E32/BS!E$34</f>
        <v>0.22251212462772996</v>
      </c>
      <c r="F46" s="311">
        <f>BS!F32/BS!F$34</f>
        <v>0.3009114512139151</v>
      </c>
      <c r="G46" s="311">
        <f>BS!G32/BS!G$34</f>
        <v>0.29286355136656395</v>
      </c>
      <c r="H46" s="311">
        <f>BS!H32/BS!H$34</f>
        <v>0.26283403692965834</v>
      </c>
      <c r="I46" s="311">
        <f>BS!I32/BS!I$34</f>
        <v>0.25327578066308859</v>
      </c>
      <c r="J46" s="461"/>
    </row>
    <row r="47" spans="1:10" ht="5.0999999999999996" customHeight="1" thickBot="1" x14ac:dyDescent="0.3">
      <c r="A47" s="442"/>
      <c r="B47" s="325"/>
      <c r="C47" s="312"/>
      <c r="D47" s="312"/>
      <c r="E47" s="312"/>
      <c r="F47" s="312"/>
      <c r="G47" s="312"/>
      <c r="H47" s="310"/>
      <c r="I47" s="310"/>
      <c r="J47" s="461"/>
    </row>
    <row r="48" spans="1:10" ht="17.25" thickTop="1" thickBot="1" x14ac:dyDescent="0.3">
      <c r="A48" s="442"/>
      <c r="B48" s="326" t="s">
        <v>44</v>
      </c>
      <c r="C48" s="313">
        <f>BS!C34/BS!C$34</f>
        <v>1</v>
      </c>
      <c r="D48" s="313">
        <f>BS!D34/BS!D$34</f>
        <v>1</v>
      </c>
      <c r="E48" s="313">
        <f>BS!E34/BS!E$34</f>
        <v>1</v>
      </c>
      <c r="F48" s="313">
        <f>BS!F34/BS!F$34</f>
        <v>1</v>
      </c>
      <c r="G48" s="313">
        <f>BS!G34/BS!G$34</f>
        <v>1</v>
      </c>
      <c r="H48" s="313">
        <f>BS!H34/BS!H$34</f>
        <v>1</v>
      </c>
      <c r="I48" s="313">
        <f>BS!I34/BS!I$34</f>
        <v>1</v>
      </c>
      <c r="J48" s="461"/>
    </row>
    <row r="49" spans="1:10" ht="5.0999999999999996" customHeight="1" thickTop="1" x14ac:dyDescent="0.25">
      <c r="A49" s="442"/>
      <c r="B49" s="327"/>
      <c r="C49" s="312"/>
      <c r="D49" s="312"/>
      <c r="E49" s="312"/>
      <c r="F49" s="312"/>
      <c r="G49" s="312"/>
      <c r="H49" s="310"/>
      <c r="I49" s="310"/>
      <c r="J49" s="461"/>
    </row>
    <row r="50" spans="1:10" ht="18.75" x14ac:dyDescent="0.3">
      <c r="A50" s="442"/>
      <c r="B50" s="320" t="s">
        <v>45</v>
      </c>
      <c r="C50" s="312"/>
      <c r="D50" s="312"/>
      <c r="E50" s="312"/>
      <c r="F50" s="312"/>
      <c r="G50" s="312"/>
      <c r="H50" s="310"/>
      <c r="I50" s="310"/>
      <c r="J50" s="461"/>
    </row>
    <row r="51" spans="1:10" x14ac:dyDescent="0.25">
      <c r="A51" s="442"/>
      <c r="B51" s="327" t="s">
        <v>47</v>
      </c>
      <c r="C51" s="310"/>
      <c r="D51" s="310"/>
      <c r="E51" s="310"/>
      <c r="F51" s="310"/>
      <c r="G51" s="310"/>
      <c r="H51" s="310"/>
      <c r="I51" s="310"/>
      <c r="J51" s="461"/>
    </row>
    <row r="52" spans="1:10" x14ac:dyDescent="0.25">
      <c r="A52" s="442"/>
      <c r="B52" s="322" t="s">
        <v>76</v>
      </c>
      <c r="C52" s="310">
        <f>BS!C38/BS!C$64</f>
        <v>5.3639107519179892E-2</v>
      </c>
      <c r="D52" s="310">
        <f>BS!D38/BS!D$64</f>
        <v>4.7434931388982249E-2</v>
      </c>
      <c r="E52" s="310">
        <f>BS!E38/BS!E$64</f>
        <v>4.1865512284910651E-2</v>
      </c>
      <c r="F52" s="310">
        <f>BS!F38/BS!F$64</f>
        <v>3.5803027566663301E-2</v>
      </c>
      <c r="G52" s="310">
        <f>BS!G38/BS!G$64</f>
        <v>3.0727858262659842E-2</v>
      </c>
      <c r="H52" s="310">
        <f>BS!H38/BS!H$64</f>
        <v>2.6756671075879441E-2</v>
      </c>
      <c r="I52" s="310">
        <f>BS!I38/BS!I$64</f>
        <v>2.2082179197717405E-2</v>
      </c>
      <c r="J52" s="461"/>
    </row>
    <row r="53" spans="1:10" ht="16.5" thickBot="1" x14ac:dyDescent="0.3">
      <c r="A53" s="442"/>
      <c r="B53" s="322" t="s">
        <v>77</v>
      </c>
      <c r="C53" s="310">
        <f>BS!C39/BS!C$64</f>
        <v>0.86382753209759489</v>
      </c>
      <c r="D53" s="310">
        <f>BS!D39/BS!D$64</f>
        <v>0.84475434553532269</v>
      </c>
      <c r="E53" s="310">
        <f>BS!E39/BS!E$64</f>
        <v>0.84212325756949036</v>
      </c>
      <c r="F53" s="310">
        <f>BS!F39/BS!F$64</f>
        <v>0.85221434098316107</v>
      </c>
      <c r="G53" s="310">
        <f>BS!G39/BS!G$64</f>
        <v>0.85219434108380709</v>
      </c>
      <c r="H53" s="310">
        <f>BS!H39/BS!H$64</f>
        <v>0.85430806951726324</v>
      </c>
      <c r="I53" s="310">
        <f>BS!I39/BS!I$64</f>
        <v>0.80652588752436138</v>
      </c>
      <c r="J53" s="461"/>
    </row>
    <row r="54" spans="1:10" ht="16.5" thickTop="1" x14ac:dyDescent="0.25">
      <c r="A54" s="442"/>
      <c r="B54" s="323" t="s">
        <v>46</v>
      </c>
      <c r="C54" s="314">
        <f t="shared" ref="C54:I54" si="12">SUM(C52:C53)</f>
        <v>0.91746663961677477</v>
      </c>
      <c r="D54" s="314">
        <f t="shared" si="12"/>
        <v>0.89218927692430494</v>
      </c>
      <c r="E54" s="314">
        <f t="shared" si="12"/>
        <v>0.883988769854401</v>
      </c>
      <c r="F54" s="314">
        <f t="shared" si="12"/>
        <v>0.88801736854982438</v>
      </c>
      <c r="G54" s="314">
        <f t="shared" si="12"/>
        <v>0.88292219934646698</v>
      </c>
      <c r="H54" s="314">
        <f t="shared" si="12"/>
        <v>0.88106474059314266</v>
      </c>
      <c r="I54" s="314">
        <f t="shared" si="12"/>
        <v>0.82860806672207876</v>
      </c>
      <c r="J54" s="461"/>
    </row>
    <row r="55" spans="1:10" ht="16.5" thickBot="1" x14ac:dyDescent="0.3">
      <c r="A55" s="442"/>
      <c r="B55" s="322" t="s">
        <v>43</v>
      </c>
      <c r="C55" s="310">
        <f>BS!C41/BS!C$64</f>
        <v>3.8090664061044424E-5</v>
      </c>
      <c r="D55" s="310">
        <f>BS!D41/BS!D$64</f>
        <v>2.9291218419489788E-5</v>
      </c>
      <c r="E55" s="310">
        <f>BS!E41/BS!E$64</f>
        <v>1.6157552945069487E-5</v>
      </c>
      <c r="F55" s="310">
        <f>BS!F41/BS!F$64</f>
        <v>4.4183540636983065E-6</v>
      </c>
      <c r="G55" s="310">
        <f>BS!G41/BS!G$64</f>
        <v>-2.2665885952817179E-5</v>
      </c>
      <c r="H55" s="310">
        <f>BS!H41/BS!H$64</f>
        <v>-4.3173827285776608E-5</v>
      </c>
      <c r="I55" s="310">
        <f>BS!I41/BS!I$64</f>
        <v>-5.6902357586608441E-5</v>
      </c>
      <c r="J55" s="461"/>
    </row>
    <row r="56" spans="1:10" ht="17.25" thickTop="1" thickBot="1" x14ac:dyDescent="0.3">
      <c r="A56" s="442"/>
      <c r="B56" s="326" t="s">
        <v>42</v>
      </c>
      <c r="C56" s="313">
        <f>BS!C42/BS!C$64</f>
        <v>0.91750473028083579</v>
      </c>
      <c r="D56" s="313">
        <f>BS!D42/BS!D$64</f>
        <v>0.89221856814272438</v>
      </c>
      <c r="E56" s="313">
        <f>BS!E42/BS!E$64</f>
        <v>0.88400492740734615</v>
      </c>
      <c r="F56" s="313">
        <f>BS!F42/BS!F$64</f>
        <v>0.88802178690388811</v>
      </c>
      <c r="G56" s="313">
        <f>BS!G42/BS!G$64</f>
        <v>0.88289953346051409</v>
      </c>
      <c r="H56" s="313">
        <f>BS!H42/BS!H$64</f>
        <v>0.88102156676585686</v>
      </c>
      <c r="I56" s="313">
        <f>BS!I42/BS!I$64</f>
        <v>0.82855116436449217</v>
      </c>
      <c r="J56" s="461"/>
    </row>
    <row r="57" spans="1:10" ht="16.5" thickTop="1" x14ac:dyDescent="0.25">
      <c r="A57" s="442"/>
      <c r="B57" s="327" t="s">
        <v>109</v>
      </c>
      <c r="C57" s="315"/>
      <c r="D57" s="315"/>
      <c r="E57" s="315"/>
      <c r="F57" s="315"/>
      <c r="G57" s="315"/>
      <c r="H57" s="310"/>
      <c r="I57" s="310"/>
      <c r="J57" s="461"/>
    </row>
    <row r="58" spans="1:10" x14ac:dyDescent="0.25">
      <c r="A58" s="442"/>
      <c r="B58" s="321" t="s">
        <v>110</v>
      </c>
      <c r="C58" s="315"/>
      <c r="D58" s="315"/>
      <c r="E58" s="315"/>
      <c r="F58" s="315"/>
      <c r="G58" s="315"/>
      <c r="H58" s="310"/>
      <c r="I58" s="310"/>
      <c r="J58" s="461"/>
    </row>
    <row r="59" spans="1:10" x14ac:dyDescent="0.25">
      <c r="A59" s="442"/>
      <c r="B59" s="322" t="s">
        <v>78</v>
      </c>
      <c r="C59" s="315">
        <v>1.834810726662223E-2</v>
      </c>
      <c r="D59" s="315">
        <v>2.2880102987923961E-2</v>
      </c>
      <c r="E59" s="315">
        <v>3.2803710291197878E-2</v>
      </c>
      <c r="F59" s="315">
        <v>2.635161593015466E-2</v>
      </c>
      <c r="G59" s="315">
        <v>1.8869822261677653E-2</v>
      </c>
      <c r="H59" s="315">
        <v>2.2873082516696962E-2</v>
      </c>
      <c r="I59" s="315">
        <v>3.8716635065535944E-2</v>
      </c>
      <c r="J59" s="461"/>
    </row>
    <row r="60" spans="1:10" x14ac:dyDescent="0.25">
      <c r="A60" s="442"/>
      <c r="B60" s="322" t="s">
        <v>79</v>
      </c>
      <c r="C60" s="315">
        <f>BS!C48/BS!C$64</f>
        <v>1.225525713268386E-4</v>
      </c>
      <c r="D60" s="315">
        <f>BS!D48/BS!D$64</f>
        <v>1.7940871281937497E-4</v>
      </c>
      <c r="E60" s="315">
        <f>BS!E48/BS!E$64</f>
        <v>3.1474913136995367E-4</v>
      </c>
      <c r="F60" s="315">
        <f>BS!F48/BS!F$64</f>
        <v>3.5402061935382672E-4</v>
      </c>
      <c r="G60" s="315">
        <f>BS!G48/BS!G$64</f>
        <v>4.3348506884762855E-4</v>
      </c>
      <c r="H60" s="315">
        <f>BS!H48/BS!H$64</f>
        <v>5.2096418258170448E-4</v>
      </c>
      <c r="I60" s="315">
        <f>BS!I48/BS!I$64</f>
        <v>4.978956288828239E-4</v>
      </c>
      <c r="J60" s="461"/>
    </row>
    <row r="61" spans="1:10" ht="16.5" thickBot="1" x14ac:dyDescent="0.3">
      <c r="A61" s="442"/>
      <c r="B61" s="322" t="s">
        <v>80</v>
      </c>
      <c r="C61" s="315">
        <f>BS!C49/BS!C$64</f>
        <v>3.9241664562019466E-3</v>
      </c>
      <c r="D61" s="315">
        <f>BS!D49/BS!D$64</f>
        <v>3.7485436772342054E-3</v>
      </c>
      <c r="E61" s="315">
        <f>BS!E49/BS!E$64</f>
        <v>4.1382724602911968E-3</v>
      </c>
      <c r="F61" s="315">
        <f>BS!F49/BS!F$64</f>
        <v>4.2504566092777703E-3</v>
      </c>
      <c r="G61" s="315">
        <f>BS!G49/BS!G$64</f>
        <v>4.3409893659218405E-3</v>
      </c>
      <c r="H61" s="315">
        <f>BS!H49/BS!H$64</f>
        <v>4.6249448505753833E-3</v>
      </c>
      <c r="I61" s="315">
        <f>BS!I49/BS!I$64</f>
        <v>4.1274531520857759E-3</v>
      </c>
      <c r="J61" s="461"/>
    </row>
    <row r="62" spans="1:10" ht="16.5" thickTop="1" x14ac:dyDescent="0.25">
      <c r="A62" s="442"/>
      <c r="B62" s="323" t="s">
        <v>39</v>
      </c>
      <c r="C62" s="311">
        <f>BS!C50/BS!C$64</f>
        <v>2.2394826294151016E-2</v>
      </c>
      <c r="D62" s="311">
        <f>BS!D50/BS!D$64</f>
        <v>2.6808055377977542E-2</v>
      </c>
      <c r="E62" s="311">
        <f>BS!E50/BS!E$64</f>
        <v>3.725673188285903E-2</v>
      </c>
      <c r="F62" s="311">
        <f>BS!F50/BS!F$64</f>
        <v>3.0956093158786255E-2</v>
      </c>
      <c r="G62" s="311">
        <f>BS!G50/BS!G$64</f>
        <v>2.3644296696447121E-2</v>
      </c>
      <c r="H62" s="311">
        <f>BS!H50/BS!H$64</f>
        <v>2.8018991549854051E-2</v>
      </c>
      <c r="I62" s="311">
        <f>BS!I50/BS!I$64</f>
        <v>4.3341983846504541E-2</v>
      </c>
      <c r="J62" s="486"/>
    </row>
    <row r="63" spans="1:10" x14ac:dyDescent="0.25">
      <c r="A63" s="442"/>
      <c r="B63" s="321" t="s">
        <v>111</v>
      </c>
      <c r="C63" s="315"/>
      <c r="D63" s="315"/>
      <c r="E63" s="315"/>
      <c r="F63" s="315"/>
      <c r="G63" s="315"/>
      <c r="H63" s="315"/>
      <c r="I63" s="315"/>
      <c r="J63" s="461"/>
    </row>
    <row r="64" spans="1:10" x14ac:dyDescent="0.25">
      <c r="A64" s="442"/>
      <c r="B64" s="322" t="s">
        <v>81</v>
      </c>
      <c r="C64" s="310">
        <v>5.7092109022105014E-2</v>
      </c>
      <c r="D64" s="310">
        <v>6.8000295841306013E-2</v>
      </c>
      <c r="E64" s="310">
        <v>6.5399957602581049E-2</v>
      </c>
      <c r="F64" s="310">
        <v>6.6803856560344502E-2</v>
      </c>
      <c r="G64" s="310">
        <v>7.4022061462327399E-2</v>
      </c>
      <c r="H64" s="310">
        <v>7.3324783544933061E-2</v>
      </c>
      <c r="I64" s="310">
        <v>0.11034552601826432</v>
      </c>
      <c r="J64" s="461"/>
    </row>
    <row r="65" spans="1:10" x14ac:dyDescent="0.25">
      <c r="A65" s="442"/>
      <c r="B65" s="322" t="s">
        <v>82</v>
      </c>
      <c r="C65" s="315">
        <f>BS!C59/BS!C$64</f>
        <v>3.72626061466739E-5</v>
      </c>
      <c r="D65" s="315">
        <f>BS!D59/BS!D$64</f>
        <v>8.2498716678492991E-3</v>
      </c>
      <c r="E65" s="315">
        <f>BS!E59/BS!E$64</f>
        <v>7.2107927283256096E-3</v>
      </c>
      <c r="F65" s="315">
        <f>BS!F59/BS!F$64</f>
        <v>6.6927018179870103E-3</v>
      </c>
      <c r="G65" s="315">
        <f>BS!G59/BS!G$64</f>
        <v>4.5208998356723266E-3</v>
      </c>
      <c r="H65" s="315">
        <f>BS!H59/BS!H$64</f>
        <v>5.6997675603374801E-3</v>
      </c>
      <c r="I65" s="315">
        <f>BS!I59/BS!I$64</f>
        <v>4.7906365815773202E-3</v>
      </c>
      <c r="J65" s="461"/>
    </row>
    <row r="66" spans="1:10" x14ac:dyDescent="0.25">
      <c r="A66" s="442"/>
      <c r="B66" s="322" t="s">
        <v>83</v>
      </c>
      <c r="C66" s="315">
        <f>BS!C60/BS!C$64</f>
        <v>1.7140798827469993E-3</v>
      </c>
      <c r="D66" s="315">
        <f>BS!D60/BS!D$64</f>
        <v>2.9825783155645472E-3</v>
      </c>
      <c r="E66" s="315">
        <f>BS!E60/BS!E$64</f>
        <v>3.7724654616148236E-3</v>
      </c>
      <c r="F66" s="315">
        <f>BS!F60/BS!F$64</f>
        <v>2.8095208902541601E-3</v>
      </c>
      <c r="G66" s="315">
        <f>BS!G60/BS!G$64</f>
        <v>2.8823451636665848E-3</v>
      </c>
      <c r="H66" s="315">
        <f>BS!H60/BS!H$64</f>
        <v>2.0205351169743451E-3</v>
      </c>
      <c r="I66" s="315">
        <f>BS!I60/BS!I$64</f>
        <v>3.7738456442261386E-3</v>
      </c>
      <c r="J66" s="461"/>
    </row>
    <row r="67" spans="1:10" ht="16.5" thickBot="1" x14ac:dyDescent="0.3">
      <c r="A67" s="442"/>
      <c r="B67" s="322" t="s">
        <v>84</v>
      </c>
      <c r="C67" s="315">
        <f>BS!C61/BS!C$64</f>
        <v>1.2569919140144662E-3</v>
      </c>
      <c r="D67" s="315">
        <f>BS!D61/BS!D$64</f>
        <v>1.7406306545781807E-3</v>
      </c>
      <c r="E67" s="315">
        <f>BS!E61/BS!E$64</f>
        <v>2.3551249172733286E-3</v>
      </c>
      <c r="F67" s="315">
        <f>BS!F61/BS!F$64</f>
        <v>4.7160406687399795E-3</v>
      </c>
      <c r="G67" s="315">
        <f>BS!G61/BS!G$64</f>
        <v>1.2030863381372421E-2</v>
      </c>
      <c r="H67" s="315">
        <f>BS!H61/BS!H$64</f>
        <v>9.9143554620442428E-3</v>
      </c>
      <c r="I67" s="315">
        <f>BS!I61/BS!I$64</f>
        <v>9.1968435449355877E-3</v>
      </c>
      <c r="J67" s="461"/>
    </row>
    <row r="68" spans="1:10" ht="16.5" thickTop="1" x14ac:dyDescent="0.25">
      <c r="A68" s="442"/>
      <c r="B68" s="323" t="s">
        <v>40</v>
      </c>
      <c r="C68" s="311">
        <f>BS!C62/BS!C$64</f>
        <v>6.0100443425013153E-2</v>
      </c>
      <c r="D68" s="311">
        <f>BS!D62/BS!D$64</f>
        <v>8.0973376479298045E-2</v>
      </c>
      <c r="E68" s="311">
        <f>BS!E62/BS!E$64</f>
        <v>7.8738340709794824E-2</v>
      </c>
      <c r="F68" s="311">
        <f>BS!F62/BS!F$64</f>
        <v>8.1022119937325651E-2</v>
      </c>
      <c r="G68" s="311">
        <f>BS!G62/BS!G$64</f>
        <v>9.3456169843038742E-2</v>
      </c>
      <c r="H68" s="311">
        <f>BS!H62/BS!H$64</f>
        <v>9.0959441684289127E-2</v>
      </c>
      <c r="I68" s="311">
        <f>BS!I62/BS!I$64</f>
        <v>0.12810685178900338</v>
      </c>
      <c r="J68" s="461"/>
    </row>
    <row r="69" spans="1:10" ht="5.0999999999999996" customHeight="1" x14ac:dyDescent="0.25">
      <c r="A69" s="442"/>
      <c r="B69" s="327"/>
      <c r="C69" s="315"/>
      <c r="D69" s="315"/>
      <c r="E69" s="315"/>
      <c r="F69" s="315"/>
      <c r="G69" s="315"/>
      <c r="H69" s="310"/>
      <c r="I69" s="310"/>
      <c r="J69" s="461"/>
    </row>
    <row r="70" spans="1:10" ht="15" customHeight="1" thickBot="1" x14ac:dyDescent="0.3">
      <c r="A70" s="442"/>
      <c r="B70" s="327" t="s">
        <v>373</v>
      </c>
      <c r="C70" s="312">
        <f>SUM(C62,C68)</f>
        <v>8.2495269719164169E-2</v>
      </c>
      <c r="D70" s="312">
        <f t="shared" ref="D70:I70" si="13">SUM(D62,D68)</f>
        <v>0.10778143185727559</v>
      </c>
      <c r="E70" s="312">
        <f t="shared" si="13"/>
        <v>0.11599507259265385</v>
      </c>
      <c r="F70" s="312">
        <f t="shared" si="13"/>
        <v>0.1119782130961119</v>
      </c>
      <c r="G70" s="312">
        <f t="shared" si="13"/>
        <v>0.11710046653948586</v>
      </c>
      <c r="H70" s="312">
        <f t="shared" si="13"/>
        <v>0.11897843323414317</v>
      </c>
      <c r="I70" s="312">
        <f t="shared" si="13"/>
        <v>0.17144883563550792</v>
      </c>
      <c r="J70" s="461"/>
    </row>
    <row r="71" spans="1:10" ht="17.25" thickTop="1" thickBot="1" x14ac:dyDescent="0.3">
      <c r="A71" s="442"/>
      <c r="B71" s="326" t="s">
        <v>41</v>
      </c>
      <c r="C71" s="313">
        <f>BS!C64/BS!C$64</f>
        <v>1</v>
      </c>
      <c r="D71" s="313">
        <f>BS!D64/BS!D$64</f>
        <v>1</v>
      </c>
      <c r="E71" s="313">
        <f>BS!E64/BS!E$64</f>
        <v>1</v>
      </c>
      <c r="F71" s="313">
        <f>BS!F64/BS!F$64</f>
        <v>1</v>
      </c>
      <c r="G71" s="313">
        <f>BS!G64/BS!G$64</f>
        <v>1</v>
      </c>
      <c r="H71" s="313">
        <f>BS!H64/BS!H$64</f>
        <v>1</v>
      </c>
      <c r="I71" s="313">
        <f>BS!I64/BS!I$64</f>
        <v>1</v>
      </c>
      <c r="J71" s="461"/>
    </row>
    <row r="72" spans="1:10" ht="17.25" thickTop="1" thickBot="1" x14ac:dyDescent="0.3">
      <c r="A72" s="465"/>
      <c r="B72" s="487"/>
      <c r="C72" s="488"/>
      <c r="D72" s="488"/>
      <c r="E72" s="488"/>
      <c r="F72" s="488"/>
      <c r="G72" s="488"/>
      <c r="H72" s="488"/>
      <c r="I72" s="488"/>
      <c r="J72" s="489"/>
    </row>
    <row r="73" spans="1:10" ht="16.5" thickTop="1" x14ac:dyDescent="0.25"/>
  </sheetData>
  <sheetProtection sheet="1" objects="1" scenarios="1"/>
  <mergeCells count="2">
    <mergeCell ref="B2:I3"/>
    <mergeCell ref="B25:I26"/>
  </mergeCells>
  <pageMargins left="0.23622047244094491" right="0.25196850393700793" top="0.74803149606299213" bottom="0.74803149606299213" header="0.31496062992125984" footer="0.31496062992125984"/>
  <pageSetup paperSize="9" scale="57" fitToWidth="0" fitToHeight="0"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'Revenue driver'!$B$18:$B$20</xm:f>
          </x14:formula1>
          <xm:sqref>T3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
  <sheetViews>
    <sheetView showGridLines="0" zoomScale="61" zoomScaleNormal="100" zoomScaleSheetLayoutView="85" zoomScalePageLayoutView="25" workbookViewId="0">
      <selection activeCell="F77" sqref="F77"/>
    </sheetView>
  </sheetViews>
  <sheetFormatPr defaultRowHeight="15.75" x14ac:dyDescent="0.25"/>
  <cols>
    <col min="1" max="1" width="2.28515625" style="7" customWidth="1"/>
    <col min="2" max="2" width="34.28515625" style="7" customWidth="1"/>
    <col min="3" max="9" width="14.85546875" style="8" customWidth="1"/>
    <col min="10" max="10" width="14.85546875" style="109" customWidth="1"/>
    <col min="11" max="11" width="14.85546875" style="8" customWidth="1"/>
    <col min="12" max="12" width="2.7109375" style="8" customWidth="1"/>
    <col min="13" max="20" width="14.85546875" style="8" customWidth="1"/>
    <col min="21" max="16384" width="9.140625" style="8"/>
  </cols>
  <sheetData>
    <row r="1" spans="1:20" ht="16.5" thickTop="1" x14ac:dyDescent="0.25">
      <c r="A1" s="438"/>
      <c r="B1" s="439"/>
      <c r="C1" s="440"/>
      <c r="D1" s="440"/>
      <c r="E1" s="440"/>
      <c r="F1" s="440"/>
      <c r="G1" s="440"/>
      <c r="H1" s="440"/>
      <c r="I1" s="440"/>
      <c r="J1" s="490"/>
      <c r="K1" s="440"/>
      <c r="L1" s="469"/>
    </row>
    <row r="2" spans="1:20" ht="9.9499999999999993" customHeight="1" x14ac:dyDescent="0.25">
      <c r="A2" s="442"/>
      <c r="B2" s="625" t="s">
        <v>367</v>
      </c>
      <c r="C2" s="625"/>
      <c r="D2" s="625"/>
      <c r="E2" s="625"/>
      <c r="F2" s="625"/>
      <c r="G2" s="625"/>
      <c r="H2" s="625"/>
      <c r="I2" s="625"/>
      <c r="J2" s="625"/>
      <c r="K2" s="625"/>
      <c r="L2" s="470"/>
    </row>
    <row r="3" spans="1:20" ht="9.9499999999999993" customHeight="1" x14ac:dyDescent="0.25">
      <c r="A3" s="442"/>
      <c r="B3" s="625"/>
      <c r="C3" s="625"/>
      <c r="D3" s="625"/>
      <c r="E3" s="625"/>
      <c r="F3" s="625"/>
      <c r="G3" s="625"/>
      <c r="H3" s="625"/>
      <c r="I3" s="625"/>
      <c r="J3" s="625"/>
      <c r="K3" s="625"/>
      <c r="L3" s="470"/>
      <c r="S3" s="286"/>
      <c r="T3" s="287"/>
    </row>
    <row r="4" spans="1:20" s="7" customFormat="1" ht="15" customHeight="1" x14ac:dyDescent="0.25">
      <c r="A4" s="442"/>
      <c r="B4" s="47"/>
      <c r="C4" s="47"/>
      <c r="D4" s="47"/>
      <c r="E4" s="47"/>
      <c r="F4" s="47"/>
      <c r="G4" s="47"/>
      <c r="H4" s="47"/>
      <c r="I4" s="47"/>
      <c r="J4" s="271"/>
      <c r="K4" s="47"/>
      <c r="L4" s="444"/>
    </row>
    <row r="5" spans="1:20" s="7" customFormat="1" x14ac:dyDescent="0.25">
      <c r="A5" s="442"/>
      <c r="B5" s="294" t="s">
        <v>374</v>
      </c>
      <c r="C5" s="337">
        <v>43921</v>
      </c>
      <c r="D5" s="337">
        <f t="shared" ref="D5:I5" si="0">EOMONTH(C5,12)</f>
        <v>44286</v>
      </c>
      <c r="E5" s="337">
        <f t="shared" si="0"/>
        <v>44651</v>
      </c>
      <c r="F5" s="337">
        <f t="shared" si="0"/>
        <v>45016</v>
      </c>
      <c r="G5" s="337">
        <f t="shared" si="0"/>
        <v>45382</v>
      </c>
      <c r="H5" s="337">
        <f t="shared" si="0"/>
        <v>45747</v>
      </c>
      <c r="I5" s="337">
        <f t="shared" si="0"/>
        <v>46112</v>
      </c>
      <c r="J5" s="640" t="s">
        <v>366</v>
      </c>
      <c r="K5" s="640"/>
      <c r="L5" s="491"/>
      <c r="M5" s="284"/>
      <c r="N5" s="284"/>
      <c r="O5" s="284"/>
      <c r="P5" s="284"/>
      <c r="Q5" s="284"/>
      <c r="R5" s="284"/>
      <c r="S5" s="284"/>
      <c r="T5" s="284"/>
    </row>
    <row r="6" spans="1:20" x14ac:dyDescent="0.25">
      <c r="A6" s="442"/>
      <c r="B6" s="329" t="s">
        <v>368</v>
      </c>
      <c r="C6" s="336">
        <v>0.15147726998576613</v>
      </c>
      <c r="D6" s="336">
        <v>0.14862987541761477</v>
      </c>
      <c r="E6" s="336">
        <v>0.14781895948091875</v>
      </c>
      <c r="F6" s="336">
        <v>0.15069272420164923</v>
      </c>
      <c r="G6" s="336">
        <v>0.1479516263713892</v>
      </c>
      <c r="H6" s="336">
        <v>0.14835982651047322</v>
      </c>
      <c r="I6" s="336">
        <v>0.15055069155025066</v>
      </c>
      <c r="J6" s="641"/>
      <c r="K6" s="641"/>
      <c r="L6" s="492"/>
      <c r="M6" s="42"/>
      <c r="N6" s="42"/>
      <c r="O6" s="42"/>
      <c r="P6" s="42"/>
      <c r="Q6" s="42"/>
      <c r="R6" s="42"/>
      <c r="S6" s="42"/>
      <c r="T6" s="42"/>
    </row>
    <row r="7" spans="1:20" x14ac:dyDescent="0.25">
      <c r="A7" s="442"/>
      <c r="B7" s="329" t="s">
        <v>369</v>
      </c>
      <c r="C7" s="336">
        <v>8.5576714300649018E-2</v>
      </c>
      <c r="D7" s="336">
        <v>7.2196730654689109E-2</v>
      </c>
      <c r="E7" s="336">
        <v>8.0658516987358347E-2</v>
      </c>
      <c r="F7" s="336">
        <v>8.4898864507478675E-2</v>
      </c>
      <c r="G7" s="336">
        <v>8.0800640613300265E-2</v>
      </c>
      <c r="H7" s="336">
        <v>7.5597665354572713E-2</v>
      </c>
      <c r="I7" s="336">
        <v>7.5363763888618415E-2</v>
      </c>
      <c r="J7" s="641"/>
      <c r="K7" s="641"/>
      <c r="L7" s="493"/>
      <c r="M7" s="285"/>
      <c r="N7" s="285"/>
      <c r="O7" s="285"/>
      <c r="P7" s="285"/>
      <c r="Q7" s="285"/>
      <c r="R7" s="285"/>
      <c r="S7" s="285"/>
      <c r="T7" s="285"/>
    </row>
    <row r="8" spans="1:20" x14ac:dyDescent="0.25">
      <c r="A8" s="442"/>
      <c r="B8" s="329" t="s">
        <v>370</v>
      </c>
      <c r="C8" s="336">
        <v>7.0522151008033773E-2</v>
      </c>
      <c r="D8" s="336">
        <v>5.5042318579334948E-2</v>
      </c>
      <c r="E8" s="336">
        <v>6.4579111687753196E-2</v>
      </c>
      <c r="F8" s="336">
        <v>6.9985779499135925E-2</v>
      </c>
      <c r="G8" s="336">
        <v>6.6412437537939004E-2</v>
      </c>
      <c r="H8" s="336">
        <v>6.094893615945933E-2</v>
      </c>
      <c r="I8" s="336">
        <v>6.0295341200922815E-2</v>
      </c>
      <c r="J8" s="641"/>
      <c r="K8" s="641"/>
      <c r="L8" s="492"/>
      <c r="M8" s="42"/>
      <c r="N8" s="42"/>
      <c r="O8" s="42"/>
      <c r="P8" s="42"/>
      <c r="Q8" s="42"/>
      <c r="R8" s="42"/>
      <c r="S8" s="42"/>
      <c r="T8" s="42"/>
    </row>
    <row r="9" spans="1:20" x14ac:dyDescent="0.25">
      <c r="A9" s="442"/>
      <c r="B9" s="329" t="s">
        <v>371</v>
      </c>
      <c r="C9" s="336">
        <v>7.0155044993606863E-2</v>
      </c>
      <c r="D9" s="336">
        <v>6.1444158279853445E-2</v>
      </c>
      <c r="E9" s="336">
        <v>6.6635524548307429E-2</v>
      </c>
      <c r="F9" s="336">
        <v>7.1431405924804167E-2</v>
      </c>
      <c r="G9" s="336">
        <v>6.8151402582024484E-2</v>
      </c>
      <c r="H9" s="336">
        <v>6.1873157895180088E-2</v>
      </c>
      <c r="I9" s="336">
        <v>5.9307993491496847E-2</v>
      </c>
      <c r="J9" s="641"/>
      <c r="K9" s="641"/>
      <c r="L9" s="494"/>
      <c r="M9" s="43"/>
      <c r="N9" s="43"/>
      <c r="O9" s="43"/>
      <c r="P9" s="43"/>
      <c r="Q9" s="43"/>
      <c r="R9" s="43"/>
      <c r="S9" s="43"/>
      <c r="T9" s="43"/>
    </row>
    <row r="10" spans="1:20" x14ac:dyDescent="0.25">
      <c r="A10" s="442"/>
      <c r="B10" s="335" t="s">
        <v>365</v>
      </c>
      <c r="C10" s="336">
        <v>5.2310797661458353E-2</v>
      </c>
      <c r="D10" s="336">
        <v>4.5538138081916646E-2</v>
      </c>
      <c r="E10" s="336">
        <v>4.8178815590127502E-2</v>
      </c>
      <c r="F10" s="336">
        <v>5.551737692917489E-2</v>
      </c>
      <c r="G10" s="336">
        <v>4.9924560183804242E-2</v>
      </c>
      <c r="H10" s="336">
        <v>4.5612178971512617E-2</v>
      </c>
      <c r="I10" s="336">
        <v>4.3164313548502919E-2</v>
      </c>
      <c r="J10" s="641"/>
      <c r="K10" s="641"/>
      <c r="L10" s="470"/>
    </row>
    <row r="11" spans="1:20" x14ac:dyDescent="0.25">
      <c r="A11" s="442"/>
      <c r="B11" s="295"/>
      <c r="C11" s="296"/>
      <c r="D11" s="296"/>
      <c r="E11" s="296"/>
      <c r="F11" s="296"/>
      <c r="G11" s="296"/>
      <c r="H11" s="296"/>
      <c r="I11" s="296"/>
      <c r="J11" s="271"/>
      <c r="K11" s="33"/>
      <c r="L11" s="470"/>
    </row>
    <row r="12" spans="1:20" x14ac:dyDescent="0.25">
      <c r="A12" s="442"/>
      <c r="B12" s="294" t="s">
        <v>375</v>
      </c>
      <c r="C12" s="337">
        <v>43921</v>
      </c>
      <c r="D12" s="337">
        <f t="shared" ref="D12" si="1">EOMONTH(C12,12)</f>
        <v>44286</v>
      </c>
      <c r="E12" s="337">
        <f t="shared" ref="E12" si="2">EOMONTH(D12,12)</f>
        <v>44651</v>
      </c>
      <c r="F12" s="337">
        <f t="shared" ref="F12" si="3">EOMONTH(E12,12)</f>
        <v>45016</v>
      </c>
      <c r="G12" s="337">
        <f t="shared" ref="G12" si="4">EOMONTH(F12,12)</f>
        <v>45382</v>
      </c>
      <c r="H12" s="337">
        <f t="shared" ref="H12" si="5">EOMONTH(G12,12)</f>
        <v>45747</v>
      </c>
      <c r="I12" s="337">
        <f t="shared" ref="I12" si="6">EOMONTH(H12,12)</f>
        <v>46112</v>
      </c>
      <c r="J12" s="640" t="s">
        <v>366</v>
      </c>
      <c r="K12" s="640"/>
      <c r="L12" s="470"/>
    </row>
    <row r="13" spans="1:20" x14ac:dyDescent="0.25">
      <c r="A13" s="442"/>
      <c r="B13" s="335" t="s">
        <v>379</v>
      </c>
      <c r="C13" s="351">
        <v>0</v>
      </c>
      <c r="D13" s="336">
        <f>'P &amp; L'!D16/AVERAGE(BS!C34:D34)</f>
        <v>0.1354750155640238</v>
      </c>
      <c r="E13" s="336">
        <f>'P &amp; L'!E16/AVERAGE(BS!D34:E34)</f>
        <v>0.17154955214134826</v>
      </c>
      <c r="F13" s="336">
        <f>'P &amp; L'!F16/AVERAGE(BS!E34:F34)</f>
        <v>0.21662572333305455</v>
      </c>
      <c r="G13" s="336">
        <f>'P &amp; L'!G16/AVERAGE(BS!F34:G34)</f>
        <v>0.20893102929500421</v>
      </c>
      <c r="H13" s="336">
        <f>'P &amp; L'!H16/AVERAGE(BS!G34:H34)</f>
        <v>0.19725615632862359</v>
      </c>
      <c r="I13" s="336">
        <f>'P &amp; L'!I16/AVERAGE(BS!H34:I34)</f>
        <v>0.1926505096616091</v>
      </c>
      <c r="J13" s="642"/>
      <c r="K13" s="642"/>
      <c r="L13" s="470"/>
    </row>
    <row r="14" spans="1:20" x14ac:dyDescent="0.25">
      <c r="A14" s="442"/>
      <c r="B14" s="335" t="s">
        <v>376</v>
      </c>
      <c r="C14" s="351">
        <v>0</v>
      </c>
      <c r="D14" s="336">
        <f>'P &amp; L'!D32/AVERAGE(BS!C34:D34)</f>
        <v>8.5450960306104023E-2</v>
      </c>
      <c r="E14" s="336">
        <f>'P &amp; L'!E32/AVERAGE(BS!D34:E34)</f>
        <v>0.10246970246777989</v>
      </c>
      <c r="F14" s="336">
        <f>'P &amp; L'!F32/AVERAGE(BS!E34:F34)</f>
        <v>0.14165668769076342</v>
      </c>
      <c r="G14" s="336">
        <f>'P &amp; L'!G32/AVERAGE(BS!F34:G34)</f>
        <v>0.12909290900579365</v>
      </c>
      <c r="H14" s="336">
        <f>'P &amp; L'!H32/AVERAGE(BS!G34:H34)</f>
        <v>0.11901535667132382</v>
      </c>
      <c r="I14" s="336">
        <f>'P &amp; L'!I32/AVERAGE(BS!H34:I34)</f>
        <v>0.11033985798005544</v>
      </c>
      <c r="J14" s="642"/>
      <c r="K14" s="642"/>
      <c r="L14" s="470"/>
    </row>
    <row r="15" spans="1:20" x14ac:dyDescent="0.25">
      <c r="A15" s="442"/>
      <c r="B15" s="335" t="s">
        <v>377</v>
      </c>
      <c r="C15" s="351">
        <v>0</v>
      </c>
      <c r="D15" s="336">
        <v>8.2167629647400195E-2</v>
      </c>
      <c r="E15" s="336">
        <v>0.10454179605383432</v>
      </c>
      <c r="F15" s="336">
        <v>0.14553008701185879</v>
      </c>
      <c r="G15" s="336">
        <v>0.13418123232349441</v>
      </c>
      <c r="H15" s="336">
        <v>0.12344567286999253</v>
      </c>
      <c r="I15" s="336">
        <v>0.113669780219675</v>
      </c>
      <c r="J15" s="642"/>
      <c r="K15" s="642"/>
      <c r="L15" s="470"/>
    </row>
    <row r="16" spans="1:20" x14ac:dyDescent="0.25">
      <c r="A16" s="442"/>
      <c r="B16" s="335" t="s">
        <v>378</v>
      </c>
      <c r="C16" s="351">
        <v>0</v>
      </c>
      <c r="D16" s="336">
        <f>'P &amp; L'!D32/AVERAGE(BS!C42:D42)</f>
        <v>9.4516450305209859E-2</v>
      </c>
      <c r="E16" s="336">
        <f>'P &amp; L'!E32/AVERAGE(BS!D42:E42)</f>
        <v>0.11541257443353173</v>
      </c>
      <c r="F16" s="336">
        <f>'P &amp; L'!F32/AVERAGE(BS!E42:F42)</f>
        <v>0.15985256414780305</v>
      </c>
      <c r="G16" s="336">
        <f>'P &amp; L'!G32/AVERAGE(BS!F42:G42)</f>
        <v>0.1458247786124503</v>
      </c>
      <c r="H16" s="336">
        <f>'P &amp; L'!H32/AVERAGE(BS!G42:H42)</f>
        <v>0.13495400762236276</v>
      </c>
      <c r="I16" s="336">
        <f>'P &amp; L'!I32/AVERAGE(BS!H42:I42)</f>
        <v>0.12946876662978049</v>
      </c>
      <c r="J16" s="642"/>
      <c r="K16" s="642"/>
      <c r="L16" s="470"/>
    </row>
    <row r="17" spans="1:12" x14ac:dyDescent="0.25">
      <c r="A17" s="442"/>
      <c r="B17" s="295"/>
      <c r="C17" s="296"/>
      <c r="D17" s="296"/>
      <c r="E17" s="296"/>
      <c r="F17" s="296"/>
      <c r="G17" s="296"/>
      <c r="H17" s="296"/>
      <c r="I17" s="296"/>
      <c r="J17" s="643"/>
      <c r="K17" s="643"/>
      <c r="L17" s="470"/>
    </row>
    <row r="18" spans="1:12" x14ac:dyDescent="0.25">
      <c r="A18" s="442"/>
      <c r="B18" s="294" t="s">
        <v>380</v>
      </c>
      <c r="C18" s="337">
        <v>43921</v>
      </c>
      <c r="D18" s="337">
        <f t="shared" ref="D18" si="7">EOMONTH(C18,12)</f>
        <v>44286</v>
      </c>
      <c r="E18" s="337">
        <f t="shared" ref="E18" si="8">EOMONTH(D18,12)</f>
        <v>44651</v>
      </c>
      <c r="F18" s="337">
        <f t="shared" ref="F18" si="9">EOMONTH(E18,12)</f>
        <v>45016</v>
      </c>
      <c r="G18" s="337">
        <f t="shared" ref="G18" si="10">EOMONTH(F18,12)</f>
        <v>45382</v>
      </c>
      <c r="H18" s="337">
        <f t="shared" ref="H18" si="11">EOMONTH(G18,12)</f>
        <v>45747</v>
      </c>
      <c r="I18" s="337">
        <f t="shared" ref="I18" si="12">EOMONTH(H18,12)</f>
        <v>46112</v>
      </c>
      <c r="J18" s="640" t="s">
        <v>366</v>
      </c>
      <c r="K18" s="640"/>
      <c r="L18" s="470"/>
    </row>
    <row r="19" spans="1:12" x14ac:dyDescent="0.25">
      <c r="A19" s="442"/>
      <c r="B19" s="329" t="s">
        <v>381</v>
      </c>
      <c r="C19" s="351">
        <f>BS!C32/BS!C62</f>
        <v>3.2345963075227329</v>
      </c>
      <c r="D19" s="351">
        <f>BS!D32/BS!D62</f>
        <v>3.6726715320545869</v>
      </c>
      <c r="E19" s="351">
        <f>BS!E32/BS!E62</f>
        <v>2.8259691863185283</v>
      </c>
      <c r="F19" s="351">
        <f>BS!F32/BS!F62</f>
        <v>3.7139419635857966</v>
      </c>
      <c r="G19" s="351">
        <f>BS!G32/BS!G62</f>
        <v>3.1336994856351739</v>
      </c>
      <c r="H19" s="351">
        <f>BS!H32/BS!H62</f>
        <v>2.8895739910313902</v>
      </c>
      <c r="I19" s="351">
        <f>BS!I32/BS!I62</f>
        <v>1.9770666215437329</v>
      </c>
      <c r="J19" s="641"/>
      <c r="K19" s="641"/>
      <c r="L19" s="470"/>
    </row>
    <row r="20" spans="1:12" x14ac:dyDescent="0.25">
      <c r="A20" s="442"/>
      <c r="B20" s="329" t="s">
        <v>382</v>
      </c>
      <c r="C20" s="351">
        <f>(BS!C32-BS!C24-BS!C31)/BS!C62</f>
        <v>0.34605952052907091</v>
      </c>
      <c r="D20" s="351">
        <f>(BS!D32-BS!D24-BS!D31)/BS!D62</f>
        <v>1.5012344339238723</v>
      </c>
      <c r="E20" s="351">
        <f>(BS!E32-BS!E24-BS!E31)/BS!E62</f>
        <v>0.40947557642269095</v>
      </c>
      <c r="F20" s="351">
        <f>(BS!F32-BS!F24-BS!F31)/BS!F62</f>
        <v>1.3561257251143479</v>
      </c>
      <c r="G20" s="351">
        <f>(BS!G32-BS!G24-BS!G31)/BS!G62</f>
        <v>1.030599149125377</v>
      </c>
      <c r="H20" s="351">
        <f>(BS!H32-BS!H24-BS!H31)/BS!H62</f>
        <v>0.47085201793721992</v>
      </c>
      <c r="I20" s="351">
        <f>(BS!I32-BS!I24-BS!I31)/BS!I62</f>
        <v>0.31243753734539664</v>
      </c>
      <c r="J20" s="641"/>
      <c r="K20" s="641"/>
      <c r="L20" s="470"/>
    </row>
    <row r="21" spans="1:12" x14ac:dyDescent="0.25">
      <c r="A21" s="442"/>
      <c r="B21" s="329" t="s">
        <v>383</v>
      </c>
      <c r="C21" s="351">
        <f>BS!C28/BS!C62</f>
        <v>0.14586662992559932</v>
      </c>
      <c r="D21" s="351">
        <f>BS!D28/BS!D62</f>
        <v>0.17318248822087778</v>
      </c>
      <c r="E21" s="351">
        <f>BS!E28/BS!E62</f>
        <v>7.8076648417043565E-2</v>
      </c>
      <c r="F21" s="351">
        <f>BS!F28/BS!F62</f>
        <v>0.14120558142071288</v>
      </c>
      <c r="G21" s="351">
        <f>BS!G28/BS!G62</f>
        <v>0.17033661085117777</v>
      </c>
      <c r="H21" s="351">
        <f>BS!H28/BS!H62</f>
        <v>0.1606936207145957</v>
      </c>
      <c r="I21" s="351">
        <f>BS!I28/BS!I62</f>
        <v>7.5010707883646277E-2</v>
      </c>
      <c r="J21" s="641"/>
      <c r="K21" s="641"/>
      <c r="L21" s="470"/>
    </row>
    <row r="22" spans="1:12" x14ac:dyDescent="0.25">
      <c r="A22" s="442"/>
      <c r="B22" s="329" t="s">
        <v>345</v>
      </c>
      <c r="C22" s="351">
        <v>0</v>
      </c>
      <c r="D22" s="351">
        <v>28.748055273231778</v>
      </c>
      <c r="E22" s="351">
        <v>27.085611691806307</v>
      </c>
      <c r="F22" s="351">
        <v>23.904876134156552</v>
      </c>
      <c r="G22" s="351">
        <v>23.730138372484738</v>
      </c>
      <c r="H22" s="351">
        <v>25.952472498943727</v>
      </c>
      <c r="I22" s="351">
        <v>27.451496976103769</v>
      </c>
      <c r="J22" s="641"/>
      <c r="K22" s="641"/>
      <c r="L22" s="470"/>
    </row>
    <row r="23" spans="1:12" x14ac:dyDescent="0.25">
      <c r="A23" s="442"/>
      <c r="B23" s="295"/>
      <c r="C23" s="296"/>
      <c r="D23" s="296"/>
      <c r="E23" s="296"/>
      <c r="F23" s="296"/>
      <c r="G23" s="296"/>
      <c r="H23" s="296"/>
      <c r="I23" s="296"/>
      <c r="J23" s="643"/>
      <c r="K23" s="643"/>
      <c r="L23" s="470"/>
    </row>
    <row r="24" spans="1:12" x14ac:dyDescent="0.25">
      <c r="A24" s="442"/>
      <c r="B24" s="294" t="s">
        <v>384</v>
      </c>
      <c r="C24" s="337">
        <v>43921</v>
      </c>
      <c r="D24" s="337">
        <f t="shared" ref="D24" si="13">EOMONTH(C24,12)</f>
        <v>44286</v>
      </c>
      <c r="E24" s="337">
        <f t="shared" ref="E24" si="14">EOMONTH(D24,12)</f>
        <v>44651</v>
      </c>
      <c r="F24" s="337">
        <f t="shared" ref="F24" si="15">EOMONTH(E24,12)</f>
        <v>45016</v>
      </c>
      <c r="G24" s="337">
        <f t="shared" ref="G24" si="16">EOMONTH(F24,12)</f>
        <v>45382</v>
      </c>
      <c r="H24" s="337">
        <f t="shared" ref="H24" si="17">EOMONTH(G24,12)</f>
        <v>45747</v>
      </c>
      <c r="I24" s="337">
        <f t="shared" ref="I24" si="18">EOMONTH(H24,12)</f>
        <v>46112</v>
      </c>
      <c r="J24" s="640" t="s">
        <v>366</v>
      </c>
      <c r="K24" s="640"/>
      <c r="L24" s="470"/>
    </row>
    <row r="25" spans="1:12" x14ac:dyDescent="0.25">
      <c r="A25" s="442"/>
      <c r="B25" s="335" t="s">
        <v>385</v>
      </c>
      <c r="C25" s="351">
        <v>0</v>
      </c>
      <c r="D25" s="351">
        <v>764.86805005544124</v>
      </c>
      <c r="E25" s="351">
        <v>560.80872635104561</v>
      </c>
      <c r="F25" s="351">
        <v>663.92189074002317</v>
      </c>
      <c r="G25" s="351">
        <v>444.4828250120334</v>
      </c>
      <c r="H25" s="351">
        <v>370.80241129435279</v>
      </c>
      <c r="I25" s="351">
        <v>454.06749579388378</v>
      </c>
      <c r="J25" s="642"/>
      <c r="K25" s="642"/>
      <c r="L25" s="470"/>
    </row>
    <row r="26" spans="1:12" x14ac:dyDescent="0.25">
      <c r="A26" s="442"/>
      <c r="B26" s="335" t="s">
        <v>386</v>
      </c>
      <c r="C26" s="351">
        <v>0</v>
      </c>
      <c r="D26" s="351">
        <v>9.7980208214163138</v>
      </c>
      <c r="E26" s="351">
        <v>10.578123559890523</v>
      </c>
      <c r="F26" s="351">
        <v>12.156063840805594</v>
      </c>
      <c r="G26" s="351">
        <v>12.069671542466033</v>
      </c>
      <c r="H26" s="351">
        <v>11.269171437233609</v>
      </c>
      <c r="I26" s="351">
        <v>10.68244432851135</v>
      </c>
      <c r="J26" s="642"/>
      <c r="K26" s="642"/>
      <c r="L26" s="470"/>
    </row>
    <row r="27" spans="1:12" x14ac:dyDescent="0.25">
      <c r="A27" s="442"/>
      <c r="B27" s="335" t="s">
        <v>387</v>
      </c>
      <c r="C27" s="351">
        <v>0</v>
      </c>
      <c r="D27" s="351">
        <v>40.638763123035261</v>
      </c>
      <c r="E27" s="351">
        <v>45.226953817686521</v>
      </c>
      <c r="F27" s="351">
        <v>54.18350099405059</v>
      </c>
      <c r="G27" s="351">
        <v>49.780904175773607</v>
      </c>
      <c r="H27" s="351">
        <v>49.183895856238031</v>
      </c>
      <c r="I27" s="351">
        <v>48.533631654102884</v>
      </c>
      <c r="J27" s="642"/>
      <c r="K27" s="642"/>
      <c r="L27" s="470"/>
    </row>
    <row r="28" spans="1:12" x14ac:dyDescent="0.25">
      <c r="A28" s="442"/>
      <c r="B28" s="335" t="s">
        <v>388</v>
      </c>
      <c r="C28" s="351">
        <v>0</v>
      </c>
      <c r="D28" s="351">
        <f>'P &amp; L'!D8/AVERAGE(BS!C34:D34)</f>
        <v>1.8764702270521003</v>
      </c>
      <c r="E28" s="351">
        <f>'P &amp; L'!E8/AVERAGE(BS!D34:E34)</f>
        <v>2.1268622155331136</v>
      </c>
      <c r="F28" s="351">
        <f>'P &amp; L'!F8/AVERAGE(BS!E34:F34)</f>
        <v>2.5515738589645349</v>
      </c>
      <c r="G28" s="351">
        <f>'P &amp; L'!G8/AVERAGE(BS!F34:G34)</f>
        <v>2.5857595646415326</v>
      </c>
      <c r="H28" s="351">
        <f>'P &amp; L'!H8/AVERAGE(BS!G34:H34)</f>
        <v>2.6092889959424133</v>
      </c>
      <c r="I28" s="351">
        <f>'P &amp; L'!I8/AVERAGE(BS!H34:I34)</f>
        <v>2.5562750547641313</v>
      </c>
      <c r="J28" s="642"/>
      <c r="K28" s="642"/>
      <c r="L28" s="470"/>
    </row>
    <row r="29" spans="1:12" x14ac:dyDescent="0.25">
      <c r="A29" s="442"/>
      <c r="B29" s="335" t="s">
        <v>389</v>
      </c>
      <c r="C29" s="351">
        <v>0</v>
      </c>
      <c r="D29" s="351">
        <f>'P &amp; L'!D8/AVERAGE(SUM(BS!C10:C13),SUM(BS!D10:D13))</f>
        <v>3.4164256321142932</v>
      </c>
      <c r="E29" s="351">
        <f>'P &amp; L'!E8/AVERAGE(SUM(BS!D10:D13),SUM(BS!E10:E13))</f>
        <v>3.3992454478315408</v>
      </c>
      <c r="F29" s="351">
        <f>'P &amp; L'!F8/AVERAGE(SUM(BS!E10:E13),SUM(BS!F10:F13))</f>
        <v>3.8308318060670659</v>
      </c>
      <c r="G29" s="351">
        <f>'P &amp; L'!G8/AVERAGE(SUM(BS!F10:F13),SUM(BS!G10:G13))</f>
        <v>3.8608312723134617</v>
      </c>
      <c r="H29" s="351">
        <f>'P &amp; L'!H8/AVERAGE(SUM(BS!G10:G13),SUM(BS!H10:H13))</f>
        <v>3.7759381631645645</v>
      </c>
      <c r="I29" s="351">
        <f>'P &amp; L'!I8/AVERAGE(SUM(BS!H10:H13),SUM(BS!I10:I13))</f>
        <v>3.5775063458208551</v>
      </c>
      <c r="J29" s="642"/>
      <c r="K29" s="642"/>
      <c r="L29" s="470"/>
    </row>
    <row r="30" spans="1:12" x14ac:dyDescent="0.25">
      <c r="A30" s="442"/>
      <c r="B30" s="295"/>
      <c r="C30" s="296"/>
      <c r="D30" s="296"/>
      <c r="E30" s="296"/>
      <c r="F30" s="296"/>
      <c r="G30" s="296"/>
      <c r="H30" s="296"/>
      <c r="I30" s="296"/>
      <c r="J30" s="271"/>
      <c r="K30" s="33"/>
      <c r="L30" s="470"/>
    </row>
    <row r="31" spans="1:12" ht="15.75" customHeight="1" x14ac:dyDescent="0.25">
      <c r="A31" s="442"/>
      <c r="B31" s="294" t="s">
        <v>391</v>
      </c>
      <c r="C31" s="337">
        <v>43921</v>
      </c>
      <c r="D31" s="337">
        <f t="shared" ref="D31" si="19">EOMONTH(C31,12)</f>
        <v>44286</v>
      </c>
      <c r="E31" s="337">
        <f t="shared" ref="E31" si="20">EOMONTH(D31,12)</f>
        <v>44651</v>
      </c>
      <c r="F31" s="337">
        <f t="shared" ref="F31" si="21">EOMONTH(E31,12)</f>
        <v>45016</v>
      </c>
      <c r="G31" s="337">
        <f t="shared" ref="G31" si="22">EOMONTH(F31,12)</f>
        <v>45382</v>
      </c>
      <c r="H31" s="337">
        <f t="shared" ref="H31" si="23">EOMONTH(G31,12)</f>
        <v>45747</v>
      </c>
      <c r="I31" s="337">
        <f t="shared" ref="I31" si="24">EOMONTH(H31,12)</f>
        <v>46112</v>
      </c>
      <c r="J31" s="640" t="s">
        <v>366</v>
      </c>
      <c r="K31" s="640"/>
      <c r="L31" s="470"/>
    </row>
    <row r="32" spans="1:12" ht="15.75" customHeight="1" x14ac:dyDescent="0.25">
      <c r="A32" s="442"/>
      <c r="B32" s="335" t="s">
        <v>392</v>
      </c>
      <c r="C32" s="351">
        <v>0</v>
      </c>
      <c r="D32" s="351">
        <v>0.47720649329455334</v>
      </c>
      <c r="E32" s="351">
        <v>0.65084579260188513</v>
      </c>
      <c r="F32" s="351">
        <v>0.55126966756894802</v>
      </c>
      <c r="G32" s="351">
        <v>0.82117908603131839</v>
      </c>
      <c r="H32" s="351">
        <v>0.98435174336084164</v>
      </c>
      <c r="I32" s="351">
        <v>0.80384525071947799</v>
      </c>
      <c r="J32" s="642"/>
      <c r="K32" s="642"/>
      <c r="L32" s="470"/>
    </row>
    <row r="33" spans="1:20" ht="15.75" customHeight="1" x14ac:dyDescent="0.25">
      <c r="A33" s="442"/>
      <c r="B33" s="335" t="s">
        <v>393</v>
      </c>
      <c r="C33" s="351">
        <v>0</v>
      </c>
      <c r="D33" s="351">
        <v>37.252421346379514</v>
      </c>
      <c r="E33" s="351">
        <v>34.50517456460657</v>
      </c>
      <c r="F33" s="351">
        <v>30.108430228163794</v>
      </c>
      <c r="G33" s="351">
        <v>30.241088062403435</v>
      </c>
      <c r="H33" s="351">
        <v>32.389249026244407</v>
      </c>
      <c r="I33" s="351">
        <v>34.168209894229754</v>
      </c>
      <c r="J33" s="642"/>
      <c r="K33" s="642"/>
      <c r="L33" s="470"/>
    </row>
    <row r="34" spans="1:20" ht="15.75" customHeight="1" x14ac:dyDescent="0.25">
      <c r="A34" s="442"/>
      <c r="B34" s="335" t="s">
        <v>394</v>
      </c>
      <c r="C34" s="351">
        <v>0</v>
      </c>
      <c r="D34" s="351">
        <v>8.9815725664422867</v>
      </c>
      <c r="E34" s="351">
        <v>8.0704086654021463</v>
      </c>
      <c r="F34" s="351">
        <v>6.7548237615761897</v>
      </c>
      <c r="G34" s="351">
        <v>7.3321287759500162</v>
      </c>
      <c r="H34" s="351">
        <v>7.4211282706615194</v>
      </c>
      <c r="I34" s="351">
        <v>7.5205581688454597</v>
      </c>
      <c r="J34" s="642"/>
      <c r="K34" s="642"/>
      <c r="L34" s="470"/>
    </row>
    <row r="35" spans="1:20" ht="15.75" customHeight="1" x14ac:dyDescent="0.25">
      <c r="A35" s="442"/>
      <c r="B35" s="298"/>
      <c r="C35" s="298"/>
      <c r="D35" s="298"/>
      <c r="E35" s="298"/>
      <c r="F35" s="298"/>
      <c r="G35" s="298"/>
      <c r="H35" s="298"/>
      <c r="I35" s="298"/>
      <c r="J35" s="271"/>
      <c r="K35" s="33"/>
      <c r="L35" s="470"/>
    </row>
    <row r="36" spans="1:20" s="46" customFormat="1" ht="15.75" customHeight="1" x14ac:dyDescent="0.25">
      <c r="A36" s="460"/>
      <c r="B36" s="294" t="s">
        <v>395</v>
      </c>
      <c r="C36" s="337">
        <v>43921</v>
      </c>
      <c r="D36" s="337">
        <f t="shared" ref="D36" si="25">EOMONTH(C36,12)</f>
        <v>44286</v>
      </c>
      <c r="E36" s="337">
        <f t="shared" ref="E36" si="26">EOMONTH(D36,12)</f>
        <v>44651</v>
      </c>
      <c r="F36" s="337">
        <f t="shared" ref="F36" si="27">EOMONTH(E36,12)</f>
        <v>45016</v>
      </c>
      <c r="G36" s="337">
        <f t="shared" ref="G36" si="28">EOMONTH(F36,12)</f>
        <v>45382</v>
      </c>
      <c r="H36" s="337">
        <f t="shared" ref="H36" si="29">EOMONTH(G36,12)</f>
        <v>45747</v>
      </c>
      <c r="I36" s="337">
        <f t="shared" ref="I36" si="30">EOMONTH(H36,12)</f>
        <v>46112</v>
      </c>
      <c r="J36" s="640" t="s">
        <v>366</v>
      </c>
      <c r="K36" s="640"/>
      <c r="L36" s="495"/>
    </row>
    <row r="37" spans="1:20" s="46" customFormat="1" ht="15.75" customHeight="1" x14ac:dyDescent="0.25">
      <c r="A37" s="460"/>
      <c r="B37" s="335" t="s">
        <v>396</v>
      </c>
      <c r="C37" s="351">
        <v>0</v>
      </c>
      <c r="D37" s="336">
        <f>SUM(AVERAGE(BS!C46:D46),AVERAGE(BS!C47:D47),AVERAGE(BS!C53:D53),AVERAGE(BS!C54:D54))/AVERAGE(BS!C34:D34)</f>
        <v>2.6923623973182476E-2</v>
      </c>
      <c r="E37" s="336">
        <f>SUM(AVERAGE(BS!D46:E46),AVERAGE(BS!D47:E47),AVERAGE(BS!D53:E53),AVERAGE(BS!D54:E54))/AVERAGE(BS!D34:E34)</f>
        <v>3.5720894337216917E-2</v>
      </c>
      <c r="F37" s="336">
        <f>SUM(AVERAGE(BS!E46:F46),AVERAGE(BS!E47:F47),AVERAGE(BS!E53:F53),AVERAGE(BS!E54:F54))/AVERAGE(BS!E34:F34)</f>
        <v>3.8440772234255224E-2</v>
      </c>
      <c r="G37" s="336">
        <f>SUM(AVERAGE(BS!F46:G46),AVERAGE(BS!F47:G47),AVERAGE(BS!F53:G53),AVERAGE(BS!F54:G54))/AVERAGE(BS!F34:G34)</f>
        <v>3.1463090473886096E-2</v>
      </c>
      <c r="H37" s="336">
        <f>SUM(AVERAGE(BS!G46:H46),AVERAGE(BS!G47:H47),AVERAGE(BS!G53:H53),AVERAGE(BS!G54:H54))/AVERAGE(BS!G34:H34)</f>
        <v>3.104874576597522E-2</v>
      </c>
      <c r="I37" s="336">
        <f>SUM(AVERAGE(BS!H46:I46),AVERAGE(BS!H47:I47),AVERAGE(BS!H53:I53),AVERAGE(BS!H54:I54))/AVERAGE(BS!H34:I34)</f>
        <v>6.0277966850869773E-2</v>
      </c>
      <c r="J37" s="642"/>
      <c r="K37" s="642"/>
      <c r="L37" s="495"/>
    </row>
    <row r="38" spans="1:20" ht="15.75" customHeight="1" x14ac:dyDescent="0.25">
      <c r="A38" s="442"/>
      <c r="B38" s="335" t="s">
        <v>397</v>
      </c>
      <c r="C38" s="351">
        <v>0</v>
      </c>
      <c r="D38" s="336">
        <f>SUM(AVERAGE(BS!C46:D46),AVERAGE(BS!C47:D47),AVERAGE(BS!C53:D53),AVERAGE(BS!C54:D54))/SUM(AVERAGE(BS!C38:D38),AVERAGE(BS!C46:D46),AVERAGE(BS!C47:D47),AVERAGE(BS!C53:D53),AVERAGE(BS!C54:D54))</f>
        <v>0.34843463172982636</v>
      </c>
      <c r="E38" s="336">
        <f>SUM(AVERAGE(BS!D46:E46),AVERAGE(BS!D47:E47),AVERAGE(BS!D53:E53),AVERAGE(BS!D54:E54))/SUM(AVERAGE(BS!D38:E38),AVERAGE(BS!D46:E46),AVERAGE(BS!D47:E47),AVERAGE(BS!D53:E53),AVERAGE(BS!D54:E54))</f>
        <v>0.44541189363195832</v>
      </c>
      <c r="F38" s="336">
        <f>SUM(AVERAGE(BS!E46:F46),AVERAGE(BS!E47:F47),AVERAGE(BS!E53:F53),AVERAGE(BS!E54:F54))/SUM(AVERAGE(BS!E38:F38),AVERAGE(BS!E46:F46),AVERAGE(BS!E47:F47),AVERAGE(BS!E53:F53),AVERAGE(BS!E54:F54))</f>
        <v>0.49898911022371012</v>
      </c>
      <c r="G38" s="336">
        <f>SUM(AVERAGE(BS!F46:G46),AVERAGE(BS!F47:G47),AVERAGE(BS!F53:G53),AVERAGE(BS!F54:G54))/SUM(AVERAGE(BS!F38:G38),AVERAGE(BS!F46:G46),AVERAGE(BS!F47:G47),AVERAGE(BS!F53:G53),AVERAGE(BS!F54:G54))</f>
        <v>0.48757184503169654</v>
      </c>
      <c r="H38" s="336">
        <f>SUM(AVERAGE(BS!G46:H46),AVERAGE(BS!G47:H47),AVERAGE(BS!G53:H53),AVERAGE(BS!G54:H54))/SUM(AVERAGE(BS!G38:H38),AVERAGE(BS!G46:H46),AVERAGE(BS!G47:H47),AVERAGE(BS!G53:H53),AVERAGE(BS!G54:H54))</f>
        <v>0.52048192771084334</v>
      </c>
      <c r="I38" s="336">
        <f>SUM(AVERAGE(BS!H46:I46),AVERAGE(BS!H47:I47),AVERAGE(BS!H53:I53),AVERAGE(BS!H54:I54))/SUM(AVERAGE(BS!H38:I38),AVERAGE(BS!H46:I46),AVERAGE(BS!H47:I47),AVERAGE(BS!H53:I53),AVERAGE(BS!H54:I54))</f>
        <v>0.71358938335608901</v>
      </c>
      <c r="J38" s="642"/>
      <c r="K38" s="642"/>
      <c r="L38" s="470"/>
    </row>
    <row r="39" spans="1:20" ht="15.75" customHeight="1" x14ac:dyDescent="0.25">
      <c r="A39" s="442"/>
      <c r="B39" s="335" t="s">
        <v>398</v>
      </c>
      <c r="C39" s="351">
        <v>0</v>
      </c>
      <c r="D39" s="336">
        <f>SUM(AVERAGE(BS!C46:D46),AVERAGE(BS!C47:D47),AVERAGE(BS!C53:D53),AVERAGE(BS!C54:D54))/AVERAGE(BS!C42:D42)</f>
        <v>2.977995049068724E-2</v>
      </c>
      <c r="E39" s="336">
        <f>SUM(AVERAGE(BS!D46:E46),AVERAGE(BS!D47:E47),AVERAGE(BS!D53:E53),AVERAGE(BS!D54:E54))/AVERAGE(BS!D42:E42)</f>
        <v>4.0232773954063876E-2</v>
      </c>
      <c r="F39" s="336">
        <f>SUM(AVERAGE(BS!E46:F46),AVERAGE(BS!E47:F47),AVERAGE(BS!E53:F53),AVERAGE(BS!E54:F54))/AVERAGE(BS!E42:F42)</f>
        <v>4.3378509759324543E-2</v>
      </c>
      <c r="G39" s="336">
        <f>SUM(AVERAGE(BS!F46:G46),AVERAGE(BS!F47:G47),AVERAGE(BS!F53:G53),AVERAGE(BS!F54:G54))/AVERAGE(BS!F42:G42)</f>
        <v>3.5541055183844546E-2</v>
      </c>
      <c r="H39" s="336">
        <f>SUM(AVERAGE(BS!G46:H46),AVERAGE(BS!G47:H47),AVERAGE(BS!G53:H53),AVERAGE(BS!G54:H54))/AVERAGE(BS!G42:H42)</f>
        <v>3.5206823639892693E-2</v>
      </c>
      <c r="I39" s="336">
        <f>SUM(AVERAGE(BS!H46:I46),AVERAGE(BS!H47:I47),AVERAGE(BS!H53:I53),AVERAGE(BS!H54:I54))/AVERAGE(BS!H42:I42)</f>
        <v>7.0727968714111827E-2</v>
      </c>
      <c r="J39" s="642"/>
      <c r="K39" s="642"/>
      <c r="L39" s="470"/>
    </row>
    <row r="40" spans="1:20" x14ac:dyDescent="0.25">
      <c r="A40" s="442"/>
      <c r="B40" s="335" t="s">
        <v>399</v>
      </c>
      <c r="C40" s="351">
        <v>0</v>
      </c>
      <c r="D40" s="351">
        <f>AVERAGE(BS!C34:D34)/AVERAGE(BS!C42:D42)</f>
        <v>1.106089972150474</v>
      </c>
      <c r="E40" s="351">
        <f>AVERAGE(BS!D34:E34)/AVERAGE(BS!D42:E42)</f>
        <v>1.1263092568246846</v>
      </c>
      <c r="F40" s="351">
        <f>AVERAGE(BS!E34:F34)/AVERAGE(BS!E42:F42)</f>
        <v>1.1284505289066284</v>
      </c>
      <c r="G40" s="351">
        <f>AVERAGE(BS!F34:G34)/AVERAGE(BS!F42:G42)</f>
        <v>1.1296110664444454</v>
      </c>
      <c r="H40" s="351">
        <f>AVERAGE(BS!G34:H34)/AVERAGE(BS!G42:H42)</f>
        <v>1.1339209610996301</v>
      </c>
      <c r="I40" s="351">
        <f>AVERAGE(BS!H34:I34)/AVERAGE(BS!H42:I42)</f>
        <v>1.173363542421658</v>
      </c>
      <c r="J40" s="642"/>
      <c r="K40" s="642"/>
      <c r="L40" s="470"/>
    </row>
    <row r="41" spans="1:20" s="109" customFormat="1" x14ac:dyDescent="0.25">
      <c r="A41" s="442"/>
      <c r="B41" s="335" t="s">
        <v>400</v>
      </c>
      <c r="C41" s="351">
        <f>'P &amp; L'!C20/-'P &amp; L'!C22</f>
        <v>25.374710648148167</v>
      </c>
      <c r="D41" s="351">
        <f>'P &amp; L'!D20/-'P &amp; L'!D22</f>
        <v>31.906122448979556</v>
      </c>
      <c r="E41" s="351">
        <f>'P &amp; L'!E20/-'P &amp; L'!E22</f>
        <v>37.189440416434266</v>
      </c>
      <c r="F41" s="351">
        <f>'P &amp; L'!F20/-'P &amp; L'!F22</f>
        <v>44.476487168076005</v>
      </c>
      <c r="G41" s="351">
        <f>'P &amp; L'!G20/-'P &amp; L'!G22</f>
        <v>58.025288147256191</v>
      </c>
      <c r="H41" s="351">
        <f>'P &amp; L'!H20/-'P &amp; L'!H22</f>
        <v>52.092296616270623</v>
      </c>
      <c r="I41" s="351">
        <f>'P &amp; L'!I20/-'P &amp; L'!I22</f>
        <v>29.212038014783506</v>
      </c>
      <c r="J41" s="642"/>
      <c r="K41" s="642"/>
      <c r="L41" s="470"/>
      <c r="M41" s="8"/>
      <c r="N41" s="8"/>
      <c r="O41" s="8"/>
      <c r="P41" s="8"/>
      <c r="Q41" s="8"/>
      <c r="R41" s="8"/>
      <c r="S41" s="8"/>
      <c r="T41" s="8"/>
    </row>
    <row r="42" spans="1:20" s="109" customFormat="1" x14ac:dyDescent="0.25">
      <c r="A42" s="442"/>
      <c r="B42" s="225"/>
      <c r="C42" s="275"/>
      <c r="D42" s="275"/>
      <c r="E42" s="275"/>
      <c r="F42" s="275"/>
      <c r="G42" s="275"/>
      <c r="H42" s="275"/>
      <c r="I42" s="275"/>
      <c r="J42" s="271"/>
      <c r="K42" s="33"/>
      <c r="L42" s="470"/>
      <c r="M42" s="8"/>
      <c r="N42" s="8"/>
      <c r="O42" s="8"/>
      <c r="P42" s="8"/>
      <c r="Q42" s="8"/>
      <c r="R42" s="8"/>
      <c r="S42" s="8"/>
      <c r="T42" s="8"/>
    </row>
    <row r="43" spans="1:20" s="109" customFormat="1" x14ac:dyDescent="0.25">
      <c r="A43" s="442"/>
      <c r="B43" s="294" t="s">
        <v>401</v>
      </c>
      <c r="C43" s="337">
        <v>43921</v>
      </c>
      <c r="D43" s="337">
        <f t="shared" ref="D43" si="31">EOMONTH(C43,12)</f>
        <v>44286</v>
      </c>
      <c r="E43" s="337">
        <f t="shared" ref="E43" si="32">EOMONTH(D43,12)</f>
        <v>44651</v>
      </c>
      <c r="F43" s="337">
        <f t="shared" ref="F43" si="33">EOMONTH(E43,12)</f>
        <v>45016</v>
      </c>
      <c r="G43" s="337">
        <f t="shared" ref="G43" si="34">EOMONTH(F43,12)</f>
        <v>45382</v>
      </c>
      <c r="H43" s="337">
        <f t="shared" ref="H43" si="35">EOMONTH(G43,12)</f>
        <v>45747</v>
      </c>
      <c r="I43" s="337">
        <f t="shared" ref="I43" si="36">EOMONTH(H43,12)</f>
        <v>46112</v>
      </c>
      <c r="J43" s="640" t="s">
        <v>366</v>
      </c>
      <c r="K43" s="640"/>
      <c r="L43" s="470"/>
      <c r="M43" s="8"/>
      <c r="N43" s="8"/>
      <c r="O43" s="8"/>
      <c r="P43" s="8"/>
      <c r="Q43" s="8"/>
      <c r="R43" s="8"/>
      <c r="S43" s="8"/>
      <c r="T43" s="8"/>
    </row>
    <row r="44" spans="1:20" s="109" customFormat="1" x14ac:dyDescent="0.25">
      <c r="A44" s="442"/>
      <c r="B44" s="329" t="s">
        <v>233</v>
      </c>
      <c r="C44" s="351">
        <v>20.71</v>
      </c>
      <c r="D44" s="351">
        <v>16.97</v>
      </c>
      <c r="E44" s="351">
        <v>23.04</v>
      </c>
      <c r="F44" s="351">
        <v>36.72</v>
      </c>
      <c r="G44" s="351">
        <v>38.99</v>
      </c>
      <c r="H44" s="351">
        <v>41.61</v>
      </c>
      <c r="I44" s="351">
        <v>45.65</v>
      </c>
      <c r="J44" s="641"/>
      <c r="K44" s="641"/>
      <c r="L44" s="470"/>
      <c r="M44" s="8"/>
      <c r="N44" s="8"/>
      <c r="O44" s="8"/>
      <c r="P44" s="8"/>
      <c r="Q44" s="8"/>
      <c r="R44" s="8"/>
      <c r="S44" s="8"/>
      <c r="T44" s="8"/>
    </row>
    <row r="45" spans="1:20" s="109" customFormat="1" x14ac:dyDescent="0.25">
      <c r="A45" s="442"/>
      <c r="B45" s="329" t="s">
        <v>402</v>
      </c>
      <c r="C45" s="351">
        <f>2218/C44</f>
        <v>107.09802028005794</v>
      </c>
      <c r="D45" s="351">
        <f>2885/D44</f>
        <v>170.00589275191516</v>
      </c>
      <c r="E45" s="351">
        <f>4013/E44</f>
        <v>174.17534722222223</v>
      </c>
      <c r="F45" s="351">
        <f>3413.05/F44</f>
        <v>92.947984749455344</v>
      </c>
      <c r="G45" s="351">
        <f>4570/G44</f>
        <v>117.2095409079251</v>
      </c>
      <c r="H45" s="351">
        <f>4109.75/H44</f>
        <v>98.768324921893779</v>
      </c>
      <c r="I45" s="351">
        <f>4075/I44</f>
        <v>89.266155531215773</v>
      </c>
      <c r="J45" s="641"/>
      <c r="K45" s="641"/>
      <c r="L45" s="470"/>
      <c r="M45" s="8"/>
      <c r="N45" s="8"/>
      <c r="O45" s="8"/>
      <c r="P45" s="8"/>
      <c r="Q45" s="8"/>
      <c r="R45" s="8"/>
      <c r="S45" s="8"/>
      <c r="T45" s="8"/>
    </row>
    <row r="46" spans="1:20" s="109" customFormat="1" x14ac:dyDescent="0.25">
      <c r="A46" s="442"/>
      <c r="B46" s="329" t="s">
        <v>403</v>
      </c>
      <c r="C46" s="351">
        <f>2218/('Cash flow statement'!C34/'P &amp; L'!C35)</f>
        <v>108.8325207563235</v>
      </c>
      <c r="D46" s="351">
        <f>2885/('Cash flow statement'!D34/'P &amp; L'!D35)</f>
        <v>135.90107069352936</v>
      </c>
      <c r="E46" s="351">
        <f>4013/('Cash flow statement'!E34/'P &amp; L'!E35)</f>
        <v>189.42105403016706</v>
      </c>
      <c r="F46" s="351">
        <f>3413.05/('Cash flow statement'!F34/'P &amp; L'!F35)</f>
        <v>84.056226542965177</v>
      </c>
      <c r="G46" s="351">
        <f>4570/('Cash flow statement'!G34/'P &amp; L'!G35)</f>
        <v>108.25467857376984</v>
      </c>
      <c r="H46" s="351">
        <f>4109.75/('Cash flow statement'!H34/'P &amp; L'!H35)</f>
        <v>108.58233052830525</v>
      </c>
      <c r="I46" s="351">
        <f>4075/('Cash flow statement'!I34/'P &amp; L'!I35)</f>
        <v>76.492776837172713</v>
      </c>
      <c r="J46" s="641"/>
      <c r="K46" s="641"/>
      <c r="L46" s="470"/>
      <c r="M46" s="8"/>
      <c r="N46" s="8"/>
      <c r="O46" s="8"/>
      <c r="P46" s="8"/>
      <c r="Q46" s="8"/>
      <c r="R46" s="8"/>
      <c r="S46" s="8"/>
      <c r="T46" s="8"/>
    </row>
    <row r="47" spans="1:20" s="109" customFormat="1" x14ac:dyDescent="0.25">
      <c r="A47" s="442"/>
      <c r="B47" s="329" t="s">
        <v>404</v>
      </c>
      <c r="C47" s="351">
        <f>2218/('P &amp; L'!C8/'P &amp; L'!C35)</f>
        <v>5.6019196918802425</v>
      </c>
      <c r="D47" s="351">
        <f>2885/('P &amp; L'!D8/'P &amp; L'!D35)</f>
        <v>7.7406508683447743</v>
      </c>
      <c r="E47" s="351">
        <f>4013/('P &amp; L'!E8/'P &amp; L'!E35)</f>
        <v>8.3919717738223483</v>
      </c>
      <c r="F47" s="351">
        <f>3413.05/('P &amp; L'!F8/'P &amp; L'!F35)</f>
        <v>5.1608973338933684</v>
      </c>
      <c r="G47" s="351">
        <f>4570/('P &amp; L'!G8/'P &amp; L'!G35)</f>
        <v>5.8526653717953341</v>
      </c>
      <c r="H47" s="351">
        <f>4109.75/('P &amp; L'!H8/'P &amp; L'!H35)</f>
        <v>4.5054549908782375</v>
      </c>
      <c r="I47" s="351">
        <f>4075/('P &amp; L'!I8/'P &amp; L'!I35)</f>
        <v>3.8532071752279906</v>
      </c>
      <c r="J47" s="641"/>
      <c r="K47" s="641"/>
      <c r="L47" s="470"/>
      <c r="M47" s="8"/>
      <c r="N47" s="8"/>
      <c r="O47" s="8"/>
      <c r="P47" s="8"/>
      <c r="Q47" s="8"/>
      <c r="R47" s="8"/>
      <c r="S47" s="8"/>
      <c r="T47" s="8"/>
    </row>
    <row r="48" spans="1:20" s="109" customFormat="1" x14ac:dyDescent="0.25">
      <c r="A48" s="442"/>
      <c r="B48" s="329" t="s">
        <v>405</v>
      </c>
      <c r="C48" s="351">
        <f>2218/(BS!C42/'P &amp; L'!C35)</f>
        <v>12.573858154275193</v>
      </c>
      <c r="D48" s="351">
        <f>2885/(BS!D42/'P &amp; L'!D35)</f>
        <v>15.338256003392942</v>
      </c>
      <c r="E48" s="351">
        <f>4013/(BS!E42/'P &amp; L'!E35)</f>
        <v>19.005269343319764</v>
      </c>
      <c r="F48" s="351">
        <f>3413.05/(BS!F42/'P &amp; L'!F35)</f>
        <v>13.750456874785588</v>
      </c>
      <c r="G48" s="351">
        <f>4570/(BS!G42/'P &amp; L'!G35)</f>
        <v>15.897984772967705</v>
      </c>
      <c r="H48" s="351">
        <f>4109.75/(BS!H42/'P &amp; L'!H35)</f>
        <v>12.481391097149817</v>
      </c>
      <c r="I48" s="351">
        <f>4075/(BS!I42/'P &amp; L'!I35)</f>
        <v>10.840351019791221</v>
      </c>
      <c r="J48" s="641"/>
      <c r="K48" s="641"/>
      <c r="L48" s="470"/>
      <c r="M48" s="8"/>
      <c r="N48" s="8"/>
      <c r="O48" s="8"/>
      <c r="P48" s="8"/>
      <c r="Q48" s="8"/>
      <c r="R48" s="8"/>
      <c r="S48" s="8"/>
      <c r="T48" s="8"/>
    </row>
    <row r="49" spans="1:20" s="109" customFormat="1" x14ac:dyDescent="0.25">
      <c r="A49" s="442"/>
      <c r="B49" s="329" t="s">
        <v>406</v>
      </c>
      <c r="C49" s="351">
        <f>'Cash flow statement'!C34/'P &amp; L'!C35</f>
        <v>20.379937766636058</v>
      </c>
      <c r="D49" s="351">
        <f>'Cash flow statement'!D34/'P &amp; L'!D35</f>
        <v>21.228677487802624</v>
      </c>
      <c r="E49" s="351">
        <f>'Cash flow statement'!E34/'P &amp; L'!E35</f>
        <v>21.185606956663289</v>
      </c>
      <c r="F49" s="351">
        <f>'Cash flow statement'!F34/'P &amp; L'!F35</f>
        <v>40.6043685324778</v>
      </c>
      <c r="G49" s="351">
        <f>'Cash flow statement'!G34/'P &amp; L'!G35</f>
        <v>42.215265522088146</v>
      </c>
      <c r="H49" s="351">
        <f>'Cash flow statement'!H34/'P &amp; L'!H35</f>
        <v>37.849159987671015</v>
      </c>
      <c r="I49" s="351">
        <f>'Cash flow statement'!I34/'P &amp; L'!I35</f>
        <v>53.273003916099142</v>
      </c>
      <c r="J49" s="641"/>
      <c r="K49" s="641"/>
      <c r="L49" s="470"/>
      <c r="M49" s="8"/>
      <c r="N49" s="8"/>
      <c r="O49" s="8"/>
      <c r="P49" s="8"/>
      <c r="Q49" s="8"/>
      <c r="R49" s="8"/>
      <c r="S49" s="8"/>
      <c r="T49" s="8"/>
    </row>
    <row r="50" spans="1:20" s="109" customFormat="1" x14ac:dyDescent="0.25">
      <c r="A50" s="442"/>
      <c r="B50" s="329" t="s">
        <v>439</v>
      </c>
      <c r="C50" s="351">
        <f>'P &amp; L'!C16/'P &amp; L'!C35</f>
        <v>33.882876363608048</v>
      </c>
      <c r="D50" s="351">
        <f>'P &amp; L'!D16/'P &amp; L'!D35</f>
        <v>26.908275735644612</v>
      </c>
      <c r="E50" s="351">
        <f>'P &amp; L'!E16/'P &amp; L'!E35</f>
        <v>38.570509695939926</v>
      </c>
      <c r="F50" s="351">
        <f>'P &amp; L'!F16/'P &amp; L'!F35</f>
        <v>56.146063515790345</v>
      </c>
      <c r="G50" s="351">
        <f>'P &amp; L'!G16/'P &amp; L'!G35</f>
        <v>63.092438085095957</v>
      </c>
      <c r="H50" s="351">
        <f>'P &amp; L'!H16/'P &amp; L'!H35</f>
        <v>68.958075448533904</v>
      </c>
      <c r="I50" s="351">
        <f>'P &amp; L'!I16/'P &amp; L'!I35</f>
        <v>79.701745553805779</v>
      </c>
      <c r="J50" s="641"/>
      <c r="K50" s="641"/>
      <c r="L50" s="470"/>
      <c r="M50" s="8"/>
      <c r="N50" s="8"/>
      <c r="O50" s="8"/>
      <c r="P50" s="8"/>
      <c r="Q50" s="8"/>
      <c r="R50" s="8"/>
      <c r="S50" s="8"/>
      <c r="T50" s="8"/>
    </row>
    <row r="51" spans="1:20" s="109" customFormat="1" x14ac:dyDescent="0.25">
      <c r="A51" s="442"/>
      <c r="B51" s="289"/>
      <c r="C51" s="292"/>
      <c r="D51" s="292"/>
      <c r="E51" s="292"/>
      <c r="F51" s="292"/>
      <c r="G51" s="292"/>
      <c r="H51" s="292"/>
      <c r="I51" s="292"/>
      <c r="J51" s="271"/>
      <c r="K51" s="33"/>
      <c r="L51" s="470"/>
      <c r="M51" s="8"/>
      <c r="N51" s="8"/>
      <c r="O51" s="8"/>
      <c r="P51" s="8"/>
      <c r="Q51" s="8"/>
      <c r="R51" s="8"/>
      <c r="S51" s="8"/>
      <c r="T51" s="8"/>
    </row>
    <row r="52" spans="1:20" s="109" customFormat="1" x14ac:dyDescent="0.25">
      <c r="A52" s="442"/>
      <c r="B52" s="294" t="s">
        <v>407</v>
      </c>
      <c r="C52" s="337">
        <v>43921</v>
      </c>
      <c r="D52" s="337">
        <f t="shared" ref="D52" si="37">EOMONTH(C52,12)</f>
        <v>44286</v>
      </c>
      <c r="E52" s="337">
        <f t="shared" ref="E52" si="38">EOMONTH(D52,12)</f>
        <v>44651</v>
      </c>
      <c r="F52" s="337">
        <f t="shared" ref="F52" si="39">EOMONTH(E52,12)</f>
        <v>45016</v>
      </c>
      <c r="G52" s="337">
        <f t="shared" ref="G52" si="40">EOMONTH(F52,12)</f>
        <v>45382</v>
      </c>
      <c r="H52" s="337">
        <f t="shared" ref="H52" si="41">EOMONTH(G52,12)</f>
        <v>45747</v>
      </c>
      <c r="I52" s="337">
        <f t="shared" ref="I52" si="42">EOMONTH(H52,12)</f>
        <v>46112</v>
      </c>
      <c r="J52" s="640" t="s">
        <v>366</v>
      </c>
      <c r="K52" s="640"/>
      <c r="L52" s="470"/>
      <c r="M52" s="8"/>
      <c r="N52" s="8"/>
      <c r="O52" s="8"/>
      <c r="P52" s="8"/>
      <c r="Q52" s="8"/>
      <c r="R52" s="8"/>
      <c r="S52" s="8"/>
      <c r="T52" s="8"/>
    </row>
    <row r="53" spans="1:20" s="109" customFormat="1" x14ac:dyDescent="0.25">
      <c r="A53" s="442"/>
      <c r="B53" s="329" t="s">
        <v>365</v>
      </c>
      <c r="C53" s="351">
        <v>0</v>
      </c>
      <c r="D53" s="336">
        <f>D10</f>
        <v>4.5538138081916646E-2</v>
      </c>
      <c r="E53" s="336">
        <f t="shared" ref="E53:I53" si="43">E10</f>
        <v>4.8178815590127502E-2</v>
      </c>
      <c r="F53" s="336">
        <f t="shared" si="43"/>
        <v>5.551737692917489E-2</v>
      </c>
      <c r="G53" s="336">
        <f t="shared" si="43"/>
        <v>4.9924560183804242E-2</v>
      </c>
      <c r="H53" s="336">
        <f t="shared" si="43"/>
        <v>4.5612178971512617E-2</v>
      </c>
      <c r="I53" s="336">
        <f t="shared" si="43"/>
        <v>4.3164313548502919E-2</v>
      </c>
      <c r="J53" s="641"/>
      <c r="K53" s="641"/>
      <c r="L53" s="470"/>
      <c r="M53" s="8"/>
      <c r="N53" s="8"/>
      <c r="O53" s="8"/>
      <c r="P53" s="8"/>
      <c r="Q53" s="8"/>
      <c r="R53" s="8"/>
      <c r="S53" s="8"/>
      <c r="T53" s="8"/>
    </row>
    <row r="54" spans="1:20" s="109" customFormat="1" x14ac:dyDescent="0.25">
      <c r="A54" s="442"/>
      <c r="B54" s="329" t="s">
        <v>388</v>
      </c>
      <c r="C54" s="351">
        <v>0</v>
      </c>
      <c r="D54" s="351">
        <f>D28</f>
        <v>1.8764702270521003</v>
      </c>
      <c r="E54" s="351">
        <f t="shared" ref="E54:I54" si="44">E28</f>
        <v>2.1268622155331136</v>
      </c>
      <c r="F54" s="351">
        <f t="shared" si="44"/>
        <v>2.5515738589645349</v>
      </c>
      <c r="G54" s="351">
        <f t="shared" si="44"/>
        <v>2.5857595646415326</v>
      </c>
      <c r="H54" s="351">
        <f t="shared" si="44"/>
        <v>2.6092889959424133</v>
      </c>
      <c r="I54" s="351">
        <f t="shared" si="44"/>
        <v>2.5562750547641313</v>
      </c>
      <c r="J54" s="641"/>
      <c r="K54" s="641"/>
      <c r="L54" s="470"/>
      <c r="M54" s="8"/>
      <c r="N54" s="8"/>
      <c r="O54" s="8"/>
      <c r="P54" s="8"/>
      <c r="Q54" s="8"/>
      <c r="R54" s="8"/>
      <c r="S54" s="8"/>
      <c r="T54" s="8"/>
    </row>
    <row r="55" spans="1:20" s="109" customFormat="1" x14ac:dyDescent="0.25">
      <c r="A55" s="442"/>
      <c r="B55" s="329" t="s">
        <v>399</v>
      </c>
      <c r="C55" s="351">
        <v>0</v>
      </c>
      <c r="D55" s="351">
        <f>D40</f>
        <v>1.106089972150474</v>
      </c>
      <c r="E55" s="351">
        <f t="shared" ref="E55:I55" si="45">E40</f>
        <v>1.1263092568246846</v>
      </c>
      <c r="F55" s="351">
        <f t="shared" si="45"/>
        <v>1.1284505289066284</v>
      </c>
      <c r="G55" s="351">
        <f t="shared" si="45"/>
        <v>1.1296110664444454</v>
      </c>
      <c r="H55" s="351">
        <f t="shared" si="45"/>
        <v>1.1339209610996301</v>
      </c>
      <c r="I55" s="351">
        <f t="shared" si="45"/>
        <v>1.173363542421658</v>
      </c>
      <c r="J55" s="641"/>
      <c r="K55" s="641"/>
      <c r="L55" s="470"/>
      <c r="M55" s="8"/>
      <c r="N55" s="8"/>
      <c r="O55" s="8"/>
      <c r="P55" s="8"/>
      <c r="Q55" s="8"/>
      <c r="R55" s="8"/>
      <c r="S55" s="8"/>
      <c r="T55" s="8"/>
    </row>
    <row r="56" spans="1:20" s="109" customFormat="1" x14ac:dyDescent="0.25">
      <c r="A56" s="442"/>
      <c r="B56" s="329" t="s">
        <v>408</v>
      </c>
      <c r="C56" s="351">
        <v>0</v>
      </c>
      <c r="D56" s="336">
        <f>D53*D54*D55</f>
        <v>9.4516450305209859E-2</v>
      </c>
      <c r="E56" s="336">
        <f t="shared" ref="E56:I56" si="46">E53*E54*E55</f>
        <v>0.11541257443353173</v>
      </c>
      <c r="F56" s="336">
        <f t="shared" si="46"/>
        <v>0.15985256414780308</v>
      </c>
      <c r="G56" s="336">
        <f t="shared" si="46"/>
        <v>0.14582477861245033</v>
      </c>
      <c r="H56" s="336">
        <f t="shared" si="46"/>
        <v>0.13495400762236276</v>
      </c>
      <c r="I56" s="336">
        <f t="shared" si="46"/>
        <v>0.12946876662978049</v>
      </c>
      <c r="J56" s="641"/>
      <c r="K56" s="641"/>
      <c r="L56" s="470"/>
      <c r="M56" s="8"/>
      <c r="N56" s="8"/>
      <c r="O56" s="8"/>
      <c r="P56" s="8"/>
      <c r="Q56" s="8"/>
      <c r="R56" s="8"/>
      <c r="S56" s="8"/>
      <c r="T56" s="8"/>
    </row>
    <row r="57" spans="1:20" s="109" customFormat="1" ht="15.75" customHeight="1" x14ac:dyDescent="0.25">
      <c r="A57" s="442"/>
      <c r="B57" s="289"/>
      <c r="C57" s="292"/>
      <c r="D57" s="292"/>
      <c r="E57" s="292"/>
      <c r="F57" s="292"/>
      <c r="G57" s="292"/>
      <c r="H57" s="275"/>
      <c r="I57" s="275"/>
      <c r="J57" s="271"/>
      <c r="K57" s="33"/>
      <c r="L57" s="470"/>
      <c r="M57" s="8"/>
      <c r="N57" s="8"/>
      <c r="O57" s="8"/>
      <c r="P57" s="8"/>
      <c r="Q57" s="8"/>
      <c r="R57" s="8"/>
      <c r="S57" s="8"/>
      <c r="T57" s="8"/>
    </row>
    <row r="58" spans="1:20" s="109" customFormat="1" ht="15.75" customHeight="1" x14ac:dyDescent="0.25">
      <c r="A58" s="442"/>
      <c r="B58" s="294" t="s">
        <v>409</v>
      </c>
      <c r="C58" s="337">
        <v>43921</v>
      </c>
      <c r="D58" s="337">
        <f t="shared" ref="D58" si="47">EOMONTH(C58,12)</f>
        <v>44286</v>
      </c>
      <c r="E58" s="337">
        <f t="shared" ref="E58" si="48">EOMONTH(D58,12)</f>
        <v>44651</v>
      </c>
      <c r="F58" s="337">
        <f t="shared" ref="F58" si="49">EOMONTH(E58,12)</f>
        <v>45016</v>
      </c>
      <c r="G58" s="337">
        <f t="shared" ref="G58" si="50">EOMONTH(F58,12)</f>
        <v>45382</v>
      </c>
      <c r="H58" s="337">
        <f t="shared" ref="H58" si="51">EOMONTH(G58,12)</f>
        <v>45747</v>
      </c>
      <c r="I58" s="337">
        <f t="shared" ref="I58" si="52">EOMONTH(H58,12)</f>
        <v>46112</v>
      </c>
      <c r="J58" s="640" t="s">
        <v>366</v>
      </c>
      <c r="K58" s="640"/>
      <c r="L58" s="470"/>
      <c r="M58" s="8"/>
      <c r="N58" s="8"/>
      <c r="O58" s="8"/>
      <c r="P58" s="8"/>
      <c r="Q58" s="8"/>
      <c r="R58" s="8"/>
      <c r="S58" s="8"/>
      <c r="T58" s="8"/>
    </row>
    <row r="59" spans="1:20" ht="15.75" customHeight="1" x14ac:dyDescent="0.25">
      <c r="A59" s="442"/>
      <c r="B59" s="329" t="s">
        <v>410</v>
      </c>
      <c r="C59" s="336">
        <f>'Cash flow statement'!C34/'P &amp; L'!C8</f>
        <v>5.1472847021736864E-2</v>
      </c>
      <c r="D59" s="336">
        <f>'Cash flow statement'!D34/'P &amp; L'!D8</f>
        <v>5.6957982956592913E-2</v>
      </c>
      <c r="E59" s="336">
        <f>'Cash flow statement'!E34/'P &amp; L'!E8</f>
        <v>4.4303268276006148E-2</v>
      </c>
      <c r="F59" s="336">
        <f>'Cash flow statement'!F34/'P &amp; L'!F8</f>
        <v>6.139815628358461E-2</v>
      </c>
      <c r="G59" s="336">
        <f>'Cash flow statement'!G34/'P &amp; L'!G8</f>
        <v>5.4063856166798846E-2</v>
      </c>
      <c r="H59" s="336">
        <f>'Cash flow statement'!H34/'P &amp; L'!H8</f>
        <v>4.149344528669658E-2</v>
      </c>
      <c r="I59" s="336">
        <f>'Cash flow statement'!I34/'P &amp; L'!I8</f>
        <v>5.0373477530174737E-2</v>
      </c>
      <c r="J59" s="641"/>
      <c r="K59" s="641"/>
      <c r="L59" s="470"/>
    </row>
    <row r="60" spans="1:20" ht="15.75" customHeight="1" x14ac:dyDescent="0.25">
      <c r="A60" s="442"/>
      <c r="B60" s="329" t="s">
        <v>411</v>
      </c>
      <c r="C60" s="351">
        <v>0</v>
      </c>
      <c r="D60" s="336">
        <f>'Cash flow statement'!D34/AVERAGE(BS!C34:D34)</f>
        <v>0.10687995921098757</v>
      </c>
      <c r="E60" s="336">
        <f>'Cash flow statement'!E34/AVERAGE(BS!D34:E34)</f>
        <v>9.422694732086434E-2</v>
      </c>
      <c r="F60" s="336">
        <f>'Cash flow statement'!F34/AVERAGE(BS!E34:F34)</f>
        <v>0.15666193056181357</v>
      </c>
      <c r="G60" s="336">
        <f>'Cash flow statement'!G34/AVERAGE(BS!F34:G34)</f>
        <v>0.13979613318470421</v>
      </c>
      <c r="H60" s="336">
        <f>'Cash flow statement'!H34/AVERAGE(BS!G34:H34)</f>
        <v>0.10826839019031599</v>
      </c>
      <c r="I60" s="336">
        <f>'Cash flow statement'!I34/AVERAGE(BS!H34:I34)</f>
        <v>0.12876846403210718</v>
      </c>
      <c r="J60" s="641"/>
      <c r="K60" s="641"/>
      <c r="L60" s="470"/>
    </row>
    <row r="61" spans="1:20" ht="15.75" customHeight="1" x14ac:dyDescent="0.25">
      <c r="A61" s="442"/>
      <c r="B61" s="329" t="s">
        <v>412</v>
      </c>
      <c r="C61" s="351">
        <v>0</v>
      </c>
      <c r="D61" s="336">
        <f>'Cash flow statement'!D34/AVERAGE(BS!C42:D42)</f>
        <v>0.11821885110712504</v>
      </c>
      <c r="E61" s="336">
        <f>'Cash flow statement'!E34/AVERAGE(BS!D42:E42)</f>
        <v>0.10612868300982144</v>
      </c>
      <c r="F61" s="336">
        <f>'Cash flow statement'!F34/AVERAGE(BS!E42:F42)</f>
        <v>0.17678523840201202</v>
      </c>
      <c r="G61" s="336">
        <f>'Cash flow statement'!G34/AVERAGE(BS!F42:G42)</f>
        <v>0.15791525909158347</v>
      </c>
      <c r="H61" s="336">
        <f>'Cash flow statement'!H34/AVERAGE(BS!G42:H42)</f>
        <v>0.12276779706131287</v>
      </c>
      <c r="I61" s="336">
        <f>'Cash flow statement'!I34/AVERAGE(BS!H42:I42)</f>
        <v>0.1510922211089091</v>
      </c>
      <c r="J61" s="641"/>
      <c r="K61" s="641"/>
      <c r="L61" s="470"/>
    </row>
    <row r="62" spans="1:20" ht="15.75" customHeight="1" x14ac:dyDescent="0.25">
      <c r="A62" s="442"/>
      <c r="B62" s="329" t="s">
        <v>413</v>
      </c>
      <c r="C62" s="336">
        <f>'Cash flow statement'!C34/'P &amp; L'!C32</f>
        <v>0.98398130639978987</v>
      </c>
      <c r="D62" s="336">
        <f>'Cash flow statement'!D34/'P &amp; L'!D32</f>
        <v>1.2507754017991159</v>
      </c>
      <c r="E62" s="336">
        <f>'Cash flow statement'!E34/'P &amp; L'!E32</f>
        <v>0.91955909943714964</v>
      </c>
      <c r="F62" s="336">
        <f>'Cash flow statement'!F34/'P &amp; L'!F32</f>
        <v>1.1059268229100951</v>
      </c>
      <c r="G62" s="336">
        <f>'Cash flow statement'!G34/'P &amp; L'!G32</f>
        <v>1.0829110154952835</v>
      </c>
      <c r="H62" s="336">
        <f>'Cash flow statement'!H34/'P &amp; L'!H32</f>
        <v>0.90970101017562832</v>
      </c>
      <c r="I62" s="336">
        <f>'Cash flow statement'!I34/'P &amp; L'!I32</f>
        <v>1.1670167642900429</v>
      </c>
      <c r="J62" s="641"/>
      <c r="K62" s="641"/>
      <c r="L62" s="470"/>
    </row>
    <row r="63" spans="1:20" ht="15.75" customHeight="1" x14ac:dyDescent="0.25">
      <c r="A63" s="442"/>
      <c r="B63" s="329" t="s">
        <v>414</v>
      </c>
      <c r="C63" s="351">
        <v>0</v>
      </c>
      <c r="D63" s="351">
        <f>'Cash flow statement'!D34/SUM(AVERAGE(BS!C46:D46),AVERAGE(BS!C47:D47),AVERAGE(BS!C53:D53),AVERAGE(BS!C54:D54))</f>
        <v>3.9697463951155436</v>
      </c>
      <c r="E63" s="351">
        <f>'Cash flow statement'!E34/SUM(AVERAGE(BS!D46:E46),AVERAGE(BS!D47:E47),AVERAGE(BS!D53:E53),AVERAGE(BS!D54:E54))</f>
        <v>2.6378664103796274</v>
      </c>
      <c r="F63" s="351">
        <f>'Cash flow statement'!F34/SUM(AVERAGE(BS!E46:F46),AVERAGE(BS!E47:F47),AVERAGE(BS!E53:F53),AVERAGE(BS!E54:F54))</f>
        <v>4.0754105980787108</v>
      </c>
      <c r="G63" s="351">
        <f>'Cash flow statement'!G34/SUM(AVERAGE(BS!F46:G46),AVERAGE(BS!F47:G47),AVERAGE(BS!F53:G53),AVERAGE(BS!F54:G54))</f>
        <v>4.4431786922118457</v>
      </c>
      <c r="H63" s="351">
        <f>'Cash flow statement'!H34/SUM(AVERAGE(BS!G46:H46),AVERAGE(BS!G47:H47),AVERAGE(BS!G53:H53),AVERAGE(BS!G54:H54))</f>
        <v>3.4870455317703026</v>
      </c>
      <c r="I63" s="351">
        <f>'Cash flow statement'!I34/SUM(AVERAGE(BS!H46:I46),AVERAGE(BS!H47:I47),AVERAGE(BS!H53:I53),AVERAGE(BS!H54:I54))</f>
        <v>2.1362443154508806</v>
      </c>
      <c r="J63" s="641"/>
      <c r="K63" s="641"/>
      <c r="L63" s="470"/>
    </row>
    <row r="64" spans="1:20" ht="15.75" customHeight="1" x14ac:dyDescent="0.25">
      <c r="A64" s="442"/>
      <c r="B64" s="329" t="s">
        <v>400</v>
      </c>
      <c r="C64" s="351">
        <f>'Cash flow statement'!C34/-SUM('Cash flow statement'!C60:C61)</f>
        <v>18.778641631216079</v>
      </c>
      <c r="D64" s="351">
        <f>'Cash flow statement'!D34/-SUM('Cash flow statement'!D60:D61)</f>
        <v>31.539908256880736</v>
      </c>
      <c r="E64" s="351">
        <f>'Cash flow statement'!E34/-SUM('Cash flow statement'!E60:E61)</f>
        <v>25.513106525376486</v>
      </c>
      <c r="F64" s="351">
        <f>'Cash flow statement'!F34/-SUM('Cash flow statement'!F60:F61)</f>
        <v>39.01898828067052</v>
      </c>
      <c r="G64" s="351">
        <f>'Cash flow statement'!G34/-SUM('Cash flow statement'!G60:G61)</f>
        <v>47.236194735936657</v>
      </c>
      <c r="H64" s="351">
        <f>'Cash flow statement'!H34/-SUM('Cash flow statement'!H60:H61)</f>
        <v>35.463930885529152</v>
      </c>
      <c r="I64" s="351">
        <f>'Cash flow statement'!I34/-SUM('Cash flow statement'!I60:I61)</f>
        <v>24.642735285754888</v>
      </c>
      <c r="J64" s="641"/>
      <c r="K64" s="641"/>
      <c r="L64" s="470"/>
    </row>
    <row r="65" spans="1:12" ht="15.75" customHeight="1" x14ac:dyDescent="0.25">
      <c r="A65" s="442"/>
      <c r="B65" s="329" t="s">
        <v>415</v>
      </c>
      <c r="C65" s="336">
        <f>-'Cash flow statement'!C34/'Cash flow statement'!C45</f>
        <v>0.27491109316748846</v>
      </c>
      <c r="D65" s="336">
        <f>-'Cash flow statement'!D34/'Cash flow statement'!D45</f>
        <v>1.238864864864865</v>
      </c>
      <c r="E65" s="336">
        <f>-'Cash flow statement'!E34/'Cash flow statement'!E45</f>
        <v>1.0642579624502719</v>
      </c>
      <c r="F65" s="336">
        <f>-'Cash flow statement'!F34/'Cash flow statement'!F45</f>
        <v>1.1371190177683628</v>
      </c>
      <c r="G65" s="336">
        <f>-'Cash flow statement'!G34/'Cash flow statement'!G45</f>
        <v>1.1124733108340787</v>
      </c>
      <c r="H65" s="336">
        <f>-'Cash flow statement'!H34/'Cash flow statement'!H45</f>
        <v>1.1270574884112554</v>
      </c>
      <c r="I65" s="336">
        <f>-'Cash flow statement'!I34/'Cash flow statement'!I45</f>
        <v>0.82404871926521706</v>
      </c>
      <c r="J65" s="641"/>
      <c r="K65" s="641"/>
      <c r="L65" s="470"/>
    </row>
    <row r="66" spans="1:12" ht="15.75" customHeight="1" x14ac:dyDescent="0.25">
      <c r="A66" s="442"/>
      <c r="B66" s="329" t="s">
        <v>416</v>
      </c>
      <c r="C66" s="351">
        <f>-'Cash flow statement'!C34/SUM('Cash flow statement'!C58:C60)</f>
        <v>4.2705497731518554</v>
      </c>
      <c r="D66" s="351">
        <f>-'Cash flow statement'!D34/SUM('Cash flow statement'!D58:D60)</f>
        <v>10.135918036411882</v>
      </c>
      <c r="E66" s="351">
        <f>-'Cash flow statement'!E34/SUM('Cash flow statement'!E58:E60)</f>
        <v>7.7237167942368368</v>
      </c>
      <c r="F66" s="351">
        <f>-'Cash flow statement'!F34/SUM('Cash flow statement'!F58:F60)</f>
        <v>11.97536878528501</v>
      </c>
      <c r="G66" s="351">
        <f>-'Cash flow statement'!G34/SUM('Cash flow statement'!G58:G60)</f>
        <v>12.408893709327543</v>
      </c>
      <c r="H66" s="351">
        <f>-'Cash flow statement'!H34/SUM('Cash flow statement'!H58:H60)</f>
        <v>9.5783230924788061</v>
      </c>
      <c r="I66" s="351">
        <f>-'Cash flow statement'!I34/SUM('Cash flow statement'!I58:I60)</f>
        <v>11.031087918032259</v>
      </c>
      <c r="J66" s="641"/>
      <c r="K66" s="641"/>
      <c r="L66" s="470"/>
    </row>
    <row r="67" spans="1:12" ht="15.75" customHeight="1" thickBot="1" x14ac:dyDescent="0.3">
      <c r="A67" s="465"/>
      <c r="B67" s="467"/>
      <c r="C67" s="467"/>
      <c r="D67" s="467"/>
      <c r="E67" s="467"/>
      <c r="F67" s="467"/>
      <c r="G67" s="467"/>
      <c r="H67" s="467"/>
      <c r="I67" s="467"/>
      <c r="J67" s="467"/>
      <c r="K67" s="467"/>
      <c r="L67" s="481"/>
    </row>
    <row r="68" spans="1:12" ht="15.75" customHeight="1" thickTop="1" x14ac:dyDescent="0.25">
      <c r="B68" s="289"/>
      <c r="C68" s="292"/>
      <c r="D68" s="292"/>
      <c r="E68" s="292"/>
      <c r="F68" s="292"/>
      <c r="G68" s="292"/>
      <c r="H68" s="292"/>
      <c r="I68" s="292"/>
    </row>
    <row r="69" spans="1:12" ht="15.75" customHeight="1" x14ac:dyDescent="0.25">
      <c r="B69" s="289"/>
      <c r="C69" s="293"/>
      <c r="D69" s="293"/>
      <c r="E69" s="293"/>
      <c r="F69" s="293"/>
      <c r="G69" s="293"/>
      <c r="H69" s="275"/>
      <c r="I69" s="275"/>
    </row>
    <row r="70" spans="1:12" ht="15.75" customHeight="1" x14ac:dyDescent="0.25">
      <c r="B70" s="290"/>
      <c r="C70" s="293"/>
      <c r="D70" s="293"/>
      <c r="E70" s="293"/>
      <c r="F70" s="293"/>
      <c r="G70" s="293"/>
      <c r="H70" s="275"/>
      <c r="I70" s="275"/>
    </row>
    <row r="71" spans="1:12" ht="15.75" customHeight="1" x14ac:dyDescent="0.25">
      <c r="B71" s="225"/>
      <c r="C71" s="293"/>
      <c r="D71" s="293"/>
      <c r="E71" s="293"/>
      <c r="F71" s="293"/>
      <c r="G71" s="293"/>
      <c r="H71" s="293"/>
      <c r="I71" s="293"/>
    </row>
    <row r="72" spans="1:12" ht="15.75" customHeight="1" x14ac:dyDescent="0.25">
      <c r="B72" s="225"/>
      <c r="C72" s="293"/>
      <c r="D72" s="293"/>
      <c r="E72" s="293"/>
      <c r="F72" s="293"/>
      <c r="G72" s="293"/>
      <c r="H72" s="293"/>
      <c r="I72" s="293"/>
    </row>
    <row r="73" spans="1:12" ht="15.75" customHeight="1" x14ac:dyDescent="0.25">
      <c r="B73" s="225"/>
      <c r="C73" s="293"/>
      <c r="D73" s="293"/>
      <c r="E73" s="293"/>
      <c r="F73" s="293"/>
      <c r="G73" s="293"/>
      <c r="H73" s="293"/>
      <c r="I73" s="293"/>
    </row>
    <row r="74" spans="1:12" ht="15.75" customHeight="1" x14ac:dyDescent="0.25">
      <c r="B74" s="289"/>
      <c r="C74" s="292"/>
      <c r="D74" s="292"/>
      <c r="E74" s="292"/>
      <c r="F74" s="292"/>
      <c r="G74" s="292"/>
      <c r="H74" s="292"/>
      <c r="I74" s="292"/>
      <c r="J74" s="288"/>
    </row>
    <row r="75" spans="1:12" ht="15.75" customHeight="1" x14ac:dyDescent="0.25">
      <c r="B75" s="290"/>
      <c r="C75" s="293"/>
      <c r="D75" s="293"/>
      <c r="E75" s="293"/>
      <c r="F75" s="293"/>
      <c r="G75" s="293"/>
      <c r="H75" s="293"/>
      <c r="I75" s="293"/>
    </row>
    <row r="76" spans="1:12" ht="15.75" customHeight="1" x14ac:dyDescent="0.25">
      <c r="B76" s="225"/>
      <c r="C76" s="275"/>
      <c r="D76" s="275"/>
      <c r="E76" s="275"/>
      <c r="F76" s="275"/>
      <c r="G76" s="275"/>
      <c r="H76" s="275"/>
      <c r="I76" s="275"/>
    </row>
    <row r="77" spans="1:12" ht="15.75" customHeight="1" x14ac:dyDescent="0.25">
      <c r="B77" s="225"/>
      <c r="C77" s="293"/>
      <c r="D77" s="293"/>
      <c r="E77" s="293"/>
      <c r="F77" s="293"/>
      <c r="G77" s="293"/>
      <c r="H77" s="293"/>
      <c r="I77" s="293"/>
    </row>
    <row r="78" spans="1:12" ht="15.75" customHeight="1" x14ac:dyDescent="0.25">
      <c r="B78" s="225"/>
      <c r="C78" s="293"/>
      <c r="D78" s="293"/>
      <c r="E78" s="293"/>
      <c r="F78" s="293"/>
      <c r="G78" s="293"/>
      <c r="H78" s="293"/>
      <c r="I78" s="293"/>
    </row>
    <row r="79" spans="1:12" ht="15.75" customHeight="1" x14ac:dyDescent="0.25">
      <c r="B79" s="225"/>
      <c r="C79" s="293"/>
      <c r="D79" s="293"/>
      <c r="E79" s="293"/>
      <c r="F79" s="293"/>
      <c r="G79" s="293"/>
      <c r="H79" s="293"/>
      <c r="I79" s="293"/>
    </row>
    <row r="80" spans="1:12" ht="15.75" customHeight="1" x14ac:dyDescent="0.25">
      <c r="B80" s="289"/>
      <c r="C80" s="292"/>
      <c r="D80" s="292"/>
      <c r="E80" s="292"/>
      <c r="F80" s="292"/>
      <c r="G80" s="292"/>
      <c r="H80" s="292"/>
      <c r="I80" s="292"/>
    </row>
    <row r="81" spans="2:9" ht="15.75" customHeight="1" x14ac:dyDescent="0.25">
      <c r="B81" s="289"/>
      <c r="C81" s="293"/>
      <c r="D81" s="293"/>
      <c r="E81" s="293"/>
      <c r="F81" s="293"/>
      <c r="G81" s="293"/>
      <c r="H81" s="275"/>
      <c r="I81" s="275"/>
    </row>
    <row r="82" spans="2:9" ht="15.75" customHeight="1" x14ac:dyDescent="0.25">
      <c r="B82" s="289"/>
      <c r="C82" s="292"/>
      <c r="D82" s="292"/>
      <c r="E82" s="292"/>
      <c r="F82" s="292"/>
      <c r="G82" s="292"/>
      <c r="H82" s="292"/>
      <c r="I82" s="292"/>
    </row>
    <row r="83" spans="2:9" ht="15.75" customHeight="1" x14ac:dyDescent="0.25">
      <c r="B83" s="289"/>
      <c r="C83" s="291"/>
      <c r="D83" s="291"/>
      <c r="E83" s="291"/>
      <c r="F83" s="291"/>
      <c r="G83" s="291"/>
      <c r="H83" s="291"/>
      <c r="I83" s="291"/>
    </row>
    <row r="84" spans="2:9" ht="15.75" customHeight="1" x14ac:dyDescent="0.25"/>
    <row r="85" spans="2:9" ht="15.75" customHeight="1" x14ac:dyDescent="0.25"/>
    <row r="86" spans="2:9" ht="15.75" customHeight="1" x14ac:dyDescent="0.25"/>
    <row r="87" spans="2:9" ht="15.75" customHeight="1" x14ac:dyDescent="0.25"/>
    <row r="88" spans="2:9" ht="15.75" customHeight="1" x14ac:dyDescent="0.25"/>
    <row r="89" spans="2:9" ht="15.75" customHeight="1" x14ac:dyDescent="0.25"/>
    <row r="90" spans="2:9" ht="15.75" customHeight="1" x14ac:dyDescent="0.25"/>
    <row r="91" spans="2:9" ht="15.75" customHeight="1" x14ac:dyDescent="0.25"/>
    <row r="92" spans="2:9" ht="15.75" customHeight="1" x14ac:dyDescent="0.25"/>
    <row r="93" spans="2:9" ht="15.75" customHeight="1" x14ac:dyDescent="0.25"/>
    <row r="94" spans="2:9" ht="15.75" customHeight="1" x14ac:dyDescent="0.25"/>
    <row r="95" spans="2:9" ht="15.75" customHeight="1" x14ac:dyDescent="0.25"/>
    <row r="96" spans="2:9"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sheetData>
  <sheetProtection sheet="1" objects="1" scenarios="1"/>
  <mergeCells count="57">
    <mergeCell ref="J66:K66"/>
    <mergeCell ref="J62:K62"/>
    <mergeCell ref="J63:K63"/>
    <mergeCell ref="J65:K65"/>
    <mergeCell ref="J64:K64"/>
    <mergeCell ref="J56:K56"/>
    <mergeCell ref="J58:K58"/>
    <mergeCell ref="J59:K59"/>
    <mergeCell ref="J60:K60"/>
    <mergeCell ref="J61:K61"/>
    <mergeCell ref="J55:K55"/>
    <mergeCell ref="J45:K45"/>
    <mergeCell ref="J50:K50"/>
    <mergeCell ref="J48:K48"/>
    <mergeCell ref="J47:K47"/>
    <mergeCell ref="J46:K46"/>
    <mergeCell ref="J52:K52"/>
    <mergeCell ref="J53:K53"/>
    <mergeCell ref="J54:K54"/>
    <mergeCell ref="J43:K43"/>
    <mergeCell ref="J44:K44"/>
    <mergeCell ref="J49:K49"/>
    <mergeCell ref="J38:K38"/>
    <mergeCell ref="J39:K39"/>
    <mergeCell ref="J40:K40"/>
    <mergeCell ref="J41:K41"/>
    <mergeCell ref="J32:K32"/>
    <mergeCell ref="J33:K33"/>
    <mergeCell ref="J34:K34"/>
    <mergeCell ref="J36:K36"/>
    <mergeCell ref="J37:K37"/>
    <mergeCell ref="J29:K29"/>
    <mergeCell ref="J28:K28"/>
    <mergeCell ref="J27:K27"/>
    <mergeCell ref="J31:K31"/>
    <mergeCell ref="J23:K23"/>
    <mergeCell ref="J24:K24"/>
    <mergeCell ref="J25:K25"/>
    <mergeCell ref="J26:K26"/>
    <mergeCell ref="J18:K18"/>
    <mergeCell ref="J19:K19"/>
    <mergeCell ref="J20:K20"/>
    <mergeCell ref="J21:K21"/>
    <mergeCell ref="J22:K22"/>
    <mergeCell ref="J13:K13"/>
    <mergeCell ref="J14:K14"/>
    <mergeCell ref="J15:K15"/>
    <mergeCell ref="J16:K16"/>
    <mergeCell ref="J17:K17"/>
    <mergeCell ref="B2:K3"/>
    <mergeCell ref="J12:K12"/>
    <mergeCell ref="J5:K5"/>
    <mergeCell ref="J6:K6"/>
    <mergeCell ref="J10:K10"/>
    <mergeCell ref="J9:K9"/>
    <mergeCell ref="J8:K8"/>
    <mergeCell ref="J7:K7"/>
  </mergeCells>
  <pageMargins left="0.25" right="0.25" top="0.75" bottom="0.75" header="0.3" footer="0.3"/>
  <pageSetup paperSize="9" scale="57"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'Revenue driver'!$B$18:$B$20</xm:f>
          </x14:formula1>
          <xm:sqref>T3</xm:sqref>
        </x14:dataValidation>
      </x14:dataValidations>
    </ext>
    <ext xmlns:x14="http://schemas.microsoft.com/office/spreadsheetml/2009/9/main" uri="{05C60535-1F16-4fd2-B633-F4F36F0B64E0}">
      <x14:sparklineGroups xmlns:xm="http://schemas.microsoft.com/office/excel/2006/main">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Analysis'!C66:I66</xm:f>
              <xm:sqref>J66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Analysis'!C65:I65</xm:f>
              <xm:sqref>J65</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Analysis'!C64:I64</xm:f>
              <xm:sqref>J64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Analysis'!D63:I63</xm:f>
              <xm:sqref>J63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Analysis'!C62:I62</xm:f>
              <xm:sqref>J62</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Analysis'!D61:I61</xm:f>
              <xm:sqref>J61</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Analysis'!D60:I60</xm:f>
              <xm:sqref>J60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Analysis'!C59:I59</xm:f>
              <xm:sqref>J59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Analysis'!D56:I56</xm:f>
              <xm:sqref>J56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Analysis'!D55:I55</xm:f>
              <xm:sqref>J55</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Analysis'!D54:I54</xm:f>
              <xm:sqref>J54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Analysis'!D53:I53</xm:f>
              <xm:sqref>J53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Analysis'!C50:I50</xm:f>
              <xm:sqref>J50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Analysis'!C49:I49</xm:f>
              <xm:sqref>J49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Analysis'!C48:I48</xm:f>
              <xm:sqref>J48</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Analysis'!C47:I47</xm:f>
              <xm:sqref>J47</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Analysis'!C46:I46</xm:f>
              <xm:sqref>J46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Analysis'!C45:I45</xm:f>
              <xm:sqref>J45</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Analysis'!C44:I44</xm:f>
              <xm:sqref>J44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Analysis'!C41:I41</xm:f>
              <xm:sqref>J41</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Analysis'!D37:I37</xm:f>
              <xm:sqref>J37</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Analysis'!D38:I38</xm:f>
              <xm:sqref>J38</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Analysis'!D39:I39</xm:f>
              <xm:sqref>J39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Analysis'!D40:I40</xm:f>
              <xm:sqref>J40</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Analysis'!D32:I32</xm:f>
              <xm:sqref>J32</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Analysis'!D33:I33</xm:f>
              <xm:sqref>J33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Analysis'!D34:I34</xm:f>
              <xm:sqref>J34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Analysis'!D29:I29</xm:f>
              <xm:sqref>J29</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Analysis'!D25:I25</xm:f>
              <xm:sqref>J25</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Analysis'!D26:I26</xm:f>
              <xm:sqref>J26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Analysis'!D28:I28</xm:f>
              <xm:sqref>J28</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Analysis'!D27:I27</xm:f>
              <xm:sqref>J27</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Analysis'!C17:I17</xm:f>
              <xm:sqref>J17</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Analysis'!D16:I16</xm:f>
              <xm:sqref>J16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Analysis'!D15:I15</xm:f>
              <xm:sqref>J15</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Analysis'!D14:I14</xm:f>
              <xm:sqref>J14</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Analysis'!D13:I13</xm:f>
              <xm:sqref>J13</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Analysis'!C19:I19</xm:f>
              <xm:sqref>J19</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Analysis'!C20:I20</xm:f>
              <xm:sqref>J20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Analysis'!C21:I21</xm:f>
              <xm:sqref>J21</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Analysis'!D22:I22</xm:f>
              <xm:sqref>J22</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Analysis'!C23:I23</xm:f>
              <xm:sqref>J23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Analysis'!C10:I10</xm:f>
              <xm:sqref>J10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Analysis'!C9:I9</xm:f>
              <xm:sqref>J9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Analysis'!C8:I8</xm:f>
              <xm:sqref>J8</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Analysis'!C7:I7</xm:f>
              <xm:sqref>J7</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Analysis'!C6:I6</xm:f>
              <xm:sqref>J6</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
  <sheetViews>
    <sheetView showGridLines="0" zoomScale="87" zoomScaleNormal="87" zoomScaleSheetLayoutView="55" zoomScalePageLayoutView="55" workbookViewId="0">
      <selection activeCell="D5" sqref="D5"/>
    </sheetView>
  </sheetViews>
  <sheetFormatPr defaultRowHeight="15.75" outlineLevelRow="1" x14ac:dyDescent="0.25"/>
  <cols>
    <col min="1" max="1" width="2.28515625" style="363" customWidth="1"/>
    <col min="2" max="2" width="35.7109375" style="363" customWidth="1"/>
    <col min="3" max="9" width="14.85546875" style="130" customWidth="1"/>
    <col min="10" max="10" width="0.85546875" style="363" customWidth="1"/>
    <col min="11" max="11" width="14.85546875" style="130" customWidth="1"/>
    <col min="12" max="20" width="15.5703125" style="130" bestFit="1" customWidth="1"/>
    <col min="21" max="21" width="2.7109375" style="130" customWidth="1"/>
    <col min="22" max="16384" width="9.140625" style="130"/>
  </cols>
  <sheetData>
    <row r="1" spans="1:21" ht="16.5" thickTop="1" x14ac:dyDescent="0.25">
      <c r="A1" s="496"/>
      <c r="B1" s="497"/>
      <c r="C1" s="498"/>
      <c r="D1" s="498"/>
      <c r="E1" s="498"/>
      <c r="F1" s="498"/>
      <c r="G1" s="498"/>
      <c r="H1" s="498"/>
      <c r="I1" s="498"/>
      <c r="J1" s="497"/>
      <c r="K1" s="498"/>
      <c r="L1" s="498"/>
      <c r="M1" s="498"/>
      <c r="N1" s="498"/>
      <c r="O1" s="498"/>
      <c r="P1" s="498"/>
      <c r="Q1" s="498"/>
      <c r="R1" s="498"/>
      <c r="S1" s="498"/>
      <c r="T1" s="498"/>
      <c r="U1" s="499"/>
    </row>
    <row r="2" spans="1:21" ht="9.9499999999999993" customHeight="1" x14ac:dyDescent="0.3">
      <c r="A2" s="500"/>
      <c r="B2" s="644" t="s">
        <v>420</v>
      </c>
      <c r="C2" s="644"/>
      <c r="D2" s="644"/>
      <c r="E2" s="644"/>
      <c r="F2" s="644"/>
      <c r="G2" s="644"/>
      <c r="H2" s="644"/>
      <c r="I2" s="644"/>
      <c r="J2" s="644"/>
      <c r="K2" s="644"/>
      <c r="L2" s="644"/>
      <c r="M2" s="644"/>
      <c r="N2" s="644"/>
      <c r="O2" s="644"/>
      <c r="P2" s="644"/>
      <c r="Q2" s="644"/>
      <c r="R2" s="644"/>
      <c r="S2" s="644"/>
      <c r="T2" s="644"/>
      <c r="U2" s="501"/>
    </row>
    <row r="3" spans="1:21" ht="9.9499999999999993" customHeight="1" x14ac:dyDescent="0.3">
      <c r="A3" s="500"/>
      <c r="B3" s="644"/>
      <c r="C3" s="644"/>
      <c r="D3" s="644"/>
      <c r="E3" s="644"/>
      <c r="F3" s="644"/>
      <c r="G3" s="644"/>
      <c r="H3" s="644"/>
      <c r="I3" s="644"/>
      <c r="J3" s="644"/>
      <c r="K3" s="644"/>
      <c r="L3" s="644"/>
      <c r="M3" s="644"/>
      <c r="N3" s="644"/>
      <c r="O3" s="644"/>
      <c r="P3" s="644"/>
      <c r="Q3" s="644"/>
      <c r="R3" s="644"/>
      <c r="S3" s="644"/>
      <c r="T3" s="644"/>
      <c r="U3" s="501"/>
    </row>
    <row r="4" spans="1:21" ht="5.0999999999999996" customHeight="1" x14ac:dyDescent="0.25">
      <c r="A4" s="500"/>
      <c r="B4" s="434"/>
      <c r="C4" s="414"/>
      <c r="D4" s="414"/>
      <c r="E4" s="414"/>
      <c r="F4" s="414"/>
      <c r="G4" s="414"/>
      <c r="H4" s="414"/>
      <c r="I4" s="414"/>
      <c r="J4" s="434"/>
      <c r="K4" s="414"/>
      <c r="L4" s="414"/>
      <c r="M4" s="414"/>
      <c r="N4" s="414"/>
      <c r="O4" s="414"/>
      <c r="P4" s="414"/>
      <c r="Q4" s="414"/>
      <c r="R4" s="414"/>
      <c r="S4" s="414"/>
      <c r="T4" s="414"/>
      <c r="U4" s="502"/>
    </row>
    <row r="5" spans="1:21" x14ac:dyDescent="0.25">
      <c r="A5" s="500"/>
      <c r="B5" s="503" t="s">
        <v>421</v>
      </c>
      <c r="C5" s="504" t="s">
        <v>179</v>
      </c>
      <c r="D5" s="137" t="s">
        <v>162</v>
      </c>
      <c r="E5" s="414"/>
      <c r="F5" s="414"/>
      <c r="G5" s="414"/>
      <c r="H5" s="414"/>
      <c r="I5" s="414"/>
      <c r="J5" s="434"/>
      <c r="K5" s="414"/>
      <c r="L5" s="414"/>
      <c r="M5" s="414"/>
      <c r="N5" s="414"/>
      <c r="O5" s="414"/>
      <c r="P5" s="414"/>
      <c r="Q5" s="414"/>
      <c r="R5" s="414"/>
      <c r="S5" s="414"/>
      <c r="T5" s="414"/>
      <c r="U5" s="502"/>
    </row>
    <row r="6" spans="1:21" s="363" customFormat="1" ht="5.0999999999999996" customHeight="1" x14ac:dyDescent="0.25">
      <c r="A6" s="500"/>
      <c r="B6" s="434"/>
      <c r="C6" s="434"/>
      <c r="D6" s="434"/>
      <c r="E6" s="434"/>
      <c r="F6" s="434"/>
      <c r="G6" s="434"/>
      <c r="H6" s="434"/>
      <c r="I6" s="434"/>
      <c r="J6" s="434"/>
      <c r="K6" s="434"/>
      <c r="L6" s="434"/>
      <c r="M6" s="434"/>
      <c r="N6" s="434"/>
      <c r="O6" s="434"/>
      <c r="P6" s="434"/>
      <c r="Q6" s="434"/>
      <c r="R6" s="434"/>
      <c r="S6" s="434"/>
      <c r="T6" s="434"/>
      <c r="U6" s="505"/>
    </row>
    <row r="7" spans="1:21" s="363" customFormat="1" ht="16.5" thickBot="1" x14ac:dyDescent="0.3">
      <c r="A7" s="500"/>
      <c r="B7" s="364" t="s">
        <v>32</v>
      </c>
      <c r="C7" s="384">
        <v>43921</v>
      </c>
      <c r="D7" s="384">
        <f t="shared" ref="D7:I7" si="0">EOMONTH(C7,12)</f>
        <v>44286</v>
      </c>
      <c r="E7" s="384">
        <f t="shared" si="0"/>
        <v>44651</v>
      </c>
      <c r="F7" s="384">
        <f t="shared" si="0"/>
        <v>45016</v>
      </c>
      <c r="G7" s="384">
        <f t="shared" si="0"/>
        <v>45382</v>
      </c>
      <c r="H7" s="384">
        <f t="shared" si="0"/>
        <v>45747</v>
      </c>
      <c r="I7" s="384">
        <f t="shared" si="0"/>
        <v>46112</v>
      </c>
      <c r="J7" s="506"/>
      <c r="K7" s="385">
        <f>EOMONTH(I7,12)</f>
        <v>46477</v>
      </c>
      <c r="L7" s="385">
        <f t="shared" ref="L7:T7" si="1">EOMONTH(K7,12)</f>
        <v>46843</v>
      </c>
      <c r="M7" s="385">
        <f t="shared" si="1"/>
        <v>47208</v>
      </c>
      <c r="N7" s="385">
        <f t="shared" si="1"/>
        <v>47573</v>
      </c>
      <c r="O7" s="385">
        <f t="shared" si="1"/>
        <v>47938</v>
      </c>
      <c r="P7" s="385">
        <f t="shared" si="1"/>
        <v>48304</v>
      </c>
      <c r="Q7" s="385">
        <f t="shared" si="1"/>
        <v>48669</v>
      </c>
      <c r="R7" s="385">
        <f t="shared" si="1"/>
        <v>49034</v>
      </c>
      <c r="S7" s="385">
        <f t="shared" si="1"/>
        <v>49399</v>
      </c>
      <c r="T7" s="385">
        <f t="shared" si="1"/>
        <v>49765</v>
      </c>
      <c r="U7" s="505"/>
    </row>
    <row r="8" spans="1:21" ht="16.5" thickTop="1" x14ac:dyDescent="0.25">
      <c r="A8" s="500"/>
      <c r="B8" s="212" t="s">
        <v>9</v>
      </c>
      <c r="C8" s="507">
        <f>'Revenue driver'!C6</f>
        <v>248702</v>
      </c>
      <c r="D8" s="507">
        <f>'Revenue driver'!D6</f>
        <v>241430.6</v>
      </c>
      <c r="E8" s="507">
        <f>'Revenue driver'!E6</f>
        <v>309762.7</v>
      </c>
      <c r="F8" s="507">
        <f>'Revenue driver'!F6</f>
        <v>428395.6</v>
      </c>
      <c r="G8" s="507">
        <f>'Revenue driver'!G6</f>
        <v>507888.3</v>
      </c>
      <c r="H8" s="508">
        <v>593580.5</v>
      </c>
      <c r="I8" s="508">
        <v>688207.4</v>
      </c>
      <c r="J8" s="434"/>
      <c r="K8" s="389">
        <f>'Revenue driver'!K6</f>
        <v>914969.91764550284</v>
      </c>
      <c r="L8" s="389">
        <f>'Revenue driver'!L6</f>
        <v>1167507.8961736774</v>
      </c>
      <c r="M8" s="389">
        <f>'Revenue driver'!M6</f>
        <v>1467607.7697733101</v>
      </c>
      <c r="N8" s="389">
        <f>'Revenue driver'!N6</f>
        <v>1812809.887836749</v>
      </c>
      <c r="O8" s="389">
        <f>'Revenue driver'!O6</f>
        <v>2203289.7553292168</v>
      </c>
      <c r="P8" s="389">
        <f>'Revenue driver'!P6</f>
        <v>2637618.0042722146</v>
      </c>
      <c r="Q8" s="389">
        <f>'Revenue driver'!Q6</f>
        <v>3112542.8181418991</v>
      </c>
      <c r="R8" s="389">
        <f>'Revenue driver'!R6</f>
        <v>3639457.8855848764</v>
      </c>
      <c r="S8" s="389">
        <f>'Revenue driver'!S6</f>
        <v>4219042.7099817665</v>
      </c>
      <c r="T8" s="389">
        <f>'Revenue driver'!T6</f>
        <v>4851117.81227348</v>
      </c>
      <c r="U8" s="502"/>
    </row>
    <row r="9" spans="1:21" hidden="1" outlineLevel="1" x14ac:dyDescent="0.25">
      <c r="A9" s="500"/>
      <c r="B9" s="177" t="s">
        <v>10</v>
      </c>
      <c r="C9" s="374">
        <v>-214416.8</v>
      </c>
      <c r="D9" s="374">
        <v>-208555.6</v>
      </c>
      <c r="E9" s="374">
        <v>-268917.7</v>
      </c>
      <c r="F9" s="374">
        <v>-368847.69999999995</v>
      </c>
      <c r="G9" s="374">
        <v>-439583.1</v>
      </c>
      <c r="H9" s="509">
        <v>-516687.60000000003</v>
      </c>
      <c r="I9" s="509">
        <v>-593159.9</v>
      </c>
      <c r="J9" s="434"/>
      <c r="K9" s="389">
        <v>0</v>
      </c>
      <c r="L9" s="389">
        <v>0</v>
      </c>
      <c r="M9" s="389">
        <v>0</v>
      </c>
      <c r="N9" s="389">
        <v>0</v>
      </c>
      <c r="O9" s="389">
        <v>0</v>
      </c>
      <c r="P9" s="389">
        <v>0</v>
      </c>
      <c r="Q9" s="389">
        <v>0</v>
      </c>
      <c r="R9" s="389">
        <v>0</v>
      </c>
      <c r="S9" s="389">
        <v>0</v>
      </c>
      <c r="T9" s="389">
        <v>0</v>
      </c>
      <c r="U9" s="502"/>
    </row>
    <row r="10" spans="1:21" hidden="1" outlineLevel="1" x14ac:dyDescent="0.25">
      <c r="A10" s="500"/>
      <c r="B10" s="212" t="s">
        <v>11</v>
      </c>
      <c r="C10" s="392">
        <v>3387.5</v>
      </c>
      <c r="D10" s="392">
        <v>3008.8</v>
      </c>
      <c r="E10" s="392">
        <v>4943.8</v>
      </c>
      <c r="F10" s="392">
        <v>5008.2</v>
      </c>
      <c r="G10" s="392">
        <v>6837.7</v>
      </c>
      <c r="H10" s="509">
        <v>11170.599999999999</v>
      </c>
      <c r="I10" s="509">
        <v>8562.6</v>
      </c>
      <c r="J10" s="434"/>
      <c r="K10" s="389">
        <v>0</v>
      </c>
      <c r="L10" s="389">
        <v>0</v>
      </c>
      <c r="M10" s="389">
        <v>0</v>
      </c>
      <c r="N10" s="389">
        <v>0</v>
      </c>
      <c r="O10" s="389">
        <v>0</v>
      </c>
      <c r="P10" s="389">
        <v>0</v>
      </c>
      <c r="Q10" s="389">
        <v>0</v>
      </c>
      <c r="R10" s="389">
        <v>0</v>
      </c>
      <c r="S10" s="389">
        <v>0</v>
      </c>
      <c r="T10" s="389">
        <v>0</v>
      </c>
      <c r="U10" s="502"/>
    </row>
    <row r="11" spans="1:21" ht="16.5" collapsed="1" thickBot="1" x14ac:dyDescent="0.3">
      <c r="A11" s="500"/>
      <c r="B11" s="365" t="s">
        <v>12</v>
      </c>
      <c r="C11" s="366">
        <f>C10+C9</f>
        <v>-211029.3</v>
      </c>
      <c r="D11" s="366">
        <f t="shared" ref="D11:I11" si="2">D10+D9</f>
        <v>-205546.80000000002</v>
      </c>
      <c r="E11" s="366">
        <f t="shared" si="2"/>
        <v>-263973.90000000002</v>
      </c>
      <c r="F11" s="366">
        <f t="shared" si="2"/>
        <v>-363839.49999999994</v>
      </c>
      <c r="G11" s="366">
        <f t="shared" si="2"/>
        <v>-432745.39999999997</v>
      </c>
      <c r="H11" s="367">
        <f t="shared" si="2"/>
        <v>-505517.00000000006</v>
      </c>
      <c r="I11" s="367">
        <f t="shared" si="2"/>
        <v>-584597.30000000005</v>
      </c>
      <c r="J11" s="434"/>
      <c r="K11" s="368">
        <f t="shared" ref="K11:P11" si="3">-(K8-K12)</f>
        <v>-777724.42999867746</v>
      </c>
      <c r="L11" s="368">
        <f t="shared" si="3"/>
        <v>-992381.71174762584</v>
      </c>
      <c r="M11" s="368">
        <f t="shared" si="3"/>
        <v>-1247466.6043073134</v>
      </c>
      <c r="N11" s="368">
        <f t="shared" si="3"/>
        <v>-1540888.4046612366</v>
      </c>
      <c r="O11" s="368">
        <f t="shared" si="3"/>
        <v>-1872796.2920298344</v>
      </c>
      <c r="P11" s="368">
        <f t="shared" si="3"/>
        <v>-2241975.3036313825</v>
      </c>
      <c r="Q11" s="368">
        <f>-(Q8-Q12)</f>
        <v>-2645661.3954206142</v>
      </c>
      <c r="R11" s="368">
        <f>-(R8-R12)</f>
        <v>-3093539.2027471447</v>
      </c>
      <c r="S11" s="368">
        <f>-(S8-S12)</f>
        <v>-3586186.3034845013</v>
      </c>
      <c r="T11" s="368">
        <f>-(T8-T12)</f>
        <v>-4123450.1404324579</v>
      </c>
      <c r="U11" s="502"/>
    </row>
    <row r="12" spans="1:21" ht="16.5" thickTop="1" x14ac:dyDescent="0.25">
      <c r="A12" s="500"/>
      <c r="B12" s="503" t="s">
        <v>13</v>
      </c>
      <c r="C12" s="386">
        <f>C11+C8</f>
        <v>37672.700000000012</v>
      </c>
      <c r="D12" s="386">
        <f t="shared" ref="D12:I12" si="4">D11+D8</f>
        <v>35883.799999999988</v>
      </c>
      <c r="E12" s="386">
        <f t="shared" si="4"/>
        <v>45788.799999999988</v>
      </c>
      <c r="F12" s="386">
        <f t="shared" si="4"/>
        <v>64556.100000000035</v>
      </c>
      <c r="G12" s="386">
        <f t="shared" si="4"/>
        <v>75142.900000000023</v>
      </c>
      <c r="H12" s="510">
        <f t="shared" si="4"/>
        <v>88063.499999999942</v>
      </c>
      <c r="I12" s="510">
        <f t="shared" si="4"/>
        <v>103610.09999999998</v>
      </c>
      <c r="J12" s="434"/>
      <c r="K12" s="511">
        <f t="shared" ref="K12:P12" si="5">K13*K8</f>
        <v>137245.48764682541</v>
      </c>
      <c r="L12" s="511">
        <f t="shared" si="5"/>
        <v>175126.18442605159</v>
      </c>
      <c r="M12" s="511">
        <f t="shared" si="5"/>
        <v>220141.16546599651</v>
      </c>
      <c r="N12" s="511">
        <f t="shared" si="5"/>
        <v>271921.48317551235</v>
      </c>
      <c r="O12" s="511">
        <f t="shared" si="5"/>
        <v>330493.46329938254</v>
      </c>
      <c r="P12" s="511">
        <f t="shared" si="5"/>
        <v>395642.70064083219</v>
      </c>
      <c r="Q12" s="511">
        <f>Q13*Q8</f>
        <v>466881.42272128485</v>
      </c>
      <c r="R12" s="511">
        <f>R13*R8</f>
        <v>545918.68283773144</v>
      </c>
      <c r="S12" s="511">
        <f>S13*S8</f>
        <v>632856.40649726498</v>
      </c>
      <c r="T12" s="511">
        <f>T13*T8</f>
        <v>727667.67184102198</v>
      </c>
      <c r="U12" s="502"/>
    </row>
    <row r="13" spans="1:21" x14ac:dyDescent="0.25">
      <c r="A13" s="500"/>
      <c r="B13" s="512" t="s">
        <v>27</v>
      </c>
      <c r="C13" s="513">
        <f>C12/C$8</f>
        <v>0.15147726998576613</v>
      </c>
      <c r="D13" s="513">
        <f t="shared" ref="D13:I13" si="6">D12/D$8</f>
        <v>0.14862987541761477</v>
      </c>
      <c r="E13" s="513">
        <f t="shared" si="6"/>
        <v>0.14781895948091875</v>
      </c>
      <c r="F13" s="513">
        <f t="shared" si="6"/>
        <v>0.15069272420164923</v>
      </c>
      <c r="G13" s="513">
        <f t="shared" si="6"/>
        <v>0.1479516263713892</v>
      </c>
      <c r="H13" s="514">
        <f t="shared" si="6"/>
        <v>0.14835982651047322</v>
      </c>
      <c r="I13" s="514">
        <f t="shared" si="6"/>
        <v>0.15055069155025066</v>
      </c>
      <c r="J13" s="515"/>
      <c r="K13" s="373">
        <v>0.15</v>
      </c>
      <c r="L13" s="373">
        <v>0.15</v>
      </c>
      <c r="M13" s="373">
        <v>0.15</v>
      </c>
      <c r="N13" s="373">
        <v>0.15</v>
      </c>
      <c r="O13" s="373">
        <v>0.15</v>
      </c>
      <c r="P13" s="373">
        <v>0.15</v>
      </c>
      <c r="Q13" s="373">
        <v>0.15</v>
      </c>
      <c r="R13" s="373">
        <v>0.15</v>
      </c>
      <c r="S13" s="373">
        <v>0.15</v>
      </c>
      <c r="T13" s="373">
        <v>0.15</v>
      </c>
      <c r="U13" s="502"/>
    </row>
    <row r="14" spans="1:21" x14ac:dyDescent="0.25">
      <c r="A14" s="500"/>
      <c r="B14" s="212" t="s">
        <v>14</v>
      </c>
      <c r="C14" s="374">
        <v>-4561</v>
      </c>
      <c r="D14" s="374">
        <v>-5365.7000000000007</v>
      </c>
      <c r="E14" s="374">
        <v>-6162.1</v>
      </c>
      <c r="F14" s="374">
        <v>-7469.7000000000007</v>
      </c>
      <c r="G14" s="374">
        <v>-9061.2000000000007</v>
      </c>
      <c r="H14" s="374">
        <v>-11659</v>
      </c>
      <c r="I14" s="374">
        <v>-15414.8</v>
      </c>
      <c r="J14" s="434"/>
      <c r="K14" s="369">
        <f t="shared" ref="K14:P14" si="7">-K17*K8</f>
        <v>-18008.500089026213</v>
      </c>
      <c r="L14" s="369">
        <f t="shared" si="7"/>
        <v>-22978.969741744513</v>
      </c>
      <c r="M14" s="369">
        <f t="shared" si="7"/>
        <v>-28885.555844971579</v>
      </c>
      <c r="N14" s="369">
        <f t="shared" si="7"/>
        <v>-35679.847388320479</v>
      </c>
      <c r="O14" s="369">
        <f t="shared" si="7"/>
        <v>-43365.298672441844</v>
      </c>
      <c r="P14" s="369">
        <f t="shared" si="7"/>
        <v>-51913.776779660868</v>
      </c>
      <c r="Q14" s="369">
        <f>-Q17*Q8</f>
        <v>-61261.279236202434</v>
      </c>
      <c r="R14" s="369">
        <f>-R17*R8</f>
        <v>-71632.057396181815</v>
      </c>
      <c r="S14" s="369">
        <f>-S17*S8</f>
        <v>-83039.485291306934</v>
      </c>
      <c r="T14" s="369">
        <f>-T17*T8</f>
        <v>-95480.030402541626</v>
      </c>
      <c r="U14" s="502"/>
    </row>
    <row r="15" spans="1:21" ht="16.5" thickBot="1" x14ac:dyDescent="0.3">
      <c r="A15" s="500"/>
      <c r="B15" s="365" t="s">
        <v>15</v>
      </c>
      <c r="C15" s="366">
        <v>-11828.599999999999</v>
      </c>
      <c r="D15" s="366">
        <v>-13087.6</v>
      </c>
      <c r="E15" s="366">
        <v>-14641.7</v>
      </c>
      <c r="F15" s="366">
        <v>-20716.100000000002</v>
      </c>
      <c r="G15" s="366">
        <v>-25044</v>
      </c>
      <c r="H15" s="374">
        <v>-31531.199999999997</v>
      </c>
      <c r="I15" s="374">
        <v>-36329.4</v>
      </c>
      <c r="J15" s="434"/>
      <c r="K15" s="369">
        <f t="shared" ref="K15:T15" si="8">-(K12+K14-K16)</f>
        <v>-41464.54455793144</v>
      </c>
      <c r="L15" s="369">
        <f t="shared" si="8"/>
        <v>-52909.043509544499</v>
      </c>
      <c r="M15" s="369">
        <f t="shared" si="8"/>
        <v>-66508.949190293555</v>
      </c>
      <c r="N15" s="369">
        <f t="shared" si="8"/>
        <v>-82152.795321068174</v>
      </c>
      <c r="O15" s="369">
        <f t="shared" si="8"/>
        <v>-99848.535423957219</v>
      </c>
      <c r="P15" s="369">
        <f t="shared" si="8"/>
        <v>-119531.39349803308</v>
      </c>
      <c r="Q15" s="369">
        <f t="shared" si="8"/>
        <v>-141054.003943021</v>
      </c>
      <c r="R15" s="369">
        <f t="shared" si="8"/>
        <v>-164932.70516683511</v>
      </c>
      <c r="S15" s="369">
        <f t="shared" si="8"/>
        <v>-191198.29085750785</v>
      </c>
      <c r="T15" s="369">
        <f t="shared" si="8"/>
        <v>-219842.62739523454</v>
      </c>
      <c r="U15" s="502"/>
    </row>
    <row r="16" spans="1:21" ht="16.5" thickTop="1" x14ac:dyDescent="0.25">
      <c r="A16" s="500"/>
      <c r="B16" s="503" t="s">
        <v>16</v>
      </c>
      <c r="C16" s="386">
        <f>C12+C14+C15</f>
        <v>21283.100000000013</v>
      </c>
      <c r="D16" s="386">
        <f t="shared" ref="D16:I16" si="9">D12+D14+D15</f>
        <v>17430.499999999985</v>
      </c>
      <c r="E16" s="386">
        <f t="shared" si="9"/>
        <v>24984.999999999989</v>
      </c>
      <c r="F16" s="386">
        <f t="shared" si="9"/>
        <v>36370.300000000032</v>
      </c>
      <c r="G16" s="386">
        <f t="shared" si="9"/>
        <v>41037.700000000026</v>
      </c>
      <c r="H16" s="370">
        <f t="shared" si="9"/>
        <v>44873.299999999945</v>
      </c>
      <c r="I16" s="370">
        <f t="shared" si="9"/>
        <v>51865.899999999972</v>
      </c>
      <c r="J16" s="434"/>
      <c r="K16" s="371">
        <f t="shared" ref="K16:P16" si="10">K18*K8</f>
        <v>77772.442999867751</v>
      </c>
      <c r="L16" s="371">
        <f t="shared" si="10"/>
        <v>99238.171174762581</v>
      </c>
      <c r="M16" s="371">
        <f t="shared" si="10"/>
        <v>124746.66043073137</v>
      </c>
      <c r="N16" s="371">
        <f t="shared" si="10"/>
        <v>154088.84046612369</v>
      </c>
      <c r="O16" s="371">
        <f t="shared" si="10"/>
        <v>187279.62920298346</v>
      </c>
      <c r="P16" s="371">
        <f t="shared" si="10"/>
        <v>224197.53036313827</v>
      </c>
      <c r="Q16" s="371">
        <f>Q18*Q8</f>
        <v>264566.13954206143</v>
      </c>
      <c r="R16" s="371">
        <f>R18*R8</f>
        <v>309353.92027471453</v>
      </c>
      <c r="S16" s="371">
        <f>S18*S8</f>
        <v>358618.63034845015</v>
      </c>
      <c r="T16" s="371">
        <f>T18*T8</f>
        <v>412345.01404324581</v>
      </c>
      <c r="U16" s="502"/>
    </row>
    <row r="17" spans="1:21" x14ac:dyDescent="0.25">
      <c r="A17" s="500"/>
      <c r="B17" s="512" t="s">
        <v>178</v>
      </c>
      <c r="C17" s="513">
        <f t="shared" ref="C17:I17" si="11">-C14/C8</f>
        <v>1.8339217215784354E-2</v>
      </c>
      <c r="D17" s="513">
        <f t="shared" si="11"/>
        <v>2.2224606160113923E-2</v>
      </c>
      <c r="E17" s="513">
        <f t="shared" si="11"/>
        <v>1.9892969682921799E-2</v>
      </c>
      <c r="F17" s="513">
        <f t="shared" si="11"/>
        <v>1.7436453595695196E-2</v>
      </c>
      <c r="G17" s="513">
        <f t="shared" si="11"/>
        <v>1.784093077158895E-2</v>
      </c>
      <c r="H17" s="513">
        <f t="shared" si="11"/>
        <v>1.9641817748393017E-2</v>
      </c>
      <c r="I17" s="513">
        <f t="shared" si="11"/>
        <v>2.2398480458071215E-2</v>
      </c>
      <c r="J17" s="516"/>
      <c r="K17" s="517">
        <f t="shared" ref="K17:T17" si="12">AVERAGE($C$17:$I$17)</f>
        <v>1.968206794750978E-2</v>
      </c>
      <c r="L17" s="517">
        <f t="shared" si="12"/>
        <v>1.968206794750978E-2</v>
      </c>
      <c r="M17" s="517">
        <f t="shared" si="12"/>
        <v>1.968206794750978E-2</v>
      </c>
      <c r="N17" s="517">
        <f t="shared" si="12"/>
        <v>1.968206794750978E-2</v>
      </c>
      <c r="O17" s="517">
        <f t="shared" si="12"/>
        <v>1.968206794750978E-2</v>
      </c>
      <c r="P17" s="517">
        <f t="shared" si="12"/>
        <v>1.968206794750978E-2</v>
      </c>
      <c r="Q17" s="517">
        <f t="shared" si="12"/>
        <v>1.968206794750978E-2</v>
      </c>
      <c r="R17" s="517">
        <f t="shared" si="12"/>
        <v>1.968206794750978E-2</v>
      </c>
      <c r="S17" s="517">
        <f t="shared" si="12"/>
        <v>1.968206794750978E-2</v>
      </c>
      <c r="T17" s="517">
        <f t="shared" si="12"/>
        <v>1.968206794750978E-2</v>
      </c>
      <c r="U17" s="502"/>
    </row>
    <row r="18" spans="1:21" x14ac:dyDescent="0.25">
      <c r="A18" s="500"/>
      <c r="B18" s="512" t="s">
        <v>28</v>
      </c>
      <c r="C18" s="513">
        <f t="shared" ref="C18:I18" si="13">C16/C$8</f>
        <v>8.5576714300649018E-2</v>
      </c>
      <c r="D18" s="513">
        <f t="shared" si="13"/>
        <v>7.2196730654689109E-2</v>
      </c>
      <c r="E18" s="513">
        <f t="shared" si="13"/>
        <v>8.0658516987358347E-2</v>
      </c>
      <c r="F18" s="513">
        <f t="shared" si="13"/>
        <v>8.4898864507478675E-2</v>
      </c>
      <c r="G18" s="513">
        <f t="shared" si="13"/>
        <v>8.0800640613300265E-2</v>
      </c>
      <c r="H18" s="514">
        <f t="shared" si="13"/>
        <v>7.5597665354572713E-2</v>
      </c>
      <c r="I18" s="514">
        <f t="shared" si="13"/>
        <v>7.5363763888618415E-2</v>
      </c>
      <c r="J18" s="515"/>
      <c r="K18" s="373">
        <v>8.5000000000000006E-2</v>
      </c>
      <c r="L18" s="373">
        <v>8.5000000000000006E-2</v>
      </c>
      <c r="M18" s="373">
        <v>8.5000000000000006E-2</v>
      </c>
      <c r="N18" s="373">
        <v>8.5000000000000006E-2</v>
      </c>
      <c r="O18" s="373">
        <v>8.5000000000000006E-2</v>
      </c>
      <c r="P18" s="373">
        <v>8.5000000000000006E-2</v>
      </c>
      <c r="Q18" s="373">
        <v>8.5000000000000006E-2</v>
      </c>
      <c r="R18" s="373">
        <v>8.5000000000000006E-2</v>
      </c>
      <c r="S18" s="373">
        <v>8.5000000000000006E-2</v>
      </c>
      <c r="T18" s="373">
        <v>8.5000000000000006E-2</v>
      </c>
      <c r="U18" s="502"/>
    </row>
    <row r="19" spans="1:21" ht="16.5" thickBot="1" x14ac:dyDescent="0.3">
      <c r="A19" s="500"/>
      <c r="B19" s="365" t="s">
        <v>17</v>
      </c>
      <c r="C19" s="366">
        <v>-3744.1000000000004</v>
      </c>
      <c r="D19" s="366">
        <v>-4141.6000000000004</v>
      </c>
      <c r="E19" s="366">
        <v>-4980.8</v>
      </c>
      <c r="F19" s="366">
        <v>-6388.7</v>
      </c>
      <c r="G19" s="366">
        <v>-7307.6</v>
      </c>
      <c r="H19" s="374">
        <v>-8695.2000000000007</v>
      </c>
      <c r="I19" s="374">
        <v>-10370.200000000001</v>
      </c>
      <c r="J19" s="434"/>
      <c r="K19" s="368">
        <f>Schedules!K9+Schedules!K20</f>
        <v>-12200.966915051898</v>
      </c>
      <c r="L19" s="368">
        <f>Schedules!L9+Schedules!L20</f>
        <v>-13155.015250660559</v>
      </c>
      <c r="M19" s="368">
        <f>Schedules!M9+Schedules!M20</f>
        <v>-14580.023189706892</v>
      </c>
      <c r="N19" s="368">
        <f>Schedules!N9+Schedules!N20</f>
        <v>-16109.764933914696</v>
      </c>
      <c r="O19" s="368">
        <f>Schedules!O9+Schedules!O20</f>
        <v>-17710.103567237347</v>
      </c>
      <c r="P19" s="368">
        <f>Schedules!P9+Schedules!P20</f>
        <v>-19381.442835665384</v>
      </c>
      <c r="Q19" s="368">
        <f>Schedules!Q9+Schedules!Q20</f>
        <v>-21124.150303501941</v>
      </c>
      <c r="R19" s="368">
        <f>Schedules!R9+Schedules!R20</f>
        <v>-22938.511869347229</v>
      </c>
      <c r="S19" s="368">
        <f>Schedules!S9+Schedules!S20</f>
        <v>-24824.691191954331</v>
      </c>
      <c r="T19" s="368">
        <f>Schedules!T9+Schedules!T20</f>
        <v>-26782.808478250648</v>
      </c>
      <c r="U19" s="502"/>
    </row>
    <row r="20" spans="1:21" ht="16.5" thickTop="1" x14ac:dyDescent="0.25">
      <c r="A20" s="500"/>
      <c r="B20" s="503" t="s">
        <v>19</v>
      </c>
      <c r="C20" s="386">
        <f t="shared" ref="C20:I20" si="14">C19+C16</f>
        <v>17539.000000000015</v>
      </c>
      <c r="D20" s="386">
        <f t="shared" si="14"/>
        <v>13288.899999999985</v>
      </c>
      <c r="E20" s="386">
        <f t="shared" si="14"/>
        <v>20004.19999999999</v>
      </c>
      <c r="F20" s="386">
        <f t="shared" si="14"/>
        <v>29981.600000000031</v>
      </c>
      <c r="G20" s="386">
        <f t="shared" si="14"/>
        <v>33730.100000000028</v>
      </c>
      <c r="H20" s="370">
        <f t="shared" si="14"/>
        <v>36178.099999999948</v>
      </c>
      <c r="I20" s="370">
        <f t="shared" si="14"/>
        <v>41495.699999999968</v>
      </c>
      <c r="J20" s="434"/>
      <c r="K20" s="371">
        <f t="shared" ref="K20:P20" si="15">K19+K16</f>
        <v>65571.476084815848</v>
      </c>
      <c r="L20" s="371">
        <f t="shared" si="15"/>
        <v>86083.15592410203</v>
      </c>
      <c r="M20" s="371">
        <f t="shared" si="15"/>
        <v>110166.63724102448</v>
      </c>
      <c r="N20" s="371">
        <f t="shared" si="15"/>
        <v>137979.07553220898</v>
      </c>
      <c r="O20" s="371">
        <f t="shared" si="15"/>
        <v>169569.5256357461</v>
      </c>
      <c r="P20" s="371">
        <f t="shared" si="15"/>
        <v>204816.08752747288</v>
      </c>
      <c r="Q20" s="371">
        <f>Q19+Q16</f>
        <v>243441.9892385595</v>
      </c>
      <c r="R20" s="371">
        <f>R19+R16</f>
        <v>286415.40840536729</v>
      </c>
      <c r="S20" s="371">
        <f>S19+S16</f>
        <v>333793.93915649585</v>
      </c>
      <c r="T20" s="371">
        <f>T19+T16</f>
        <v>385562.20556499518</v>
      </c>
      <c r="U20" s="502"/>
    </row>
    <row r="21" spans="1:21" x14ac:dyDescent="0.25">
      <c r="A21" s="500"/>
      <c r="B21" s="512" t="s">
        <v>29</v>
      </c>
      <c r="C21" s="513">
        <f>C20/C$8</f>
        <v>7.0522151008033773E-2</v>
      </c>
      <c r="D21" s="513">
        <f t="shared" ref="D21:I21" si="16">D20/D$8</f>
        <v>5.5042318579334948E-2</v>
      </c>
      <c r="E21" s="513">
        <f t="shared" si="16"/>
        <v>6.4579111687753196E-2</v>
      </c>
      <c r="F21" s="513">
        <f t="shared" si="16"/>
        <v>6.9985779499135925E-2</v>
      </c>
      <c r="G21" s="513">
        <f t="shared" si="16"/>
        <v>6.6412437537939004E-2</v>
      </c>
      <c r="H21" s="514">
        <f t="shared" si="16"/>
        <v>6.094893615945933E-2</v>
      </c>
      <c r="I21" s="514">
        <f t="shared" si="16"/>
        <v>6.0295341200922815E-2</v>
      </c>
      <c r="J21" s="515"/>
      <c r="K21" s="373">
        <f t="shared" ref="K21:T21" si="17">K20/K8</f>
        <v>7.1665171521213822E-2</v>
      </c>
      <c r="L21" s="373">
        <f t="shared" si="17"/>
        <v>7.3732397190824972E-2</v>
      </c>
      <c r="M21" s="373">
        <f t="shared" si="17"/>
        <v>7.5065449713475604E-2</v>
      </c>
      <c r="N21" s="373">
        <f t="shared" si="17"/>
        <v>7.611337319924999E-2</v>
      </c>
      <c r="O21" s="373">
        <f t="shared" si="17"/>
        <v>7.6961972534751302E-2</v>
      </c>
      <c r="P21" s="373">
        <f t="shared" si="17"/>
        <v>7.7651914415099998E-2</v>
      </c>
      <c r="Q21" s="373">
        <f t="shared" si="17"/>
        <v>7.8213217765109352E-2</v>
      </c>
      <c r="R21" s="373">
        <f t="shared" si="17"/>
        <v>7.8697272343718608E-2</v>
      </c>
      <c r="S21" s="373">
        <f t="shared" si="17"/>
        <v>7.9116037002132739E-2</v>
      </c>
      <c r="T21" s="373">
        <f t="shared" si="17"/>
        <v>7.9479043899843185E-2</v>
      </c>
      <c r="U21" s="502"/>
    </row>
    <row r="22" spans="1:21" x14ac:dyDescent="0.25">
      <c r="A22" s="500"/>
      <c r="B22" s="212" t="s">
        <v>18</v>
      </c>
      <c r="C22" s="374">
        <v>-691.2</v>
      </c>
      <c r="D22" s="374">
        <v>-416.5</v>
      </c>
      <c r="E22" s="374">
        <v>-537.9</v>
      </c>
      <c r="F22" s="374">
        <v>-674.09999999999991</v>
      </c>
      <c r="G22" s="374">
        <v>-581.30000000000007</v>
      </c>
      <c r="H22" s="374">
        <v>-694.5</v>
      </c>
      <c r="I22" s="374">
        <v>-1420.5</v>
      </c>
      <c r="J22" s="434"/>
      <c r="K22" s="369">
        <f>-Schedules!K68</f>
        <v>-1780.3734624891331</v>
      </c>
      <c r="L22" s="369">
        <f>-Schedules!L68</f>
        <v>-1821.2098185832026</v>
      </c>
      <c r="M22" s="369">
        <f>-Schedules!M68</f>
        <v>-1851.5637291882128</v>
      </c>
      <c r="N22" s="369">
        <f>-Schedules!N68</f>
        <v>-1874.1259746269225</v>
      </c>
      <c r="O22" s="369">
        <f>-Schedules!O68</f>
        <v>-1890.8966281964349</v>
      </c>
      <c r="P22" s="369">
        <f>-Schedules!P68</f>
        <v>-1903.3623564818854</v>
      </c>
      <c r="Q22" s="369">
        <f>-Schedules!Q68</f>
        <v>-1912.7273140101995</v>
      </c>
      <c r="R22" s="369">
        <f>-Schedules!R68</f>
        <v>-1919.7874498704903</v>
      </c>
      <c r="S22" s="369">
        <f>-Schedules!S68</f>
        <v>-1925.1343978373627</v>
      </c>
      <c r="T22" s="369">
        <f>-Schedules!T68</f>
        <v>-1929.2079228757393</v>
      </c>
      <c r="U22" s="502"/>
    </row>
    <row r="23" spans="1:21" ht="16.5" thickBot="1" x14ac:dyDescent="0.3">
      <c r="A23" s="500"/>
      <c r="B23" s="365" t="s">
        <v>21</v>
      </c>
      <c r="C23" s="372">
        <v>599.9</v>
      </c>
      <c r="D23" s="372">
        <v>1962.1000000000001</v>
      </c>
      <c r="E23" s="372">
        <v>1174.8999999999999</v>
      </c>
      <c r="F23" s="372">
        <v>1293.4000000000001</v>
      </c>
      <c r="G23" s="372">
        <v>1464.5</v>
      </c>
      <c r="H23" s="509">
        <v>1243.0999999999999</v>
      </c>
      <c r="I23" s="509">
        <v>741</v>
      </c>
      <c r="J23" s="434"/>
      <c r="K23" s="368">
        <f t="shared" ref="K23:T23" si="18">K8*K25</f>
        <v>3059.3496996279805</v>
      </c>
      <c r="L23" s="368">
        <f t="shared" si="18"/>
        <v>3903.7512191259866</v>
      </c>
      <c r="M23" s="368">
        <f t="shared" si="18"/>
        <v>4907.183616682848</v>
      </c>
      <c r="N23" s="368">
        <f t="shared" si="18"/>
        <v>6061.4226532251396</v>
      </c>
      <c r="O23" s="368">
        <f t="shared" si="18"/>
        <v>7367.0551579505</v>
      </c>
      <c r="P23" s="368">
        <f t="shared" si="18"/>
        <v>8819.3018081606169</v>
      </c>
      <c r="Q23" s="368">
        <f t="shared" si="18"/>
        <v>10407.289630095796</v>
      </c>
      <c r="R23" s="368">
        <f t="shared" si="18"/>
        <v>12169.115261980332</v>
      </c>
      <c r="S23" s="368">
        <f t="shared" si="18"/>
        <v>14107.050733116286</v>
      </c>
      <c r="T23" s="368">
        <f t="shared" si="18"/>
        <v>16220.495926281303</v>
      </c>
      <c r="U23" s="502"/>
    </row>
    <row r="24" spans="1:21" ht="16.5" thickTop="1" x14ac:dyDescent="0.25">
      <c r="A24" s="500"/>
      <c r="B24" s="503" t="s">
        <v>20</v>
      </c>
      <c r="C24" s="386">
        <f t="shared" ref="C24:I24" si="19">C20+C22+C23</f>
        <v>17447.700000000015</v>
      </c>
      <c r="D24" s="386">
        <f t="shared" si="19"/>
        <v>14834.499999999985</v>
      </c>
      <c r="E24" s="386">
        <f t="shared" si="19"/>
        <v>20641.19999999999</v>
      </c>
      <c r="F24" s="386">
        <f t="shared" si="19"/>
        <v>30600.900000000034</v>
      </c>
      <c r="G24" s="386">
        <f t="shared" si="19"/>
        <v>34613.300000000025</v>
      </c>
      <c r="H24" s="370">
        <f t="shared" si="19"/>
        <v>36726.699999999946</v>
      </c>
      <c r="I24" s="370">
        <f t="shared" si="19"/>
        <v>40816.199999999968</v>
      </c>
      <c r="J24" s="434"/>
      <c r="K24" s="371">
        <f t="shared" ref="K24:T24" si="20">K23+K22+K20</f>
        <v>66850.452321954697</v>
      </c>
      <c r="L24" s="371">
        <f t="shared" si="20"/>
        <v>88165.697324644818</v>
      </c>
      <c r="M24" s="371">
        <f t="shared" si="20"/>
        <v>113222.25712851912</v>
      </c>
      <c r="N24" s="371">
        <f t="shared" si="20"/>
        <v>142166.3722108072</v>
      </c>
      <c r="O24" s="371">
        <f t="shared" si="20"/>
        <v>175045.68416550016</v>
      </c>
      <c r="P24" s="371">
        <f t="shared" si="20"/>
        <v>211732.02697915162</v>
      </c>
      <c r="Q24" s="371">
        <f t="shared" si="20"/>
        <v>251936.55155464509</v>
      </c>
      <c r="R24" s="371">
        <f t="shared" si="20"/>
        <v>296664.73621747713</v>
      </c>
      <c r="S24" s="371">
        <f t="shared" si="20"/>
        <v>345975.8554917748</v>
      </c>
      <c r="T24" s="371">
        <f t="shared" si="20"/>
        <v>399853.49356840074</v>
      </c>
      <c r="U24" s="502"/>
    </row>
    <row r="25" spans="1:21" x14ac:dyDescent="0.25">
      <c r="A25" s="500"/>
      <c r="B25" s="512" t="s">
        <v>219</v>
      </c>
      <c r="C25" s="518">
        <f t="shared" ref="C25:I25" si="21">C23/C8</f>
        <v>2.4121237464917854E-3</v>
      </c>
      <c r="D25" s="518">
        <f t="shared" si="21"/>
        <v>8.1269731343085756E-3</v>
      </c>
      <c r="E25" s="518">
        <f t="shared" si="21"/>
        <v>3.7929034063817232E-3</v>
      </c>
      <c r="F25" s="518">
        <f t="shared" si="21"/>
        <v>3.0191719989654427E-3</v>
      </c>
      <c r="G25" s="518">
        <f t="shared" si="21"/>
        <v>2.8835080469465433E-3</v>
      </c>
      <c r="H25" s="518">
        <f t="shared" si="21"/>
        <v>2.0942399556589204E-3</v>
      </c>
      <c r="I25" s="518">
        <f t="shared" si="21"/>
        <v>1.0767103056433277E-3</v>
      </c>
      <c r="J25" s="516"/>
      <c r="K25" s="373">
        <f>AVERAGE($C$25:$I$25)</f>
        <v>3.3436615134851888E-3</v>
      </c>
      <c r="L25" s="373">
        <f t="shared" ref="L25:T25" si="22">AVERAGE($C$25:$I$25)</f>
        <v>3.3436615134851888E-3</v>
      </c>
      <c r="M25" s="373">
        <f t="shared" si="22"/>
        <v>3.3436615134851888E-3</v>
      </c>
      <c r="N25" s="373">
        <f t="shared" si="22"/>
        <v>3.3436615134851888E-3</v>
      </c>
      <c r="O25" s="373">
        <f t="shared" si="22"/>
        <v>3.3436615134851888E-3</v>
      </c>
      <c r="P25" s="373">
        <f t="shared" si="22"/>
        <v>3.3436615134851888E-3</v>
      </c>
      <c r="Q25" s="373">
        <f t="shared" si="22"/>
        <v>3.3436615134851888E-3</v>
      </c>
      <c r="R25" s="373">
        <f t="shared" si="22"/>
        <v>3.3436615134851888E-3</v>
      </c>
      <c r="S25" s="373">
        <f t="shared" si="22"/>
        <v>3.3436615134851888E-3</v>
      </c>
      <c r="T25" s="373">
        <f t="shared" si="22"/>
        <v>3.3436615134851888E-3</v>
      </c>
      <c r="U25" s="502"/>
    </row>
    <row r="26" spans="1:21" x14ac:dyDescent="0.25">
      <c r="A26" s="500"/>
      <c r="B26" s="512" t="s">
        <v>30</v>
      </c>
      <c r="C26" s="513">
        <f>C24/C$8</f>
        <v>7.0155044993606863E-2</v>
      </c>
      <c r="D26" s="513">
        <f t="shared" ref="D26:I26" si="23">D24/D$8</f>
        <v>6.1444158279853445E-2</v>
      </c>
      <c r="E26" s="513">
        <f t="shared" si="23"/>
        <v>6.6635524548307429E-2</v>
      </c>
      <c r="F26" s="513">
        <f t="shared" si="23"/>
        <v>7.1431405924804167E-2</v>
      </c>
      <c r="G26" s="513">
        <f t="shared" si="23"/>
        <v>6.8151402582024484E-2</v>
      </c>
      <c r="H26" s="514">
        <f t="shared" si="23"/>
        <v>6.1873157895180088E-2</v>
      </c>
      <c r="I26" s="514">
        <f t="shared" si="23"/>
        <v>5.9307993491496847E-2</v>
      </c>
      <c r="J26" s="515"/>
      <c r="K26" s="373">
        <f t="shared" ref="K26:T26" si="24">K24/K8</f>
        <v>7.3063005714965296E-2</v>
      </c>
      <c r="L26" s="373">
        <f t="shared" si="24"/>
        <v>7.5516146497675907E-2</v>
      </c>
      <c r="M26" s="373">
        <f t="shared" si="24"/>
        <v>7.7147490944401098E-2</v>
      </c>
      <c r="N26" s="373">
        <f t="shared" si="24"/>
        <v>7.8423210930549533E-2</v>
      </c>
      <c r="O26" s="373">
        <f t="shared" si="24"/>
        <v>7.9447418907162642E-2</v>
      </c>
      <c r="P26" s="373">
        <f t="shared" si="24"/>
        <v>8.0273954240608028E-2</v>
      </c>
      <c r="Q26" s="373">
        <f t="shared" si="24"/>
        <v>8.0942356868537527E-2</v>
      </c>
      <c r="R26" s="373">
        <f t="shared" si="24"/>
        <v>8.1513441161801453E-2</v>
      </c>
      <c r="S26" s="373">
        <f t="shared" si="24"/>
        <v>8.2003402021324875E-2</v>
      </c>
      <c r="T26" s="373">
        <f t="shared" si="24"/>
        <v>8.2425022240597598E-2</v>
      </c>
      <c r="U26" s="502"/>
    </row>
    <row r="27" spans="1:21" hidden="1" outlineLevel="1" x14ac:dyDescent="0.25">
      <c r="A27" s="500"/>
      <c r="B27" s="212" t="s">
        <v>22</v>
      </c>
      <c r="C27" s="374">
        <v>-4597.3999999999996</v>
      </c>
      <c r="D27" s="374">
        <v>-3946.9</v>
      </c>
      <c r="E27" s="374">
        <v>-5463.3</v>
      </c>
      <c r="F27" s="374">
        <v>-8077</v>
      </c>
      <c r="G27" s="374">
        <v>-9130.9</v>
      </c>
      <c r="H27" s="374">
        <v>-9834.7000000000007</v>
      </c>
      <c r="I27" s="374">
        <v>-11012.3</v>
      </c>
      <c r="J27" s="434"/>
      <c r="K27" s="389">
        <v>0</v>
      </c>
      <c r="L27" s="389">
        <v>0</v>
      </c>
      <c r="M27" s="389">
        <v>0</v>
      </c>
      <c r="N27" s="389">
        <v>0</v>
      </c>
      <c r="O27" s="389">
        <v>0</v>
      </c>
      <c r="P27" s="389">
        <v>0</v>
      </c>
      <c r="Q27" s="389">
        <v>0</v>
      </c>
      <c r="R27" s="389">
        <v>0</v>
      </c>
      <c r="S27" s="389">
        <v>0</v>
      </c>
      <c r="T27" s="389">
        <v>0</v>
      </c>
      <c r="U27" s="502"/>
    </row>
    <row r="28" spans="1:21" hidden="1" outlineLevel="1" x14ac:dyDescent="0.25">
      <c r="A28" s="500"/>
      <c r="B28" s="212" t="s">
        <v>23</v>
      </c>
      <c r="C28" s="374">
        <v>159.70000000000002</v>
      </c>
      <c r="D28" s="374">
        <v>-31.7</v>
      </c>
      <c r="E28" s="374">
        <v>-121</v>
      </c>
      <c r="F28" s="374">
        <v>-128.19999999999999</v>
      </c>
      <c r="G28" s="374">
        <v>-120.19999999999999</v>
      </c>
      <c r="H28" s="374">
        <v>-177.60000000000002</v>
      </c>
      <c r="I28" s="374">
        <v>-101.6</v>
      </c>
      <c r="J28" s="434"/>
      <c r="K28" s="389">
        <v>0</v>
      </c>
      <c r="L28" s="389">
        <v>0</v>
      </c>
      <c r="M28" s="389">
        <v>0</v>
      </c>
      <c r="N28" s="389">
        <v>0</v>
      </c>
      <c r="O28" s="389">
        <v>0</v>
      </c>
      <c r="P28" s="389">
        <v>0</v>
      </c>
      <c r="Q28" s="389">
        <v>0</v>
      </c>
      <c r="R28" s="389">
        <v>0</v>
      </c>
      <c r="S28" s="389">
        <v>0</v>
      </c>
      <c r="T28" s="389">
        <v>0</v>
      </c>
      <c r="U28" s="502"/>
    </row>
    <row r="29" spans="1:21" hidden="1" outlineLevel="1" x14ac:dyDescent="0.25">
      <c r="A29" s="500"/>
      <c r="B29" s="212" t="s">
        <v>24</v>
      </c>
      <c r="C29" s="374">
        <v>-0.2</v>
      </c>
      <c r="D29" s="374">
        <v>138.4</v>
      </c>
      <c r="E29" s="374">
        <v>-132.89999999999998</v>
      </c>
      <c r="F29" s="374">
        <v>1387.7</v>
      </c>
      <c r="G29" s="374">
        <v>-6.1</v>
      </c>
      <c r="H29" s="374">
        <v>360.09999999999997</v>
      </c>
      <c r="I29" s="374">
        <v>3.7</v>
      </c>
      <c r="J29" s="434"/>
      <c r="K29" s="389">
        <v>0</v>
      </c>
      <c r="L29" s="389">
        <v>0</v>
      </c>
      <c r="M29" s="389">
        <v>0</v>
      </c>
      <c r="N29" s="389">
        <v>0</v>
      </c>
      <c r="O29" s="389">
        <v>0</v>
      </c>
      <c r="P29" s="389">
        <v>0</v>
      </c>
      <c r="Q29" s="389">
        <v>0</v>
      </c>
      <c r="R29" s="389">
        <v>0</v>
      </c>
      <c r="S29" s="389">
        <v>0</v>
      </c>
      <c r="T29" s="389">
        <v>0</v>
      </c>
      <c r="U29" s="502"/>
    </row>
    <row r="30" spans="1:21" collapsed="1" x14ac:dyDescent="0.25">
      <c r="A30" s="500"/>
      <c r="B30" s="212" t="s">
        <v>25</v>
      </c>
      <c r="C30" s="374">
        <f t="shared" ref="C30:I30" si="25">SUM(C27:C29)</f>
        <v>-4437.8999999999996</v>
      </c>
      <c r="D30" s="374">
        <f t="shared" si="25"/>
        <v>-3840.2</v>
      </c>
      <c r="E30" s="374">
        <f t="shared" si="25"/>
        <v>-5717.2</v>
      </c>
      <c r="F30" s="374">
        <f t="shared" si="25"/>
        <v>-6817.5000000000009</v>
      </c>
      <c r="G30" s="374">
        <f t="shared" si="25"/>
        <v>-9257.2000000000007</v>
      </c>
      <c r="H30" s="374">
        <f t="shared" si="25"/>
        <v>-9652.2000000000007</v>
      </c>
      <c r="I30" s="374">
        <f t="shared" si="25"/>
        <v>-11110.199999999999</v>
      </c>
      <c r="J30" s="434"/>
      <c r="K30" s="369">
        <f t="shared" ref="K30:T30" si="26">K31*K24</f>
        <v>-18049.62212692777</v>
      </c>
      <c r="L30" s="369">
        <f t="shared" si="26"/>
        <v>-23804.738277654102</v>
      </c>
      <c r="M30" s="369">
        <f t="shared" si="26"/>
        <v>-30570.009424700165</v>
      </c>
      <c r="N30" s="369">
        <f t="shared" si="26"/>
        <v>-38384.920496917948</v>
      </c>
      <c r="O30" s="369">
        <f t="shared" si="26"/>
        <v>-47262.334724685046</v>
      </c>
      <c r="P30" s="369">
        <f t="shared" si="26"/>
        <v>-57167.647284370942</v>
      </c>
      <c r="Q30" s="369">
        <f t="shared" si="26"/>
        <v>-68022.868919754183</v>
      </c>
      <c r="R30" s="369">
        <f t="shared" si="26"/>
        <v>-80099.478778718825</v>
      </c>
      <c r="S30" s="369">
        <f t="shared" si="26"/>
        <v>-93413.480982779205</v>
      </c>
      <c r="T30" s="369">
        <f t="shared" si="26"/>
        <v>-107960.4432634682</v>
      </c>
      <c r="U30" s="502"/>
    </row>
    <row r="31" spans="1:21" ht="16.5" thickBot="1" x14ac:dyDescent="0.3">
      <c r="A31" s="500"/>
      <c r="B31" s="375" t="s">
        <v>31</v>
      </c>
      <c r="C31" s="376">
        <f>C30/C24</f>
        <v>-0.25435444213277369</v>
      </c>
      <c r="D31" s="376">
        <f t="shared" ref="D31:I31" si="27">D30/D24</f>
        <v>-0.25886952711584504</v>
      </c>
      <c r="E31" s="376">
        <f t="shared" si="27"/>
        <v>-0.2769800205414415</v>
      </c>
      <c r="F31" s="376">
        <f t="shared" si="27"/>
        <v>-0.22278756507161532</v>
      </c>
      <c r="G31" s="376">
        <f t="shared" si="27"/>
        <v>-0.26744632843444555</v>
      </c>
      <c r="H31" s="377">
        <f t="shared" si="27"/>
        <v>-0.26281152404109315</v>
      </c>
      <c r="I31" s="377">
        <f t="shared" si="27"/>
        <v>-0.27220074382230602</v>
      </c>
      <c r="J31" s="515"/>
      <c r="K31" s="378">
        <v>-0.27</v>
      </c>
      <c r="L31" s="378">
        <v>-0.27</v>
      </c>
      <c r="M31" s="378">
        <v>-0.27</v>
      </c>
      <c r="N31" s="378">
        <v>-0.27</v>
      </c>
      <c r="O31" s="378">
        <v>-0.27</v>
      </c>
      <c r="P31" s="378">
        <v>-0.27</v>
      </c>
      <c r="Q31" s="378">
        <v>-0.27</v>
      </c>
      <c r="R31" s="378">
        <v>-0.27</v>
      </c>
      <c r="S31" s="378">
        <v>-0.27</v>
      </c>
      <c r="T31" s="378">
        <v>-0.27</v>
      </c>
      <c r="U31" s="502"/>
    </row>
    <row r="32" spans="1:21" ht="17.25" thickTop="1" thickBot="1" x14ac:dyDescent="0.3">
      <c r="A32" s="500"/>
      <c r="B32" s="379" t="s">
        <v>26</v>
      </c>
      <c r="C32" s="380">
        <f t="shared" ref="C32:I32" si="28">C30+C24</f>
        <v>13009.800000000016</v>
      </c>
      <c r="D32" s="380">
        <f t="shared" si="28"/>
        <v>10994.299999999985</v>
      </c>
      <c r="E32" s="380">
        <f t="shared" si="28"/>
        <v>14923.999999999989</v>
      </c>
      <c r="F32" s="380">
        <f t="shared" si="28"/>
        <v>23783.400000000034</v>
      </c>
      <c r="G32" s="380">
        <f t="shared" si="28"/>
        <v>25356.100000000024</v>
      </c>
      <c r="H32" s="381">
        <f t="shared" si="28"/>
        <v>27074.499999999945</v>
      </c>
      <c r="I32" s="381">
        <f t="shared" si="28"/>
        <v>29705.999999999971</v>
      </c>
      <c r="J32" s="434"/>
      <c r="K32" s="382">
        <f t="shared" ref="K32:P32" si="29">K30+K24</f>
        <v>48800.830195026923</v>
      </c>
      <c r="L32" s="382">
        <f t="shared" si="29"/>
        <v>64360.959046990713</v>
      </c>
      <c r="M32" s="382">
        <f t="shared" si="29"/>
        <v>82652.247703818954</v>
      </c>
      <c r="N32" s="382">
        <f t="shared" si="29"/>
        <v>103781.45171388926</v>
      </c>
      <c r="O32" s="382">
        <f t="shared" si="29"/>
        <v>127783.34944081512</v>
      </c>
      <c r="P32" s="382">
        <f t="shared" si="29"/>
        <v>154564.37969478068</v>
      </c>
      <c r="Q32" s="382">
        <f>Q30+Q24</f>
        <v>183913.68263489089</v>
      </c>
      <c r="R32" s="382">
        <f>R30+R24</f>
        <v>216565.2574387583</v>
      </c>
      <c r="S32" s="382">
        <f>S30+S24</f>
        <v>252562.37450899559</v>
      </c>
      <c r="T32" s="382">
        <f>T30+T24</f>
        <v>291893.05030493252</v>
      </c>
      <c r="U32" s="502"/>
    </row>
    <row r="33" spans="1:21" ht="16.5" thickTop="1" x14ac:dyDescent="0.25">
      <c r="A33" s="500"/>
      <c r="B33" s="512" t="s">
        <v>33</v>
      </c>
      <c r="C33" s="513">
        <f>C32/C$8</f>
        <v>5.2310797661458353E-2</v>
      </c>
      <c r="D33" s="513">
        <f t="shared" ref="D33:T33" si="30">D32/D$8</f>
        <v>4.5538138081916646E-2</v>
      </c>
      <c r="E33" s="513">
        <f>E32/E$8</f>
        <v>4.8178815590127502E-2</v>
      </c>
      <c r="F33" s="513">
        <f t="shared" si="30"/>
        <v>5.551737692917489E-2</v>
      </c>
      <c r="G33" s="513">
        <f t="shared" si="30"/>
        <v>4.9924560183804242E-2</v>
      </c>
      <c r="H33" s="514">
        <f t="shared" si="30"/>
        <v>4.5612178971512617E-2</v>
      </c>
      <c r="I33" s="514">
        <f t="shared" si="30"/>
        <v>4.3164313548502919E-2</v>
      </c>
      <c r="J33" s="515"/>
      <c r="K33" s="373">
        <f t="shared" si="30"/>
        <v>5.333599417192466E-2</v>
      </c>
      <c r="L33" s="373">
        <f t="shared" si="30"/>
        <v>5.5126786943303412E-2</v>
      </c>
      <c r="M33" s="373">
        <f t="shared" si="30"/>
        <v>5.6317668389412795E-2</v>
      </c>
      <c r="N33" s="373">
        <f t="shared" si="30"/>
        <v>5.7248943979301158E-2</v>
      </c>
      <c r="O33" s="373">
        <f t="shared" si="30"/>
        <v>5.7996615802228722E-2</v>
      </c>
      <c r="P33" s="373">
        <f t="shared" si="30"/>
        <v>5.859998659564386E-2</v>
      </c>
      <c r="Q33" s="373">
        <f t="shared" si="30"/>
        <v>5.9087920514032388E-2</v>
      </c>
      <c r="R33" s="373">
        <f t="shared" si="30"/>
        <v>5.9504812048115058E-2</v>
      </c>
      <c r="S33" s="373">
        <f>S32/S$8</f>
        <v>5.9862483475567163E-2</v>
      </c>
      <c r="T33" s="373">
        <f t="shared" si="30"/>
        <v>6.017026623563624E-2</v>
      </c>
      <c r="U33" s="502"/>
    </row>
    <row r="34" spans="1:21" ht="5.0999999999999996" customHeight="1" x14ac:dyDescent="0.25">
      <c r="A34" s="500"/>
      <c r="B34" s="512"/>
      <c r="C34" s="519"/>
      <c r="D34" s="519"/>
      <c r="E34" s="519"/>
      <c r="F34" s="519"/>
      <c r="G34" s="519"/>
      <c r="H34" s="519"/>
      <c r="I34" s="519"/>
      <c r="J34" s="520"/>
      <c r="K34" s="519"/>
      <c r="L34" s="519"/>
      <c r="M34" s="519"/>
      <c r="N34" s="519"/>
      <c r="O34" s="519"/>
      <c r="P34" s="519"/>
      <c r="Q34" s="519"/>
      <c r="R34" s="519"/>
      <c r="S34" s="519"/>
      <c r="T34" s="519"/>
      <c r="U34" s="502"/>
    </row>
    <row r="35" spans="1:21" x14ac:dyDescent="0.25">
      <c r="A35" s="500"/>
      <c r="B35" s="203" t="s">
        <v>418</v>
      </c>
      <c r="C35" s="204">
        <f>628137345/10^6</f>
        <v>628.13734499999998</v>
      </c>
      <c r="D35" s="204">
        <f>647774691/10^6</f>
        <v>647.77469099999996</v>
      </c>
      <c r="E35" s="204">
        <f>647774691/10^6</f>
        <v>647.77469099999996</v>
      </c>
      <c r="F35" s="204">
        <f>647780053/10^6</f>
        <v>647.78005299999995</v>
      </c>
      <c r="G35" s="204">
        <f>650437695/10^6</f>
        <v>650.43769499999996</v>
      </c>
      <c r="H35" s="204">
        <f>650733068/10^6</f>
        <v>650.733068</v>
      </c>
      <c r="I35" s="204">
        <f>650749863/10^6</f>
        <v>650.749863</v>
      </c>
      <c r="J35" s="400"/>
      <c r="K35" s="204">
        <f>I35</f>
        <v>650.749863</v>
      </c>
      <c r="L35" s="204">
        <f>K35</f>
        <v>650.749863</v>
      </c>
      <c r="M35" s="204">
        <f t="shared" ref="M35:T35" si="31">L35</f>
        <v>650.749863</v>
      </c>
      <c r="N35" s="204">
        <f t="shared" si="31"/>
        <v>650.749863</v>
      </c>
      <c r="O35" s="204">
        <f t="shared" si="31"/>
        <v>650.749863</v>
      </c>
      <c r="P35" s="204">
        <f t="shared" si="31"/>
        <v>650.749863</v>
      </c>
      <c r="Q35" s="204">
        <f t="shared" si="31"/>
        <v>650.749863</v>
      </c>
      <c r="R35" s="204">
        <f t="shared" si="31"/>
        <v>650.749863</v>
      </c>
      <c r="S35" s="204">
        <f t="shared" si="31"/>
        <v>650.749863</v>
      </c>
      <c r="T35" s="204">
        <f t="shared" si="31"/>
        <v>650.749863</v>
      </c>
      <c r="U35" s="502"/>
    </row>
    <row r="36" spans="1:21" x14ac:dyDescent="0.25">
      <c r="A36" s="500"/>
      <c r="B36" s="203" t="s">
        <v>233</v>
      </c>
      <c r="C36" s="204">
        <v>20.71</v>
      </c>
      <c r="D36" s="204">
        <v>16.97</v>
      </c>
      <c r="E36" s="204">
        <v>23.04</v>
      </c>
      <c r="F36" s="204">
        <v>36.72</v>
      </c>
      <c r="G36" s="204">
        <v>38.99</v>
      </c>
      <c r="H36" s="204">
        <v>41.61</v>
      </c>
      <c r="I36" s="204">
        <v>45.65</v>
      </c>
      <c r="J36" s="400"/>
      <c r="K36" s="204">
        <f>K32/K35</f>
        <v>74.991687236093853</v>
      </c>
      <c r="L36" s="204">
        <f t="shared" ref="L36:T36" si="32">L32/L35</f>
        <v>98.902762346014839</v>
      </c>
      <c r="M36" s="204">
        <f t="shared" si="32"/>
        <v>127.01078002965166</v>
      </c>
      <c r="N36" s="204">
        <f t="shared" si="32"/>
        <v>159.47979033825666</v>
      </c>
      <c r="O36" s="204">
        <f t="shared" si="32"/>
        <v>196.3632367922836</v>
      </c>
      <c r="P36" s="204">
        <f t="shared" si="32"/>
        <v>237.51734496297647</v>
      </c>
      <c r="Q36" s="204">
        <f t="shared" si="32"/>
        <v>282.61808890291059</v>
      </c>
      <c r="R36" s="204">
        <f t="shared" si="32"/>
        <v>332.79339689812321</v>
      </c>
      <c r="S36" s="204">
        <f t="shared" si="32"/>
        <v>388.10976208994697</v>
      </c>
      <c r="T36" s="204">
        <f t="shared" si="32"/>
        <v>448.54876950612976</v>
      </c>
      <c r="U36" s="502"/>
    </row>
    <row r="37" spans="1:21" x14ac:dyDescent="0.25">
      <c r="A37" s="500"/>
      <c r="B37" s="203" t="s">
        <v>419</v>
      </c>
      <c r="C37" s="204">
        <f>632984975/10^6</f>
        <v>632.98497499999996</v>
      </c>
      <c r="D37" s="204">
        <f>652593148/10^6</f>
        <v>652.59314800000004</v>
      </c>
      <c r="E37" s="204">
        <f>652893287/10^6</f>
        <v>652.89328699999999</v>
      </c>
      <c r="F37" s="204">
        <f>651758267/10^6</f>
        <v>651.75826700000005</v>
      </c>
      <c r="G37" s="204">
        <f>651536951/10^6</f>
        <v>651.53695100000004</v>
      </c>
      <c r="H37" s="204">
        <f>652318596/10^6</f>
        <v>652.31859599999996</v>
      </c>
      <c r="I37" s="204">
        <f>651005781/10^6</f>
        <v>651.00578099999996</v>
      </c>
      <c r="J37" s="400"/>
      <c r="K37" s="204">
        <f>I37</f>
        <v>651.00578099999996</v>
      </c>
      <c r="L37" s="204">
        <f>K37</f>
        <v>651.00578099999996</v>
      </c>
      <c r="M37" s="204">
        <f t="shared" ref="M37:T37" si="33">L37</f>
        <v>651.00578099999996</v>
      </c>
      <c r="N37" s="204">
        <f t="shared" si="33"/>
        <v>651.00578099999996</v>
      </c>
      <c r="O37" s="204">
        <f t="shared" si="33"/>
        <v>651.00578099999996</v>
      </c>
      <c r="P37" s="204">
        <f t="shared" si="33"/>
        <v>651.00578099999996</v>
      </c>
      <c r="Q37" s="204">
        <f t="shared" si="33"/>
        <v>651.00578099999996</v>
      </c>
      <c r="R37" s="204">
        <f t="shared" si="33"/>
        <v>651.00578099999996</v>
      </c>
      <c r="S37" s="204">
        <f t="shared" si="33"/>
        <v>651.00578099999996</v>
      </c>
      <c r="T37" s="204">
        <f t="shared" si="33"/>
        <v>651.00578099999996</v>
      </c>
      <c r="U37" s="502"/>
    </row>
    <row r="38" spans="1:21" x14ac:dyDescent="0.25">
      <c r="A38" s="500"/>
      <c r="B38" s="203" t="s">
        <v>234</v>
      </c>
      <c r="C38" s="204">
        <v>20.55</v>
      </c>
      <c r="D38" s="204">
        <v>16.850000000000001</v>
      </c>
      <c r="E38" s="204">
        <v>22.86</v>
      </c>
      <c r="F38" s="204">
        <v>36.49</v>
      </c>
      <c r="G38" s="204">
        <v>38.93</v>
      </c>
      <c r="H38" s="204">
        <v>41.5</v>
      </c>
      <c r="I38" s="204">
        <v>45.63</v>
      </c>
      <c r="J38" s="400"/>
      <c r="K38" s="204">
        <f>K32/K37</f>
        <v>74.962207125203591</v>
      </c>
      <c r="L38" s="204">
        <f t="shared" ref="L38:T38" si="34">L32/L37</f>
        <v>98.863882511345494</v>
      </c>
      <c r="M38" s="204">
        <f t="shared" si="34"/>
        <v>126.96085060390418</v>
      </c>
      <c r="N38" s="204">
        <f t="shared" si="34"/>
        <v>159.41709696413474</v>
      </c>
      <c r="O38" s="204">
        <f t="shared" si="34"/>
        <v>196.28604410321685</v>
      </c>
      <c r="P38" s="204">
        <f t="shared" si="34"/>
        <v>237.42397411180698</v>
      </c>
      <c r="Q38" s="204">
        <f t="shared" si="34"/>
        <v>282.50698842087689</v>
      </c>
      <c r="R38" s="204">
        <f t="shared" si="34"/>
        <v>332.66257191463916</v>
      </c>
      <c r="S38" s="204">
        <f t="shared" si="34"/>
        <v>387.95719159519354</v>
      </c>
      <c r="T38" s="204">
        <f t="shared" si="34"/>
        <v>448.37243972942929</v>
      </c>
      <c r="U38" s="502"/>
    </row>
    <row r="39" spans="1:21" x14ac:dyDescent="0.25">
      <c r="A39" s="500"/>
      <c r="B39" s="203"/>
      <c r="C39" s="204"/>
      <c r="D39" s="204"/>
      <c r="E39" s="204"/>
      <c r="F39" s="204"/>
      <c r="G39" s="204"/>
      <c r="H39" s="204"/>
      <c r="I39" s="204"/>
      <c r="J39" s="400"/>
      <c r="K39" s="204"/>
      <c r="L39" s="204"/>
      <c r="M39" s="204"/>
      <c r="N39" s="204"/>
      <c r="O39" s="204"/>
      <c r="P39" s="204"/>
      <c r="Q39" s="204"/>
      <c r="R39" s="204"/>
      <c r="S39" s="204"/>
      <c r="T39" s="204"/>
      <c r="U39" s="502"/>
    </row>
    <row r="40" spans="1:21" ht="16.5" thickBot="1" x14ac:dyDescent="0.3">
      <c r="A40" s="521"/>
      <c r="B40" s="522"/>
      <c r="C40" s="523"/>
      <c r="D40" s="523"/>
      <c r="E40" s="523"/>
      <c r="F40" s="523"/>
      <c r="G40" s="523"/>
      <c r="H40" s="523"/>
      <c r="I40" s="523"/>
      <c r="J40" s="522"/>
      <c r="K40" s="523"/>
      <c r="L40" s="523"/>
      <c r="M40" s="523"/>
      <c r="N40" s="523"/>
      <c r="O40" s="523"/>
      <c r="P40" s="523"/>
      <c r="Q40" s="523"/>
      <c r="R40" s="523"/>
      <c r="S40" s="523"/>
      <c r="T40" s="523"/>
      <c r="U40" s="524"/>
    </row>
    <row r="41" spans="1:21" ht="16.5" thickTop="1" x14ac:dyDescent="0.25"/>
    <row r="43" spans="1:21" x14ac:dyDescent="0.25">
      <c r="E43" s="383"/>
    </row>
  </sheetData>
  <sheetProtection sheet="1" objects="1" scenarios="1" selectLockedCells="1"/>
  <mergeCells count="1">
    <mergeCell ref="B2:T3"/>
  </mergeCells>
  <pageMargins left="0.25" right="0.25" top="0.75" bottom="0.75" header="0.3" footer="0.3"/>
  <pageSetup paperSize="9" scale="4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'Revenue driver'!$B$18:$B$20</xm:f>
          </x14:formula1>
          <xm:sqref>D5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
  <sheetViews>
    <sheetView showGridLines="0" zoomScale="85" zoomScaleNormal="85" zoomScaleSheetLayoutView="55" zoomScalePageLayoutView="55" workbookViewId="0">
      <selection activeCell="D5" sqref="D5"/>
    </sheetView>
  </sheetViews>
  <sheetFormatPr defaultRowHeight="15.75" x14ac:dyDescent="0.25"/>
  <cols>
    <col min="1" max="1" width="2.7109375" style="363" customWidth="1"/>
    <col min="2" max="2" width="53.85546875" style="363" customWidth="1"/>
    <col min="3" max="9" width="14.85546875" style="130" customWidth="1"/>
    <col min="10" max="10" width="0.85546875" style="363" customWidth="1"/>
    <col min="11" max="20" width="14.85546875" style="130" customWidth="1"/>
    <col min="21" max="21" width="2.7109375" style="130" customWidth="1"/>
    <col min="22" max="16384" width="9.140625" style="130"/>
  </cols>
  <sheetData>
    <row r="1" spans="1:21" ht="16.5" thickTop="1" x14ac:dyDescent="0.25">
      <c r="A1" s="496"/>
      <c r="B1" s="497"/>
      <c r="C1" s="498"/>
      <c r="D1" s="498"/>
      <c r="E1" s="498"/>
      <c r="F1" s="498"/>
      <c r="G1" s="498"/>
      <c r="H1" s="498"/>
      <c r="I1" s="498"/>
      <c r="J1" s="497"/>
      <c r="K1" s="498"/>
      <c r="L1" s="498"/>
      <c r="M1" s="498"/>
      <c r="N1" s="498"/>
      <c r="O1" s="498"/>
      <c r="P1" s="498"/>
      <c r="Q1" s="498"/>
      <c r="R1" s="498"/>
      <c r="S1" s="498"/>
      <c r="T1" s="498"/>
      <c r="U1" s="499"/>
    </row>
    <row r="2" spans="1:21" ht="9.9499999999999993" customHeight="1" x14ac:dyDescent="0.25">
      <c r="A2" s="500"/>
      <c r="B2" s="644" t="s">
        <v>422</v>
      </c>
      <c r="C2" s="644"/>
      <c r="D2" s="644"/>
      <c r="E2" s="644"/>
      <c r="F2" s="644"/>
      <c r="G2" s="644"/>
      <c r="H2" s="644"/>
      <c r="I2" s="644"/>
      <c r="J2" s="644"/>
      <c r="K2" s="644"/>
      <c r="L2" s="644"/>
      <c r="M2" s="644"/>
      <c r="N2" s="644"/>
      <c r="O2" s="644"/>
      <c r="P2" s="644"/>
      <c r="Q2" s="644"/>
      <c r="R2" s="644"/>
      <c r="S2" s="644"/>
      <c r="T2" s="644"/>
      <c r="U2" s="502"/>
    </row>
    <row r="3" spans="1:21" ht="9.9499999999999993" customHeight="1" x14ac:dyDescent="0.25">
      <c r="A3" s="500"/>
      <c r="B3" s="644"/>
      <c r="C3" s="644"/>
      <c r="D3" s="644"/>
      <c r="E3" s="644"/>
      <c r="F3" s="644"/>
      <c r="G3" s="644"/>
      <c r="H3" s="644"/>
      <c r="I3" s="644"/>
      <c r="J3" s="644"/>
      <c r="K3" s="644"/>
      <c r="L3" s="644"/>
      <c r="M3" s="644"/>
      <c r="N3" s="644"/>
      <c r="O3" s="644"/>
      <c r="P3" s="644"/>
      <c r="Q3" s="644"/>
      <c r="R3" s="644"/>
      <c r="S3" s="644"/>
      <c r="T3" s="644"/>
      <c r="U3" s="502"/>
    </row>
    <row r="4" spans="1:21" ht="5.0999999999999996" customHeight="1" x14ac:dyDescent="0.25">
      <c r="A4" s="500"/>
      <c r="B4" s="434"/>
      <c r="C4" s="414"/>
      <c r="D4" s="414"/>
      <c r="E4" s="414"/>
      <c r="F4" s="414"/>
      <c r="G4" s="414"/>
      <c r="H4" s="414"/>
      <c r="I4" s="414"/>
      <c r="J4" s="434"/>
      <c r="K4" s="414"/>
      <c r="L4" s="414"/>
      <c r="M4" s="414"/>
      <c r="N4" s="414"/>
      <c r="O4" s="414"/>
      <c r="P4" s="414"/>
      <c r="Q4" s="414"/>
      <c r="R4" s="414"/>
      <c r="S4" s="414"/>
      <c r="T4" s="414"/>
      <c r="U4" s="502"/>
    </row>
    <row r="5" spans="1:21" x14ac:dyDescent="0.25">
      <c r="A5" s="500"/>
      <c r="B5" s="503" t="s">
        <v>421</v>
      </c>
      <c r="C5" s="525" t="s">
        <v>239</v>
      </c>
      <c r="D5" s="137" t="s">
        <v>237</v>
      </c>
      <c r="E5" s="414"/>
      <c r="F5" s="414"/>
      <c r="G5" s="414"/>
      <c r="H5" s="414"/>
      <c r="I5" s="414"/>
      <c r="J5" s="434"/>
      <c r="K5" s="414"/>
      <c r="L5" s="414"/>
      <c r="M5" s="414"/>
      <c r="N5" s="414"/>
      <c r="O5" s="414"/>
      <c r="P5" s="414"/>
      <c r="Q5" s="414"/>
      <c r="R5" s="414"/>
      <c r="S5" s="414"/>
      <c r="T5" s="414"/>
      <c r="U5" s="502"/>
    </row>
    <row r="6" spans="1:21" s="363" customFormat="1" ht="5.0999999999999996" customHeight="1" x14ac:dyDescent="0.25">
      <c r="A6" s="500"/>
      <c r="B6" s="434"/>
      <c r="C6" s="434"/>
      <c r="D6" s="434"/>
      <c r="E6" s="434"/>
      <c r="F6" s="434"/>
      <c r="G6" s="434"/>
      <c r="H6" s="434"/>
      <c r="I6" s="434"/>
      <c r="J6" s="434"/>
      <c r="K6" s="434"/>
      <c r="L6" s="434"/>
      <c r="M6" s="434"/>
      <c r="N6" s="434"/>
      <c r="O6" s="434"/>
      <c r="P6" s="434"/>
      <c r="Q6" s="434"/>
      <c r="R6" s="434"/>
      <c r="S6" s="434"/>
      <c r="T6" s="434"/>
      <c r="U6" s="505"/>
    </row>
    <row r="7" spans="1:21" s="363" customFormat="1" ht="16.5" thickBot="1" x14ac:dyDescent="0.3">
      <c r="A7" s="500"/>
      <c r="B7" s="364" t="s">
        <v>32</v>
      </c>
      <c r="C7" s="384">
        <v>43921</v>
      </c>
      <c r="D7" s="384">
        <f t="shared" ref="D7:I7" si="0">EOMONTH(C7,12)</f>
        <v>44286</v>
      </c>
      <c r="E7" s="384">
        <f t="shared" si="0"/>
        <v>44651</v>
      </c>
      <c r="F7" s="384">
        <f t="shared" si="0"/>
        <v>45016</v>
      </c>
      <c r="G7" s="384">
        <f t="shared" si="0"/>
        <v>45382</v>
      </c>
      <c r="H7" s="384">
        <f t="shared" si="0"/>
        <v>45747</v>
      </c>
      <c r="I7" s="384">
        <f t="shared" si="0"/>
        <v>46112</v>
      </c>
      <c r="J7" s="526"/>
      <c r="K7" s="385">
        <f>EOMONTH(I7,12)</f>
        <v>46477</v>
      </c>
      <c r="L7" s="385">
        <f t="shared" ref="L7:T7" si="1">EOMONTH(K7,12)</f>
        <v>46843</v>
      </c>
      <c r="M7" s="385">
        <f t="shared" si="1"/>
        <v>47208</v>
      </c>
      <c r="N7" s="385">
        <f t="shared" si="1"/>
        <v>47573</v>
      </c>
      <c r="O7" s="385">
        <f t="shared" si="1"/>
        <v>47938</v>
      </c>
      <c r="P7" s="385">
        <f t="shared" si="1"/>
        <v>48304</v>
      </c>
      <c r="Q7" s="385">
        <f t="shared" si="1"/>
        <v>48669</v>
      </c>
      <c r="R7" s="385">
        <f t="shared" si="1"/>
        <v>49034</v>
      </c>
      <c r="S7" s="385">
        <f t="shared" si="1"/>
        <v>49399</v>
      </c>
      <c r="T7" s="385">
        <f t="shared" si="1"/>
        <v>49765</v>
      </c>
      <c r="U7" s="505"/>
    </row>
    <row r="8" spans="1:21" ht="16.5" thickTop="1" x14ac:dyDescent="0.25">
      <c r="A8" s="500"/>
      <c r="B8" s="203" t="s">
        <v>34</v>
      </c>
      <c r="C8" s="386"/>
      <c r="D8" s="386"/>
      <c r="E8" s="386"/>
      <c r="F8" s="386"/>
      <c r="G8" s="386"/>
      <c r="H8" s="387"/>
      <c r="I8" s="388"/>
      <c r="J8" s="434"/>
      <c r="K8" s="389"/>
      <c r="L8" s="389"/>
      <c r="M8" s="389"/>
      <c r="N8" s="389"/>
      <c r="O8" s="389"/>
      <c r="P8" s="389"/>
      <c r="Q8" s="414"/>
      <c r="R8" s="414"/>
      <c r="S8" s="414"/>
      <c r="T8" s="414"/>
      <c r="U8" s="502"/>
    </row>
    <row r="9" spans="1:21" x14ac:dyDescent="0.25">
      <c r="A9" s="500"/>
      <c r="B9" s="390" t="s">
        <v>35</v>
      </c>
      <c r="C9" s="386"/>
      <c r="D9" s="386"/>
      <c r="E9" s="386"/>
      <c r="F9" s="386"/>
      <c r="G9" s="386"/>
      <c r="H9" s="387"/>
      <c r="I9" s="388"/>
      <c r="J9" s="434"/>
      <c r="K9" s="389"/>
      <c r="L9" s="389"/>
      <c r="M9" s="389"/>
      <c r="N9" s="389"/>
      <c r="O9" s="389"/>
      <c r="P9" s="389"/>
      <c r="Q9" s="414"/>
      <c r="R9" s="414"/>
      <c r="S9" s="414"/>
      <c r="T9" s="414"/>
      <c r="U9" s="502"/>
    </row>
    <row r="10" spans="1:21" x14ac:dyDescent="0.25">
      <c r="A10" s="500"/>
      <c r="B10" s="391" t="s">
        <v>65</v>
      </c>
      <c r="C10" s="392">
        <v>51073.599999999999</v>
      </c>
      <c r="D10" s="392">
        <v>59385</v>
      </c>
      <c r="E10" s="392">
        <v>77704.600000000006</v>
      </c>
      <c r="F10" s="392">
        <v>97256.1</v>
      </c>
      <c r="G10" s="392">
        <v>117591.90000000001</v>
      </c>
      <c r="H10" s="393">
        <v>143498.29999999999</v>
      </c>
      <c r="I10" s="394">
        <v>175869.5</v>
      </c>
      <c r="J10" s="434"/>
      <c r="K10" s="395">
        <f>Schedules!K11</f>
        <v>183070.72118702403</v>
      </c>
      <c r="L10" s="395">
        <f>Schedules!L11</f>
        <v>206338.09626623773</v>
      </c>
      <c r="M10" s="395">
        <f>Schedules!M11</f>
        <v>232681.76020191846</v>
      </c>
      <c r="N10" s="395">
        <f>Schedules!N11</f>
        <v>260719.64480233958</v>
      </c>
      <c r="O10" s="395">
        <f>Schedules!O11</f>
        <v>290423.60105461959</v>
      </c>
      <c r="P10" s="395">
        <f>Schedules!P11</f>
        <v>321767.71749654214</v>
      </c>
      <c r="Q10" s="395">
        <f>Schedules!Q11</f>
        <v>354728.21928482095</v>
      </c>
      <c r="R10" s="395">
        <f>Schedules!R11</f>
        <v>389283.37244585785</v>
      </c>
      <c r="S10" s="395">
        <f>Schedules!S11</f>
        <v>425413.39305149205</v>
      </c>
      <c r="T10" s="395">
        <f>Schedules!T11</f>
        <v>463100.36107513413</v>
      </c>
      <c r="U10" s="502"/>
    </row>
    <row r="11" spans="1:21" x14ac:dyDescent="0.25">
      <c r="A11" s="500"/>
      <c r="B11" s="391" t="s">
        <v>66</v>
      </c>
      <c r="C11" s="392">
        <v>3644</v>
      </c>
      <c r="D11" s="392">
        <v>10195.9</v>
      </c>
      <c r="E11" s="392">
        <v>11293.4</v>
      </c>
      <c r="F11" s="392">
        <v>8291.6</v>
      </c>
      <c r="G11" s="392">
        <v>9352.2000000000007</v>
      </c>
      <c r="H11" s="392">
        <v>10993.5</v>
      </c>
      <c r="I11" s="392">
        <v>12999.6</v>
      </c>
      <c r="J11" s="434"/>
      <c r="K11" s="396">
        <f>Schedules!K29</f>
        <v>29094.783397924053</v>
      </c>
      <c r="L11" s="396">
        <f>Schedules!L29</f>
        <v>30842.566845549787</v>
      </c>
      <c r="M11" s="396">
        <f>Schedules!M29</f>
        <v>30741.983513249666</v>
      </c>
      <c r="N11" s="396">
        <f>Schedules!N29</f>
        <v>30052.780835796315</v>
      </c>
      <c r="O11" s="396">
        <f>Schedules!O29</f>
        <v>28716.946484619912</v>
      </c>
      <c r="P11" s="396">
        <f>Schedules!P29</f>
        <v>26675.616746513726</v>
      </c>
      <c r="Q11" s="396">
        <f>Schedules!Q29</f>
        <v>23869.065297174282</v>
      </c>
      <c r="R11" s="396">
        <f>Schedules!R29</f>
        <v>20236.691835350728</v>
      </c>
      <c r="S11" s="396">
        <f>Schedules!S29</f>
        <v>15717.010575938322</v>
      </c>
      <c r="T11" s="396">
        <f>Schedules!T29</f>
        <v>10247.638600331462</v>
      </c>
      <c r="U11" s="502"/>
    </row>
    <row r="12" spans="1:21" x14ac:dyDescent="0.25">
      <c r="A12" s="500"/>
      <c r="B12" s="391" t="s">
        <v>67</v>
      </c>
      <c r="C12" s="392">
        <v>7173.3</v>
      </c>
      <c r="D12" s="392">
        <v>9602.4</v>
      </c>
      <c r="E12" s="392">
        <v>13886.5</v>
      </c>
      <c r="F12" s="392">
        <v>15048.800000000001</v>
      </c>
      <c r="G12" s="392">
        <v>15391</v>
      </c>
      <c r="H12" s="392">
        <v>17417.3</v>
      </c>
      <c r="I12" s="392">
        <v>23814.1</v>
      </c>
      <c r="J12" s="434"/>
      <c r="K12" s="397">
        <f>Schedules!K22</f>
        <v>25316.728499999997</v>
      </c>
      <c r="L12" s="397">
        <f>Schedules!L22</f>
        <v>26646.554722499997</v>
      </c>
      <c r="M12" s="397">
        <f>Schedules!M22</f>
        <v>27823.450929412498</v>
      </c>
      <c r="N12" s="397">
        <f>Schedules!N22</f>
        <v>28865.004072530061</v>
      </c>
      <c r="O12" s="397">
        <f>Schedules!O22</f>
        <v>29786.778604189109</v>
      </c>
      <c r="P12" s="397">
        <f>Schedules!P22</f>
        <v>30602.54906470736</v>
      </c>
      <c r="Q12" s="397">
        <f>Schedules!Q22</f>
        <v>31325.448422266014</v>
      </c>
      <c r="R12" s="397">
        <f>Schedules!R22</f>
        <v>31966.156853705419</v>
      </c>
      <c r="S12" s="397">
        <f>Schedules!S22</f>
        <v>32534.126315529295</v>
      </c>
      <c r="T12" s="397">
        <f>Schedules!T22</f>
        <v>33037.721789243427</v>
      </c>
      <c r="U12" s="502"/>
    </row>
    <row r="13" spans="1:21" x14ac:dyDescent="0.25">
      <c r="A13" s="500"/>
      <c r="B13" s="391" t="s">
        <v>68</v>
      </c>
      <c r="C13" s="392">
        <v>165.3</v>
      </c>
      <c r="D13" s="392">
        <v>95.7</v>
      </c>
      <c r="E13" s="392">
        <v>90.3</v>
      </c>
      <c r="F13" s="392">
        <v>85.399999999999991</v>
      </c>
      <c r="G13" s="392">
        <v>80.900000000000006</v>
      </c>
      <c r="H13" s="392">
        <v>76.5</v>
      </c>
      <c r="I13" s="392">
        <v>72.599999999999994</v>
      </c>
      <c r="J13" s="434"/>
      <c r="K13" s="398">
        <f>I13</f>
        <v>72.599999999999994</v>
      </c>
      <c r="L13" s="398">
        <f t="shared" ref="L13:P14" si="2">K13</f>
        <v>72.599999999999994</v>
      </c>
      <c r="M13" s="398">
        <f t="shared" si="2"/>
        <v>72.599999999999994</v>
      </c>
      <c r="N13" s="398">
        <f t="shared" si="2"/>
        <v>72.599999999999994</v>
      </c>
      <c r="O13" s="398">
        <f t="shared" si="2"/>
        <v>72.599999999999994</v>
      </c>
      <c r="P13" s="398">
        <f t="shared" si="2"/>
        <v>72.599999999999994</v>
      </c>
      <c r="Q13" s="398">
        <f t="shared" ref="Q13:T15" si="3">P13</f>
        <v>72.599999999999994</v>
      </c>
      <c r="R13" s="398">
        <f t="shared" si="3"/>
        <v>72.599999999999994</v>
      </c>
      <c r="S13" s="398">
        <f t="shared" si="3"/>
        <v>72.599999999999994</v>
      </c>
      <c r="T13" s="398">
        <f t="shared" si="3"/>
        <v>72.599999999999994</v>
      </c>
      <c r="U13" s="502"/>
    </row>
    <row r="14" spans="1:21" x14ac:dyDescent="0.25">
      <c r="A14" s="500"/>
      <c r="B14" s="391" t="s">
        <v>69</v>
      </c>
      <c r="C14" s="392">
        <v>782.69999999999993</v>
      </c>
      <c r="D14" s="392">
        <v>782.69999999999993</v>
      </c>
      <c r="E14" s="392">
        <v>782.69999999999993</v>
      </c>
      <c r="F14" s="392">
        <v>782.69999999999993</v>
      </c>
      <c r="G14" s="392">
        <v>782.69999999999993</v>
      </c>
      <c r="H14" s="392">
        <v>782.69999999999993</v>
      </c>
      <c r="I14" s="392">
        <v>782.69999999999993</v>
      </c>
      <c r="J14" s="434"/>
      <c r="K14" s="399">
        <f>I14</f>
        <v>782.69999999999993</v>
      </c>
      <c r="L14" s="399">
        <f t="shared" si="2"/>
        <v>782.69999999999993</v>
      </c>
      <c r="M14" s="399">
        <f t="shared" si="2"/>
        <v>782.69999999999993</v>
      </c>
      <c r="N14" s="399">
        <f t="shared" si="2"/>
        <v>782.69999999999993</v>
      </c>
      <c r="O14" s="399">
        <f t="shared" si="2"/>
        <v>782.69999999999993</v>
      </c>
      <c r="P14" s="399">
        <f t="shared" si="2"/>
        <v>782.69999999999993</v>
      </c>
      <c r="Q14" s="399">
        <f t="shared" si="3"/>
        <v>782.69999999999993</v>
      </c>
      <c r="R14" s="399">
        <f t="shared" si="3"/>
        <v>782.69999999999993</v>
      </c>
      <c r="S14" s="399">
        <f t="shared" si="3"/>
        <v>782.69999999999993</v>
      </c>
      <c r="T14" s="399">
        <f t="shared" si="3"/>
        <v>782.69999999999993</v>
      </c>
      <c r="U14" s="502"/>
    </row>
    <row r="15" spans="1:21" x14ac:dyDescent="0.25">
      <c r="A15" s="500"/>
      <c r="B15" s="391" t="s">
        <v>70</v>
      </c>
      <c r="C15" s="392">
        <v>285.39999999999998</v>
      </c>
      <c r="D15" s="392">
        <v>222.2</v>
      </c>
      <c r="E15" s="392">
        <v>136.1</v>
      </c>
      <c r="F15" s="392">
        <v>231.8</v>
      </c>
      <c r="G15" s="392">
        <v>303.5</v>
      </c>
      <c r="H15" s="392">
        <v>289.8</v>
      </c>
      <c r="I15" s="392">
        <v>364.2</v>
      </c>
      <c r="J15" s="434"/>
      <c r="K15" s="399">
        <f>I15</f>
        <v>364.2</v>
      </c>
      <c r="L15" s="399">
        <f t="shared" ref="L15:M21" si="4">K15</f>
        <v>364.2</v>
      </c>
      <c r="M15" s="399">
        <f t="shared" si="4"/>
        <v>364.2</v>
      </c>
      <c r="N15" s="399">
        <f>M15</f>
        <v>364.2</v>
      </c>
      <c r="O15" s="399">
        <f>N15</f>
        <v>364.2</v>
      </c>
      <c r="P15" s="399">
        <f>O15</f>
        <v>364.2</v>
      </c>
      <c r="Q15" s="399">
        <f t="shared" si="3"/>
        <v>364.2</v>
      </c>
      <c r="R15" s="399">
        <f t="shared" si="3"/>
        <v>364.2</v>
      </c>
      <c r="S15" s="399">
        <f t="shared" si="3"/>
        <v>364.2</v>
      </c>
      <c r="T15" s="399">
        <f t="shared" si="3"/>
        <v>364.2</v>
      </c>
      <c r="U15" s="502"/>
    </row>
    <row r="16" spans="1:21" x14ac:dyDescent="0.25">
      <c r="A16" s="500"/>
      <c r="B16" s="390" t="s">
        <v>71</v>
      </c>
      <c r="C16" s="392"/>
      <c r="D16" s="392"/>
      <c r="E16" s="392"/>
      <c r="F16" s="392"/>
      <c r="G16" s="392"/>
      <c r="H16" s="392"/>
      <c r="I16" s="392"/>
      <c r="J16" s="434"/>
      <c r="K16" s="400"/>
      <c r="L16" s="400"/>
      <c r="M16" s="400"/>
      <c r="N16" s="400"/>
      <c r="O16" s="400"/>
      <c r="P16" s="400"/>
      <c r="Q16" s="400"/>
      <c r="R16" s="400"/>
      <c r="S16" s="400"/>
      <c r="T16" s="400"/>
      <c r="U16" s="502"/>
    </row>
    <row r="17" spans="1:21" x14ac:dyDescent="0.25">
      <c r="A17" s="500"/>
      <c r="B17" s="391" t="s">
        <v>221</v>
      </c>
      <c r="C17" s="392">
        <v>0</v>
      </c>
      <c r="D17" s="392">
        <v>0</v>
      </c>
      <c r="E17" s="392">
        <v>0.1</v>
      </c>
      <c r="F17" s="392">
        <v>0.1</v>
      </c>
      <c r="G17" s="392">
        <v>0.1</v>
      </c>
      <c r="H17" s="392">
        <v>20.099999999999998</v>
      </c>
      <c r="I17" s="392">
        <v>20.099999999999998</v>
      </c>
      <c r="J17" s="434"/>
      <c r="K17" s="399">
        <f>I17</f>
        <v>20.099999999999998</v>
      </c>
      <c r="L17" s="399">
        <f t="shared" si="4"/>
        <v>20.099999999999998</v>
      </c>
      <c r="M17" s="399">
        <f t="shared" si="4"/>
        <v>20.099999999999998</v>
      </c>
      <c r="N17" s="399">
        <f t="shared" ref="N17:T21" si="5">M17</f>
        <v>20.099999999999998</v>
      </c>
      <c r="O17" s="399">
        <f t="shared" si="5"/>
        <v>20.099999999999998</v>
      </c>
      <c r="P17" s="399">
        <f t="shared" si="5"/>
        <v>20.099999999999998</v>
      </c>
      <c r="Q17" s="399">
        <f t="shared" si="5"/>
        <v>20.099999999999998</v>
      </c>
      <c r="R17" s="399">
        <f t="shared" si="5"/>
        <v>20.099999999999998</v>
      </c>
      <c r="S17" s="399">
        <f t="shared" si="5"/>
        <v>20.099999999999998</v>
      </c>
      <c r="T17" s="399">
        <f t="shared" si="5"/>
        <v>20.099999999999998</v>
      </c>
      <c r="U17" s="502"/>
    </row>
    <row r="18" spans="1:21" x14ac:dyDescent="0.25">
      <c r="A18" s="500"/>
      <c r="B18" s="391" t="s">
        <v>222</v>
      </c>
      <c r="C18" s="392">
        <v>31226.7</v>
      </c>
      <c r="D18" s="392">
        <v>11092.8</v>
      </c>
      <c r="E18" s="392">
        <v>12627</v>
      </c>
      <c r="F18" s="392">
        <v>1085.5</v>
      </c>
      <c r="G18" s="392">
        <v>2347.6</v>
      </c>
      <c r="H18" s="392">
        <v>1681.2</v>
      </c>
      <c r="I18" s="392">
        <v>1967.1000000000001</v>
      </c>
      <c r="J18" s="434"/>
      <c r="K18" s="399">
        <f>I18</f>
        <v>1967.1000000000001</v>
      </c>
      <c r="L18" s="399">
        <f t="shared" si="4"/>
        <v>1967.1000000000001</v>
      </c>
      <c r="M18" s="399">
        <f t="shared" si="4"/>
        <v>1967.1000000000001</v>
      </c>
      <c r="N18" s="399">
        <f t="shared" si="5"/>
        <v>1967.1000000000001</v>
      </c>
      <c r="O18" s="399">
        <f t="shared" si="5"/>
        <v>1967.1000000000001</v>
      </c>
      <c r="P18" s="399">
        <f t="shared" si="5"/>
        <v>1967.1000000000001</v>
      </c>
      <c r="Q18" s="399">
        <f t="shared" si="5"/>
        <v>1967.1000000000001</v>
      </c>
      <c r="R18" s="399">
        <f t="shared" si="5"/>
        <v>1967.1000000000001</v>
      </c>
      <c r="S18" s="399">
        <f t="shared" si="5"/>
        <v>1967.1000000000001</v>
      </c>
      <c r="T18" s="399">
        <f t="shared" si="5"/>
        <v>1967.1000000000001</v>
      </c>
      <c r="U18" s="502"/>
    </row>
    <row r="19" spans="1:21" x14ac:dyDescent="0.25">
      <c r="A19" s="500"/>
      <c r="B19" s="391" t="s">
        <v>72</v>
      </c>
      <c r="C19" s="392">
        <v>82.5</v>
      </c>
      <c r="D19" s="392">
        <v>16.299999999999997</v>
      </c>
      <c r="E19" s="392">
        <v>22.799999999999997</v>
      </c>
      <c r="F19" s="392">
        <v>175</v>
      </c>
      <c r="G19" s="392">
        <v>175.6</v>
      </c>
      <c r="H19" s="392">
        <v>181.9</v>
      </c>
      <c r="I19" s="392">
        <v>168</v>
      </c>
      <c r="J19" s="434"/>
      <c r="K19" s="399">
        <f>I19</f>
        <v>168</v>
      </c>
      <c r="L19" s="399">
        <f t="shared" si="4"/>
        <v>168</v>
      </c>
      <c r="M19" s="399">
        <f t="shared" si="4"/>
        <v>168</v>
      </c>
      <c r="N19" s="399">
        <f t="shared" si="5"/>
        <v>168</v>
      </c>
      <c r="O19" s="399">
        <f t="shared" si="5"/>
        <v>168</v>
      </c>
      <c r="P19" s="399">
        <f t="shared" si="5"/>
        <v>168</v>
      </c>
      <c r="Q19" s="399">
        <f t="shared" si="5"/>
        <v>168</v>
      </c>
      <c r="R19" s="399">
        <f t="shared" si="5"/>
        <v>168</v>
      </c>
      <c r="S19" s="399">
        <f t="shared" si="5"/>
        <v>168</v>
      </c>
      <c r="T19" s="399">
        <f t="shared" si="5"/>
        <v>168</v>
      </c>
      <c r="U19" s="502"/>
    </row>
    <row r="20" spans="1:21" x14ac:dyDescent="0.25">
      <c r="A20" s="500"/>
      <c r="B20" s="391" t="s">
        <v>73</v>
      </c>
      <c r="C20" s="392">
        <v>2.9</v>
      </c>
      <c r="D20" s="392">
        <v>9.2000000000000011</v>
      </c>
      <c r="E20" s="392">
        <v>16.599999999999998</v>
      </c>
      <c r="F20" s="392">
        <v>17.7</v>
      </c>
      <c r="G20" s="392">
        <v>47.199999999999996</v>
      </c>
      <c r="H20" s="392">
        <v>75.099999999999994</v>
      </c>
      <c r="I20" s="392">
        <v>67.099999999999994</v>
      </c>
      <c r="J20" s="434"/>
      <c r="K20" s="399">
        <f>I20</f>
        <v>67.099999999999994</v>
      </c>
      <c r="L20" s="399">
        <f t="shared" si="4"/>
        <v>67.099999999999994</v>
      </c>
      <c r="M20" s="399">
        <f t="shared" si="4"/>
        <v>67.099999999999994</v>
      </c>
      <c r="N20" s="399">
        <f t="shared" si="5"/>
        <v>67.099999999999994</v>
      </c>
      <c r="O20" s="399">
        <f t="shared" si="5"/>
        <v>67.099999999999994</v>
      </c>
      <c r="P20" s="399">
        <f t="shared" si="5"/>
        <v>67.099999999999994</v>
      </c>
      <c r="Q20" s="399">
        <f t="shared" si="5"/>
        <v>67.099999999999994</v>
      </c>
      <c r="R20" s="399">
        <f t="shared" si="5"/>
        <v>67.099999999999994</v>
      </c>
      <c r="S20" s="399">
        <f t="shared" si="5"/>
        <v>67.099999999999994</v>
      </c>
      <c r="T20" s="399">
        <f t="shared" si="5"/>
        <v>67.099999999999994</v>
      </c>
      <c r="U20" s="502"/>
    </row>
    <row r="21" spans="1:21" ht="16.5" thickBot="1" x14ac:dyDescent="0.3">
      <c r="A21" s="500"/>
      <c r="B21" s="391" t="s">
        <v>74</v>
      </c>
      <c r="C21" s="392">
        <v>2851.3999999999996</v>
      </c>
      <c r="D21" s="392">
        <v>4546.2</v>
      </c>
      <c r="E21" s="392">
        <v>3737.7999999999997</v>
      </c>
      <c r="F21" s="392">
        <v>3604.3</v>
      </c>
      <c r="G21" s="392">
        <v>3679</v>
      </c>
      <c r="H21" s="392">
        <v>4264.5</v>
      </c>
      <c r="I21" s="392">
        <v>4339.8</v>
      </c>
      <c r="J21" s="434"/>
      <c r="K21" s="399">
        <f>I21</f>
        <v>4339.8</v>
      </c>
      <c r="L21" s="399">
        <f t="shared" si="4"/>
        <v>4339.8</v>
      </c>
      <c r="M21" s="399">
        <f t="shared" si="4"/>
        <v>4339.8</v>
      </c>
      <c r="N21" s="399">
        <f t="shared" si="5"/>
        <v>4339.8</v>
      </c>
      <c r="O21" s="399">
        <f t="shared" si="5"/>
        <v>4339.8</v>
      </c>
      <c r="P21" s="399">
        <f t="shared" si="5"/>
        <v>4339.8</v>
      </c>
      <c r="Q21" s="399">
        <f t="shared" si="5"/>
        <v>4339.8</v>
      </c>
      <c r="R21" s="399">
        <f t="shared" si="5"/>
        <v>4339.8</v>
      </c>
      <c r="S21" s="399">
        <f t="shared" si="5"/>
        <v>4339.8</v>
      </c>
      <c r="T21" s="399">
        <f t="shared" si="5"/>
        <v>4339.8</v>
      </c>
      <c r="U21" s="502"/>
    </row>
    <row r="22" spans="1:21" ht="16.5" thickTop="1" x14ac:dyDescent="0.25">
      <c r="A22" s="500"/>
      <c r="B22" s="401" t="s">
        <v>36</v>
      </c>
      <c r="C22" s="402">
        <f t="shared" ref="C22:I22" si="6">(SUM(C10:C21))</f>
        <v>97287.799999999988</v>
      </c>
      <c r="D22" s="402">
        <f t="shared" si="6"/>
        <v>95948.39999999998</v>
      </c>
      <c r="E22" s="402">
        <f t="shared" si="6"/>
        <v>120297.90000000002</v>
      </c>
      <c r="F22" s="402">
        <f t="shared" si="6"/>
        <v>126579.00000000001</v>
      </c>
      <c r="G22" s="402">
        <f t="shared" si="6"/>
        <v>149751.70000000004</v>
      </c>
      <c r="H22" s="402">
        <f t="shared" si="6"/>
        <v>179280.9</v>
      </c>
      <c r="I22" s="370">
        <f t="shared" si="6"/>
        <v>220464.80000000005</v>
      </c>
      <c r="J22" s="434"/>
      <c r="K22" s="403">
        <f t="shared" ref="K22:P22" si="7">(SUM(K10:K21))</f>
        <v>245263.8330849481</v>
      </c>
      <c r="L22" s="403">
        <f t="shared" si="7"/>
        <v>271608.81783428742</v>
      </c>
      <c r="M22" s="403">
        <f t="shared" si="7"/>
        <v>299028.79464458051</v>
      </c>
      <c r="N22" s="403">
        <f t="shared" si="7"/>
        <v>327419.02971066587</v>
      </c>
      <c r="O22" s="403">
        <f t="shared" si="7"/>
        <v>356708.92614342854</v>
      </c>
      <c r="P22" s="403">
        <f t="shared" si="7"/>
        <v>386827.48330776318</v>
      </c>
      <c r="Q22" s="403">
        <f>(SUM(Q10:Q21))</f>
        <v>417704.33300426113</v>
      </c>
      <c r="R22" s="403">
        <f>(SUM(R10:R21))</f>
        <v>449267.82113491389</v>
      </c>
      <c r="S22" s="403">
        <f>(SUM(S10:S21))</f>
        <v>481446.12994295958</v>
      </c>
      <c r="T22" s="403">
        <f>(SUM(T10:T21))</f>
        <v>514167.32146470895</v>
      </c>
      <c r="U22" s="502"/>
    </row>
    <row r="23" spans="1:21" x14ac:dyDescent="0.25">
      <c r="A23" s="500"/>
      <c r="B23" s="404" t="s">
        <v>37</v>
      </c>
      <c r="C23" s="405"/>
      <c r="D23" s="405"/>
      <c r="E23" s="405"/>
      <c r="F23" s="405"/>
      <c r="G23" s="405"/>
      <c r="H23" s="387"/>
      <c r="I23" s="406"/>
      <c r="J23" s="434"/>
      <c r="K23" s="407"/>
      <c r="L23" s="407"/>
      <c r="M23" s="407"/>
      <c r="N23" s="407"/>
      <c r="O23" s="407"/>
      <c r="P23" s="407"/>
      <c r="Q23" s="414"/>
      <c r="R23" s="414"/>
      <c r="S23" s="414"/>
      <c r="T23" s="414"/>
      <c r="U23" s="502"/>
    </row>
    <row r="24" spans="1:21" x14ac:dyDescent="0.25">
      <c r="A24" s="500"/>
      <c r="B24" s="391" t="s">
        <v>64</v>
      </c>
      <c r="C24" s="408">
        <v>19474</v>
      </c>
      <c r="D24" s="408">
        <v>22482.800000000003</v>
      </c>
      <c r="E24" s="408">
        <v>27426.6</v>
      </c>
      <c r="F24" s="408">
        <v>32434.799999999999</v>
      </c>
      <c r="G24" s="408">
        <v>39273.1</v>
      </c>
      <c r="H24" s="393">
        <v>50443.7</v>
      </c>
      <c r="I24" s="393">
        <v>59006.400000000001</v>
      </c>
      <c r="J24" s="434"/>
      <c r="K24" s="409">
        <f>'Working Capital'!K7</f>
        <v>70358.056417240165</v>
      </c>
      <c r="L24" s="409">
        <f>'Working Capital'!L7</f>
        <v>90023.328373721015</v>
      </c>
      <c r="M24" s="409">
        <f>'Working Capital'!M7</f>
        <v>113163.20567520439</v>
      </c>
      <c r="N24" s="409">
        <f>'Working Capital'!N7</f>
        <v>139780.79321493447</v>
      </c>
      <c r="O24" s="409">
        <f>'Working Capital'!O7</f>
        <v>169425.4443991908</v>
      </c>
      <c r="P24" s="409">
        <f>'Working Capital'!P7</f>
        <v>202823.80084064507</v>
      </c>
      <c r="Q24" s="409">
        <f>'Working Capital'!Q7</f>
        <v>239343.89423800725</v>
      </c>
      <c r="R24" s="409">
        <f>'Working Capital'!R7</f>
        <v>279861.86026867887</v>
      </c>
      <c r="S24" s="409">
        <f>'Working Capital'!S7</f>
        <v>324429.95041794638</v>
      </c>
      <c r="T24" s="409">
        <f>'Working Capital'!T7</f>
        <v>373034.36336019059</v>
      </c>
      <c r="U24" s="502"/>
    </row>
    <row r="25" spans="1:21" x14ac:dyDescent="0.25">
      <c r="A25" s="500"/>
      <c r="B25" s="390" t="s">
        <v>71</v>
      </c>
      <c r="C25" s="408"/>
      <c r="D25" s="408"/>
      <c r="E25" s="408"/>
      <c r="F25" s="408"/>
      <c r="G25" s="408"/>
      <c r="H25" s="393"/>
      <c r="I25" s="527"/>
      <c r="J25" s="434"/>
      <c r="K25" s="414"/>
      <c r="L25" s="414"/>
      <c r="M25" s="414"/>
      <c r="N25" s="414"/>
      <c r="O25" s="414"/>
      <c r="P25" s="414"/>
      <c r="Q25" s="414"/>
      <c r="R25" s="414"/>
      <c r="S25" s="414"/>
      <c r="T25" s="414"/>
      <c r="U25" s="502"/>
    </row>
    <row r="26" spans="1:21" x14ac:dyDescent="0.25">
      <c r="A26" s="500"/>
      <c r="B26" s="391" t="s">
        <v>221</v>
      </c>
      <c r="C26" s="408">
        <v>146.80000000000001</v>
      </c>
      <c r="D26" s="408">
        <v>29.5</v>
      </c>
      <c r="E26" s="408">
        <v>59.3</v>
      </c>
      <c r="F26" s="408">
        <v>2021.9</v>
      </c>
      <c r="G26" s="408">
        <v>1066.5999999999999</v>
      </c>
      <c r="H26" s="393">
        <v>12.5</v>
      </c>
      <c r="I26" s="527">
        <v>20</v>
      </c>
      <c r="J26" s="434"/>
      <c r="K26" s="528">
        <f>I26</f>
        <v>20</v>
      </c>
      <c r="L26" s="528">
        <f t="shared" ref="L26:T26" si="8">K26</f>
        <v>20</v>
      </c>
      <c r="M26" s="528">
        <f t="shared" si="8"/>
        <v>20</v>
      </c>
      <c r="N26" s="528">
        <f t="shared" si="8"/>
        <v>20</v>
      </c>
      <c r="O26" s="528">
        <f t="shared" si="8"/>
        <v>20</v>
      </c>
      <c r="P26" s="528">
        <f t="shared" si="8"/>
        <v>20</v>
      </c>
      <c r="Q26" s="528">
        <f t="shared" si="8"/>
        <v>20</v>
      </c>
      <c r="R26" s="528">
        <f t="shared" si="8"/>
        <v>20</v>
      </c>
      <c r="S26" s="528">
        <f t="shared" si="8"/>
        <v>20</v>
      </c>
      <c r="T26" s="528">
        <f t="shared" si="8"/>
        <v>20</v>
      </c>
      <c r="U26" s="502"/>
    </row>
    <row r="27" spans="1:21" x14ac:dyDescent="0.25">
      <c r="A27" s="500"/>
      <c r="B27" s="391" t="s">
        <v>223</v>
      </c>
      <c r="C27" s="408">
        <v>195.5</v>
      </c>
      <c r="D27" s="408">
        <v>435.79999999999995</v>
      </c>
      <c r="E27" s="408">
        <v>668.9</v>
      </c>
      <c r="F27" s="408">
        <v>621.59999999999991</v>
      </c>
      <c r="G27" s="408">
        <v>1663.7</v>
      </c>
      <c r="H27" s="393">
        <v>1537.9</v>
      </c>
      <c r="I27" s="527">
        <v>1493.4</v>
      </c>
      <c r="J27" s="434"/>
      <c r="K27" s="414">
        <f>'Working Capital'!K13</f>
        <v>1786.8987643845173</v>
      </c>
      <c r="L27" s="414">
        <f>'Working Capital'!L13</f>
        <v>2286.3419262583097</v>
      </c>
      <c r="M27" s="414">
        <f>'Working Capital'!M13</f>
        <v>2874.0303909996146</v>
      </c>
      <c r="N27" s="414">
        <f>'Working Capital'!N13</f>
        <v>3550.0430142531741</v>
      </c>
      <c r="O27" s="414">
        <f>'Working Capital'!O13</f>
        <v>4302.9346270859814</v>
      </c>
      <c r="P27" s="414">
        <f>'Working Capital'!P13</f>
        <v>5151.1599035744994</v>
      </c>
      <c r="Q27" s="414">
        <f>'Working Capital'!Q13</f>
        <v>6078.6686081919179</v>
      </c>
      <c r="R27" s="414">
        <f>'Working Capital'!R13</f>
        <v>7107.7121480848155</v>
      </c>
      <c r="S27" s="414">
        <f>'Working Capital'!S13</f>
        <v>8239.617565517432</v>
      </c>
      <c r="T27" s="414">
        <f>'Working Capital'!T13</f>
        <v>9474.0343452403231</v>
      </c>
      <c r="U27" s="502"/>
    </row>
    <row r="28" spans="1:21" x14ac:dyDescent="0.25">
      <c r="A28" s="500"/>
      <c r="B28" s="391" t="s">
        <v>224</v>
      </c>
      <c r="C28" s="408">
        <v>1058.7</v>
      </c>
      <c r="D28" s="408">
        <v>1915</v>
      </c>
      <c r="E28" s="408">
        <v>951.2</v>
      </c>
      <c r="F28" s="408">
        <v>2071.5</v>
      </c>
      <c r="G28" s="408">
        <v>3371.2</v>
      </c>
      <c r="H28" s="393">
        <v>3554.8</v>
      </c>
      <c r="I28" s="527">
        <v>2837.1</v>
      </c>
      <c r="J28" s="434"/>
      <c r="K28" s="414">
        <f>'Cash flow statement'!K66</f>
        <v>7058.9061465416635</v>
      </c>
      <c r="L28" s="414">
        <f>'Cash flow statement'!L66</f>
        <v>33433.346595747862</v>
      </c>
      <c r="M28" s="414">
        <f>'Cash flow statement'!M66</f>
        <v>72435.952522089749</v>
      </c>
      <c r="N28" s="414">
        <f>'Cash flow statement'!N66</f>
        <v>128731.64429796209</v>
      </c>
      <c r="O28" s="414">
        <f>'Cash flow statement'!O66</f>
        <v>205842.63527303754</v>
      </c>
      <c r="P28" s="414">
        <f>'Cash flow statement'!P66</f>
        <v>306052.37301875278</v>
      </c>
      <c r="Q28" s="414">
        <f>'Cash flow statement'!Q66</f>
        <v>432501.95991381933</v>
      </c>
      <c r="R28" s="414">
        <f>'Cash flow statement'!R66</f>
        <v>587915.66208366037</v>
      </c>
      <c r="S28" s="414">
        <f>'Cash flow statement'!S66</f>
        <v>775677.38772731053</v>
      </c>
      <c r="T28" s="414">
        <f>'Cash flow statement'!T66</f>
        <v>999207.25777715142</v>
      </c>
      <c r="U28" s="502"/>
    </row>
    <row r="29" spans="1:21" x14ac:dyDescent="0.25">
      <c r="A29" s="500"/>
      <c r="B29" s="391" t="s">
        <v>225</v>
      </c>
      <c r="C29" s="408">
        <v>20.099999999999998</v>
      </c>
      <c r="D29" s="408">
        <v>12540.8</v>
      </c>
      <c r="E29" s="408">
        <v>2034.6000000000001</v>
      </c>
      <c r="F29" s="408">
        <v>12011.800000000001</v>
      </c>
      <c r="G29" s="408">
        <v>3010.6</v>
      </c>
      <c r="H29" s="393">
        <v>27.2</v>
      </c>
      <c r="I29" s="527">
        <v>200.7</v>
      </c>
      <c r="J29" s="434"/>
      <c r="K29" s="529">
        <f>I29</f>
        <v>200.7</v>
      </c>
      <c r="L29" s="529">
        <f t="shared" ref="L29:T29" si="9">K29</f>
        <v>200.7</v>
      </c>
      <c r="M29" s="529">
        <f t="shared" si="9"/>
        <v>200.7</v>
      </c>
      <c r="N29" s="529">
        <f t="shared" si="9"/>
        <v>200.7</v>
      </c>
      <c r="O29" s="529">
        <f t="shared" si="9"/>
        <v>200.7</v>
      </c>
      <c r="P29" s="529">
        <f t="shared" si="9"/>
        <v>200.7</v>
      </c>
      <c r="Q29" s="529">
        <f t="shared" si="9"/>
        <v>200.7</v>
      </c>
      <c r="R29" s="529">
        <f t="shared" si="9"/>
        <v>200.7</v>
      </c>
      <c r="S29" s="529">
        <f t="shared" si="9"/>
        <v>200.7</v>
      </c>
      <c r="T29" s="529">
        <f t="shared" si="9"/>
        <v>200.7</v>
      </c>
      <c r="U29" s="502"/>
    </row>
    <row r="30" spans="1:21" x14ac:dyDescent="0.25">
      <c r="A30" s="500"/>
      <c r="B30" s="391" t="s">
        <v>226</v>
      </c>
      <c r="C30" s="408">
        <v>1090.5999999999999</v>
      </c>
      <c r="D30" s="408">
        <v>1679.1</v>
      </c>
      <c r="E30" s="408">
        <v>1274.5999999999999</v>
      </c>
      <c r="F30" s="408">
        <v>3167.7</v>
      </c>
      <c r="G30" s="408">
        <v>11284.9</v>
      </c>
      <c r="H30" s="393">
        <v>5283.6</v>
      </c>
      <c r="I30" s="527">
        <v>7266</v>
      </c>
      <c r="J30" s="434"/>
      <c r="K30" s="529">
        <f>I30</f>
        <v>7266</v>
      </c>
      <c r="L30" s="529">
        <f t="shared" ref="L30:T30" si="10">K30</f>
        <v>7266</v>
      </c>
      <c r="M30" s="529">
        <f t="shared" si="10"/>
        <v>7266</v>
      </c>
      <c r="N30" s="529">
        <f t="shared" si="10"/>
        <v>7266</v>
      </c>
      <c r="O30" s="529">
        <f t="shared" si="10"/>
        <v>7266</v>
      </c>
      <c r="P30" s="529">
        <f t="shared" si="10"/>
        <v>7266</v>
      </c>
      <c r="Q30" s="529">
        <f t="shared" si="10"/>
        <v>7266</v>
      </c>
      <c r="R30" s="529">
        <f t="shared" si="10"/>
        <v>7266</v>
      </c>
      <c r="S30" s="529">
        <f t="shared" si="10"/>
        <v>7266</v>
      </c>
      <c r="T30" s="529">
        <f t="shared" si="10"/>
        <v>7266</v>
      </c>
      <c r="U30" s="502"/>
    </row>
    <row r="31" spans="1:21" ht="16.5" thickBot="1" x14ac:dyDescent="0.3">
      <c r="A31" s="500"/>
      <c r="B31" s="391" t="s">
        <v>75</v>
      </c>
      <c r="C31" s="408">
        <v>1491</v>
      </c>
      <c r="D31" s="408">
        <v>1528.3000000000002</v>
      </c>
      <c r="E31" s="408">
        <v>2013.3000000000002</v>
      </c>
      <c r="F31" s="408">
        <v>2154.6</v>
      </c>
      <c r="G31" s="408">
        <v>2350.2000000000003</v>
      </c>
      <c r="H31" s="393">
        <v>3062.3</v>
      </c>
      <c r="I31" s="527">
        <v>3954.2</v>
      </c>
      <c r="J31" s="434"/>
      <c r="K31" s="414">
        <f>'Working Capital'!K56</f>
        <v>5148.1884002665511</v>
      </c>
      <c r="L31" s="414">
        <f>'Working Capital'!L56</f>
        <v>6569.1237409945834</v>
      </c>
      <c r="M31" s="414">
        <f>'Working Capital'!M56</f>
        <v>8257.6718105997224</v>
      </c>
      <c r="N31" s="414">
        <f>'Working Capital'!N56</f>
        <v>10199.993088806148</v>
      </c>
      <c r="O31" s="414">
        <f>'Working Capital'!O56</f>
        <v>12397.075075430765</v>
      </c>
      <c r="P31" s="414">
        <f>'Working Capital'!P56</f>
        <v>14840.87525945249</v>
      </c>
      <c r="Q31" s="414">
        <f>'Working Capital'!Q56</f>
        <v>17513.096903694521</v>
      </c>
      <c r="R31" s="414">
        <f>'Working Capital'!R56</f>
        <v>20477.847969080474</v>
      </c>
      <c r="S31" s="414">
        <f>'Working Capital'!S56</f>
        <v>23738.951763190838</v>
      </c>
      <c r="T31" s="414">
        <f>'Working Capital'!T56</f>
        <v>27295.398425491101</v>
      </c>
      <c r="U31" s="502"/>
    </row>
    <row r="32" spans="1:21" ht="16.5" thickTop="1" x14ac:dyDescent="0.25">
      <c r="A32" s="500"/>
      <c r="B32" s="401" t="s">
        <v>38</v>
      </c>
      <c r="C32" s="402">
        <f t="shared" ref="C32:I32" si="11">SUM(C24:C31)</f>
        <v>23476.699999999997</v>
      </c>
      <c r="D32" s="402">
        <f t="shared" si="11"/>
        <v>40611.300000000003</v>
      </c>
      <c r="E32" s="402">
        <f t="shared" si="11"/>
        <v>34428.5</v>
      </c>
      <c r="F32" s="402">
        <f t="shared" si="11"/>
        <v>54483.899999999994</v>
      </c>
      <c r="G32" s="402">
        <f t="shared" si="11"/>
        <v>62020.299999999988</v>
      </c>
      <c r="H32" s="402">
        <f t="shared" si="11"/>
        <v>63922</v>
      </c>
      <c r="I32" s="410">
        <f t="shared" si="11"/>
        <v>74777.8</v>
      </c>
      <c r="J32" s="434"/>
      <c r="K32" s="411">
        <f t="shared" ref="K32:P32" si="12">SUM(K24:K31)</f>
        <v>91838.749728432886</v>
      </c>
      <c r="L32" s="411">
        <f t="shared" si="12"/>
        <v>139798.84063672175</v>
      </c>
      <c r="M32" s="411">
        <f t="shared" si="12"/>
        <v>204217.56039889346</v>
      </c>
      <c r="N32" s="411">
        <f t="shared" si="12"/>
        <v>289749.17361595592</v>
      </c>
      <c r="O32" s="411">
        <f t="shared" si="12"/>
        <v>399454.7893747451</v>
      </c>
      <c r="P32" s="411">
        <f t="shared" si="12"/>
        <v>536354.90902242484</v>
      </c>
      <c r="Q32" s="411">
        <f>SUM(Q24:Q31)</f>
        <v>702924.31966371299</v>
      </c>
      <c r="R32" s="411">
        <f>SUM(R24:R31)</f>
        <v>902849.7824695044</v>
      </c>
      <c r="S32" s="411">
        <f>SUM(S24:S31)</f>
        <v>1139572.607473965</v>
      </c>
      <c r="T32" s="411">
        <f>SUM(T24:T31)</f>
        <v>1416497.7539080733</v>
      </c>
      <c r="U32" s="502"/>
    </row>
    <row r="33" spans="1:21" s="414" customFormat="1" ht="6.75" customHeight="1" thickBot="1" x14ac:dyDescent="0.3">
      <c r="A33" s="500"/>
      <c r="B33" s="412"/>
      <c r="C33" s="386"/>
      <c r="D33" s="386"/>
      <c r="E33" s="386"/>
      <c r="F33" s="386"/>
      <c r="G33" s="386"/>
      <c r="H33" s="387"/>
      <c r="I33" s="413"/>
      <c r="K33" s="415"/>
      <c r="L33" s="415"/>
      <c r="M33" s="415"/>
      <c r="N33" s="415"/>
      <c r="O33" s="415"/>
      <c r="P33" s="415"/>
      <c r="Q33" s="415"/>
      <c r="R33" s="415"/>
      <c r="S33" s="415"/>
      <c r="T33" s="415"/>
      <c r="U33" s="502"/>
    </row>
    <row r="34" spans="1:21" ht="17.25" thickTop="1" thickBot="1" x14ac:dyDescent="0.3">
      <c r="A34" s="500"/>
      <c r="B34" s="200" t="s">
        <v>44</v>
      </c>
      <c r="C34" s="416">
        <f t="shared" ref="C34:I34" si="13">SUM(C22,C32)</f>
        <v>120764.49999999999</v>
      </c>
      <c r="D34" s="416">
        <f t="shared" si="13"/>
        <v>136559.69999999998</v>
      </c>
      <c r="E34" s="416">
        <f t="shared" si="13"/>
        <v>154726.40000000002</v>
      </c>
      <c r="F34" s="416">
        <f t="shared" si="13"/>
        <v>181062.90000000002</v>
      </c>
      <c r="G34" s="416">
        <f t="shared" si="13"/>
        <v>211772.00000000003</v>
      </c>
      <c r="H34" s="416">
        <f t="shared" si="13"/>
        <v>243202.9</v>
      </c>
      <c r="I34" s="417">
        <f t="shared" si="13"/>
        <v>295242.60000000003</v>
      </c>
      <c r="J34" s="434"/>
      <c r="K34" s="418">
        <f t="shared" ref="K34:P34" si="14">SUM(K22,K32)</f>
        <v>337102.58281338098</v>
      </c>
      <c r="L34" s="418">
        <f t="shared" si="14"/>
        <v>411407.65847100917</v>
      </c>
      <c r="M34" s="418">
        <f t="shared" si="14"/>
        <v>503246.355043474</v>
      </c>
      <c r="N34" s="418">
        <f t="shared" si="14"/>
        <v>617168.20332662179</v>
      </c>
      <c r="O34" s="418">
        <f t="shared" si="14"/>
        <v>756163.71551817365</v>
      </c>
      <c r="P34" s="418">
        <f t="shared" si="14"/>
        <v>923182.39233018807</v>
      </c>
      <c r="Q34" s="418">
        <f>SUM(Q22,Q32)</f>
        <v>1120628.6526679741</v>
      </c>
      <c r="R34" s="418">
        <f>SUM(R22,R32)</f>
        <v>1352117.6036044182</v>
      </c>
      <c r="S34" s="418">
        <f>SUM(S22,S32)</f>
        <v>1621018.7374169247</v>
      </c>
      <c r="T34" s="418">
        <f>SUM(T22,T32)</f>
        <v>1930665.0753727823</v>
      </c>
      <c r="U34" s="502"/>
    </row>
    <row r="35" spans="1:21" ht="6.75" customHeight="1" thickTop="1" x14ac:dyDescent="0.25">
      <c r="A35" s="500"/>
      <c r="B35" s="203"/>
      <c r="C35" s="386"/>
      <c r="D35" s="386"/>
      <c r="E35" s="386"/>
      <c r="F35" s="386"/>
      <c r="G35" s="386"/>
      <c r="H35" s="387"/>
      <c r="I35" s="413"/>
      <c r="J35" s="434"/>
      <c r="K35" s="414"/>
      <c r="L35" s="414"/>
      <c r="M35" s="414"/>
      <c r="N35" s="414"/>
      <c r="O35" s="414"/>
      <c r="P35" s="414"/>
      <c r="Q35" s="414"/>
      <c r="R35" s="414"/>
      <c r="S35" s="414"/>
      <c r="T35" s="414"/>
      <c r="U35" s="502"/>
    </row>
    <row r="36" spans="1:21" x14ac:dyDescent="0.25">
      <c r="A36" s="500"/>
      <c r="B36" s="203" t="s">
        <v>45</v>
      </c>
      <c r="C36" s="386"/>
      <c r="D36" s="386"/>
      <c r="E36" s="386"/>
      <c r="F36" s="386"/>
      <c r="G36" s="386"/>
      <c r="H36" s="387"/>
      <c r="I36" s="413"/>
      <c r="J36" s="434"/>
      <c r="K36" s="414"/>
      <c r="L36" s="414"/>
      <c r="M36" s="414" t="s">
        <v>50</v>
      </c>
      <c r="N36" s="414"/>
      <c r="O36" s="414"/>
      <c r="P36" s="414"/>
      <c r="Q36" s="414"/>
      <c r="R36" s="414"/>
      <c r="S36" s="414"/>
      <c r="T36" s="414"/>
      <c r="U36" s="502"/>
    </row>
    <row r="37" spans="1:21" x14ac:dyDescent="0.25">
      <c r="A37" s="500"/>
      <c r="B37" s="203" t="s">
        <v>47</v>
      </c>
      <c r="C37" s="387"/>
      <c r="D37" s="387"/>
      <c r="E37" s="387"/>
      <c r="F37" s="387"/>
      <c r="G37" s="387"/>
      <c r="H37" s="387"/>
      <c r="I37" s="413"/>
      <c r="J37" s="434"/>
      <c r="K37" s="414"/>
      <c r="L37" s="414"/>
      <c r="M37" s="414"/>
      <c r="N37" s="414"/>
      <c r="O37" s="414"/>
      <c r="P37" s="414"/>
      <c r="Q37" s="414"/>
      <c r="R37" s="414"/>
      <c r="S37" s="414"/>
      <c r="T37" s="414"/>
      <c r="U37" s="502"/>
    </row>
    <row r="38" spans="1:21" x14ac:dyDescent="0.25">
      <c r="A38" s="500"/>
      <c r="B38" s="391" t="s">
        <v>76</v>
      </c>
      <c r="C38" s="393">
        <v>6477.7</v>
      </c>
      <c r="D38" s="393">
        <v>6477.7</v>
      </c>
      <c r="E38" s="393">
        <v>6477.7</v>
      </c>
      <c r="F38" s="393">
        <v>6482.6</v>
      </c>
      <c r="G38" s="393">
        <v>6507.3</v>
      </c>
      <c r="H38" s="393">
        <v>6507.3</v>
      </c>
      <c r="I38" s="419">
        <v>6519.6</v>
      </c>
      <c r="J38" s="434"/>
      <c r="K38" s="420">
        <f>I38</f>
        <v>6519.6</v>
      </c>
      <c r="L38" s="420">
        <f t="shared" ref="L38:T38" si="15">K38</f>
        <v>6519.6</v>
      </c>
      <c r="M38" s="420">
        <f t="shared" si="15"/>
        <v>6519.6</v>
      </c>
      <c r="N38" s="420">
        <f t="shared" si="15"/>
        <v>6519.6</v>
      </c>
      <c r="O38" s="420">
        <f t="shared" si="15"/>
        <v>6519.6</v>
      </c>
      <c r="P38" s="420">
        <f t="shared" si="15"/>
        <v>6519.6</v>
      </c>
      <c r="Q38" s="420">
        <f t="shared" si="15"/>
        <v>6519.6</v>
      </c>
      <c r="R38" s="420">
        <f t="shared" si="15"/>
        <v>6519.6</v>
      </c>
      <c r="S38" s="420">
        <f t="shared" si="15"/>
        <v>6519.6</v>
      </c>
      <c r="T38" s="420">
        <f t="shared" si="15"/>
        <v>6519.6</v>
      </c>
      <c r="U38" s="502"/>
    </row>
    <row r="39" spans="1:21" ht="16.5" thickBot="1" x14ac:dyDescent="0.3">
      <c r="A39" s="500"/>
      <c r="B39" s="391" t="s">
        <v>77</v>
      </c>
      <c r="C39" s="393">
        <v>104319.7</v>
      </c>
      <c r="D39" s="393">
        <v>115359.40000000001</v>
      </c>
      <c r="E39" s="393">
        <v>130298.70000000001</v>
      </c>
      <c r="F39" s="393">
        <v>154304.4</v>
      </c>
      <c r="G39" s="393">
        <v>180470.9</v>
      </c>
      <c r="H39" s="393">
        <v>207770.2</v>
      </c>
      <c r="I39" s="527">
        <v>238120.8</v>
      </c>
      <c r="J39" s="434"/>
      <c r="K39" s="530">
        <f>I39+'P &amp; L'!K32</f>
        <v>286921.63019502693</v>
      </c>
      <c r="L39" s="530">
        <f>K39+'P &amp; L'!L32</f>
        <v>351282.58924201765</v>
      </c>
      <c r="M39" s="530">
        <f>L39+'P &amp; L'!M32</f>
        <v>433934.83694583661</v>
      </c>
      <c r="N39" s="530">
        <f>M39+'P &amp; L'!N32</f>
        <v>537716.2886597258</v>
      </c>
      <c r="O39" s="530">
        <f>N39+'P &amp; L'!O32</f>
        <v>665499.63810054096</v>
      </c>
      <c r="P39" s="530">
        <f>O39+'P &amp; L'!P32</f>
        <v>820064.01779532165</v>
      </c>
      <c r="Q39" s="530">
        <f>P39+'P &amp; L'!Q32</f>
        <v>1003977.7004302125</v>
      </c>
      <c r="R39" s="530">
        <f>Q39+'P &amp; L'!R32</f>
        <v>1220542.9578689709</v>
      </c>
      <c r="S39" s="530">
        <f>R39+'P &amp; L'!S32</f>
        <v>1473105.3323779665</v>
      </c>
      <c r="T39" s="530">
        <f>S39+'P &amp; L'!T32</f>
        <v>1764998.382682899</v>
      </c>
      <c r="U39" s="502"/>
    </row>
    <row r="40" spans="1:21" ht="16.5" thickTop="1" x14ac:dyDescent="0.25">
      <c r="A40" s="500"/>
      <c r="B40" s="401" t="s">
        <v>46</v>
      </c>
      <c r="C40" s="421">
        <f t="shared" ref="C40:I40" si="16">SUM(C38:C39)</f>
        <v>110797.4</v>
      </c>
      <c r="D40" s="421">
        <f t="shared" si="16"/>
        <v>121837.1</v>
      </c>
      <c r="E40" s="421">
        <f t="shared" si="16"/>
        <v>136776.40000000002</v>
      </c>
      <c r="F40" s="421">
        <f t="shared" si="16"/>
        <v>160787</v>
      </c>
      <c r="G40" s="421">
        <f t="shared" si="16"/>
        <v>186978.19999999998</v>
      </c>
      <c r="H40" s="421">
        <f t="shared" si="16"/>
        <v>214277.5</v>
      </c>
      <c r="I40" s="422">
        <f t="shared" si="16"/>
        <v>244640.4</v>
      </c>
      <c r="J40" s="434"/>
      <c r="K40" s="423">
        <f t="shared" ref="K40:P40" si="17">SUM(K38:K39)</f>
        <v>293441.2301950269</v>
      </c>
      <c r="L40" s="423">
        <f t="shared" si="17"/>
        <v>357802.18924201763</v>
      </c>
      <c r="M40" s="423">
        <f t="shared" si="17"/>
        <v>440454.43694583658</v>
      </c>
      <c r="N40" s="423">
        <f t="shared" si="17"/>
        <v>544235.88865972578</v>
      </c>
      <c r="O40" s="423">
        <f t="shared" si="17"/>
        <v>672019.23810054094</v>
      </c>
      <c r="P40" s="423">
        <f t="shared" si="17"/>
        <v>826583.61779532162</v>
      </c>
      <c r="Q40" s="423">
        <f>SUM(Q38:Q39)</f>
        <v>1010497.3004302125</v>
      </c>
      <c r="R40" s="423">
        <f>SUM(R38:R39)</f>
        <v>1227062.557868971</v>
      </c>
      <c r="S40" s="423">
        <f>SUM(S38:S39)</f>
        <v>1479624.9323779666</v>
      </c>
      <c r="T40" s="423">
        <f>SUM(T38:T39)</f>
        <v>1771517.9826828991</v>
      </c>
      <c r="U40" s="502"/>
    </row>
    <row r="41" spans="1:21" ht="16.5" thickBot="1" x14ac:dyDescent="0.3">
      <c r="A41" s="500"/>
      <c r="B41" s="391" t="s">
        <v>43</v>
      </c>
      <c r="C41" s="393">
        <v>4.5999999999999996</v>
      </c>
      <c r="D41" s="393">
        <v>4</v>
      </c>
      <c r="E41" s="393">
        <v>2.5</v>
      </c>
      <c r="F41" s="393">
        <v>0.8</v>
      </c>
      <c r="G41" s="393">
        <v>-4.8</v>
      </c>
      <c r="H41" s="393">
        <v>-10.5</v>
      </c>
      <c r="I41" s="424">
        <v>-16.8</v>
      </c>
      <c r="J41" s="434"/>
      <c r="K41" s="425">
        <f>I41</f>
        <v>-16.8</v>
      </c>
      <c r="L41" s="425">
        <f t="shared" ref="L41:T41" si="18">K41</f>
        <v>-16.8</v>
      </c>
      <c r="M41" s="425">
        <f t="shared" si="18"/>
        <v>-16.8</v>
      </c>
      <c r="N41" s="425">
        <f t="shared" si="18"/>
        <v>-16.8</v>
      </c>
      <c r="O41" s="425">
        <f t="shared" si="18"/>
        <v>-16.8</v>
      </c>
      <c r="P41" s="425">
        <f t="shared" si="18"/>
        <v>-16.8</v>
      </c>
      <c r="Q41" s="425">
        <f t="shared" si="18"/>
        <v>-16.8</v>
      </c>
      <c r="R41" s="425">
        <f t="shared" si="18"/>
        <v>-16.8</v>
      </c>
      <c r="S41" s="425">
        <f t="shared" si="18"/>
        <v>-16.8</v>
      </c>
      <c r="T41" s="425">
        <f t="shared" si="18"/>
        <v>-16.8</v>
      </c>
      <c r="U41" s="502"/>
    </row>
    <row r="42" spans="1:21" ht="17.25" thickTop="1" thickBot="1" x14ac:dyDescent="0.3">
      <c r="A42" s="500"/>
      <c r="B42" s="200" t="s">
        <v>42</v>
      </c>
      <c r="C42" s="426">
        <f t="shared" ref="C42:I42" si="19">SUM(C40:C41)</f>
        <v>110802</v>
      </c>
      <c r="D42" s="426">
        <f t="shared" si="19"/>
        <v>121841.1</v>
      </c>
      <c r="E42" s="426">
        <f t="shared" si="19"/>
        <v>136778.90000000002</v>
      </c>
      <c r="F42" s="426">
        <f t="shared" si="19"/>
        <v>160787.79999999999</v>
      </c>
      <c r="G42" s="426">
        <f t="shared" si="19"/>
        <v>186973.4</v>
      </c>
      <c r="H42" s="426">
        <f t="shared" si="19"/>
        <v>214267</v>
      </c>
      <c r="I42" s="427">
        <f t="shared" si="19"/>
        <v>244623.6</v>
      </c>
      <c r="J42" s="434"/>
      <c r="K42" s="428">
        <f t="shared" ref="K42:P42" si="20">SUM(K40:K41)</f>
        <v>293424.43019502691</v>
      </c>
      <c r="L42" s="428">
        <f t="shared" si="20"/>
        <v>357785.38924201764</v>
      </c>
      <c r="M42" s="428">
        <f t="shared" si="20"/>
        <v>440437.6369458366</v>
      </c>
      <c r="N42" s="428">
        <f t="shared" si="20"/>
        <v>544219.08865972573</v>
      </c>
      <c r="O42" s="428">
        <f t="shared" si="20"/>
        <v>672002.43810054089</v>
      </c>
      <c r="P42" s="428">
        <f t="shared" si="20"/>
        <v>826566.81779532158</v>
      </c>
      <c r="Q42" s="428">
        <f>SUM(Q40:Q41)</f>
        <v>1010480.5004302125</v>
      </c>
      <c r="R42" s="428">
        <f>SUM(R40:R41)</f>
        <v>1227045.757868971</v>
      </c>
      <c r="S42" s="428">
        <f>SUM(S40:S41)</f>
        <v>1479608.1323779665</v>
      </c>
      <c r="T42" s="428">
        <f>SUM(T40:T41)</f>
        <v>1771501.1826828991</v>
      </c>
      <c r="U42" s="502"/>
    </row>
    <row r="43" spans="1:21" ht="16.5" thickTop="1" x14ac:dyDescent="0.25">
      <c r="A43" s="500"/>
      <c r="B43" s="203" t="s">
        <v>109</v>
      </c>
      <c r="C43" s="429"/>
      <c r="D43" s="429"/>
      <c r="E43" s="429"/>
      <c r="F43" s="429"/>
      <c r="G43" s="429"/>
      <c r="H43" s="387"/>
      <c r="I43" s="413"/>
      <c r="J43" s="434"/>
      <c r="K43" s="414"/>
      <c r="L43" s="414"/>
      <c r="M43" s="414"/>
      <c r="N43" s="414"/>
      <c r="O43" s="414"/>
      <c r="P43" s="414"/>
      <c r="Q43" s="414"/>
      <c r="R43" s="414"/>
      <c r="S43" s="414"/>
      <c r="T43" s="414"/>
      <c r="U43" s="502"/>
    </row>
    <row r="44" spans="1:21" x14ac:dyDescent="0.25">
      <c r="A44" s="500"/>
      <c r="B44" s="390" t="s">
        <v>110</v>
      </c>
      <c r="C44" s="429"/>
      <c r="D44" s="429"/>
      <c r="E44" s="429"/>
      <c r="F44" s="429"/>
      <c r="G44" s="429"/>
      <c r="H44" s="387"/>
      <c r="I44" s="413"/>
      <c r="J44" s="434"/>
      <c r="K44" s="414"/>
      <c r="L44" s="414"/>
      <c r="M44" s="414"/>
      <c r="N44" s="414"/>
      <c r="O44" s="414"/>
      <c r="P44" s="414"/>
      <c r="Q44" s="414"/>
      <c r="R44" s="414"/>
      <c r="S44" s="414"/>
      <c r="T44" s="414"/>
      <c r="U44" s="502"/>
    </row>
    <row r="45" spans="1:21" x14ac:dyDescent="0.25">
      <c r="A45" s="500"/>
      <c r="B45" s="391" t="s">
        <v>78</v>
      </c>
      <c r="C45" s="430"/>
      <c r="D45" s="430"/>
      <c r="E45" s="430"/>
      <c r="F45" s="430"/>
      <c r="G45" s="430"/>
      <c r="H45" s="387"/>
      <c r="I45" s="413"/>
      <c r="J45" s="434"/>
      <c r="K45" s="414"/>
      <c r="L45" s="414"/>
      <c r="M45" s="414"/>
      <c r="N45" s="414"/>
      <c r="O45" s="414"/>
      <c r="P45" s="414"/>
      <c r="Q45" s="414"/>
      <c r="R45" s="414"/>
      <c r="S45" s="414"/>
      <c r="T45" s="414"/>
      <c r="U45" s="502"/>
    </row>
    <row r="46" spans="1:21" x14ac:dyDescent="0.25">
      <c r="A46" s="500"/>
      <c r="B46" s="391" t="s">
        <v>227</v>
      </c>
      <c r="C46" s="431">
        <v>2211.1000000000004</v>
      </c>
      <c r="D46" s="431">
        <v>3120.1</v>
      </c>
      <c r="E46" s="431">
        <v>5071.5</v>
      </c>
      <c r="F46" s="431">
        <v>4766.6000000000004</v>
      </c>
      <c r="G46" s="431">
        <v>3992.4</v>
      </c>
      <c r="H46" s="527">
        <v>5557.9</v>
      </c>
      <c r="I46" s="527">
        <v>11425.4</v>
      </c>
      <c r="J46" s="434"/>
      <c r="K46" s="414">
        <f>Schedules!K34</f>
        <v>11837.44619219903</v>
      </c>
      <c r="L46" s="414">
        <f>Schedules!L34</f>
        <v>12143.72262034881</v>
      </c>
      <c r="M46" s="414">
        <f>Schedules!M34</f>
        <v>12371.37974281744</v>
      </c>
      <c r="N46" s="414">
        <f>Schedules!N34</f>
        <v>12540.598659610318</v>
      </c>
      <c r="O46" s="414">
        <f>Schedules!O34</f>
        <v>12666.380104486921</v>
      </c>
      <c r="P46" s="414">
        <f>Schedules!P34</f>
        <v>12759.874213627279</v>
      </c>
      <c r="Q46" s="414">
        <f>Schedules!Q34</f>
        <v>12830.112256780278</v>
      </c>
      <c r="R46" s="414">
        <f>Schedules!R34</f>
        <v>12883.063925351315</v>
      </c>
      <c r="S46" s="414">
        <f>Schedules!S34</f>
        <v>12923.166527087473</v>
      </c>
      <c r="T46" s="414">
        <f>Schedules!T34</f>
        <v>12953.718339689425</v>
      </c>
      <c r="U46" s="502"/>
    </row>
    <row r="47" spans="1:21" x14ac:dyDescent="0.25">
      <c r="A47" s="500"/>
      <c r="B47" s="391" t="s">
        <v>228</v>
      </c>
      <c r="C47" s="431">
        <v>4.6999999999999993</v>
      </c>
      <c r="D47" s="431">
        <v>4.4000000000000004</v>
      </c>
      <c r="E47" s="431">
        <v>4.0999999999999996</v>
      </c>
      <c r="F47" s="431">
        <v>4.6999999999999993</v>
      </c>
      <c r="G47" s="431">
        <v>3.7</v>
      </c>
      <c r="H47" s="527">
        <v>4.9000000000000004</v>
      </c>
      <c r="I47" s="527">
        <v>5.4</v>
      </c>
      <c r="J47" s="434"/>
      <c r="K47" s="528">
        <f>I47</f>
        <v>5.4</v>
      </c>
      <c r="L47" s="528">
        <f t="shared" ref="L47:P48" si="21">K47</f>
        <v>5.4</v>
      </c>
      <c r="M47" s="528">
        <f t="shared" si="21"/>
        <v>5.4</v>
      </c>
      <c r="N47" s="528">
        <f t="shared" si="21"/>
        <v>5.4</v>
      </c>
      <c r="O47" s="528">
        <f t="shared" si="21"/>
        <v>5.4</v>
      </c>
      <c r="P47" s="528">
        <f t="shared" si="21"/>
        <v>5.4</v>
      </c>
      <c r="Q47" s="528">
        <f t="shared" ref="Q47:T48" si="22">P47</f>
        <v>5.4</v>
      </c>
      <c r="R47" s="528">
        <f t="shared" si="22"/>
        <v>5.4</v>
      </c>
      <c r="S47" s="528">
        <f t="shared" si="22"/>
        <v>5.4</v>
      </c>
      <c r="T47" s="528">
        <f t="shared" si="22"/>
        <v>5.4</v>
      </c>
      <c r="U47" s="502"/>
    </row>
    <row r="48" spans="1:21" x14ac:dyDescent="0.25">
      <c r="A48" s="500"/>
      <c r="B48" s="391" t="s">
        <v>79</v>
      </c>
      <c r="C48" s="431">
        <v>14.8</v>
      </c>
      <c r="D48" s="431">
        <v>24.5</v>
      </c>
      <c r="E48" s="431">
        <v>48.7</v>
      </c>
      <c r="F48" s="431">
        <v>64.099999999999994</v>
      </c>
      <c r="G48" s="431">
        <v>91.8</v>
      </c>
      <c r="H48" s="527">
        <v>126.7</v>
      </c>
      <c r="I48" s="527">
        <v>147</v>
      </c>
      <c r="J48" s="434"/>
      <c r="K48" s="529">
        <f>I48</f>
        <v>147</v>
      </c>
      <c r="L48" s="529">
        <f t="shared" si="21"/>
        <v>147</v>
      </c>
      <c r="M48" s="529">
        <f t="shared" si="21"/>
        <v>147</v>
      </c>
      <c r="N48" s="529">
        <f t="shared" si="21"/>
        <v>147</v>
      </c>
      <c r="O48" s="529">
        <f t="shared" si="21"/>
        <v>147</v>
      </c>
      <c r="P48" s="529">
        <f t="shared" si="21"/>
        <v>147</v>
      </c>
      <c r="Q48" s="529">
        <f t="shared" si="22"/>
        <v>147</v>
      </c>
      <c r="R48" s="529">
        <f t="shared" si="22"/>
        <v>147</v>
      </c>
      <c r="S48" s="529">
        <f t="shared" si="22"/>
        <v>147</v>
      </c>
      <c r="T48" s="529">
        <f t="shared" si="22"/>
        <v>147</v>
      </c>
      <c r="U48" s="502"/>
    </row>
    <row r="49" spans="1:21" ht="16.5" thickBot="1" x14ac:dyDescent="0.3">
      <c r="A49" s="500"/>
      <c r="B49" s="391" t="s">
        <v>80</v>
      </c>
      <c r="C49" s="431">
        <v>473.9</v>
      </c>
      <c r="D49" s="431">
        <v>511.9</v>
      </c>
      <c r="E49" s="431">
        <v>640.29999999999995</v>
      </c>
      <c r="F49" s="431">
        <v>769.59999999999991</v>
      </c>
      <c r="G49" s="431">
        <v>919.30000000000007</v>
      </c>
      <c r="H49" s="527">
        <v>1124.8</v>
      </c>
      <c r="I49" s="527">
        <v>1218.5999999999999</v>
      </c>
      <c r="J49" s="434"/>
      <c r="K49" s="531">
        <f>Schedules!K56</f>
        <v>1391.141249130766</v>
      </c>
      <c r="L49" s="531">
        <f>Schedules!L56</f>
        <v>1576.0297090200861</v>
      </c>
      <c r="M49" s="531">
        <f>Schedules!M56</f>
        <v>1785.118434795532</v>
      </c>
      <c r="N49" s="531">
        <f>Schedules!N56</f>
        <v>2003.8612794072733</v>
      </c>
      <c r="O49" s="531">
        <f>Schedules!O56</f>
        <v>2231.7815111858563</v>
      </c>
      <c r="P49" s="531">
        <f>Schedules!P56</f>
        <v>2468.7913365690297</v>
      </c>
      <c r="Q49" s="531">
        <f>Schedules!Q56</f>
        <v>2715.2282454705705</v>
      </c>
      <c r="R49" s="531">
        <f>Schedules!R56</f>
        <v>2968.2853311341073</v>
      </c>
      <c r="S49" s="531">
        <f>Schedules!S56</f>
        <v>3227.5193321347042</v>
      </c>
      <c r="T49" s="531">
        <f>Schedules!T56</f>
        <v>3492.7034713857261</v>
      </c>
      <c r="U49" s="502"/>
    </row>
    <row r="50" spans="1:21" ht="16.5" thickTop="1" x14ac:dyDescent="0.25">
      <c r="A50" s="500"/>
      <c r="B50" s="401" t="s">
        <v>39</v>
      </c>
      <c r="C50" s="432">
        <f t="shared" ref="C50:I50" si="23">SUM(C46:C49)</f>
        <v>2704.5000000000005</v>
      </c>
      <c r="D50" s="432">
        <f t="shared" si="23"/>
        <v>3660.9</v>
      </c>
      <c r="E50" s="432">
        <f t="shared" si="23"/>
        <v>5764.6</v>
      </c>
      <c r="F50" s="432">
        <f t="shared" si="23"/>
        <v>5605</v>
      </c>
      <c r="G50" s="432">
        <f t="shared" si="23"/>
        <v>5007.2</v>
      </c>
      <c r="H50" s="432">
        <f t="shared" si="23"/>
        <v>6814.2999999999993</v>
      </c>
      <c r="I50" s="410">
        <f t="shared" si="23"/>
        <v>12796.4</v>
      </c>
      <c r="J50" s="434"/>
      <c r="K50" s="411">
        <f t="shared" ref="K50:P50" si="24">SUM(K46:K49)</f>
        <v>13380.987441329795</v>
      </c>
      <c r="L50" s="411">
        <f t="shared" si="24"/>
        <v>13872.152329368895</v>
      </c>
      <c r="M50" s="411">
        <f t="shared" si="24"/>
        <v>14308.898177612971</v>
      </c>
      <c r="N50" s="411">
        <f t="shared" si="24"/>
        <v>14696.859939017591</v>
      </c>
      <c r="O50" s="411">
        <f t="shared" si="24"/>
        <v>15050.561615672777</v>
      </c>
      <c r="P50" s="411">
        <f t="shared" si="24"/>
        <v>15381.065550196308</v>
      </c>
      <c r="Q50" s="411">
        <f>SUM(Q46:Q49)</f>
        <v>15697.740502250848</v>
      </c>
      <c r="R50" s="411">
        <f>SUM(R46:R49)</f>
        <v>16003.749256485422</v>
      </c>
      <c r="S50" s="411">
        <f>SUM(S46:S49)</f>
        <v>16303.085859222178</v>
      </c>
      <c r="T50" s="411">
        <f>SUM(T46:T49)</f>
        <v>16598.821811075151</v>
      </c>
      <c r="U50" s="502"/>
    </row>
    <row r="51" spans="1:21" x14ac:dyDescent="0.25">
      <c r="A51" s="500"/>
      <c r="B51" s="390" t="s">
        <v>111</v>
      </c>
      <c r="C51" s="430"/>
      <c r="D51" s="430"/>
      <c r="E51" s="430"/>
      <c r="F51" s="430"/>
      <c r="G51" s="430"/>
      <c r="H51" s="430"/>
      <c r="I51" s="430"/>
      <c r="J51" s="434"/>
      <c r="K51" s="414"/>
      <c r="L51" s="414"/>
      <c r="M51" s="414"/>
      <c r="N51" s="414"/>
      <c r="O51" s="414"/>
      <c r="P51" s="414"/>
      <c r="Q51" s="414"/>
      <c r="R51" s="414"/>
      <c r="S51" s="414"/>
      <c r="T51" s="414"/>
      <c r="U51" s="502"/>
    </row>
    <row r="52" spans="1:21" x14ac:dyDescent="0.25">
      <c r="A52" s="500"/>
      <c r="B52" s="391" t="s">
        <v>81</v>
      </c>
      <c r="C52" s="413"/>
      <c r="D52" s="413"/>
      <c r="E52" s="413"/>
      <c r="F52" s="413"/>
      <c r="G52" s="413"/>
      <c r="H52" s="413"/>
      <c r="I52" s="413"/>
      <c r="J52" s="434"/>
      <c r="K52" s="414"/>
      <c r="L52" s="414"/>
      <c r="M52" s="414"/>
      <c r="N52" s="414"/>
      <c r="O52" s="414"/>
      <c r="P52" s="414"/>
      <c r="Q52" s="414"/>
      <c r="R52" s="414"/>
      <c r="S52" s="414"/>
      <c r="T52" s="414"/>
      <c r="U52" s="502"/>
    </row>
    <row r="53" spans="1:21" x14ac:dyDescent="0.25">
      <c r="A53" s="500"/>
      <c r="B53" s="391" t="s">
        <v>229</v>
      </c>
      <c r="C53" s="431">
        <v>37.299999999999997</v>
      </c>
      <c r="D53" s="431">
        <v>0</v>
      </c>
      <c r="E53" s="431">
        <v>0</v>
      </c>
      <c r="F53" s="431">
        <v>0</v>
      </c>
      <c r="G53" s="431">
        <v>0</v>
      </c>
      <c r="H53" s="527">
        <v>0</v>
      </c>
      <c r="I53" s="527">
        <v>9652.7000000000007</v>
      </c>
      <c r="J53" s="434"/>
      <c r="K53" s="414">
        <v>0</v>
      </c>
      <c r="L53" s="414">
        <v>0</v>
      </c>
      <c r="M53" s="414">
        <v>0</v>
      </c>
      <c r="N53" s="414">
        <v>0</v>
      </c>
      <c r="O53" s="414">
        <v>0</v>
      </c>
      <c r="P53" s="414">
        <v>0</v>
      </c>
      <c r="Q53" s="414">
        <v>0</v>
      </c>
      <c r="R53" s="414">
        <v>0</v>
      </c>
      <c r="S53" s="414">
        <v>0</v>
      </c>
      <c r="T53" s="414">
        <v>0</v>
      </c>
      <c r="U53" s="502"/>
    </row>
    <row r="54" spans="1:21" x14ac:dyDescent="0.25">
      <c r="A54" s="500"/>
      <c r="B54" s="391" t="s">
        <v>230</v>
      </c>
      <c r="C54" s="431">
        <v>743.5</v>
      </c>
      <c r="D54" s="431">
        <v>807</v>
      </c>
      <c r="E54" s="431">
        <v>1397.8999999999999</v>
      </c>
      <c r="F54" s="431">
        <v>1663.1999999999998</v>
      </c>
      <c r="G54" s="431">
        <v>1929.1999999999998</v>
      </c>
      <c r="H54" s="527">
        <v>2638.2999999999997</v>
      </c>
      <c r="I54" s="527">
        <v>3171.8</v>
      </c>
      <c r="J54" s="434"/>
      <c r="K54" s="414">
        <f>Schedules!K33</f>
        <v>4087.9538078009714</v>
      </c>
      <c r="L54" s="414">
        <f>Schedules!L33</f>
        <v>4193.7235718502207</v>
      </c>
      <c r="M54" s="414">
        <f>Schedules!M33</f>
        <v>4272.3428775313696</v>
      </c>
      <c r="N54" s="414">
        <f>Schedules!N33</f>
        <v>4330.7810832071236</v>
      </c>
      <c r="O54" s="414">
        <f>Schedules!O33</f>
        <v>4374.2185551233952</v>
      </c>
      <c r="P54" s="414">
        <f>Schedules!P33</f>
        <v>4406.505890859642</v>
      </c>
      <c r="Q54" s="414">
        <f>Schedules!Q33</f>
        <v>4430.7619568470009</v>
      </c>
      <c r="R54" s="414">
        <f>Schedules!R33</f>
        <v>4449.048331428964</v>
      </c>
      <c r="S54" s="414">
        <f>Schedules!S33</f>
        <v>4462.8973982638427</v>
      </c>
      <c r="T54" s="414">
        <f>Schedules!T33</f>
        <v>4473.4481873980467</v>
      </c>
      <c r="U54" s="502"/>
    </row>
    <row r="55" spans="1:21" x14ac:dyDescent="0.25">
      <c r="A55" s="500"/>
      <c r="B55" s="391" t="s">
        <v>231</v>
      </c>
      <c r="C55" s="431"/>
      <c r="D55" s="431"/>
      <c r="E55" s="431"/>
      <c r="F55" s="431"/>
      <c r="G55" s="431"/>
      <c r="H55" s="527"/>
      <c r="I55" s="527"/>
      <c r="J55" s="434"/>
      <c r="K55" s="414"/>
      <c r="L55" s="414"/>
      <c r="M55" s="414"/>
      <c r="N55" s="414"/>
      <c r="O55" s="414"/>
      <c r="P55" s="414"/>
      <c r="Q55" s="414"/>
      <c r="R55" s="414"/>
      <c r="S55" s="414"/>
      <c r="T55" s="414"/>
      <c r="U55" s="502"/>
    </row>
    <row r="56" spans="1:21" x14ac:dyDescent="0.25">
      <c r="A56" s="500"/>
      <c r="B56" s="391" t="s">
        <v>48</v>
      </c>
      <c r="C56" s="431">
        <v>174.7</v>
      </c>
      <c r="D56" s="431">
        <v>219.5</v>
      </c>
      <c r="E56" s="431">
        <v>323.89999999999998</v>
      </c>
      <c r="F56" s="431">
        <v>762.90000000000009</v>
      </c>
      <c r="G56" s="431">
        <v>2306</v>
      </c>
      <c r="H56" s="527">
        <v>2895.2999999999997</v>
      </c>
      <c r="I56" s="527">
        <v>3934.7000000000003</v>
      </c>
      <c r="J56" s="434"/>
      <c r="K56" s="414">
        <f>'Working Capital'!K19</f>
        <v>4344.101878117157</v>
      </c>
      <c r="L56" s="414">
        <f>'Working Capital'!L19</f>
        <v>5558.2904044918041</v>
      </c>
      <c r="M56" s="414">
        <f>'Working Capital'!M19</f>
        <v>6987.0107183199025</v>
      </c>
      <c r="N56" s="414">
        <f>'Working Capital'!N19</f>
        <v>8630.4545243366374</v>
      </c>
      <c r="O56" s="414">
        <f>'Working Capital'!O19</f>
        <v>10460.797649819853</v>
      </c>
      <c r="P56" s="414">
        <f>'Working Capital'!P19</f>
        <v>12522.904966755299</v>
      </c>
      <c r="Q56" s="414">
        <f>'Working Capital'!Q19</f>
        <v>14777.756996431619</v>
      </c>
      <c r="R56" s="414">
        <f>'Working Capital'!R19</f>
        <v>17279.448789728485</v>
      </c>
      <c r="S56" s="414">
        <f>'Working Capital'!S19</f>
        <v>20031.206498517138</v>
      </c>
      <c r="T56" s="414">
        <f>'Working Capital'!T19</f>
        <v>23032.177990609805</v>
      </c>
      <c r="U56" s="502"/>
    </row>
    <row r="57" spans="1:21" x14ac:dyDescent="0.25">
      <c r="A57" s="500"/>
      <c r="B57" s="391" t="s">
        <v>49</v>
      </c>
      <c r="C57" s="431">
        <v>4159.8</v>
      </c>
      <c r="D57" s="431">
        <v>5561.7999999999993</v>
      </c>
      <c r="E57" s="431">
        <v>5568.0999999999995</v>
      </c>
      <c r="F57" s="431">
        <v>6775</v>
      </c>
      <c r="G57" s="431">
        <v>7542.1</v>
      </c>
      <c r="H57" s="527">
        <v>7812.7999999999993</v>
      </c>
      <c r="I57" s="527">
        <v>9447.6</v>
      </c>
      <c r="J57" s="434"/>
      <c r="K57" s="414">
        <f>'Working Capital'!K20</f>
        <v>11975.581221124594</v>
      </c>
      <c r="L57" s="414">
        <f>'Working Capital'!L20</f>
        <v>15322.789395178614</v>
      </c>
      <c r="M57" s="414">
        <f>'Working Capital'!M20</f>
        <v>19261.407006037873</v>
      </c>
      <c r="N57" s="414">
        <f>'Working Capital'!N20</f>
        <v>23791.9625347765</v>
      </c>
      <c r="O57" s="414">
        <f>'Working Capital'!O20</f>
        <v>28837.751831792644</v>
      </c>
      <c r="P57" s="414">
        <f>'Working Capital'!P20</f>
        <v>34522.455909529228</v>
      </c>
      <c r="Q57" s="414">
        <f>'Working Capital'!Q20</f>
        <v>40738.508014345483</v>
      </c>
      <c r="R57" s="414">
        <f>'Working Capital'!R20</f>
        <v>47635.034408388652</v>
      </c>
      <c r="S57" s="414">
        <f>'Working Capital'!S20</f>
        <v>55220.928769765211</v>
      </c>
      <c r="T57" s="414">
        <f>'Working Capital'!T20</f>
        <v>63493.841987309672</v>
      </c>
      <c r="U57" s="502"/>
    </row>
    <row r="58" spans="1:21" x14ac:dyDescent="0.25">
      <c r="A58" s="500"/>
      <c r="B58" s="391" t="s">
        <v>232</v>
      </c>
      <c r="C58" s="431">
        <v>1779.4</v>
      </c>
      <c r="D58" s="431">
        <v>2697.7999999999997</v>
      </c>
      <c r="E58" s="431">
        <v>2829.2000000000003</v>
      </c>
      <c r="F58" s="431">
        <v>2894.6</v>
      </c>
      <c r="G58" s="431">
        <v>3898.5</v>
      </c>
      <c r="H58" s="527">
        <v>4486.3999999999996</v>
      </c>
      <c r="I58" s="527">
        <v>6371.9000000000005</v>
      </c>
      <c r="J58" s="434"/>
      <c r="K58" s="414">
        <f>'Working Capital'!K36</f>
        <v>2475.1086788295647</v>
      </c>
      <c r="L58" s="414">
        <f>'Working Capital'!L36</f>
        <v>5016.9929829442071</v>
      </c>
      <c r="M58" s="414">
        <f>'Working Capital'!M36</f>
        <v>5673.061296098449</v>
      </c>
      <c r="N58" s="414">
        <f>'Working Capital'!N36</f>
        <v>6139.0627597065359</v>
      </c>
      <c r="O58" s="414">
        <f>'Working Capital'!O36</f>
        <v>6613.8169464571747</v>
      </c>
      <c r="P58" s="414">
        <f>'Working Capital'!P36</f>
        <v>7097.4523106668557</v>
      </c>
      <c r="Q58" s="414">
        <f>'Working Capital'!Q36</f>
        <v>7590.0990004660853</v>
      </c>
      <c r="R58" s="414">
        <f>'Working Capital'!R36</f>
        <v>8091.888878830232</v>
      </c>
      <c r="S58" s="414">
        <f>'Working Capital'!S36</f>
        <v>8602.9555448616156</v>
      </c>
      <c r="T58" s="414">
        <f>'Working Capital'!T36</f>
        <v>9123.434355325744</v>
      </c>
      <c r="U58" s="502"/>
    </row>
    <row r="59" spans="1:21" x14ac:dyDescent="0.25">
      <c r="A59" s="500"/>
      <c r="B59" s="391" t="s">
        <v>82</v>
      </c>
      <c r="C59" s="431">
        <v>4.5</v>
      </c>
      <c r="D59" s="431">
        <v>1126.5999999999999</v>
      </c>
      <c r="E59" s="431">
        <v>1115.6999999999998</v>
      </c>
      <c r="F59" s="431">
        <v>1211.8000000000002</v>
      </c>
      <c r="G59" s="431">
        <v>957.4</v>
      </c>
      <c r="H59" s="527">
        <v>1386.2</v>
      </c>
      <c r="I59" s="527">
        <v>1414.4</v>
      </c>
      <c r="J59" s="434"/>
      <c r="K59" s="531">
        <f>'Working Capital'!K48</f>
        <v>2178.6349057393536</v>
      </c>
      <c r="L59" s="531">
        <f>'Working Capital'!L48</f>
        <v>2804.4600733679431</v>
      </c>
      <c r="M59" s="531">
        <f>'Working Capital'!M48</f>
        <v>3545.8135245774024</v>
      </c>
      <c r="N59" s="531">
        <f>'Working Capital'!N48</f>
        <v>4399.6276484442969</v>
      </c>
      <c r="O59" s="531">
        <f>'Working Capital'!O48</f>
        <v>5366.6182735784478</v>
      </c>
      <c r="P59" s="531">
        <f>'Working Capital'!P48</f>
        <v>6443.1788628994291</v>
      </c>
      <c r="Q59" s="531">
        <f>'Working Capital'!Q48</f>
        <v>7621.1278846027926</v>
      </c>
      <c r="R59" s="531">
        <f>'Working Capital'!R48</f>
        <v>8929.0753454490077</v>
      </c>
      <c r="S59" s="531">
        <f>'Working Capital'!S48</f>
        <v>10368.721594786559</v>
      </c>
      <c r="T59" s="531">
        <f>'Working Capital'!T48</f>
        <v>11939.611016191378</v>
      </c>
      <c r="U59" s="502"/>
    </row>
    <row r="60" spans="1:21" x14ac:dyDescent="0.25">
      <c r="A60" s="500"/>
      <c r="B60" s="391" t="s">
        <v>83</v>
      </c>
      <c r="C60" s="431">
        <v>207</v>
      </c>
      <c r="D60" s="431">
        <v>407.29999999999995</v>
      </c>
      <c r="E60" s="431">
        <v>583.69999999999993</v>
      </c>
      <c r="F60" s="431">
        <v>508.7</v>
      </c>
      <c r="G60" s="431">
        <v>610.4</v>
      </c>
      <c r="H60" s="527">
        <v>491.4</v>
      </c>
      <c r="I60" s="527">
        <v>1114.2</v>
      </c>
      <c r="J60" s="434"/>
      <c r="K60" s="531">
        <f>'Working Capital'!K40</f>
        <v>1198.6249104362823</v>
      </c>
      <c r="L60" s="531">
        <f>'Working Capital'!L40</f>
        <v>1529.4536142629925</v>
      </c>
      <c r="M60" s="531">
        <f>'Working Capital'!M40</f>
        <v>1922.5891449271435</v>
      </c>
      <c r="N60" s="531">
        <f>'Working Capital'!N40</f>
        <v>2374.8093216417569</v>
      </c>
      <c r="O60" s="531">
        <f>'Working Capital'!O40</f>
        <v>2886.3440586577431</v>
      </c>
      <c r="P60" s="531">
        <f>'Working Capital'!P40</f>
        <v>3455.3208615551566</v>
      </c>
      <c r="Q60" s="531">
        <f>'Working Capital'!Q40</f>
        <v>4077.4797998002414</v>
      </c>
      <c r="R60" s="531">
        <f>'Working Capital'!R40</f>
        <v>4767.7467838193425</v>
      </c>
      <c r="S60" s="531">
        <f>'Working Capital'!S40</f>
        <v>5527.0119736745883</v>
      </c>
      <c r="T60" s="531">
        <f>'Working Capital'!T40</f>
        <v>6355.0402489899116</v>
      </c>
      <c r="U60" s="502"/>
    </row>
    <row r="61" spans="1:21" ht="16.5" thickBot="1" x14ac:dyDescent="0.3">
      <c r="A61" s="500"/>
      <c r="B61" s="391" t="s">
        <v>84</v>
      </c>
      <c r="C61" s="431">
        <v>151.80000000000001</v>
      </c>
      <c r="D61" s="431">
        <v>237.7</v>
      </c>
      <c r="E61" s="431">
        <v>364.4</v>
      </c>
      <c r="F61" s="431">
        <v>853.9</v>
      </c>
      <c r="G61" s="431">
        <v>2547.8000000000002</v>
      </c>
      <c r="H61" s="527">
        <v>2411.1999999999998</v>
      </c>
      <c r="I61" s="527">
        <v>2715.2999999999997</v>
      </c>
      <c r="J61" s="434"/>
      <c r="K61" s="414">
        <f>'Working Capital'!K31</f>
        <v>4037.1597749763441</v>
      </c>
      <c r="L61" s="414">
        <f>'Working Capital'!L31</f>
        <v>5324.4068575269721</v>
      </c>
      <c r="M61" s="414">
        <f>'Working Capital'!M31</f>
        <v>6837.5953525323966</v>
      </c>
      <c r="N61" s="414">
        <f>'Working Capital'!N31</f>
        <v>8585.5568557655406</v>
      </c>
      <c r="O61" s="414">
        <f>'Working Capital'!O31</f>
        <v>10571.168486530703</v>
      </c>
      <c r="P61" s="414">
        <f>'Working Capital'!P31</f>
        <v>12786.69018240448</v>
      </c>
      <c r="Q61" s="414">
        <f>'Working Capital'!Q31</f>
        <v>15214.678083017749</v>
      </c>
      <c r="R61" s="414">
        <f>'Working Capital'!R31</f>
        <v>17915.85394131775</v>
      </c>
      <c r="S61" s="414">
        <f>'Working Capital'!S31</f>
        <v>20893.797399867475</v>
      </c>
      <c r="T61" s="414">
        <f>'Working Capital'!T31</f>
        <v>24147.517092983951</v>
      </c>
      <c r="U61" s="502"/>
    </row>
    <row r="62" spans="1:21" ht="16.5" thickTop="1" x14ac:dyDescent="0.25">
      <c r="A62" s="500"/>
      <c r="B62" s="401" t="s">
        <v>40</v>
      </c>
      <c r="C62" s="432">
        <f>SUM(C53:C61)</f>
        <v>7258.0000000000009</v>
      </c>
      <c r="D62" s="432">
        <f>SUM(D54:D61)</f>
        <v>11057.699999999999</v>
      </c>
      <c r="E62" s="432">
        <f>SUM(E54:E61)</f>
        <v>12182.9</v>
      </c>
      <c r="F62" s="432">
        <f>SUM(F54:F61)</f>
        <v>14670.1</v>
      </c>
      <c r="G62" s="432">
        <f>SUM(G54:G61)</f>
        <v>19791.400000000001</v>
      </c>
      <c r="H62" s="432">
        <f>SUM(H54:H61)</f>
        <v>22121.599999999999</v>
      </c>
      <c r="I62" s="432">
        <f>SUM(I53:I61)</f>
        <v>37822.600000000006</v>
      </c>
      <c r="J62" s="434"/>
      <c r="K62" s="433">
        <f t="shared" ref="K62:T62" si="25">SUM(K53:K61)</f>
        <v>30297.165177024268</v>
      </c>
      <c r="L62" s="433">
        <f t="shared" si="25"/>
        <v>39750.116899622757</v>
      </c>
      <c r="M62" s="433">
        <f t="shared" si="25"/>
        <v>48499.819920024544</v>
      </c>
      <c r="N62" s="433">
        <f t="shared" si="25"/>
        <v>58252.25472787839</v>
      </c>
      <c r="O62" s="433">
        <f t="shared" si="25"/>
        <v>69110.715801959959</v>
      </c>
      <c r="P62" s="433">
        <f t="shared" si="25"/>
        <v>81234.508984670087</v>
      </c>
      <c r="Q62" s="433">
        <f t="shared" si="25"/>
        <v>94450.411735510977</v>
      </c>
      <c r="R62" s="433">
        <f t="shared" si="25"/>
        <v>109068.09647896243</v>
      </c>
      <c r="S62" s="433">
        <f t="shared" si="25"/>
        <v>125107.51917973642</v>
      </c>
      <c r="T62" s="433">
        <f t="shared" si="25"/>
        <v>142565.0708788085</v>
      </c>
      <c r="U62" s="502"/>
    </row>
    <row r="63" spans="1:21" s="414" customFormat="1" ht="6.75" customHeight="1" thickBot="1" x14ac:dyDescent="0.3">
      <c r="A63" s="500"/>
      <c r="B63" s="203"/>
      <c r="C63" s="430"/>
      <c r="D63" s="430"/>
      <c r="E63" s="430"/>
      <c r="F63" s="430"/>
      <c r="G63" s="430"/>
      <c r="H63" s="387"/>
      <c r="I63" s="413"/>
      <c r="U63" s="502"/>
    </row>
    <row r="64" spans="1:21" ht="17.25" thickTop="1" thickBot="1" x14ac:dyDescent="0.3">
      <c r="A64" s="500"/>
      <c r="B64" s="200" t="s">
        <v>41</v>
      </c>
      <c r="C64" s="426">
        <f t="shared" ref="C64:I64" si="26">SUM(C42+C50+C62)</f>
        <v>120764.5</v>
      </c>
      <c r="D64" s="426">
        <f t="shared" si="26"/>
        <v>136559.70000000001</v>
      </c>
      <c r="E64" s="426">
        <f t="shared" si="26"/>
        <v>154726.40000000002</v>
      </c>
      <c r="F64" s="426">
        <f t="shared" si="26"/>
        <v>181062.9</v>
      </c>
      <c r="G64" s="426">
        <f t="shared" si="26"/>
        <v>211772</v>
      </c>
      <c r="H64" s="426">
        <f t="shared" si="26"/>
        <v>243202.9</v>
      </c>
      <c r="I64" s="427">
        <f t="shared" si="26"/>
        <v>295242.59999999998</v>
      </c>
      <c r="J64" s="434"/>
      <c r="K64" s="428">
        <f t="shared" ref="K64:T64" si="27">SUM(K42+K50+K62)</f>
        <v>337102.58281338098</v>
      </c>
      <c r="L64" s="428">
        <f t="shared" si="27"/>
        <v>411407.65847100929</v>
      </c>
      <c r="M64" s="428">
        <f t="shared" si="27"/>
        <v>503246.35504347412</v>
      </c>
      <c r="N64" s="428">
        <f t="shared" si="27"/>
        <v>617168.20332662167</v>
      </c>
      <c r="O64" s="428">
        <f t="shared" si="27"/>
        <v>756163.71551817365</v>
      </c>
      <c r="P64" s="428">
        <f t="shared" si="27"/>
        <v>923182.39233018795</v>
      </c>
      <c r="Q64" s="428">
        <f t="shared" si="27"/>
        <v>1120628.6526679744</v>
      </c>
      <c r="R64" s="428">
        <f t="shared" si="27"/>
        <v>1352117.6036044187</v>
      </c>
      <c r="S64" s="428">
        <f t="shared" si="27"/>
        <v>1621018.7374169251</v>
      </c>
      <c r="T64" s="428">
        <f t="shared" si="27"/>
        <v>1930665.0753727825</v>
      </c>
      <c r="U64" s="502"/>
    </row>
    <row r="65" spans="1:21" ht="16.5" thickTop="1" x14ac:dyDescent="0.25">
      <c r="A65" s="500"/>
      <c r="B65" s="203" t="s">
        <v>51</v>
      </c>
      <c r="C65" s="435" t="str">
        <f>IF(ROUND((C64-C34),0)=0,"Balanced","Un-balanced")</f>
        <v>Balanced</v>
      </c>
      <c r="D65" s="435" t="str">
        <f t="shared" ref="D65:K65" si="28">IF(ROUND((D64-D34),0)=0,"Balanced","Un-balanced")</f>
        <v>Balanced</v>
      </c>
      <c r="E65" s="435" t="str">
        <f t="shared" si="28"/>
        <v>Balanced</v>
      </c>
      <c r="F65" s="435" t="str">
        <f t="shared" si="28"/>
        <v>Balanced</v>
      </c>
      <c r="G65" s="435" t="str">
        <f t="shared" si="28"/>
        <v>Balanced</v>
      </c>
      <c r="H65" s="435" t="str">
        <f t="shared" si="28"/>
        <v>Balanced</v>
      </c>
      <c r="I65" s="435" t="str">
        <f t="shared" si="28"/>
        <v>Balanced</v>
      </c>
      <c r="J65" s="532"/>
      <c r="K65" s="436" t="str">
        <f t="shared" si="28"/>
        <v>Balanced</v>
      </c>
      <c r="L65" s="436" t="str">
        <f t="shared" ref="L65:T65" si="29">IF(ROUND((L64-L34),0)=0,"Balanced","Un-balanced")</f>
        <v>Balanced</v>
      </c>
      <c r="M65" s="436" t="str">
        <f t="shared" si="29"/>
        <v>Balanced</v>
      </c>
      <c r="N65" s="436" t="str">
        <f t="shared" si="29"/>
        <v>Balanced</v>
      </c>
      <c r="O65" s="436" t="str">
        <f t="shared" si="29"/>
        <v>Balanced</v>
      </c>
      <c r="P65" s="436" t="str">
        <f t="shared" si="29"/>
        <v>Balanced</v>
      </c>
      <c r="Q65" s="436" t="str">
        <f t="shared" si="29"/>
        <v>Balanced</v>
      </c>
      <c r="R65" s="436" t="str">
        <f t="shared" si="29"/>
        <v>Balanced</v>
      </c>
      <c r="S65" s="436" t="str">
        <f t="shared" si="29"/>
        <v>Balanced</v>
      </c>
      <c r="T65" s="436" t="str">
        <f t="shared" si="29"/>
        <v>Balanced</v>
      </c>
      <c r="U65" s="502"/>
    </row>
    <row r="66" spans="1:21" ht="16.5" thickBot="1" x14ac:dyDescent="0.3">
      <c r="A66" s="521"/>
      <c r="B66" s="522"/>
      <c r="C66" s="523"/>
      <c r="D66" s="523"/>
      <c r="E66" s="523"/>
      <c r="F66" s="523"/>
      <c r="G66" s="523"/>
      <c r="H66" s="523"/>
      <c r="I66" s="523"/>
      <c r="J66" s="522"/>
      <c r="K66" s="523"/>
      <c r="L66" s="523"/>
      <c r="M66" s="523"/>
      <c r="N66" s="523"/>
      <c r="O66" s="523"/>
      <c r="P66" s="523"/>
      <c r="Q66" s="523"/>
      <c r="R66" s="523"/>
      <c r="S66" s="523"/>
      <c r="T66" s="523"/>
      <c r="U66" s="524"/>
    </row>
    <row r="67" spans="1:21" ht="16.5" thickTop="1" x14ac:dyDescent="0.25">
      <c r="C67" s="437"/>
      <c r="D67" s="437"/>
      <c r="E67" s="437"/>
      <c r="F67" s="437"/>
      <c r="G67" s="437"/>
      <c r="H67" s="437"/>
      <c r="I67" s="437"/>
      <c r="K67" s="437"/>
    </row>
  </sheetData>
  <sheetProtection sheet="1" objects="1" scenarios="1" selectLockedCells="1"/>
  <dataConsolidate/>
  <mergeCells count="1">
    <mergeCell ref="B2:T3"/>
  </mergeCells>
  <pageMargins left="0.25" right="0.25" top="0.75" bottom="0.75" header="0.3" footer="0.3"/>
  <pageSetup paperSize="9" scale="45"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Schedules!$B$73:$B$75</xm:f>
          </x14:formula1>
          <xm:sqref>D5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3"/>
  <sheetViews>
    <sheetView showGridLines="0" zoomScale="84" zoomScaleNormal="84" zoomScaleSheetLayoutView="55" zoomScalePageLayoutView="10" workbookViewId="0">
      <selection activeCell="R12" sqref="R12"/>
    </sheetView>
  </sheetViews>
  <sheetFormatPr defaultRowHeight="15" x14ac:dyDescent="0.25"/>
  <cols>
    <col min="1" max="1" width="2.7109375" style="4" customWidth="1"/>
    <col min="2" max="2" width="60" style="4" customWidth="1"/>
    <col min="3" max="9" width="14.85546875" style="2" customWidth="1"/>
    <col min="10" max="10" width="0.85546875" style="4" customWidth="1"/>
    <col min="11" max="20" width="14.85546875" style="2" customWidth="1"/>
    <col min="21" max="21" width="2.7109375" style="2" customWidth="1"/>
    <col min="22" max="16384" width="9.140625" style="2"/>
  </cols>
  <sheetData>
    <row r="1" spans="1:21" ht="15.75" thickTop="1" x14ac:dyDescent="0.25">
      <c r="A1" s="533"/>
      <c r="B1" s="83"/>
      <c r="C1" s="534"/>
      <c r="D1" s="534"/>
      <c r="E1" s="534"/>
      <c r="F1" s="534"/>
      <c r="G1" s="534"/>
      <c r="H1" s="534"/>
      <c r="I1" s="534"/>
      <c r="J1" s="83"/>
      <c r="K1" s="534"/>
      <c r="L1" s="534"/>
      <c r="M1" s="534"/>
      <c r="N1" s="534"/>
      <c r="O1" s="534"/>
      <c r="P1" s="534"/>
      <c r="Q1" s="534"/>
      <c r="R1" s="534"/>
      <c r="S1" s="534"/>
      <c r="T1" s="534"/>
      <c r="U1" s="535"/>
    </row>
    <row r="2" spans="1:21" ht="9.9499999999999993" customHeight="1" x14ac:dyDescent="0.25">
      <c r="A2" s="536"/>
      <c r="B2" s="645" t="s">
        <v>423</v>
      </c>
      <c r="C2" s="645"/>
      <c r="D2" s="645"/>
      <c r="E2" s="645"/>
      <c r="F2" s="645"/>
      <c r="G2" s="645"/>
      <c r="H2" s="645"/>
      <c r="I2" s="645"/>
      <c r="J2" s="645"/>
      <c r="K2" s="645"/>
      <c r="L2" s="645"/>
      <c r="M2" s="645"/>
      <c r="N2" s="645"/>
      <c r="O2" s="645"/>
      <c r="P2" s="645"/>
      <c r="Q2" s="645"/>
      <c r="R2" s="645"/>
      <c r="S2" s="645"/>
      <c r="T2" s="645"/>
      <c r="U2" s="537"/>
    </row>
    <row r="3" spans="1:21" ht="9.9499999999999993" customHeight="1" x14ac:dyDescent="0.25">
      <c r="A3" s="536"/>
      <c r="B3" s="645"/>
      <c r="C3" s="645"/>
      <c r="D3" s="645"/>
      <c r="E3" s="645"/>
      <c r="F3" s="645"/>
      <c r="G3" s="645"/>
      <c r="H3" s="645"/>
      <c r="I3" s="645"/>
      <c r="J3" s="645"/>
      <c r="K3" s="645"/>
      <c r="L3" s="645"/>
      <c r="M3" s="645"/>
      <c r="N3" s="645"/>
      <c r="O3" s="645"/>
      <c r="P3" s="645"/>
      <c r="Q3" s="645"/>
      <c r="R3" s="645"/>
      <c r="S3" s="645"/>
      <c r="T3" s="645"/>
      <c r="U3" s="537"/>
    </row>
    <row r="4" spans="1:21" x14ac:dyDescent="0.25">
      <c r="A4" s="536"/>
      <c r="B4" s="10"/>
      <c r="C4" s="538"/>
      <c r="D4" s="538"/>
      <c r="E4" s="538"/>
      <c r="F4" s="538"/>
      <c r="G4" s="538"/>
      <c r="H4" s="538"/>
      <c r="I4" s="538"/>
      <c r="J4" s="10"/>
      <c r="K4" s="538"/>
      <c r="L4" s="538"/>
      <c r="M4" s="538"/>
      <c r="N4" s="538"/>
      <c r="O4" s="538"/>
      <c r="P4" s="538"/>
      <c r="Q4" s="538"/>
      <c r="R4" s="538"/>
      <c r="S4" s="538"/>
      <c r="T4" s="538"/>
      <c r="U4" s="537"/>
    </row>
    <row r="5" spans="1:21" s="4" customFormat="1" ht="5.0999999999999996" customHeight="1" x14ac:dyDescent="0.25">
      <c r="A5" s="536"/>
      <c r="B5" s="10"/>
      <c r="C5" s="10"/>
      <c r="D5" s="10"/>
      <c r="E5" s="10"/>
      <c r="F5" s="10"/>
      <c r="G5" s="10"/>
      <c r="H5" s="10"/>
      <c r="I5" s="10"/>
      <c r="J5" s="10"/>
      <c r="K5" s="10"/>
      <c r="L5" s="10"/>
      <c r="M5" s="10"/>
      <c r="N5" s="10"/>
      <c r="O5" s="10"/>
      <c r="P5" s="10"/>
      <c r="Q5" s="10"/>
      <c r="R5" s="10"/>
      <c r="S5" s="10"/>
      <c r="T5" s="10"/>
      <c r="U5" s="539"/>
    </row>
    <row r="6" spans="1:21" s="4" customFormat="1" ht="16.5" thickBot="1" x14ac:dyDescent="0.3">
      <c r="A6" s="536"/>
      <c r="B6" s="240" t="s">
        <v>32</v>
      </c>
      <c r="C6" s="540">
        <v>43921</v>
      </c>
      <c r="D6" s="540">
        <f t="shared" ref="D6:I6" si="0">EOMONTH(C6,12)</f>
        <v>44286</v>
      </c>
      <c r="E6" s="540">
        <f t="shared" si="0"/>
        <v>44651</v>
      </c>
      <c r="F6" s="540">
        <f t="shared" si="0"/>
        <v>45016</v>
      </c>
      <c r="G6" s="540">
        <f t="shared" si="0"/>
        <v>45382</v>
      </c>
      <c r="H6" s="540">
        <f t="shared" si="0"/>
        <v>45747</v>
      </c>
      <c r="I6" s="540">
        <f t="shared" si="0"/>
        <v>46112</v>
      </c>
      <c r="J6" s="541"/>
      <c r="K6" s="542">
        <f>EOMONTH(I6,12)</f>
        <v>46477</v>
      </c>
      <c r="L6" s="542">
        <f t="shared" ref="L6:T6" si="1">EOMONTH(K6,12)</f>
        <v>46843</v>
      </c>
      <c r="M6" s="542">
        <f t="shared" si="1"/>
        <v>47208</v>
      </c>
      <c r="N6" s="542">
        <f t="shared" si="1"/>
        <v>47573</v>
      </c>
      <c r="O6" s="542">
        <f t="shared" si="1"/>
        <v>47938</v>
      </c>
      <c r="P6" s="542">
        <f t="shared" si="1"/>
        <v>48304</v>
      </c>
      <c r="Q6" s="542">
        <f t="shared" si="1"/>
        <v>48669</v>
      </c>
      <c r="R6" s="542">
        <f t="shared" si="1"/>
        <v>49034</v>
      </c>
      <c r="S6" s="542">
        <f t="shared" si="1"/>
        <v>49399</v>
      </c>
      <c r="T6" s="542">
        <f t="shared" si="1"/>
        <v>49765</v>
      </c>
      <c r="U6" s="539"/>
    </row>
    <row r="7" spans="1:21" ht="16.5" thickTop="1" x14ac:dyDescent="0.25">
      <c r="A7" s="536"/>
      <c r="B7" s="543" t="s">
        <v>112</v>
      </c>
      <c r="C7" s="77"/>
      <c r="D7" s="77"/>
      <c r="E7" s="77"/>
      <c r="F7" s="77"/>
      <c r="G7" s="77"/>
      <c r="H7" s="79"/>
      <c r="I7" s="79"/>
      <c r="J7" s="10"/>
      <c r="K7" s="11"/>
      <c r="L7" s="11"/>
      <c r="M7" s="11"/>
      <c r="N7" s="11"/>
      <c r="O7" s="11"/>
      <c r="P7" s="11"/>
      <c r="Q7" s="538"/>
      <c r="R7" s="538"/>
      <c r="S7" s="538"/>
      <c r="T7" s="538"/>
      <c r="U7" s="537"/>
    </row>
    <row r="8" spans="1:21" ht="15.75" x14ac:dyDescent="0.25">
      <c r="A8" s="536"/>
      <c r="B8" s="544" t="s">
        <v>113</v>
      </c>
      <c r="C8" s="88">
        <v>17447.7</v>
      </c>
      <c r="D8" s="88">
        <v>14834.5</v>
      </c>
      <c r="E8" s="88">
        <v>20641.199999999997</v>
      </c>
      <c r="F8" s="88">
        <v>30600.9</v>
      </c>
      <c r="G8" s="88">
        <v>34613.300000000003</v>
      </c>
      <c r="H8" s="88">
        <v>36726.699999999997</v>
      </c>
      <c r="I8" s="88">
        <v>40816.199999999997</v>
      </c>
      <c r="J8" s="10"/>
      <c r="K8" s="91">
        <f>'P &amp; L'!K24</f>
        <v>66850.452321954697</v>
      </c>
      <c r="L8" s="91">
        <f>'P &amp; L'!L24</f>
        <v>88165.697324644818</v>
      </c>
      <c r="M8" s="91">
        <f>'P &amp; L'!M24</f>
        <v>113222.25712851912</v>
      </c>
      <c r="N8" s="91">
        <f>'P &amp; L'!N24</f>
        <v>142166.3722108072</v>
      </c>
      <c r="O8" s="91">
        <f>'P &amp; L'!O24</f>
        <v>175045.68416550016</v>
      </c>
      <c r="P8" s="91">
        <f>'P &amp; L'!P24</f>
        <v>211732.02697915162</v>
      </c>
      <c r="Q8" s="91">
        <f>'P &amp; L'!Q24</f>
        <v>251936.55155464509</v>
      </c>
      <c r="R8" s="91">
        <f>'P &amp; L'!R24</f>
        <v>296664.73621747713</v>
      </c>
      <c r="S8" s="91">
        <f>'P &amp; L'!S24</f>
        <v>345975.8554917748</v>
      </c>
      <c r="T8" s="91">
        <f>'P &amp; L'!T24</f>
        <v>399853.49356840074</v>
      </c>
      <c r="U8" s="537"/>
    </row>
    <row r="9" spans="1:21" ht="15.75" x14ac:dyDescent="0.25">
      <c r="A9" s="536"/>
      <c r="B9" s="545" t="s">
        <v>114</v>
      </c>
      <c r="C9" s="88"/>
      <c r="D9" s="88"/>
      <c r="E9" s="88"/>
      <c r="F9" s="88"/>
      <c r="G9" s="88"/>
      <c r="H9" s="88"/>
      <c r="I9" s="88"/>
      <c r="J9" s="10"/>
      <c r="K9" s="91"/>
      <c r="L9" s="91"/>
      <c r="M9" s="91"/>
      <c r="N9" s="91"/>
      <c r="O9" s="91"/>
      <c r="P9" s="91"/>
      <c r="Q9" s="91"/>
      <c r="R9" s="91"/>
      <c r="S9" s="91"/>
      <c r="T9" s="91"/>
      <c r="U9" s="537"/>
    </row>
    <row r="10" spans="1:21" ht="15.75" x14ac:dyDescent="0.25">
      <c r="A10" s="536"/>
      <c r="B10" s="544" t="s">
        <v>115</v>
      </c>
      <c r="C10" s="88">
        <v>3744.1000000000004</v>
      </c>
      <c r="D10" s="88">
        <v>4141.6000000000004</v>
      </c>
      <c r="E10" s="88">
        <v>4980.8</v>
      </c>
      <c r="F10" s="88">
        <v>6388.7</v>
      </c>
      <c r="G10" s="88">
        <v>7307.6</v>
      </c>
      <c r="H10" s="88">
        <v>8695.2000000000007</v>
      </c>
      <c r="I10" s="88">
        <v>10370.200000000001</v>
      </c>
      <c r="J10" s="10"/>
      <c r="K10" s="91">
        <f>-'P &amp; L'!K19</f>
        <v>12200.966915051898</v>
      </c>
      <c r="L10" s="91">
        <f>-'P &amp; L'!L19</f>
        <v>13155.015250660559</v>
      </c>
      <c r="M10" s="91">
        <f>-'P &amp; L'!M19</f>
        <v>14580.023189706892</v>
      </c>
      <c r="N10" s="91">
        <f>-'P &amp; L'!N19</f>
        <v>16109.764933914696</v>
      </c>
      <c r="O10" s="91">
        <f>-'P &amp; L'!O19</f>
        <v>17710.103567237347</v>
      </c>
      <c r="P10" s="91">
        <f>-'P &amp; L'!P19</f>
        <v>19381.442835665384</v>
      </c>
      <c r="Q10" s="91">
        <f>-'P &amp; L'!Q19</f>
        <v>21124.150303501941</v>
      </c>
      <c r="R10" s="91">
        <f>-'P &amp; L'!R19</f>
        <v>22938.511869347229</v>
      </c>
      <c r="S10" s="91">
        <f>-'P &amp; L'!S19</f>
        <v>24824.691191954331</v>
      </c>
      <c r="T10" s="91">
        <f>-'P &amp; L'!T19</f>
        <v>26782.808478250648</v>
      </c>
      <c r="U10" s="537"/>
    </row>
    <row r="11" spans="1:21" ht="15.75" x14ac:dyDescent="0.25">
      <c r="A11" s="536"/>
      <c r="B11" s="544" t="s">
        <v>116</v>
      </c>
      <c r="C11" s="88">
        <v>691.2</v>
      </c>
      <c r="D11" s="88">
        <v>416.5</v>
      </c>
      <c r="E11" s="88">
        <v>537.9</v>
      </c>
      <c r="F11" s="88">
        <v>674.09999999999991</v>
      </c>
      <c r="G11" s="88">
        <v>581.30000000000007</v>
      </c>
      <c r="H11" s="88">
        <v>694.5</v>
      </c>
      <c r="I11" s="88">
        <v>1420.5</v>
      </c>
      <c r="J11" s="10"/>
      <c r="K11" s="91">
        <f>-'P &amp; L'!K22</f>
        <v>1780.3734624891331</v>
      </c>
      <c r="L11" s="91">
        <f>-'P &amp; L'!L22</f>
        <v>1821.2098185832026</v>
      </c>
      <c r="M11" s="91">
        <f>-'P &amp; L'!M22</f>
        <v>1851.5637291882128</v>
      </c>
      <c r="N11" s="91">
        <f>-'P &amp; L'!N22</f>
        <v>1874.1259746269225</v>
      </c>
      <c r="O11" s="91">
        <f>-'P &amp; L'!O22</f>
        <v>1890.8966281964349</v>
      </c>
      <c r="P11" s="91">
        <f>-'P &amp; L'!P22</f>
        <v>1903.3623564818854</v>
      </c>
      <c r="Q11" s="91">
        <f>-'P &amp; L'!Q22</f>
        <v>1912.7273140101995</v>
      </c>
      <c r="R11" s="91">
        <f>-'P &amp; L'!R22</f>
        <v>1919.7874498704903</v>
      </c>
      <c r="S11" s="91">
        <f>-'P &amp; L'!S22</f>
        <v>1925.1343978373627</v>
      </c>
      <c r="T11" s="91">
        <f>-'P &amp; L'!T22</f>
        <v>1929.2079228757393</v>
      </c>
      <c r="U11" s="537"/>
    </row>
    <row r="12" spans="1:21" ht="15.75" x14ac:dyDescent="0.25">
      <c r="A12" s="536"/>
      <c r="B12" s="544" t="s">
        <v>117</v>
      </c>
      <c r="C12" s="88">
        <f>(-32.49)*10</f>
        <v>-324.90000000000003</v>
      </c>
      <c r="D12" s="88">
        <v>-1781.3</v>
      </c>
      <c r="E12" s="88">
        <v>-1039.5999999999999</v>
      </c>
      <c r="F12" s="88">
        <v>-1075.5999999999999</v>
      </c>
      <c r="G12" s="88">
        <v>-1074.5999999999999</v>
      </c>
      <c r="H12" s="88">
        <v>-878.3</v>
      </c>
      <c r="I12" s="88">
        <v>-539.79999999999995</v>
      </c>
      <c r="J12" s="10"/>
      <c r="K12" s="91">
        <f>-'P &amp; L'!K23</f>
        <v>-3059.3496996279805</v>
      </c>
      <c r="L12" s="91">
        <f>-'P &amp; L'!L23</f>
        <v>-3903.7512191259866</v>
      </c>
      <c r="M12" s="91">
        <f>-'P &amp; L'!M23</f>
        <v>-4907.183616682848</v>
      </c>
      <c r="N12" s="91">
        <f>-'P &amp; L'!N23</f>
        <v>-6061.4226532251396</v>
      </c>
      <c r="O12" s="91">
        <f>-'P &amp; L'!O23</f>
        <v>-7367.0551579505</v>
      </c>
      <c r="P12" s="91">
        <f>-'P &amp; L'!P23</f>
        <v>-8819.3018081606169</v>
      </c>
      <c r="Q12" s="91">
        <f>-'P &amp; L'!Q23</f>
        <v>-10407.289630095796</v>
      </c>
      <c r="R12" s="91">
        <f>-'P &amp; L'!R23</f>
        <v>-12169.115261980332</v>
      </c>
      <c r="S12" s="91">
        <f>-'P &amp; L'!S23</f>
        <v>-14107.050733116286</v>
      </c>
      <c r="T12" s="91">
        <f>-'P &amp; L'!T23</f>
        <v>-16220.495926281303</v>
      </c>
      <c r="U12" s="537"/>
    </row>
    <row r="13" spans="1:21" ht="15.75" x14ac:dyDescent="0.25">
      <c r="A13" s="536"/>
      <c r="B13" s="544" t="s">
        <v>118</v>
      </c>
      <c r="C13" s="88">
        <v>-101.6</v>
      </c>
      <c r="D13" s="88">
        <v>-25.6</v>
      </c>
      <c r="E13" s="88">
        <v>-36.6</v>
      </c>
      <c r="F13" s="88">
        <v>-88.3</v>
      </c>
      <c r="G13" s="88">
        <v>-271.10000000000002</v>
      </c>
      <c r="H13" s="88">
        <v>-217.60000000000002</v>
      </c>
      <c r="I13" s="88">
        <v>-40.700000000000003</v>
      </c>
      <c r="J13" s="10"/>
      <c r="K13" s="91">
        <v>0</v>
      </c>
      <c r="L13" s="91">
        <v>0</v>
      </c>
      <c r="M13" s="91">
        <v>0</v>
      </c>
      <c r="N13" s="91">
        <v>0</v>
      </c>
      <c r="O13" s="91">
        <v>0</v>
      </c>
      <c r="P13" s="91">
        <v>0</v>
      </c>
      <c r="Q13" s="91">
        <v>0</v>
      </c>
      <c r="R13" s="91">
        <v>0</v>
      </c>
      <c r="S13" s="91">
        <v>0</v>
      </c>
      <c r="T13" s="91">
        <v>0</v>
      </c>
      <c r="U13" s="537"/>
    </row>
    <row r="14" spans="1:21" ht="15.75" x14ac:dyDescent="0.25">
      <c r="A14" s="536"/>
      <c r="B14" s="544" t="s">
        <v>119</v>
      </c>
      <c r="C14" s="88">
        <v>84.600000000000009</v>
      </c>
      <c r="D14" s="88">
        <v>63.8</v>
      </c>
      <c r="E14" s="88">
        <v>64.2</v>
      </c>
      <c r="F14" s="88">
        <v>120.1</v>
      </c>
      <c r="G14" s="88">
        <v>188.4</v>
      </c>
      <c r="H14" s="88">
        <v>307.2</v>
      </c>
      <c r="I14" s="88">
        <v>338.7</v>
      </c>
      <c r="J14" s="10"/>
      <c r="K14" s="91">
        <v>0</v>
      </c>
      <c r="L14" s="91">
        <v>0</v>
      </c>
      <c r="M14" s="91">
        <v>0</v>
      </c>
      <c r="N14" s="91">
        <v>0</v>
      </c>
      <c r="O14" s="91">
        <v>0</v>
      </c>
      <c r="P14" s="91">
        <v>0</v>
      </c>
      <c r="Q14" s="91">
        <v>0</v>
      </c>
      <c r="R14" s="91">
        <v>0</v>
      </c>
      <c r="S14" s="91">
        <v>0</v>
      </c>
      <c r="T14" s="91">
        <v>0</v>
      </c>
      <c r="U14" s="537"/>
    </row>
    <row r="15" spans="1:21" ht="15.75" x14ac:dyDescent="0.25">
      <c r="A15" s="536"/>
      <c r="B15" s="544" t="s">
        <v>120</v>
      </c>
      <c r="C15" s="88">
        <v>-28.799999999999997</v>
      </c>
      <c r="D15" s="88">
        <v>-28.900000000000002</v>
      </c>
      <c r="E15" s="88">
        <v>-35.5</v>
      </c>
      <c r="F15" s="88">
        <v>-46.900000000000006</v>
      </c>
      <c r="G15" s="88">
        <v>-49.800000000000004</v>
      </c>
      <c r="H15" s="88">
        <v>-50.4</v>
      </c>
      <c r="I15" s="88">
        <v>-53.4</v>
      </c>
      <c r="J15" s="10"/>
      <c r="K15" s="92">
        <v>0</v>
      </c>
      <c r="L15" s="92">
        <v>0</v>
      </c>
      <c r="M15" s="92">
        <v>0</v>
      </c>
      <c r="N15" s="92">
        <v>0</v>
      </c>
      <c r="O15" s="92">
        <v>0</v>
      </c>
      <c r="P15" s="92">
        <v>0</v>
      </c>
      <c r="Q15" s="92">
        <v>0</v>
      </c>
      <c r="R15" s="92">
        <v>0</v>
      </c>
      <c r="S15" s="92">
        <v>0</v>
      </c>
      <c r="T15" s="92">
        <v>0</v>
      </c>
      <c r="U15" s="537"/>
    </row>
    <row r="16" spans="1:21" ht="16.5" thickBot="1" x14ac:dyDescent="0.3">
      <c r="A16" s="536"/>
      <c r="B16" s="544" t="s">
        <v>121</v>
      </c>
      <c r="C16" s="88">
        <v>-24.5</v>
      </c>
      <c r="D16" s="88">
        <v>17.8</v>
      </c>
      <c r="E16" s="88">
        <v>38.5</v>
      </c>
      <c r="F16" s="88">
        <v>17.399999999999999</v>
      </c>
      <c r="G16" s="88">
        <v>18.700000000000003</v>
      </c>
      <c r="H16" s="88">
        <v>71.8</v>
      </c>
      <c r="I16" s="88">
        <v>22</v>
      </c>
      <c r="J16" s="10"/>
      <c r="K16" s="93">
        <v>0</v>
      </c>
      <c r="L16" s="93">
        <v>0</v>
      </c>
      <c r="M16" s="93">
        <v>0</v>
      </c>
      <c r="N16" s="93">
        <v>0</v>
      </c>
      <c r="O16" s="93">
        <v>0</v>
      </c>
      <c r="P16" s="93">
        <v>0</v>
      </c>
      <c r="Q16" s="93">
        <v>0</v>
      </c>
      <c r="R16" s="93">
        <v>0</v>
      </c>
      <c r="S16" s="93">
        <v>0</v>
      </c>
      <c r="T16" s="93">
        <v>0</v>
      </c>
      <c r="U16" s="537"/>
    </row>
    <row r="17" spans="1:21" ht="16.5" thickTop="1" x14ac:dyDescent="0.25">
      <c r="A17" s="536"/>
      <c r="B17" s="14" t="s">
        <v>122</v>
      </c>
      <c r="C17" s="84">
        <f t="shared" ref="C17:I17" si="2">SUM(C8:C16)</f>
        <v>21487.800000000003</v>
      </c>
      <c r="D17" s="84">
        <f t="shared" si="2"/>
        <v>17638.399999999998</v>
      </c>
      <c r="E17" s="84">
        <f t="shared" si="2"/>
        <v>25150.9</v>
      </c>
      <c r="F17" s="84">
        <f t="shared" si="2"/>
        <v>36590.399999999994</v>
      </c>
      <c r="G17" s="84">
        <f t="shared" si="2"/>
        <v>41313.800000000003</v>
      </c>
      <c r="H17" s="84">
        <f t="shared" si="2"/>
        <v>45349.099999999991</v>
      </c>
      <c r="I17" s="84">
        <f t="shared" si="2"/>
        <v>52333.69999999999</v>
      </c>
      <c r="J17" s="10"/>
      <c r="K17" s="89">
        <f t="shared" ref="K17:T17" si="3">SUM(K8:K16)</f>
        <v>77772.442999867751</v>
      </c>
      <c r="L17" s="89">
        <f t="shared" si="3"/>
        <v>99238.171174762581</v>
      </c>
      <c r="M17" s="89">
        <f t="shared" si="3"/>
        <v>124746.66043073138</v>
      </c>
      <c r="N17" s="89">
        <f t="shared" si="3"/>
        <v>154088.84046612369</v>
      </c>
      <c r="O17" s="89">
        <f t="shared" si="3"/>
        <v>187279.62920298346</v>
      </c>
      <c r="P17" s="89">
        <f t="shared" si="3"/>
        <v>224197.5303631383</v>
      </c>
      <c r="Q17" s="89">
        <f t="shared" si="3"/>
        <v>264566.13954206143</v>
      </c>
      <c r="R17" s="89">
        <f t="shared" si="3"/>
        <v>309353.92027471453</v>
      </c>
      <c r="S17" s="89">
        <f t="shared" si="3"/>
        <v>358618.63034845021</v>
      </c>
      <c r="T17" s="89">
        <f t="shared" si="3"/>
        <v>412345.01404324581</v>
      </c>
      <c r="U17" s="537"/>
    </row>
    <row r="18" spans="1:21" ht="15.75" x14ac:dyDescent="0.25">
      <c r="A18" s="536"/>
      <c r="B18" s="545" t="s">
        <v>114</v>
      </c>
      <c r="C18" s="77"/>
      <c r="D18" s="77"/>
      <c r="E18" s="77"/>
      <c r="F18" s="77"/>
      <c r="G18" s="77"/>
      <c r="H18" s="78"/>
      <c r="I18" s="78"/>
      <c r="J18" s="10"/>
      <c r="K18" s="12"/>
      <c r="L18" s="12"/>
      <c r="M18" s="12"/>
      <c r="N18" s="12"/>
      <c r="O18" s="12"/>
      <c r="P18" s="12"/>
      <c r="Q18" s="538"/>
      <c r="R18" s="538"/>
      <c r="S18" s="538"/>
      <c r="T18" s="538"/>
      <c r="U18" s="537"/>
    </row>
    <row r="19" spans="1:21" ht="15.75" x14ac:dyDescent="0.25">
      <c r="A19" s="536"/>
      <c r="B19" s="544" t="s">
        <v>123</v>
      </c>
      <c r="C19" s="88">
        <v>-298.2</v>
      </c>
      <c r="D19" s="88">
        <v>1446.8000000000002</v>
      </c>
      <c r="E19" s="88">
        <v>110.7</v>
      </c>
      <c r="F19" s="88">
        <v>1645.9</v>
      </c>
      <c r="G19" s="88">
        <v>2310.2000000000003</v>
      </c>
      <c r="H19" s="88">
        <v>860</v>
      </c>
      <c r="I19" s="88">
        <v>2674.2000000000003</v>
      </c>
      <c r="J19" s="10"/>
      <c r="K19" s="91">
        <f>SUM(BS!K56:K57)-SUM(BS!I56:I57)</f>
        <v>2937.3830992417497</v>
      </c>
      <c r="L19" s="91">
        <f>SUM(BS!L56:L57)-SUM(BS!K56:K57)</f>
        <v>4561.396700428666</v>
      </c>
      <c r="M19" s="91">
        <f>SUM(BS!M56:M57)-SUM(BS!L56:L57)</f>
        <v>5367.3379246873592</v>
      </c>
      <c r="N19" s="91">
        <f>SUM(BS!N56:N57)-SUM(BS!M56:M57)</f>
        <v>6173.9993347553609</v>
      </c>
      <c r="O19" s="91">
        <f>SUM(BS!O56:O57)-SUM(BS!N56:N57)</f>
        <v>6876.1324224993623</v>
      </c>
      <c r="P19" s="91">
        <f>SUM(BS!P56:P57)-SUM(BS!O56:O57)</f>
        <v>7746.8113946720259</v>
      </c>
      <c r="Q19" s="91">
        <f>SUM(BS!Q56:Q57)-SUM(BS!P56:P57)</f>
        <v>8470.904134492579</v>
      </c>
      <c r="R19" s="91">
        <f>SUM(BS!R56:R57)-SUM(BS!Q56:Q57)</f>
        <v>9398.2181873400332</v>
      </c>
      <c r="S19" s="91">
        <f>SUM(BS!S56:S57)-SUM(BS!R56:R57)</f>
        <v>10337.652070165212</v>
      </c>
      <c r="T19" s="91">
        <f>SUM(BS!T56:T57)-SUM(BS!S56:S57)</f>
        <v>11273.884709637132</v>
      </c>
      <c r="U19" s="537"/>
    </row>
    <row r="20" spans="1:21" ht="15.75" x14ac:dyDescent="0.25">
      <c r="A20" s="536"/>
      <c r="B20" s="544" t="s">
        <v>220</v>
      </c>
      <c r="C20" s="88">
        <v>-30.4</v>
      </c>
      <c r="D20" s="88">
        <v>62.400000000000006</v>
      </c>
      <c r="E20" s="88">
        <v>65.3</v>
      </c>
      <c r="F20" s="88">
        <v>79.900000000000006</v>
      </c>
      <c r="G20" s="88">
        <v>-12.4</v>
      </c>
      <c r="H20" s="88">
        <v>-232.3</v>
      </c>
      <c r="I20" s="88">
        <v>551.19999999999993</v>
      </c>
      <c r="J20" s="10"/>
      <c r="K20" s="91">
        <f>BS!K60-BS!I60</f>
        <v>84.424910436282289</v>
      </c>
      <c r="L20" s="91">
        <f>BS!L60-BS!K60</f>
        <v>330.82870382671013</v>
      </c>
      <c r="M20" s="91">
        <f>BS!M60-BS!L60</f>
        <v>393.13553066415102</v>
      </c>
      <c r="N20" s="91">
        <f>BS!N60-BS!M60</f>
        <v>452.22017671461344</v>
      </c>
      <c r="O20" s="91">
        <f>BS!O60-BS!N60</f>
        <v>511.53473701598614</v>
      </c>
      <c r="P20" s="91">
        <f>BS!P60-BS!O60</f>
        <v>568.97680289741356</v>
      </c>
      <c r="Q20" s="91">
        <f>BS!Q60-BS!P60</f>
        <v>622.15893824508476</v>
      </c>
      <c r="R20" s="91">
        <f>BS!R60-BS!Q60</f>
        <v>690.26698401910107</v>
      </c>
      <c r="S20" s="91">
        <f>BS!S60-BS!R60</f>
        <v>759.26518985524581</v>
      </c>
      <c r="T20" s="91">
        <f>BS!T60-BS!S60</f>
        <v>828.0282753153233</v>
      </c>
      <c r="U20" s="537"/>
    </row>
    <row r="21" spans="1:21" ht="15.75" x14ac:dyDescent="0.25">
      <c r="A21" s="536"/>
      <c r="B21" s="544" t="s">
        <v>195</v>
      </c>
      <c r="C21" s="88">
        <v>242.8</v>
      </c>
      <c r="D21" s="88">
        <v>488.7</v>
      </c>
      <c r="E21" s="88">
        <v>-69.099999999999994</v>
      </c>
      <c r="F21" s="88">
        <v>-71.100000000000009</v>
      </c>
      <c r="G21" s="88">
        <v>399.20000000000005</v>
      </c>
      <c r="H21" s="88">
        <v>431.70000000000005</v>
      </c>
      <c r="I21" s="88">
        <v>356.3</v>
      </c>
      <c r="J21" s="10"/>
      <c r="K21" s="91">
        <f>BS!K58-BS!I58</f>
        <v>-3896.7913211704358</v>
      </c>
      <c r="L21" s="91">
        <f>BS!L58-BS!K58</f>
        <v>2541.8843041146424</v>
      </c>
      <c r="M21" s="91">
        <f>BS!M58-BS!L58</f>
        <v>656.06831315424188</v>
      </c>
      <c r="N21" s="91">
        <f>BS!N58-BS!M58</f>
        <v>466.00146360808685</v>
      </c>
      <c r="O21" s="91">
        <f>BS!O58-BS!N58</f>
        <v>474.75418675063884</v>
      </c>
      <c r="P21" s="91">
        <f>BS!P58-BS!O58</f>
        <v>483.63536420968103</v>
      </c>
      <c r="Q21" s="91">
        <f>BS!Q58-BS!P58</f>
        <v>492.64668979922953</v>
      </c>
      <c r="R21" s="91">
        <f>BS!R58-BS!Q58</f>
        <v>501.78987836414672</v>
      </c>
      <c r="S21" s="91">
        <f>BS!S58-BS!R58</f>
        <v>511.06666603138365</v>
      </c>
      <c r="T21" s="91">
        <f>BS!T58-BS!S58</f>
        <v>520.4788104641284</v>
      </c>
      <c r="U21" s="537"/>
    </row>
    <row r="22" spans="1:21" ht="15.75" x14ac:dyDescent="0.25">
      <c r="A22" s="536"/>
      <c r="B22" s="544" t="s">
        <v>196</v>
      </c>
      <c r="C22" s="88">
        <v>-22.400000000000002</v>
      </c>
      <c r="D22" s="88">
        <v>200.3</v>
      </c>
      <c r="E22" s="88">
        <v>176.4</v>
      </c>
      <c r="F22" s="88">
        <v>628.1</v>
      </c>
      <c r="G22" s="88">
        <v>-254.4</v>
      </c>
      <c r="H22" s="88">
        <v>428.8</v>
      </c>
      <c r="I22" s="88">
        <v>28.2</v>
      </c>
      <c r="J22" s="10"/>
      <c r="K22" s="91">
        <f>BS!K59-BS!I59</f>
        <v>764.23490573935351</v>
      </c>
      <c r="L22" s="91">
        <f>BS!L59-BS!K59</f>
        <v>625.8251676285895</v>
      </c>
      <c r="M22" s="91">
        <f>BS!M59-BS!L59</f>
        <v>741.35345120945931</v>
      </c>
      <c r="N22" s="91">
        <f>BS!N59-BS!M59</f>
        <v>853.81412386689453</v>
      </c>
      <c r="O22" s="91">
        <f>BS!O59-BS!N59</f>
        <v>966.99062513415083</v>
      </c>
      <c r="P22" s="91">
        <f>BS!P59-BS!O59</f>
        <v>1076.5605893209813</v>
      </c>
      <c r="Q22" s="91">
        <f>BS!Q59-BS!P59</f>
        <v>1177.9490217033635</v>
      </c>
      <c r="R22" s="91">
        <f>BS!R59-BS!Q59</f>
        <v>1307.9474608462151</v>
      </c>
      <c r="S22" s="91">
        <f>BS!S59-BS!R59</f>
        <v>1439.6462493375511</v>
      </c>
      <c r="T22" s="91">
        <f>BS!T59-BS!S59</f>
        <v>1570.8894214048196</v>
      </c>
      <c r="U22" s="537"/>
    </row>
    <row r="23" spans="1:21" ht="15.75" x14ac:dyDescent="0.25">
      <c r="A23" s="536"/>
      <c r="B23" s="544" t="s">
        <v>197</v>
      </c>
      <c r="C23" s="88">
        <v>4.3</v>
      </c>
      <c r="D23" s="88">
        <v>9.6999999999999993</v>
      </c>
      <c r="E23" s="88">
        <v>24.2</v>
      </c>
      <c r="F23" s="88">
        <v>15.4</v>
      </c>
      <c r="G23" s="88">
        <v>27.7</v>
      </c>
      <c r="H23" s="88">
        <v>34.900000000000006</v>
      </c>
      <c r="I23" s="88">
        <v>20.299999999999997</v>
      </c>
      <c r="J23" s="10"/>
      <c r="K23" s="91">
        <f>BS!K48-BS!I48</f>
        <v>0</v>
      </c>
      <c r="L23" s="91">
        <f>BS!L48-BS!K48</f>
        <v>0</v>
      </c>
      <c r="M23" s="91">
        <f>BS!M48-BS!L48</f>
        <v>0</v>
      </c>
      <c r="N23" s="91">
        <f>BS!N48-BS!M48</f>
        <v>0</v>
      </c>
      <c r="O23" s="91">
        <f>BS!O48-BS!N48</f>
        <v>0</v>
      </c>
      <c r="P23" s="91">
        <f>BS!P48-BS!O48</f>
        <v>0</v>
      </c>
      <c r="Q23" s="91">
        <f>BS!Q48-BS!P48</f>
        <v>0</v>
      </c>
      <c r="R23" s="91">
        <f>BS!R48-BS!Q48</f>
        <v>0</v>
      </c>
      <c r="S23" s="91">
        <f>BS!S48-BS!R48</f>
        <v>0</v>
      </c>
      <c r="T23" s="91">
        <f>BS!T48-BS!S48</f>
        <v>0</v>
      </c>
      <c r="U23" s="537"/>
    </row>
    <row r="24" spans="1:21" ht="15.75" x14ac:dyDescent="0.25">
      <c r="A24" s="536"/>
      <c r="B24" s="544" t="s">
        <v>198</v>
      </c>
      <c r="C24" s="88">
        <v>-3.1</v>
      </c>
      <c r="D24" s="88">
        <v>-0.3</v>
      </c>
      <c r="E24" s="88">
        <v>-0.3</v>
      </c>
      <c r="F24" s="88">
        <v>0.6</v>
      </c>
      <c r="G24" s="88">
        <v>-1</v>
      </c>
      <c r="H24" s="88">
        <v>1.2</v>
      </c>
      <c r="I24" s="88">
        <v>0.5</v>
      </c>
      <c r="J24" s="10"/>
      <c r="K24" s="91">
        <f>BS!K47-BS!I47</f>
        <v>0</v>
      </c>
      <c r="L24" s="91">
        <f>BS!L47-BS!K47</f>
        <v>0</v>
      </c>
      <c r="M24" s="91">
        <f>BS!M47-BS!L47</f>
        <v>0</v>
      </c>
      <c r="N24" s="91">
        <f>BS!N47-BS!M47</f>
        <v>0</v>
      </c>
      <c r="O24" s="91">
        <f>BS!O47-BS!N47</f>
        <v>0</v>
      </c>
      <c r="P24" s="91">
        <f>BS!P47-BS!O47</f>
        <v>0</v>
      </c>
      <c r="Q24" s="91">
        <f>BS!Q47-BS!P47</f>
        <v>0</v>
      </c>
      <c r="R24" s="91">
        <f>BS!R47-BS!Q47</f>
        <v>0</v>
      </c>
      <c r="S24" s="91">
        <f>BS!S47-BS!R47</f>
        <v>0</v>
      </c>
      <c r="T24" s="91">
        <f>BS!T47-BS!S47</f>
        <v>0</v>
      </c>
      <c r="U24" s="537"/>
    </row>
    <row r="25" spans="1:21" ht="15.75" x14ac:dyDescent="0.25">
      <c r="A25" s="536"/>
      <c r="B25" s="544" t="s">
        <v>200</v>
      </c>
      <c r="C25" s="88">
        <v>448.2</v>
      </c>
      <c r="D25" s="88">
        <v>-240.3</v>
      </c>
      <c r="E25" s="88">
        <v>-233.1</v>
      </c>
      <c r="F25" s="88">
        <v>47.300000000000004</v>
      </c>
      <c r="G25" s="88">
        <v>-1042.0999999999999</v>
      </c>
      <c r="H25" s="88">
        <v>125.8</v>
      </c>
      <c r="I25" s="88">
        <v>44.5</v>
      </c>
      <c r="J25" s="10"/>
      <c r="K25" s="91">
        <f>BS!I27-BS!K27</f>
        <v>-293.49876438451724</v>
      </c>
      <c r="L25" s="91">
        <f>BS!K27-BS!L27</f>
        <v>-499.44316187379241</v>
      </c>
      <c r="M25" s="91">
        <f>BS!L27-BS!M27</f>
        <v>-587.68846474130487</v>
      </c>
      <c r="N25" s="91">
        <f>BS!M27-BS!N27</f>
        <v>-676.01262325355947</v>
      </c>
      <c r="O25" s="91">
        <f>BS!N27-BS!O27</f>
        <v>-752.89161283280737</v>
      </c>
      <c r="P25" s="91">
        <f>BS!O27-BS!P27</f>
        <v>-848.22527648851792</v>
      </c>
      <c r="Q25" s="91">
        <f>BS!P27-BS!Q27</f>
        <v>-927.50870461741852</v>
      </c>
      <c r="R25" s="91">
        <f>BS!Q27-BS!R27</f>
        <v>-1029.0435398928976</v>
      </c>
      <c r="S25" s="91">
        <f>BS!R27-BS!S27</f>
        <v>-1131.9054174326166</v>
      </c>
      <c r="T25" s="91">
        <f>BS!S27-BS!T27</f>
        <v>-1234.4167797228911</v>
      </c>
      <c r="U25" s="537"/>
    </row>
    <row r="26" spans="1:21" ht="15.75" x14ac:dyDescent="0.25">
      <c r="A26" s="536"/>
      <c r="B26" s="544" t="s">
        <v>199</v>
      </c>
      <c r="C26" s="88">
        <v>-3387.5</v>
      </c>
      <c r="D26" s="88">
        <v>-3008.8</v>
      </c>
      <c r="E26" s="88">
        <v>-4943.8</v>
      </c>
      <c r="F26" s="88">
        <v>-5008.2</v>
      </c>
      <c r="G26" s="88">
        <v>-6838.3</v>
      </c>
      <c r="H26" s="88">
        <v>-11170.599999999999</v>
      </c>
      <c r="I26" s="88">
        <v>-8562.7000000000007</v>
      </c>
      <c r="J26" s="10"/>
      <c r="K26" s="91">
        <f>BS!I24-BS!K24</f>
        <v>-11351.656417240163</v>
      </c>
      <c r="L26" s="91">
        <f>BS!K24-BS!L24</f>
        <v>-19665.27195648085</v>
      </c>
      <c r="M26" s="91">
        <f>BS!L24-BS!M24</f>
        <v>-23139.877301483371</v>
      </c>
      <c r="N26" s="91">
        <f>BS!M24-BS!N24</f>
        <v>-26617.587539730084</v>
      </c>
      <c r="O26" s="91">
        <f>BS!N24-BS!O24</f>
        <v>-29644.651184256334</v>
      </c>
      <c r="P26" s="91">
        <f>BS!O24-BS!P24</f>
        <v>-33398.356441454263</v>
      </c>
      <c r="Q26" s="91">
        <f>BS!P24-BS!Q24</f>
        <v>-36520.093397362187</v>
      </c>
      <c r="R26" s="91">
        <f>BS!Q24-BS!R24</f>
        <v>-40517.96603067161</v>
      </c>
      <c r="S26" s="91">
        <f>BS!R24-BS!S24</f>
        <v>-44568.090149267518</v>
      </c>
      <c r="T26" s="91">
        <f>BS!S24-BS!T24</f>
        <v>-48604.412942244206</v>
      </c>
      <c r="U26" s="537"/>
    </row>
    <row r="27" spans="1:21" ht="15.75" x14ac:dyDescent="0.25">
      <c r="A27" s="536"/>
      <c r="B27" s="544" t="s">
        <v>201</v>
      </c>
      <c r="C27" s="88">
        <v>18.5</v>
      </c>
      <c r="D27" s="88">
        <v>117.30000000000001</v>
      </c>
      <c r="E27" s="88">
        <v>-29.8</v>
      </c>
      <c r="F27" s="88">
        <v>0</v>
      </c>
      <c r="G27" s="88">
        <v>0</v>
      </c>
      <c r="H27" s="88">
        <v>-249.7</v>
      </c>
      <c r="I27" s="88">
        <v>-94.399999999999991</v>
      </c>
      <c r="J27" s="10"/>
      <c r="K27" s="91">
        <f>BS!I21-BS!K21</f>
        <v>0</v>
      </c>
      <c r="L27" s="91">
        <f>BS!K21-BS!L21</f>
        <v>0</v>
      </c>
      <c r="M27" s="91">
        <f>BS!L21-BS!M21</f>
        <v>0</v>
      </c>
      <c r="N27" s="91">
        <f>BS!M21-BS!N21</f>
        <v>0</v>
      </c>
      <c r="O27" s="91">
        <f>BS!N21-BS!O21</f>
        <v>0</v>
      </c>
      <c r="P27" s="91">
        <f>BS!O21-BS!P21</f>
        <v>0</v>
      </c>
      <c r="Q27" s="91">
        <f>BS!P21-BS!Q21</f>
        <v>0</v>
      </c>
      <c r="R27" s="91">
        <f>BS!Q21-BS!R21</f>
        <v>0</v>
      </c>
      <c r="S27" s="91">
        <f>BS!R21-BS!S21</f>
        <v>0</v>
      </c>
      <c r="T27" s="91">
        <f>BS!S21-BS!T21</f>
        <v>0</v>
      </c>
      <c r="U27" s="537"/>
    </row>
    <row r="28" spans="1:21" ht="15.75" x14ac:dyDescent="0.25">
      <c r="A28" s="536"/>
      <c r="B28" s="544" t="s">
        <v>202</v>
      </c>
      <c r="C28" s="88">
        <v>-113.3</v>
      </c>
      <c r="D28" s="88">
        <v>-152.6</v>
      </c>
      <c r="E28" s="88">
        <v>-67.900000000000006</v>
      </c>
      <c r="F28" s="88">
        <v>-189.89999999999998</v>
      </c>
      <c r="G28" s="88">
        <v>-282.3</v>
      </c>
      <c r="H28" s="88">
        <v>-509.20000000000005</v>
      </c>
      <c r="I28" s="88">
        <v>-439.20000000000005</v>
      </c>
      <c r="J28" s="10"/>
      <c r="K28" s="91">
        <f>BS!I18-BS!K18</f>
        <v>0</v>
      </c>
      <c r="L28" s="91">
        <f>BS!K18-BS!L18</f>
        <v>0</v>
      </c>
      <c r="M28" s="91">
        <f>BS!L18-BS!M18</f>
        <v>0</v>
      </c>
      <c r="N28" s="91">
        <f>BS!M18-BS!N18</f>
        <v>0</v>
      </c>
      <c r="O28" s="91">
        <f>BS!N18-BS!O18</f>
        <v>0</v>
      </c>
      <c r="P28" s="91">
        <f>BS!O18-BS!P18</f>
        <v>0</v>
      </c>
      <c r="Q28" s="91">
        <f>BS!P18-BS!Q18</f>
        <v>0</v>
      </c>
      <c r="R28" s="91">
        <f>BS!Q18-BS!R18</f>
        <v>0</v>
      </c>
      <c r="S28" s="91">
        <f>BS!R18-BS!S18</f>
        <v>0</v>
      </c>
      <c r="T28" s="91">
        <f>BS!S18-BS!T18</f>
        <v>0</v>
      </c>
      <c r="U28" s="537"/>
    </row>
    <row r="29" spans="1:21" ht="15.75" x14ac:dyDescent="0.25">
      <c r="A29" s="536"/>
      <c r="B29" s="544" t="s">
        <v>203</v>
      </c>
      <c r="C29" s="88">
        <v>-5</v>
      </c>
      <c r="D29" s="88">
        <v>-20.7</v>
      </c>
      <c r="E29" s="88">
        <v>6.2</v>
      </c>
      <c r="F29" s="88">
        <v>-487.1</v>
      </c>
      <c r="G29" s="88">
        <v>-0.4</v>
      </c>
      <c r="H29" s="88">
        <v>-1.5</v>
      </c>
      <c r="I29" s="88">
        <v>-189.8</v>
      </c>
      <c r="J29" s="10"/>
      <c r="K29" s="91">
        <f>BS!I29-BS!K29</f>
        <v>0</v>
      </c>
      <c r="L29" s="91">
        <f>BS!K29-BS!L29</f>
        <v>0</v>
      </c>
      <c r="M29" s="91">
        <f>BS!L29-BS!M29</f>
        <v>0</v>
      </c>
      <c r="N29" s="91">
        <f>BS!M29-BS!N29</f>
        <v>0</v>
      </c>
      <c r="O29" s="91">
        <f>BS!N29-BS!O29</f>
        <v>0</v>
      </c>
      <c r="P29" s="91">
        <f>BS!O29-BS!P29</f>
        <v>0</v>
      </c>
      <c r="Q29" s="91">
        <f>BS!P29-BS!Q29</f>
        <v>0</v>
      </c>
      <c r="R29" s="91">
        <f>BS!Q29-BS!R29</f>
        <v>0</v>
      </c>
      <c r="S29" s="91">
        <f>BS!R29-BS!S29</f>
        <v>0</v>
      </c>
      <c r="T29" s="91">
        <f>BS!S29-BS!T29</f>
        <v>0</v>
      </c>
      <c r="U29" s="537"/>
    </row>
    <row r="30" spans="1:21" ht="15.75" x14ac:dyDescent="0.25">
      <c r="A30" s="536"/>
      <c r="B30" s="544" t="s">
        <v>204</v>
      </c>
      <c r="C30" s="88">
        <v>-424.3</v>
      </c>
      <c r="D30" s="88">
        <v>-47.9</v>
      </c>
      <c r="E30" s="88">
        <v>-489.6</v>
      </c>
      <c r="F30" s="88">
        <v>139.1</v>
      </c>
      <c r="G30" s="88">
        <v>-389.6</v>
      </c>
      <c r="H30" s="88">
        <v>-712.09999999999991</v>
      </c>
      <c r="I30" s="88">
        <v>-891.9</v>
      </c>
      <c r="J30" s="10"/>
      <c r="K30" s="91">
        <f>BS!I31-BS!K31</f>
        <v>-1193.9884002665513</v>
      </c>
      <c r="L30" s="91">
        <f>BS!K31-BS!L31</f>
        <v>-1420.9353407280323</v>
      </c>
      <c r="M30" s="91">
        <f>BS!L31-BS!M31</f>
        <v>-1688.5480696051391</v>
      </c>
      <c r="N30" s="91">
        <f>BS!M31-BS!N31</f>
        <v>-1942.3212782064256</v>
      </c>
      <c r="O30" s="91">
        <f>BS!N31-BS!O31</f>
        <v>-2197.0819866246165</v>
      </c>
      <c r="P30" s="91">
        <f>BS!O31-BS!P31</f>
        <v>-2443.8001840217257</v>
      </c>
      <c r="Q30" s="91">
        <f>BS!P31-BS!Q31</f>
        <v>-2672.2216442420304</v>
      </c>
      <c r="R30" s="91">
        <f>BS!Q31-BS!R31</f>
        <v>-2964.7510653859536</v>
      </c>
      <c r="S30" s="91">
        <f>BS!R31-BS!S31</f>
        <v>-3261.1037941103641</v>
      </c>
      <c r="T30" s="91">
        <f>BS!S31-BS!T31</f>
        <v>-3556.4466623002627</v>
      </c>
      <c r="U30" s="537"/>
    </row>
    <row r="31" spans="1:21" ht="16.5" thickBot="1" x14ac:dyDescent="0.3">
      <c r="A31" s="536"/>
      <c r="B31" s="544" t="s">
        <v>205</v>
      </c>
      <c r="C31" s="88">
        <v>-192</v>
      </c>
      <c r="D31" s="88">
        <v>-125.9</v>
      </c>
      <c r="E31" s="88">
        <v>-374.09999999999997</v>
      </c>
      <c r="F31" s="88">
        <v>1.2</v>
      </c>
      <c r="G31" s="88">
        <v>-354.3</v>
      </c>
      <c r="H31" s="88">
        <v>-134.1</v>
      </c>
      <c r="I31" s="88">
        <v>-482.29999999999995</v>
      </c>
      <c r="J31" s="10"/>
      <c r="K31" s="91">
        <f>BS!I30-BS!K30</f>
        <v>0</v>
      </c>
      <c r="L31" s="91">
        <f>BS!K30-BS!L30</f>
        <v>0</v>
      </c>
      <c r="M31" s="91">
        <f>BS!L30-BS!M30</f>
        <v>0</v>
      </c>
      <c r="N31" s="91">
        <f>BS!M30-BS!N30</f>
        <v>0</v>
      </c>
      <c r="O31" s="91">
        <f>BS!N30-BS!O30</f>
        <v>0</v>
      </c>
      <c r="P31" s="91">
        <f>BS!O30-BS!P30</f>
        <v>0</v>
      </c>
      <c r="Q31" s="91">
        <f>BS!P30-BS!Q30</f>
        <v>0</v>
      </c>
      <c r="R31" s="91">
        <f>BS!Q30-BS!R30</f>
        <v>0</v>
      </c>
      <c r="S31" s="91">
        <f>BS!R30-BS!S30</f>
        <v>0</v>
      </c>
      <c r="T31" s="91">
        <f>BS!S30-BS!T30</f>
        <v>0</v>
      </c>
      <c r="U31" s="537"/>
    </row>
    <row r="32" spans="1:21" ht="16.5" thickTop="1" x14ac:dyDescent="0.25">
      <c r="A32" s="536"/>
      <c r="B32" s="14" t="s">
        <v>124</v>
      </c>
      <c r="C32" s="85">
        <f t="shared" ref="C32:I32" si="4">SUM(C17:C31)</f>
        <v>17725.400000000001</v>
      </c>
      <c r="D32" s="85">
        <f t="shared" si="4"/>
        <v>16367.1</v>
      </c>
      <c r="E32" s="85">
        <f t="shared" si="4"/>
        <v>19326.000000000011</v>
      </c>
      <c r="F32" s="85">
        <f t="shared" si="4"/>
        <v>33391.599999999999</v>
      </c>
      <c r="G32" s="85">
        <f t="shared" si="4"/>
        <v>34876.099999999984</v>
      </c>
      <c r="H32" s="85">
        <f t="shared" si="4"/>
        <v>34222</v>
      </c>
      <c r="I32" s="85">
        <f t="shared" si="4"/>
        <v>45348.599999999977</v>
      </c>
      <c r="J32" s="83"/>
      <c r="K32" s="94">
        <f t="shared" ref="K32:P32" si="5">SUM(K17:K31)</f>
        <v>64822.551012223485</v>
      </c>
      <c r="L32" s="94">
        <f t="shared" si="5"/>
        <v>85712.455591678532</v>
      </c>
      <c r="M32" s="94">
        <f t="shared" si="5"/>
        <v>106488.44181461677</v>
      </c>
      <c r="N32" s="94">
        <f t="shared" si="5"/>
        <v>132798.95412387856</v>
      </c>
      <c r="O32" s="94">
        <f t="shared" si="5"/>
        <v>163514.41639066982</v>
      </c>
      <c r="P32" s="94">
        <f t="shared" si="5"/>
        <v>197383.13261227388</v>
      </c>
      <c r="Q32" s="94">
        <f>SUM(Q17:Q31)</f>
        <v>235209.97458008002</v>
      </c>
      <c r="R32" s="94">
        <f>SUM(R17:R31)</f>
        <v>276740.38214933354</v>
      </c>
      <c r="S32" s="94">
        <f>SUM(S17:S31)</f>
        <v>322705.16116302909</v>
      </c>
      <c r="T32" s="94">
        <f>SUM(T17:T31)</f>
        <v>373143.01887579984</v>
      </c>
      <c r="U32" s="537"/>
    </row>
    <row r="33" spans="1:21" ht="16.5" thickBot="1" x14ac:dyDescent="0.3">
      <c r="A33" s="536"/>
      <c r="B33" s="545" t="s">
        <v>125</v>
      </c>
      <c r="C33" s="88">
        <v>-4924</v>
      </c>
      <c r="D33" s="88">
        <v>-2615.6999999999998</v>
      </c>
      <c r="E33" s="88">
        <v>-5602.5</v>
      </c>
      <c r="F33" s="88">
        <v>-7088.9</v>
      </c>
      <c r="G33" s="88">
        <v>-7417.7</v>
      </c>
      <c r="H33" s="88">
        <v>-9592.2999999999993</v>
      </c>
      <c r="I33" s="88">
        <v>-10681.199999999999</v>
      </c>
      <c r="J33" s="10"/>
      <c r="K33" s="93">
        <f>'P &amp; L'!K30+(BS!K61-BS!I61)+(BS!K49-BS!I49)</f>
        <v>-16555.221102820662</v>
      </c>
      <c r="L33" s="93">
        <f>'P &amp; L'!L30+(BS!L61-BS!K61)+(BS!L49-BS!K49)</f>
        <v>-22332.602735214154</v>
      </c>
      <c r="M33" s="93">
        <f>'P &amp; L'!M30+(BS!M61-BS!L61)+(BS!M49-BS!L49)</f>
        <v>-28847.732203919291</v>
      </c>
      <c r="N33" s="93">
        <f>'P &amp; L'!N30+(BS!N61-BS!M61)+(BS!N49-BS!M49)</f>
        <v>-36418.216149073065</v>
      </c>
      <c r="O33" s="93">
        <f>'P &amp; L'!O30+(BS!O61-BS!N61)+(BS!O49-BS!N49)</f>
        <v>-45048.802862141303</v>
      </c>
      <c r="P33" s="93">
        <f>'P &amp; L'!P30+(BS!P61-BS!O61)+(BS!P49-BS!O49)</f>
        <v>-54715.115763113987</v>
      </c>
      <c r="Q33" s="93">
        <f>'P &amp; L'!Q30+(BS!Q61-BS!P61)+(BS!Q49-BS!P49)</f>
        <v>-65348.444110239376</v>
      </c>
      <c r="R33" s="93">
        <f>'P &amp; L'!R30+(BS!R61-BS!Q61)+(BS!R49-BS!Q49)</f>
        <v>-77145.245834755289</v>
      </c>
      <c r="S33" s="93">
        <f>'P &amp; L'!S30+(BS!S61-BS!R61)+(BS!S49-BS!R49)</f>
        <v>-90176.303523228882</v>
      </c>
      <c r="T33" s="93">
        <f>'P &amp; L'!T30+(BS!T61-BS!S61)+(BS!T49-BS!S49)</f>
        <v>-104441.5394311007</v>
      </c>
      <c r="U33" s="537"/>
    </row>
    <row r="34" spans="1:21" ht="17.25" thickTop="1" thickBot="1" x14ac:dyDescent="0.3">
      <c r="A34" s="536"/>
      <c r="B34" s="13" t="s">
        <v>126</v>
      </c>
      <c r="C34" s="81">
        <f t="shared" ref="C34:I34" si="6">SUM(C32:C33)</f>
        <v>12801.400000000001</v>
      </c>
      <c r="D34" s="81">
        <f t="shared" si="6"/>
        <v>13751.400000000001</v>
      </c>
      <c r="E34" s="81">
        <f t="shared" si="6"/>
        <v>13723.500000000011</v>
      </c>
      <c r="F34" s="81">
        <f t="shared" si="6"/>
        <v>26302.699999999997</v>
      </c>
      <c r="G34" s="81">
        <f t="shared" si="6"/>
        <v>27458.399999999983</v>
      </c>
      <c r="H34" s="81">
        <f t="shared" si="6"/>
        <v>24629.7</v>
      </c>
      <c r="I34" s="81">
        <f t="shared" si="6"/>
        <v>34667.39999999998</v>
      </c>
      <c r="J34" s="10"/>
      <c r="K34" s="90">
        <f t="shared" ref="K34:T34" si="7">SUM(K32:K33)</f>
        <v>48267.329909402819</v>
      </c>
      <c r="L34" s="90">
        <f t="shared" si="7"/>
        <v>63379.852856464378</v>
      </c>
      <c r="M34" s="90">
        <f t="shared" si="7"/>
        <v>77640.709610697479</v>
      </c>
      <c r="N34" s="90">
        <f t="shared" si="7"/>
        <v>96380.737974805495</v>
      </c>
      <c r="O34" s="90">
        <f t="shared" si="7"/>
        <v>118465.61352852851</v>
      </c>
      <c r="P34" s="90">
        <f t="shared" si="7"/>
        <v>142668.0168491599</v>
      </c>
      <c r="Q34" s="90">
        <f t="shared" si="7"/>
        <v>169861.53046984063</v>
      </c>
      <c r="R34" s="90">
        <f t="shared" si="7"/>
        <v>199595.13631457824</v>
      </c>
      <c r="S34" s="90">
        <f t="shared" si="7"/>
        <v>232528.8576398002</v>
      </c>
      <c r="T34" s="90">
        <f t="shared" si="7"/>
        <v>268701.47944469913</v>
      </c>
      <c r="U34" s="537"/>
    </row>
    <row r="35" spans="1:21" ht="5.0999999999999996" customHeight="1" thickTop="1" x14ac:dyDescent="0.25">
      <c r="A35" s="536"/>
      <c r="B35" s="545"/>
      <c r="C35" s="80"/>
      <c r="D35" s="80"/>
      <c r="E35" s="80"/>
      <c r="F35" s="80"/>
      <c r="G35" s="80"/>
      <c r="H35" s="80"/>
      <c r="I35" s="80"/>
      <c r="J35" s="10"/>
      <c r="K35" s="538"/>
      <c r="L35" s="538"/>
      <c r="M35" s="538"/>
      <c r="N35" s="538"/>
      <c r="O35" s="538"/>
      <c r="P35" s="538"/>
      <c r="Q35" s="538"/>
      <c r="R35" s="538"/>
      <c r="S35" s="538"/>
      <c r="T35" s="538"/>
      <c r="U35" s="537"/>
    </row>
    <row r="36" spans="1:21" ht="15.75" x14ac:dyDescent="0.25">
      <c r="A36" s="536"/>
      <c r="B36" s="543" t="s">
        <v>127</v>
      </c>
      <c r="C36" s="80"/>
      <c r="D36" s="80"/>
      <c r="E36" s="80"/>
      <c r="F36" s="80"/>
      <c r="G36" s="80"/>
      <c r="H36" s="80"/>
      <c r="I36" s="80"/>
      <c r="J36" s="10"/>
      <c r="K36" s="538"/>
      <c r="L36" s="538"/>
      <c r="M36" s="538"/>
      <c r="N36" s="538"/>
      <c r="O36" s="538"/>
      <c r="P36" s="538"/>
      <c r="Q36" s="538"/>
      <c r="R36" s="538"/>
      <c r="S36" s="538"/>
      <c r="T36" s="538"/>
      <c r="U36" s="537"/>
    </row>
    <row r="37" spans="1:21" ht="15.75" x14ac:dyDescent="0.25">
      <c r="A37" s="536"/>
      <c r="B37" s="544" t="s">
        <v>128</v>
      </c>
      <c r="C37" s="88">
        <v>61.5</v>
      </c>
      <c r="D37" s="88">
        <v>18.799999999999997</v>
      </c>
      <c r="E37" s="88">
        <v>209.20000000000002</v>
      </c>
      <c r="F37" s="88">
        <v>54.6</v>
      </c>
      <c r="G37" s="88">
        <v>94.5</v>
      </c>
      <c r="H37" s="88">
        <v>58.3</v>
      </c>
      <c r="I37" s="88">
        <v>4.4000000000000004</v>
      </c>
      <c r="J37" s="10"/>
      <c r="K37" s="91">
        <v>0</v>
      </c>
      <c r="L37" s="91">
        <v>0</v>
      </c>
      <c r="M37" s="91">
        <v>0</v>
      </c>
      <c r="N37" s="91">
        <v>0</v>
      </c>
      <c r="O37" s="91">
        <v>0</v>
      </c>
      <c r="P37" s="91">
        <v>0</v>
      </c>
      <c r="Q37" s="91">
        <v>0</v>
      </c>
      <c r="R37" s="91">
        <v>0</v>
      </c>
      <c r="S37" s="91">
        <v>0</v>
      </c>
      <c r="T37" s="91">
        <v>0</v>
      </c>
      <c r="U37" s="537"/>
    </row>
    <row r="38" spans="1:21" ht="15.75" x14ac:dyDescent="0.25">
      <c r="A38" s="536"/>
      <c r="B38" s="544" t="s">
        <v>129</v>
      </c>
      <c r="C38" s="88">
        <v>2215.8000000000002</v>
      </c>
      <c r="D38" s="88">
        <v>7830</v>
      </c>
      <c r="E38" s="88">
        <v>10500</v>
      </c>
      <c r="F38" s="88">
        <v>374</v>
      </c>
      <c r="G38" s="88">
        <v>-1362.6</v>
      </c>
      <c r="H38" s="88">
        <v>9984.4000000000015</v>
      </c>
      <c r="I38" s="88">
        <v>-1464.6000000000001</v>
      </c>
      <c r="J38" s="10"/>
      <c r="K38" s="91">
        <v>0</v>
      </c>
      <c r="L38" s="91">
        <v>0</v>
      </c>
      <c r="M38" s="91">
        <v>0</v>
      </c>
      <c r="N38" s="91">
        <v>0</v>
      </c>
      <c r="O38" s="91">
        <v>0</v>
      </c>
      <c r="P38" s="91">
        <v>0</v>
      </c>
      <c r="Q38" s="91">
        <v>0</v>
      </c>
      <c r="R38" s="91">
        <v>0</v>
      </c>
      <c r="S38" s="91">
        <v>0</v>
      </c>
      <c r="T38" s="91">
        <v>0</v>
      </c>
      <c r="U38" s="537"/>
    </row>
    <row r="39" spans="1:21" ht="15.75" x14ac:dyDescent="0.25">
      <c r="A39" s="536"/>
      <c r="B39" s="544" t="s">
        <v>130</v>
      </c>
      <c r="C39" s="88">
        <v>118.4</v>
      </c>
      <c r="D39" s="88">
        <v>1290.9000000000001</v>
      </c>
      <c r="E39" s="88">
        <v>428</v>
      </c>
      <c r="F39" s="88">
        <v>387.2</v>
      </c>
      <c r="G39" s="88">
        <v>2622.9</v>
      </c>
      <c r="H39" s="88">
        <v>1031</v>
      </c>
      <c r="I39" s="88">
        <v>437.29999999999995</v>
      </c>
      <c r="J39" s="10"/>
      <c r="K39" s="91">
        <f t="shared" ref="K39:P39" si="8">-K12</f>
        <v>3059.3496996279805</v>
      </c>
      <c r="L39" s="91">
        <f t="shared" si="8"/>
        <v>3903.7512191259866</v>
      </c>
      <c r="M39" s="91">
        <f t="shared" si="8"/>
        <v>4907.183616682848</v>
      </c>
      <c r="N39" s="91">
        <f t="shared" si="8"/>
        <v>6061.4226532251396</v>
      </c>
      <c r="O39" s="91">
        <f t="shared" si="8"/>
        <v>7367.0551579505</v>
      </c>
      <c r="P39" s="91">
        <f t="shared" si="8"/>
        <v>8819.3018081606169</v>
      </c>
      <c r="Q39" s="91">
        <f>-Q12</f>
        <v>10407.289630095796</v>
      </c>
      <c r="R39" s="91">
        <f>-R12</f>
        <v>12169.115261980332</v>
      </c>
      <c r="S39" s="91">
        <f>-S12</f>
        <v>14107.050733116286</v>
      </c>
      <c r="T39" s="91">
        <f>-T12</f>
        <v>16220.495926281303</v>
      </c>
      <c r="U39" s="537"/>
    </row>
    <row r="40" spans="1:21" ht="15.75" x14ac:dyDescent="0.25">
      <c r="A40" s="536"/>
      <c r="B40" s="544" t="s">
        <v>131</v>
      </c>
      <c r="C40" s="88">
        <v>28.799999999999997</v>
      </c>
      <c r="D40" s="88">
        <v>28.900000000000002</v>
      </c>
      <c r="E40" s="88">
        <v>35.5</v>
      </c>
      <c r="F40" s="88">
        <v>46.900000000000006</v>
      </c>
      <c r="G40" s="88">
        <v>49</v>
      </c>
      <c r="H40" s="88">
        <v>52</v>
      </c>
      <c r="I40" s="88">
        <v>53.6</v>
      </c>
      <c r="J40" s="10"/>
      <c r="K40" s="91">
        <v>0</v>
      </c>
      <c r="L40" s="91">
        <v>0</v>
      </c>
      <c r="M40" s="91">
        <v>0</v>
      </c>
      <c r="N40" s="91">
        <v>0</v>
      </c>
      <c r="O40" s="91">
        <v>0</v>
      </c>
      <c r="P40" s="91">
        <v>0</v>
      </c>
      <c r="Q40" s="91">
        <v>0</v>
      </c>
      <c r="R40" s="91">
        <v>0</v>
      </c>
      <c r="S40" s="91">
        <v>0</v>
      </c>
      <c r="T40" s="91">
        <v>0</v>
      </c>
      <c r="U40" s="537"/>
    </row>
    <row r="41" spans="1:21" ht="15.75" x14ac:dyDescent="0.25">
      <c r="A41" s="536"/>
      <c r="B41" s="546" t="s">
        <v>132</v>
      </c>
      <c r="C41" s="88">
        <v>-17121.7</v>
      </c>
      <c r="D41" s="88">
        <v>-20294.2</v>
      </c>
      <c r="E41" s="88">
        <v>-24104.2</v>
      </c>
      <c r="F41" s="88">
        <v>-22119.5</v>
      </c>
      <c r="G41" s="88">
        <v>-27312.5</v>
      </c>
      <c r="H41" s="88">
        <v>-34230.400000000001</v>
      </c>
      <c r="I41" s="88">
        <v>-41133.5</v>
      </c>
      <c r="J41" s="10"/>
      <c r="K41" s="91">
        <f>-(Schedules!K27)</f>
        <v>-32500</v>
      </c>
      <c r="L41" s="91">
        <f>-(Schedules!L27)</f>
        <v>-35000</v>
      </c>
      <c r="M41" s="91">
        <f>-(Schedules!M27)</f>
        <v>-37500</v>
      </c>
      <c r="N41" s="91">
        <f>-(Schedules!N27)</f>
        <v>-40000</v>
      </c>
      <c r="O41" s="91">
        <f>-(Schedules!O27)</f>
        <v>-42500</v>
      </c>
      <c r="P41" s="91">
        <f>-(Schedules!P27)</f>
        <v>-45000</v>
      </c>
      <c r="Q41" s="91">
        <f>-(Schedules!Q27)</f>
        <v>-47500</v>
      </c>
      <c r="R41" s="91">
        <f>-(Schedules!R27)</f>
        <v>-50000</v>
      </c>
      <c r="S41" s="91">
        <f>-(Schedules!S27)</f>
        <v>-52500</v>
      </c>
      <c r="T41" s="91">
        <f>-(Schedules!T27)</f>
        <v>-55000</v>
      </c>
      <c r="U41" s="537"/>
    </row>
    <row r="42" spans="1:21" ht="15.75" x14ac:dyDescent="0.25">
      <c r="A42" s="536"/>
      <c r="B42" s="544" t="s">
        <v>133</v>
      </c>
      <c r="C42" s="88">
        <v>-31970</v>
      </c>
      <c r="D42" s="88">
        <v>0</v>
      </c>
      <c r="E42" s="88">
        <v>0</v>
      </c>
      <c r="F42" s="88">
        <v>-1930.8000000000002</v>
      </c>
      <c r="G42" s="88">
        <v>927.30000000000007</v>
      </c>
      <c r="H42" s="88">
        <v>-20</v>
      </c>
      <c r="I42" s="88">
        <v>0</v>
      </c>
      <c r="J42" s="10"/>
      <c r="K42" s="91">
        <v>0</v>
      </c>
      <c r="L42" s="91">
        <v>0</v>
      </c>
      <c r="M42" s="91">
        <v>0</v>
      </c>
      <c r="N42" s="91">
        <v>0</v>
      </c>
      <c r="O42" s="91">
        <v>0</v>
      </c>
      <c r="P42" s="91">
        <v>0</v>
      </c>
      <c r="Q42" s="91">
        <v>0</v>
      </c>
      <c r="R42" s="91">
        <v>0</v>
      </c>
      <c r="S42" s="91">
        <v>0</v>
      </c>
      <c r="T42" s="91">
        <v>0</v>
      </c>
      <c r="U42" s="537"/>
    </row>
    <row r="43" spans="1:21" ht="15.75" x14ac:dyDescent="0.25">
      <c r="A43" s="536"/>
      <c r="B43" s="544" t="s">
        <v>134</v>
      </c>
      <c r="C43" s="88">
        <v>101.6</v>
      </c>
      <c r="D43" s="88">
        <v>25.6</v>
      </c>
      <c r="E43" s="88">
        <v>36.6</v>
      </c>
      <c r="F43" s="88">
        <v>56.6</v>
      </c>
      <c r="G43" s="88">
        <v>299.10000000000002</v>
      </c>
      <c r="H43" s="88">
        <v>50735.100000000006</v>
      </c>
      <c r="I43" s="88">
        <v>31226.6</v>
      </c>
      <c r="J43" s="10"/>
      <c r="K43" s="91">
        <v>0</v>
      </c>
      <c r="L43" s="91"/>
      <c r="M43" s="91">
        <v>0</v>
      </c>
      <c r="N43" s="91">
        <v>0</v>
      </c>
      <c r="O43" s="91">
        <v>0</v>
      </c>
      <c r="P43" s="91">
        <v>0</v>
      </c>
      <c r="Q43" s="91">
        <v>0</v>
      </c>
      <c r="R43" s="91">
        <v>0</v>
      </c>
      <c r="S43" s="91">
        <v>0</v>
      </c>
      <c r="T43" s="91">
        <v>0</v>
      </c>
      <c r="U43" s="537"/>
    </row>
    <row r="44" spans="1:21" ht="16.5" thickBot="1" x14ac:dyDescent="0.3">
      <c r="A44" s="536"/>
      <c r="B44" s="544" t="s">
        <v>135</v>
      </c>
      <c r="C44" s="88">
        <v>0</v>
      </c>
      <c r="D44" s="88">
        <v>0</v>
      </c>
      <c r="E44" s="88">
        <v>0</v>
      </c>
      <c r="F44" s="88">
        <v>0</v>
      </c>
      <c r="G44" s="88">
        <v>0</v>
      </c>
      <c r="H44" s="88">
        <v>-49463.5</v>
      </c>
      <c r="I44" s="88">
        <v>-31193.4</v>
      </c>
      <c r="J44" s="10"/>
      <c r="K44" s="91">
        <v>0</v>
      </c>
      <c r="L44" s="91">
        <v>0</v>
      </c>
      <c r="M44" s="91">
        <v>0</v>
      </c>
      <c r="N44" s="91">
        <v>0</v>
      </c>
      <c r="O44" s="91">
        <v>0</v>
      </c>
      <c r="P44" s="91">
        <v>0</v>
      </c>
      <c r="Q44" s="91">
        <v>0</v>
      </c>
      <c r="R44" s="91">
        <v>0</v>
      </c>
      <c r="S44" s="91">
        <v>0</v>
      </c>
      <c r="T44" s="91">
        <v>0</v>
      </c>
      <c r="U44" s="537"/>
    </row>
    <row r="45" spans="1:21" ht="17.25" thickTop="1" thickBot="1" x14ac:dyDescent="0.3">
      <c r="A45" s="536"/>
      <c r="B45" s="13" t="s">
        <v>136</v>
      </c>
      <c r="C45" s="81">
        <f>SUM(C37:C44)</f>
        <v>-46565.599999999999</v>
      </c>
      <c r="D45" s="81">
        <f t="shared" ref="D45:I45" si="9">SUM(D37:D44)</f>
        <v>-11100</v>
      </c>
      <c r="E45" s="81">
        <f t="shared" si="9"/>
        <v>-12894.9</v>
      </c>
      <c r="F45" s="81">
        <f t="shared" si="9"/>
        <v>-23131</v>
      </c>
      <c r="G45" s="81">
        <f t="shared" si="9"/>
        <v>-24682.300000000003</v>
      </c>
      <c r="H45" s="81">
        <f t="shared" si="9"/>
        <v>-21853.099999999995</v>
      </c>
      <c r="I45" s="81">
        <f t="shared" si="9"/>
        <v>-42069.600000000006</v>
      </c>
      <c r="J45" s="10"/>
      <c r="K45" s="100">
        <f t="shared" ref="K45:T45" si="10">SUM(K37:K44)</f>
        <v>-29440.650300372021</v>
      </c>
      <c r="L45" s="100">
        <f t="shared" si="10"/>
        <v>-31096.248780874012</v>
      </c>
      <c r="M45" s="100">
        <f t="shared" si="10"/>
        <v>-32592.816383317153</v>
      </c>
      <c r="N45" s="100">
        <f t="shared" si="10"/>
        <v>-33938.577346774859</v>
      </c>
      <c r="O45" s="100">
        <f t="shared" si="10"/>
        <v>-35132.944842049503</v>
      </c>
      <c r="P45" s="100">
        <f t="shared" si="10"/>
        <v>-36180.698191839387</v>
      </c>
      <c r="Q45" s="100">
        <f t="shared" si="10"/>
        <v>-37092.710369904205</v>
      </c>
      <c r="R45" s="100">
        <f t="shared" si="10"/>
        <v>-37830.884738019668</v>
      </c>
      <c r="S45" s="100">
        <f t="shared" si="10"/>
        <v>-38392.949266883712</v>
      </c>
      <c r="T45" s="100">
        <f t="shared" si="10"/>
        <v>-38779.504073718694</v>
      </c>
      <c r="U45" s="537"/>
    </row>
    <row r="46" spans="1:21" ht="5.0999999999999996" customHeight="1" thickTop="1" x14ac:dyDescent="0.25">
      <c r="A46" s="536"/>
      <c r="B46" s="545"/>
      <c r="C46" s="80"/>
      <c r="D46" s="80"/>
      <c r="E46" s="80"/>
      <c r="F46" s="80"/>
      <c r="G46" s="80"/>
      <c r="H46" s="80"/>
      <c r="I46" s="80"/>
      <c r="J46" s="10"/>
      <c r="K46" s="538"/>
      <c r="L46" s="538"/>
      <c r="M46" s="538"/>
      <c r="N46" s="538"/>
      <c r="O46" s="538"/>
      <c r="P46" s="538"/>
      <c r="Q46" s="538"/>
      <c r="R46" s="538"/>
      <c r="S46" s="538"/>
      <c r="T46" s="538"/>
      <c r="U46" s="537"/>
    </row>
    <row r="47" spans="1:21" ht="15.75" x14ac:dyDescent="0.25">
      <c r="A47" s="536"/>
      <c r="B47" s="543" t="s">
        <v>137</v>
      </c>
      <c r="C47" s="82"/>
      <c r="D47" s="82"/>
      <c r="E47" s="82"/>
      <c r="F47" s="82"/>
      <c r="G47" s="82"/>
      <c r="H47" s="82"/>
      <c r="I47" s="82"/>
      <c r="J47" s="10"/>
      <c r="K47" s="547"/>
      <c r="L47" s="547"/>
      <c r="M47" s="547"/>
      <c r="N47" s="547"/>
      <c r="O47" s="547"/>
      <c r="P47" s="547"/>
      <c r="Q47" s="538"/>
      <c r="R47" s="538"/>
      <c r="S47" s="538"/>
      <c r="T47" s="538"/>
      <c r="U47" s="537"/>
    </row>
    <row r="48" spans="1:21" ht="15.75" x14ac:dyDescent="0.25">
      <c r="A48" s="536"/>
      <c r="B48" s="544" t="s">
        <v>206</v>
      </c>
      <c r="C48" s="88">
        <v>40765.100000000006</v>
      </c>
      <c r="D48" s="88">
        <v>0</v>
      </c>
      <c r="E48" s="88">
        <v>0</v>
      </c>
      <c r="F48" s="88">
        <v>0</v>
      </c>
      <c r="G48" s="88">
        <v>0</v>
      </c>
      <c r="H48" s="88">
        <v>0</v>
      </c>
      <c r="I48" s="88">
        <v>0</v>
      </c>
      <c r="J48" s="10"/>
      <c r="K48" s="547">
        <v>0</v>
      </c>
      <c r="L48" s="547">
        <v>0</v>
      </c>
      <c r="M48" s="547">
        <v>0</v>
      </c>
      <c r="N48" s="547">
        <v>0</v>
      </c>
      <c r="O48" s="547">
        <v>0</v>
      </c>
      <c r="P48" s="547">
        <v>0</v>
      </c>
      <c r="Q48" s="547">
        <v>0</v>
      </c>
      <c r="R48" s="547">
        <v>0</v>
      </c>
      <c r="S48" s="547">
        <v>0</v>
      </c>
      <c r="T48" s="547">
        <v>0</v>
      </c>
      <c r="U48" s="537"/>
    </row>
    <row r="49" spans="1:21" ht="15.75" x14ac:dyDescent="0.25">
      <c r="A49" s="536"/>
      <c r="B49" s="544" t="s">
        <v>138</v>
      </c>
      <c r="C49" s="88">
        <v>1103.4000000000001</v>
      </c>
      <c r="D49" s="88">
        <v>0</v>
      </c>
      <c r="E49" s="88">
        <v>0</v>
      </c>
      <c r="F49" s="88">
        <v>146.30000000000001</v>
      </c>
      <c r="G49" s="88">
        <v>748.1</v>
      </c>
      <c r="H49" s="88">
        <v>0</v>
      </c>
      <c r="I49" s="88">
        <v>366.5</v>
      </c>
      <c r="J49" s="10"/>
      <c r="K49" s="547">
        <v>0</v>
      </c>
      <c r="L49" s="547">
        <v>0</v>
      </c>
      <c r="M49" s="547">
        <v>0</v>
      </c>
      <c r="N49" s="547">
        <v>0</v>
      </c>
      <c r="O49" s="547">
        <v>0</v>
      </c>
      <c r="P49" s="547">
        <v>0</v>
      </c>
      <c r="Q49" s="547">
        <v>0</v>
      </c>
      <c r="R49" s="547">
        <v>0</v>
      </c>
      <c r="S49" s="547">
        <v>0</v>
      </c>
      <c r="T49" s="547">
        <v>0</v>
      </c>
      <c r="U49" s="537"/>
    </row>
    <row r="50" spans="1:21" ht="15.75" x14ac:dyDescent="0.25">
      <c r="A50" s="536"/>
      <c r="B50" s="544" t="s">
        <v>139</v>
      </c>
      <c r="C50" s="88">
        <v>0</v>
      </c>
      <c r="D50" s="88">
        <v>0</v>
      </c>
      <c r="E50" s="88">
        <v>0</v>
      </c>
      <c r="F50" s="88">
        <v>9.1</v>
      </c>
      <c r="G50" s="88">
        <v>0</v>
      </c>
      <c r="H50" s="88">
        <v>0</v>
      </c>
      <c r="I50" s="88">
        <v>7.1999999999999993</v>
      </c>
      <c r="J50" s="10"/>
      <c r="K50" s="547">
        <v>0</v>
      </c>
      <c r="L50" s="547">
        <v>0</v>
      </c>
      <c r="M50" s="547">
        <v>0</v>
      </c>
      <c r="N50" s="547">
        <v>0</v>
      </c>
      <c r="O50" s="547">
        <v>0</v>
      </c>
      <c r="P50" s="547">
        <v>0</v>
      </c>
      <c r="Q50" s="547">
        <v>0</v>
      </c>
      <c r="R50" s="547">
        <v>0</v>
      </c>
      <c r="S50" s="547">
        <v>0</v>
      </c>
      <c r="T50" s="547">
        <v>0</v>
      </c>
      <c r="U50" s="537"/>
    </row>
    <row r="51" spans="1:21" ht="15.75" x14ac:dyDescent="0.25">
      <c r="A51" s="536"/>
      <c r="B51" s="544" t="s">
        <v>140</v>
      </c>
      <c r="C51" s="88">
        <v>2610.2999999999997</v>
      </c>
      <c r="D51" s="88">
        <v>2000</v>
      </c>
      <c r="E51" s="88">
        <v>2480</v>
      </c>
      <c r="F51" s="88">
        <v>0</v>
      </c>
      <c r="G51" s="88">
        <v>0</v>
      </c>
      <c r="H51" s="88">
        <v>0</v>
      </c>
      <c r="I51" s="88">
        <v>9876.1</v>
      </c>
      <c r="J51" s="10"/>
      <c r="K51" s="547">
        <v>0</v>
      </c>
      <c r="L51" s="547">
        <v>0</v>
      </c>
      <c r="M51" s="547">
        <v>0</v>
      </c>
      <c r="N51" s="547">
        <v>0</v>
      </c>
      <c r="O51" s="547">
        <v>0</v>
      </c>
      <c r="P51" s="547">
        <v>0</v>
      </c>
      <c r="Q51" s="547">
        <v>0</v>
      </c>
      <c r="R51" s="547">
        <v>0</v>
      </c>
      <c r="S51" s="547">
        <v>0</v>
      </c>
      <c r="T51" s="547">
        <v>0</v>
      </c>
      <c r="U51" s="537"/>
    </row>
    <row r="52" spans="1:21" ht="15.75" x14ac:dyDescent="0.25">
      <c r="A52" s="536"/>
      <c r="B52" s="544" t="s">
        <v>141</v>
      </c>
      <c r="C52" s="88">
        <v>7894.6</v>
      </c>
      <c r="D52" s="88">
        <v>0</v>
      </c>
      <c r="E52" s="88">
        <v>0</v>
      </c>
      <c r="F52" s="88">
        <v>0</v>
      </c>
      <c r="G52" s="88">
        <v>0</v>
      </c>
      <c r="H52" s="88">
        <v>0</v>
      </c>
      <c r="I52" s="88">
        <v>6000</v>
      </c>
      <c r="J52" s="10"/>
      <c r="K52" s="547">
        <v>0</v>
      </c>
      <c r="L52" s="547">
        <v>0</v>
      </c>
      <c r="M52" s="547">
        <v>0</v>
      </c>
      <c r="N52" s="547">
        <v>0</v>
      </c>
      <c r="O52" s="547">
        <v>0</v>
      </c>
      <c r="P52" s="547">
        <v>0</v>
      </c>
      <c r="Q52" s="547">
        <v>0</v>
      </c>
      <c r="R52" s="547">
        <v>0</v>
      </c>
      <c r="S52" s="547">
        <v>0</v>
      </c>
      <c r="T52" s="547">
        <v>0</v>
      </c>
      <c r="U52" s="537"/>
    </row>
    <row r="53" spans="1:21" ht="15.75" x14ac:dyDescent="0.25">
      <c r="A53" s="536"/>
      <c r="B53" s="544" t="s">
        <v>209</v>
      </c>
      <c r="C53" s="88">
        <v>3000</v>
      </c>
      <c r="D53" s="88">
        <v>0</v>
      </c>
      <c r="E53" s="88">
        <v>0</v>
      </c>
      <c r="F53" s="88">
        <v>0</v>
      </c>
      <c r="G53" s="88">
        <v>0</v>
      </c>
      <c r="H53" s="88">
        <v>0</v>
      </c>
      <c r="I53" s="88">
        <v>0</v>
      </c>
      <c r="J53" s="10"/>
      <c r="K53" s="547">
        <v>0</v>
      </c>
      <c r="L53" s="547">
        <v>0</v>
      </c>
      <c r="M53" s="547">
        <v>0</v>
      </c>
      <c r="N53" s="547">
        <v>0</v>
      </c>
      <c r="O53" s="547">
        <v>0</v>
      </c>
      <c r="P53" s="547">
        <v>0</v>
      </c>
      <c r="Q53" s="547">
        <v>0</v>
      </c>
      <c r="R53" s="547">
        <v>0</v>
      </c>
      <c r="S53" s="547">
        <v>0</v>
      </c>
      <c r="T53" s="547">
        <v>0</v>
      </c>
      <c r="U53" s="537"/>
    </row>
    <row r="54" spans="1:21" ht="15.75" x14ac:dyDescent="0.25">
      <c r="A54" s="536"/>
      <c r="B54" s="544" t="s">
        <v>207</v>
      </c>
      <c r="C54" s="88">
        <v>500</v>
      </c>
      <c r="D54" s="88">
        <v>0</v>
      </c>
      <c r="E54" s="88">
        <v>0</v>
      </c>
      <c r="F54" s="88">
        <v>0</v>
      </c>
      <c r="G54" s="88">
        <v>0</v>
      </c>
      <c r="H54" s="88">
        <v>0</v>
      </c>
      <c r="I54" s="88">
        <v>0</v>
      </c>
      <c r="J54" s="10"/>
      <c r="K54" s="547">
        <v>0</v>
      </c>
      <c r="L54" s="547">
        <v>0</v>
      </c>
      <c r="M54" s="547">
        <v>0</v>
      </c>
      <c r="N54" s="547">
        <v>0</v>
      </c>
      <c r="O54" s="547">
        <v>0</v>
      </c>
      <c r="P54" s="547">
        <v>0</v>
      </c>
      <c r="Q54" s="547">
        <v>0</v>
      </c>
      <c r="R54" s="547">
        <v>0</v>
      </c>
      <c r="S54" s="547">
        <v>0</v>
      </c>
      <c r="T54" s="547">
        <v>0</v>
      </c>
      <c r="U54" s="537"/>
    </row>
    <row r="55" spans="1:21" ht="15.75" x14ac:dyDescent="0.25">
      <c r="A55" s="536"/>
      <c r="B55" s="544" t="s">
        <v>142</v>
      </c>
      <c r="C55" s="88">
        <v>-3150</v>
      </c>
      <c r="D55" s="88">
        <v>-2037.3</v>
      </c>
      <c r="E55" s="88">
        <v>0</v>
      </c>
      <c r="F55" s="88">
        <v>0</v>
      </c>
      <c r="G55" s="88">
        <v>0</v>
      </c>
      <c r="H55" s="88">
        <v>0</v>
      </c>
      <c r="I55" s="88">
        <v>-4026.1000000000004</v>
      </c>
      <c r="J55" s="10"/>
      <c r="K55" s="547">
        <f>BS!K53-BS!I53</f>
        <v>-9652.7000000000007</v>
      </c>
      <c r="L55" s="547">
        <f>BS!L53-BS!K53</f>
        <v>0</v>
      </c>
      <c r="M55" s="547">
        <f>BS!M53-BS!L53</f>
        <v>0</v>
      </c>
      <c r="N55" s="547">
        <f>BS!N53-BS!M53</f>
        <v>0</v>
      </c>
      <c r="O55" s="547">
        <f>BS!O53-BS!N53</f>
        <v>0</v>
      </c>
      <c r="P55" s="547">
        <f>BS!P53-BS!O53</f>
        <v>0</v>
      </c>
      <c r="Q55" s="547">
        <f>BS!Q53-BS!P53</f>
        <v>0</v>
      </c>
      <c r="R55" s="547">
        <f>BS!R53-BS!Q53</f>
        <v>0</v>
      </c>
      <c r="S55" s="547">
        <f>BS!S53-BS!R53</f>
        <v>0</v>
      </c>
      <c r="T55" s="547">
        <f>BS!T53-BS!S53</f>
        <v>0</v>
      </c>
      <c r="U55" s="537"/>
    </row>
    <row r="56" spans="1:21" ht="15.75" x14ac:dyDescent="0.25">
      <c r="A56" s="536"/>
      <c r="B56" s="544" t="s">
        <v>143</v>
      </c>
      <c r="C56" s="88">
        <v>-10349.9</v>
      </c>
      <c r="D56" s="88">
        <v>0</v>
      </c>
      <c r="E56" s="88">
        <v>0</v>
      </c>
      <c r="F56" s="88">
        <v>0</v>
      </c>
      <c r="G56" s="88">
        <v>0</v>
      </c>
      <c r="H56" s="88">
        <v>0</v>
      </c>
      <c r="I56" s="88">
        <v>-6000</v>
      </c>
      <c r="J56" s="10"/>
      <c r="K56" s="547">
        <v>0</v>
      </c>
      <c r="L56" s="547">
        <v>0</v>
      </c>
      <c r="M56" s="547">
        <v>0</v>
      </c>
      <c r="N56" s="547">
        <v>0</v>
      </c>
      <c r="O56" s="547">
        <v>0</v>
      </c>
      <c r="P56" s="547">
        <v>0</v>
      </c>
      <c r="Q56" s="547">
        <v>0</v>
      </c>
      <c r="R56" s="547">
        <v>0</v>
      </c>
      <c r="S56" s="547">
        <v>0</v>
      </c>
      <c r="T56" s="547">
        <v>0</v>
      </c>
      <c r="U56" s="537"/>
    </row>
    <row r="57" spans="1:21" ht="15.75" x14ac:dyDescent="0.25">
      <c r="A57" s="536"/>
      <c r="B57" s="544" t="s">
        <v>210</v>
      </c>
      <c r="C57" s="88">
        <v>-5120</v>
      </c>
      <c r="D57" s="88">
        <v>-340</v>
      </c>
      <c r="E57" s="88">
        <v>-2480</v>
      </c>
      <c r="F57" s="88">
        <v>0</v>
      </c>
      <c r="G57" s="88">
        <v>0</v>
      </c>
      <c r="H57" s="88">
        <v>0</v>
      </c>
      <c r="I57" s="88">
        <v>0</v>
      </c>
      <c r="J57" s="10"/>
      <c r="K57" s="547">
        <v>0</v>
      </c>
      <c r="L57" s="547">
        <v>0</v>
      </c>
      <c r="M57" s="547">
        <v>0</v>
      </c>
      <c r="N57" s="547">
        <v>0</v>
      </c>
      <c r="O57" s="547">
        <v>0</v>
      </c>
      <c r="P57" s="547">
        <v>0</v>
      </c>
      <c r="Q57" s="547">
        <v>0</v>
      </c>
      <c r="R57" s="547">
        <v>0</v>
      </c>
      <c r="S57" s="547">
        <v>0</v>
      </c>
      <c r="T57" s="547">
        <v>0</v>
      </c>
      <c r="U57" s="537"/>
    </row>
    <row r="58" spans="1:21" ht="15.75" x14ac:dyDescent="0.25">
      <c r="A58" s="536"/>
      <c r="B58" s="544" t="s">
        <v>208</v>
      </c>
      <c r="C58" s="88">
        <v>-2000</v>
      </c>
      <c r="D58" s="88">
        <v>0</v>
      </c>
      <c r="E58" s="88">
        <v>0</v>
      </c>
      <c r="F58" s="88">
        <v>0</v>
      </c>
      <c r="G58" s="88">
        <v>0</v>
      </c>
      <c r="H58" s="88">
        <v>0</v>
      </c>
      <c r="I58" s="88">
        <v>0</v>
      </c>
      <c r="J58" s="10"/>
      <c r="K58" s="547">
        <v>0</v>
      </c>
      <c r="L58" s="547">
        <v>0</v>
      </c>
      <c r="M58" s="547">
        <v>0</v>
      </c>
      <c r="N58" s="547">
        <v>0</v>
      </c>
      <c r="O58" s="547">
        <v>0</v>
      </c>
      <c r="P58" s="547">
        <v>0</v>
      </c>
      <c r="Q58" s="547">
        <v>0</v>
      </c>
      <c r="R58" s="547">
        <v>0</v>
      </c>
      <c r="S58" s="547">
        <v>0</v>
      </c>
      <c r="T58" s="547">
        <v>0</v>
      </c>
      <c r="U58" s="537"/>
    </row>
    <row r="59" spans="1:21" ht="15.75" x14ac:dyDescent="0.25">
      <c r="A59" s="536"/>
      <c r="B59" s="544" t="s">
        <v>144</v>
      </c>
      <c r="C59" s="88">
        <v>-997.6</v>
      </c>
      <c r="D59" s="88">
        <v>-981.7</v>
      </c>
      <c r="E59" s="88">
        <v>-1254.5</v>
      </c>
      <c r="F59" s="88">
        <v>-1532.7</v>
      </c>
      <c r="G59" s="88">
        <v>-1643.1999999999998</v>
      </c>
      <c r="H59" s="88">
        <v>-1898.5</v>
      </c>
      <c r="I59" s="88">
        <v>-1935.1</v>
      </c>
      <c r="J59" s="10"/>
      <c r="K59" s="547">
        <f>Schedules!K40</f>
        <v>-3171.8</v>
      </c>
      <c r="L59" s="547">
        <f>Schedules!L40</f>
        <v>-4087.9538078009714</v>
      </c>
      <c r="M59" s="547">
        <f>Schedules!M40</f>
        <v>-4193.7235718502207</v>
      </c>
      <c r="N59" s="547">
        <f>Schedules!N40</f>
        <v>-4272.3428775313696</v>
      </c>
      <c r="O59" s="547">
        <f>Schedules!O40</f>
        <v>-4330.7810832071236</v>
      </c>
      <c r="P59" s="547">
        <f>Schedules!P40</f>
        <v>-4374.2185551233952</v>
      </c>
      <c r="Q59" s="547">
        <f>Schedules!Q40</f>
        <v>-4406.505890859642</v>
      </c>
      <c r="R59" s="547">
        <f>Schedules!R40</f>
        <v>-4430.7619568470009</v>
      </c>
      <c r="S59" s="547">
        <f>Schedules!S40</f>
        <v>-4449.048331428964</v>
      </c>
      <c r="T59" s="547">
        <f>Schedules!T40</f>
        <v>-4462.8973982638427</v>
      </c>
      <c r="U59" s="537"/>
    </row>
    <row r="60" spans="1:21" ht="15.75" x14ac:dyDescent="0.25">
      <c r="A60" s="536"/>
      <c r="B60" s="544" t="s">
        <v>145</v>
      </c>
      <c r="C60" s="88">
        <v>0</v>
      </c>
      <c r="D60" s="88">
        <v>-375</v>
      </c>
      <c r="E60" s="88">
        <v>-522.29999999999995</v>
      </c>
      <c r="F60" s="88">
        <v>-663.7</v>
      </c>
      <c r="G60" s="88">
        <v>-569.6</v>
      </c>
      <c r="H60" s="88">
        <v>-672.90000000000009</v>
      </c>
      <c r="I60" s="88">
        <v>-1207.6000000000001</v>
      </c>
      <c r="J60" s="10"/>
      <c r="K60" s="547">
        <f>-Schedules!K65</f>
        <v>-1578.3067958224665</v>
      </c>
      <c r="L60" s="547">
        <f>-Schedules!L65</f>
        <v>-1619.143151916536</v>
      </c>
      <c r="M60" s="547">
        <f>-Schedules!M65</f>
        <v>-1649.4970625215462</v>
      </c>
      <c r="N60" s="547">
        <f>-Schedules!N65</f>
        <v>-1672.0593079602559</v>
      </c>
      <c r="O60" s="547">
        <f>-Schedules!O65</f>
        <v>-1688.8299615297683</v>
      </c>
      <c r="P60" s="547">
        <f>-Schedules!P65</f>
        <v>-1701.2956898152188</v>
      </c>
      <c r="Q60" s="547">
        <f>-Schedules!Q65</f>
        <v>-1710.6606473435329</v>
      </c>
      <c r="R60" s="547">
        <f>-Schedules!R65</f>
        <v>-1717.7207832038237</v>
      </c>
      <c r="S60" s="547">
        <f>-Schedules!S65</f>
        <v>-1723.0677311706961</v>
      </c>
      <c r="T60" s="547">
        <f>-Schedules!T65</f>
        <v>-1727.1412562090727</v>
      </c>
      <c r="U60" s="537"/>
    </row>
    <row r="61" spans="1:21" ht="16.5" thickBot="1" x14ac:dyDescent="0.3">
      <c r="A61" s="536"/>
      <c r="B61" s="544" t="s">
        <v>146</v>
      </c>
      <c r="C61" s="88">
        <v>-681.7</v>
      </c>
      <c r="D61" s="88">
        <v>-61</v>
      </c>
      <c r="E61" s="88">
        <v>-15.600000000000001</v>
      </c>
      <c r="F61" s="88">
        <v>-10.4</v>
      </c>
      <c r="G61" s="88">
        <v>-11.7</v>
      </c>
      <c r="H61" s="88">
        <v>-21.6</v>
      </c>
      <c r="I61" s="88">
        <v>-199.20000000000002</v>
      </c>
      <c r="J61" s="10"/>
      <c r="K61" s="547">
        <f>-(SUM(Schedules!K66:K67))</f>
        <v>-202.06666666666666</v>
      </c>
      <c r="L61" s="547">
        <f>-(SUM(Schedules!L66:L67))</f>
        <v>-202.06666666666666</v>
      </c>
      <c r="M61" s="547">
        <f>-(SUM(Schedules!M66:M67))</f>
        <v>-202.06666666666666</v>
      </c>
      <c r="N61" s="547">
        <f>-(SUM(Schedules!N66:N67))</f>
        <v>-202.06666666666666</v>
      </c>
      <c r="O61" s="547">
        <f>-(SUM(Schedules!O66:O67))</f>
        <v>-202.06666666666666</v>
      </c>
      <c r="P61" s="547">
        <f>-(SUM(Schedules!P66:P67))</f>
        <v>-202.06666666666666</v>
      </c>
      <c r="Q61" s="547">
        <f>-(SUM(Schedules!Q66:Q67))</f>
        <v>-202.06666666666666</v>
      </c>
      <c r="R61" s="547">
        <f>-(SUM(Schedules!R66:R67))</f>
        <v>-202.06666666666666</v>
      </c>
      <c r="S61" s="547">
        <f>-(SUM(Schedules!S66:S67))</f>
        <v>-202.06666666666666</v>
      </c>
      <c r="T61" s="547">
        <f>-(SUM(Schedules!T66:T67))</f>
        <v>-202.06666666666666</v>
      </c>
      <c r="U61" s="537"/>
    </row>
    <row r="62" spans="1:21" ht="17.25" thickTop="1" thickBot="1" x14ac:dyDescent="0.3">
      <c r="A62" s="536"/>
      <c r="B62" s="13" t="s">
        <v>147</v>
      </c>
      <c r="C62" s="81">
        <f t="shared" ref="C62:I62" si="11">SUM(C48:C61)</f>
        <v>33574.200000000012</v>
      </c>
      <c r="D62" s="81">
        <f t="shared" si="11"/>
        <v>-1795</v>
      </c>
      <c r="E62" s="81">
        <f t="shared" si="11"/>
        <v>-1792.3999999999999</v>
      </c>
      <c r="F62" s="81">
        <f t="shared" si="11"/>
        <v>-2051.4</v>
      </c>
      <c r="G62" s="81">
        <f t="shared" si="11"/>
        <v>-1476.3999999999999</v>
      </c>
      <c r="H62" s="81">
        <f t="shared" si="11"/>
        <v>-2593</v>
      </c>
      <c r="I62" s="81">
        <f t="shared" si="11"/>
        <v>2881.8</v>
      </c>
      <c r="J62" s="10"/>
      <c r="K62" s="99">
        <f t="shared" ref="K62:T62" si="12">SUM(K48:K61)</f>
        <v>-14604.873462489135</v>
      </c>
      <c r="L62" s="99">
        <f t="shared" si="12"/>
        <v>-5909.1636263841738</v>
      </c>
      <c r="M62" s="99">
        <f t="shared" si="12"/>
        <v>-6045.2873010384337</v>
      </c>
      <c r="N62" s="99">
        <f t="shared" si="12"/>
        <v>-6146.4688521582921</v>
      </c>
      <c r="O62" s="99">
        <f t="shared" si="12"/>
        <v>-6221.6777114035585</v>
      </c>
      <c r="P62" s="99">
        <f t="shared" si="12"/>
        <v>-6277.5809116052806</v>
      </c>
      <c r="Q62" s="99">
        <f t="shared" si="12"/>
        <v>-6319.2332048698418</v>
      </c>
      <c r="R62" s="99">
        <f t="shared" si="12"/>
        <v>-6350.5494067174914</v>
      </c>
      <c r="S62" s="99">
        <f t="shared" si="12"/>
        <v>-6374.1827292663265</v>
      </c>
      <c r="T62" s="99">
        <f t="shared" si="12"/>
        <v>-6392.105321139582</v>
      </c>
      <c r="U62" s="537"/>
    </row>
    <row r="63" spans="1:21" ht="5.0999999999999996" customHeight="1" thickTop="1" x14ac:dyDescent="0.25">
      <c r="A63" s="536"/>
      <c r="B63" s="545"/>
      <c r="C63" s="80"/>
      <c r="D63" s="80"/>
      <c r="E63" s="80"/>
      <c r="F63" s="80"/>
      <c r="G63" s="80"/>
      <c r="H63" s="80"/>
      <c r="I63" s="80"/>
      <c r="J63" s="10"/>
      <c r="K63" s="538"/>
      <c r="L63" s="538"/>
      <c r="M63" s="538"/>
      <c r="N63" s="538"/>
      <c r="O63" s="538"/>
      <c r="P63" s="538"/>
      <c r="Q63" s="538"/>
      <c r="R63" s="538"/>
      <c r="S63" s="538"/>
      <c r="T63" s="538"/>
      <c r="U63" s="537"/>
    </row>
    <row r="64" spans="1:21" ht="15.75" x14ac:dyDescent="0.25">
      <c r="A64" s="536"/>
      <c r="B64" s="544" t="s">
        <v>148</v>
      </c>
      <c r="C64" s="88">
        <v>-190</v>
      </c>
      <c r="D64" s="88">
        <v>856.4</v>
      </c>
      <c r="E64" s="88">
        <v>-963.8</v>
      </c>
      <c r="F64" s="88">
        <v>1120.3</v>
      </c>
      <c r="G64" s="88">
        <v>1299.7</v>
      </c>
      <c r="H64" s="88">
        <v>183.6</v>
      </c>
      <c r="I64" s="88">
        <v>4520.4000000000005</v>
      </c>
      <c r="J64" s="10"/>
      <c r="K64" s="548">
        <f t="shared" ref="K64:T64" si="13">K34+K45+K62</f>
        <v>4221.8061465416631</v>
      </c>
      <c r="L64" s="548">
        <f t="shared" si="13"/>
        <v>26374.440449206195</v>
      </c>
      <c r="M64" s="548">
        <f t="shared" si="13"/>
        <v>39002.605926341887</v>
      </c>
      <c r="N64" s="548">
        <f t="shared" si="13"/>
        <v>56295.691775872343</v>
      </c>
      <c r="O64" s="548">
        <f t="shared" si="13"/>
        <v>77110.990975075445</v>
      </c>
      <c r="P64" s="548">
        <f t="shared" si="13"/>
        <v>100209.73774571523</v>
      </c>
      <c r="Q64" s="548">
        <f t="shared" si="13"/>
        <v>126449.58689506658</v>
      </c>
      <c r="R64" s="548">
        <f t="shared" si="13"/>
        <v>155413.70216984107</v>
      </c>
      <c r="S64" s="548">
        <f t="shared" si="13"/>
        <v>187761.72564365016</v>
      </c>
      <c r="T64" s="548">
        <f t="shared" si="13"/>
        <v>223529.87004984086</v>
      </c>
      <c r="U64" s="537"/>
    </row>
    <row r="65" spans="1:21" ht="16.5" thickBot="1" x14ac:dyDescent="0.3">
      <c r="A65" s="536"/>
      <c r="B65" s="544" t="s">
        <v>149</v>
      </c>
      <c r="C65" s="88">
        <v>1248.5999999999999</v>
      </c>
      <c r="D65" s="88">
        <v>1058.5999999999999</v>
      </c>
      <c r="E65" s="88">
        <v>1915</v>
      </c>
      <c r="F65" s="88">
        <v>951.2</v>
      </c>
      <c r="G65" s="88">
        <v>2071.5</v>
      </c>
      <c r="H65" s="88">
        <v>3371.2</v>
      </c>
      <c r="I65" s="88">
        <v>3554.8</v>
      </c>
      <c r="J65" s="10"/>
      <c r="K65" s="547">
        <f>I69</f>
        <v>2837.1</v>
      </c>
      <c r="L65" s="547">
        <f t="shared" ref="L65:T65" si="14">K69</f>
        <v>7058.9061465416635</v>
      </c>
      <c r="M65" s="547">
        <f t="shared" si="14"/>
        <v>33433.346595747862</v>
      </c>
      <c r="N65" s="547">
        <f t="shared" si="14"/>
        <v>72435.952522089749</v>
      </c>
      <c r="O65" s="547">
        <f t="shared" si="14"/>
        <v>128731.64429796209</v>
      </c>
      <c r="P65" s="547">
        <f t="shared" si="14"/>
        <v>205842.63527303754</v>
      </c>
      <c r="Q65" s="547">
        <f t="shared" si="14"/>
        <v>306052.37301875278</v>
      </c>
      <c r="R65" s="547">
        <f t="shared" si="14"/>
        <v>432501.95991381933</v>
      </c>
      <c r="S65" s="547">
        <f t="shared" si="14"/>
        <v>587915.66208366037</v>
      </c>
      <c r="T65" s="547">
        <f t="shared" si="14"/>
        <v>775677.38772731053</v>
      </c>
      <c r="U65" s="537"/>
    </row>
    <row r="66" spans="1:21" s="86" customFormat="1" ht="17.25" thickTop="1" thickBot="1" x14ac:dyDescent="0.3">
      <c r="A66" s="549"/>
      <c r="B66" s="101" t="s">
        <v>150</v>
      </c>
      <c r="C66" s="102">
        <v>1058.5999999999999</v>
      </c>
      <c r="D66" s="102">
        <v>1915</v>
      </c>
      <c r="E66" s="102">
        <v>951.2</v>
      </c>
      <c r="F66" s="102">
        <v>2071.5</v>
      </c>
      <c r="G66" s="102">
        <v>3371.2</v>
      </c>
      <c r="H66" s="102">
        <v>3554.8</v>
      </c>
      <c r="I66" s="102">
        <v>-965.6</v>
      </c>
      <c r="J66" s="103"/>
      <c r="K66" s="104">
        <f t="shared" ref="K66:T66" si="15">K64+K65</f>
        <v>7058.9061465416635</v>
      </c>
      <c r="L66" s="104">
        <f t="shared" si="15"/>
        <v>33433.346595747862</v>
      </c>
      <c r="M66" s="104">
        <f t="shared" si="15"/>
        <v>72435.952522089749</v>
      </c>
      <c r="N66" s="104">
        <f t="shared" si="15"/>
        <v>128731.64429796209</v>
      </c>
      <c r="O66" s="104">
        <f t="shared" si="15"/>
        <v>205842.63527303754</v>
      </c>
      <c r="P66" s="104">
        <f t="shared" si="15"/>
        <v>306052.37301875278</v>
      </c>
      <c r="Q66" s="104">
        <f t="shared" si="15"/>
        <v>432501.95991381933</v>
      </c>
      <c r="R66" s="104">
        <f t="shared" si="15"/>
        <v>587915.66208366037</v>
      </c>
      <c r="S66" s="104">
        <f t="shared" si="15"/>
        <v>775677.38772731053</v>
      </c>
      <c r="T66" s="104">
        <f t="shared" si="15"/>
        <v>999207.25777715142</v>
      </c>
      <c r="U66" s="550"/>
    </row>
    <row r="67" spans="1:21" ht="5.0999999999999996" customHeight="1" thickTop="1" x14ac:dyDescent="0.25">
      <c r="A67" s="536"/>
      <c r="B67" s="544"/>
      <c r="C67" s="88">
        <v>0</v>
      </c>
      <c r="D67" s="88">
        <v>0</v>
      </c>
      <c r="E67" s="88">
        <v>0</v>
      </c>
      <c r="F67" s="88">
        <v>0</v>
      </c>
      <c r="G67" s="88">
        <v>0</v>
      </c>
      <c r="H67" s="88">
        <v>0</v>
      </c>
      <c r="I67" s="88">
        <v>0</v>
      </c>
      <c r="J67" s="10"/>
      <c r="K67" s="547"/>
      <c r="L67" s="547"/>
      <c r="M67" s="547"/>
      <c r="N67" s="547"/>
      <c r="O67" s="547"/>
      <c r="P67" s="547"/>
      <c r="Q67" s="547"/>
      <c r="R67" s="547"/>
      <c r="S67" s="547"/>
      <c r="T67" s="547"/>
      <c r="U67" s="537"/>
    </row>
    <row r="68" spans="1:21" ht="31.5" x14ac:dyDescent="0.25">
      <c r="A68" s="536"/>
      <c r="B68" s="551" t="s">
        <v>154</v>
      </c>
      <c r="C68" s="88"/>
      <c r="D68" s="88"/>
      <c r="E68" s="88"/>
      <c r="F68" s="88"/>
      <c r="G68" s="88"/>
      <c r="H68" s="88"/>
      <c r="I68" s="88"/>
      <c r="J68" s="10"/>
      <c r="K68" s="547"/>
      <c r="L68" s="547"/>
      <c r="M68" s="547"/>
      <c r="N68" s="547"/>
      <c r="O68" s="547"/>
      <c r="P68" s="547"/>
      <c r="Q68" s="547"/>
      <c r="R68" s="547"/>
      <c r="S68" s="547"/>
      <c r="T68" s="547"/>
      <c r="U68" s="537"/>
    </row>
    <row r="69" spans="1:21" ht="15.75" x14ac:dyDescent="0.25">
      <c r="A69" s="536"/>
      <c r="B69" s="544" t="s">
        <v>152</v>
      </c>
      <c r="C69" s="88">
        <v>1058.7</v>
      </c>
      <c r="D69" s="88">
        <v>1915</v>
      </c>
      <c r="E69" s="88">
        <v>951.2</v>
      </c>
      <c r="F69" s="88">
        <v>2071.5</v>
      </c>
      <c r="G69" s="88">
        <v>3371.2</v>
      </c>
      <c r="H69" s="88">
        <v>3554.8</v>
      </c>
      <c r="I69" s="88">
        <v>2837.1</v>
      </c>
      <c r="J69" s="10"/>
      <c r="K69" s="547">
        <f t="shared" ref="K69:T69" si="16">K66</f>
        <v>7058.9061465416635</v>
      </c>
      <c r="L69" s="547">
        <f t="shared" si="16"/>
        <v>33433.346595747862</v>
      </c>
      <c r="M69" s="547">
        <f t="shared" si="16"/>
        <v>72435.952522089749</v>
      </c>
      <c r="N69" s="547">
        <f t="shared" si="16"/>
        <v>128731.64429796209</v>
      </c>
      <c r="O69" s="547">
        <f t="shared" si="16"/>
        <v>205842.63527303754</v>
      </c>
      <c r="P69" s="547">
        <f t="shared" si="16"/>
        <v>306052.37301875278</v>
      </c>
      <c r="Q69" s="547">
        <f t="shared" si="16"/>
        <v>432501.95991381933</v>
      </c>
      <c r="R69" s="547">
        <f t="shared" si="16"/>
        <v>587915.66208366037</v>
      </c>
      <c r="S69" s="547">
        <f t="shared" si="16"/>
        <v>775677.38772731053</v>
      </c>
      <c r="T69" s="547">
        <f t="shared" si="16"/>
        <v>999207.25777715142</v>
      </c>
      <c r="U69" s="537"/>
    </row>
    <row r="70" spans="1:21" ht="16.5" thickBot="1" x14ac:dyDescent="0.3">
      <c r="A70" s="536"/>
      <c r="B70" s="544" t="s">
        <v>153</v>
      </c>
      <c r="C70" s="88">
        <v>-0.1</v>
      </c>
      <c r="D70" s="88">
        <v>0</v>
      </c>
      <c r="E70" s="88">
        <v>0</v>
      </c>
      <c r="F70" s="88">
        <v>0</v>
      </c>
      <c r="G70" s="88">
        <v>0</v>
      </c>
      <c r="H70" s="88">
        <v>0</v>
      </c>
      <c r="I70" s="88">
        <v>-3802.7</v>
      </c>
      <c r="J70" s="10"/>
      <c r="K70" s="547">
        <v>0</v>
      </c>
      <c r="L70" s="547">
        <v>0</v>
      </c>
      <c r="M70" s="547">
        <v>0</v>
      </c>
      <c r="N70" s="547">
        <v>0</v>
      </c>
      <c r="O70" s="547">
        <v>0</v>
      </c>
      <c r="P70" s="547">
        <v>0</v>
      </c>
      <c r="Q70" s="547">
        <v>0</v>
      </c>
      <c r="R70" s="547">
        <v>0</v>
      </c>
      <c r="S70" s="547">
        <v>0</v>
      </c>
      <c r="T70" s="547">
        <v>0</v>
      </c>
      <c r="U70" s="537"/>
    </row>
    <row r="71" spans="1:21" ht="17.25" thickTop="1" thickBot="1" x14ac:dyDescent="0.3">
      <c r="A71" s="536"/>
      <c r="B71" s="13" t="s">
        <v>151</v>
      </c>
      <c r="C71" s="87">
        <v>1058.5999999999999</v>
      </c>
      <c r="D71" s="87">
        <v>1915</v>
      </c>
      <c r="E71" s="87">
        <v>951.2</v>
      </c>
      <c r="F71" s="87">
        <v>2071.5</v>
      </c>
      <c r="G71" s="87">
        <v>3371.2</v>
      </c>
      <c r="H71" s="87">
        <v>3554.8</v>
      </c>
      <c r="I71" s="87">
        <v>-965.6</v>
      </c>
      <c r="J71" s="10"/>
      <c r="K71" s="90">
        <f>SUM(K69:K70)</f>
        <v>7058.9061465416635</v>
      </c>
      <c r="L71" s="90">
        <f t="shared" ref="L71:T71" si="17">SUM(L64:L70)</f>
        <v>100300.03978724359</v>
      </c>
      <c r="M71" s="90">
        <f t="shared" si="17"/>
        <v>217307.85756626923</v>
      </c>
      <c r="N71" s="90">
        <f t="shared" si="17"/>
        <v>386194.93289388629</v>
      </c>
      <c r="O71" s="90">
        <f t="shared" si="17"/>
        <v>617527.90581911267</v>
      </c>
      <c r="P71" s="90">
        <f t="shared" si="17"/>
        <v>918157.11905625835</v>
      </c>
      <c r="Q71" s="90">
        <f t="shared" si="17"/>
        <v>1297505.879741458</v>
      </c>
      <c r="R71" s="90">
        <f t="shared" si="17"/>
        <v>1763746.9862509812</v>
      </c>
      <c r="S71" s="90">
        <f t="shared" si="17"/>
        <v>2327032.1631819317</v>
      </c>
      <c r="T71" s="90">
        <f t="shared" si="17"/>
        <v>2997621.773331454</v>
      </c>
      <c r="U71" s="537"/>
    </row>
    <row r="72" spans="1:21" ht="16.5" thickTop="1" thickBot="1" x14ac:dyDescent="0.3">
      <c r="A72" s="552"/>
      <c r="B72" s="553"/>
      <c r="C72" s="554"/>
      <c r="D72" s="554"/>
      <c r="E72" s="554"/>
      <c r="F72" s="554"/>
      <c r="G72" s="554"/>
      <c r="H72" s="554"/>
      <c r="I72" s="554"/>
      <c r="J72" s="553"/>
      <c r="K72" s="554"/>
      <c r="L72" s="554"/>
      <c r="M72" s="554"/>
      <c r="N72" s="554"/>
      <c r="O72" s="554"/>
      <c r="P72" s="554"/>
      <c r="Q72" s="554"/>
      <c r="R72" s="554"/>
      <c r="S72" s="554"/>
      <c r="T72" s="554"/>
      <c r="U72" s="555"/>
    </row>
    <row r="73" spans="1:21" ht="15.75" thickTop="1" x14ac:dyDescent="0.25"/>
  </sheetData>
  <sheetProtection sheet="1" objects="1" scenarios="1"/>
  <mergeCells count="1">
    <mergeCell ref="B2:T3"/>
  </mergeCells>
  <pageMargins left="0.25" right="0.25" top="0.75" bottom="0.75" header="0.3" footer="0.3"/>
  <pageSetup paperSize="9" scale="44"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8"/>
  <sheetViews>
    <sheetView showGridLines="0" zoomScale="87" zoomScaleNormal="85" zoomScaleSheetLayoutView="70" zoomScalePageLayoutView="40" workbookViewId="0">
      <selection activeCell="R24" sqref="R24"/>
    </sheetView>
  </sheetViews>
  <sheetFormatPr defaultRowHeight="15.75" x14ac:dyDescent="0.25"/>
  <cols>
    <col min="1" max="1" width="2.7109375" style="7" customWidth="1"/>
    <col min="2" max="2" width="42.140625" style="7" customWidth="1"/>
    <col min="3" max="3" width="14.85546875" style="8" customWidth="1"/>
    <col min="4" max="4" width="0.85546875" style="46" customWidth="1"/>
    <col min="5" max="14" width="14.85546875" style="8" customWidth="1"/>
    <col min="15" max="15" width="2.7109375" style="8" customWidth="1"/>
    <col min="16" max="16" width="16" style="8" customWidth="1"/>
    <col min="17" max="21" width="14.85546875" style="8" customWidth="1"/>
    <col min="22" max="22" width="2.7109375" style="8" customWidth="1"/>
    <col min="23" max="39" width="14.85546875" style="8" customWidth="1"/>
    <col min="40" max="16384" width="9.140625" style="8"/>
  </cols>
  <sheetData>
    <row r="1" spans="1:22" ht="16.5" thickTop="1" x14ac:dyDescent="0.25">
      <c r="A1" s="438"/>
      <c r="B1" s="439"/>
      <c r="C1" s="440"/>
      <c r="D1" s="556"/>
      <c r="E1" s="440"/>
      <c r="F1" s="440"/>
      <c r="G1" s="440"/>
      <c r="H1" s="440"/>
      <c r="I1" s="440"/>
      <c r="J1" s="440"/>
      <c r="K1" s="440"/>
      <c r="L1" s="440"/>
      <c r="M1" s="440"/>
      <c r="N1" s="440"/>
      <c r="O1" s="440"/>
      <c r="P1" s="440"/>
      <c r="Q1" s="440"/>
      <c r="R1" s="440"/>
      <c r="S1" s="440"/>
      <c r="T1" s="440"/>
      <c r="U1" s="440"/>
      <c r="V1" s="469"/>
    </row>
    <row r="2" spans="1:22" ht="9.9499999999999993" customHeight="1" x14ac:dyDescent="0.25">
      <c r="A2" s="442"/>
      <c r="B2" s="645" t="s">
        <v>424</v>
      </c>
      <c r="C2" s="645"/>
      <c r="D2" s="645"/>
      <c r="E2" s="645"/>
      <c r="F2" s="645"/>
      <c r="G2" s="645"/>
      <c r="H2" s="645"/>
      <c r="I2" s="645"/>
      <c r="J2" s="645"/>
      <c r="K2" s="645"/>
      <c r="L2" s="645"/>
      <c r="M2" s="645"/>
      <c r="N2" s="645"/>
      <c r="O2" s="645"/>
      <c r="P2" s="645"/>
      <c r="Q2" s="645"/>
      <c r="R2" s="645"/>
      <c r="S2" s="645"/>
      <c r="T2" s="645"/>
      <c r="U2" s="645"/>
      <c r="V2" s="470"/>
    </row>
    <row r="3" spans="1:22" ht="9.9499999999999993" customHeight="1" x14ac:dyDescent="0.25">
      <c r="A3" s="442"/>
      <c r="B3" s="645"/>
      <c r="C3" s="645"/>
      <c r="D3" s="645"/>
      <c r="E3" s="645"/>
      <c r="F3" s="645"/>
      <c r="G3" s="645"/>
      <c r="H3" s="645"/>
      <c r="I3" s="645"/>
      <c r="J3" s="645"/>
      <c r="K3" s="645"/>
      <c r="L3" s="645"/>
      <c r="M3" s="645"/>
      <c r="N3" s="645"/>
      <c r="O3" s="645"/>
      <c r="P3" s="645"/>
      <c r="Q3" s="645"/>
      <c r="R3" s="645"/>
      <c r="S3" s="645"/>
      <c r="T3" s="645"/>
      <c r="U3" s="645"/>
      <c r="V3" s="470"/>
    </row>
    <row r="4" spans="1:22" s="7" customFormat="1" ht="5.0999999999999996" customHeight="1" x14ac:dyDescent="0.25">
      <c r="A4" s="442"/>
      <c r="B4" s="47"/>
      <c r="C4" s="47"/>
      <c r="D4" s="271"/>
      <c r="E4" s="47"/>
      <c r="F4" s="47"/>
      <c r="G4" s="47"/>
      <c r="H4" s="47"/>
      <c r="I4" s="47"/>
      <c r="J4" s="47"/>
      <c r="K4" s="47"/>
      <c r="L4" s="47"/>
      <c r="M4" s="47"/>
      <c r="N4" s="47"/>
      <c r="O4" s="47"/>
      <c r="P4" s="47"/>
      <c r="Q4" s="47"/>
      <c r="R4" s="47"/>
      <c r="S4" s="47"/>
      <c r="T4" s="47"/>
      <c r="U4" s="47"/>
      <c r="V4" s="444"/>
    </row>
    <row r="5" spans="1:22" s="7" customFormat="1" ht="16.5" thickBot="1" x14ac:dyDescent="0.3">
      <c r="A5" s="442"/>
      <c r="B5" s="240" t="s">
        <v>32</v>
      </c>
      <c r="C5" s="318">
        <v>46112</v>
      </c>
      <c r="D5" s="557"/>
      <c r="E5" s="319">
        <f>EOMONTH(C5,12)</f>
        <v>46477</v>
      </c>
      <c r="F5" s="319">
        <f t="shared" ref="F5:N5" si="0">EOMONTH(E5,12)</f>
        <v>46843</v>
      </c>
      <c r="G5" s="319">
        <f t="shared" si="0"/>
        <v>47208</v>
      </c>
      <c r="H5" s="319">
        <f t="shared" si="0"/>
        <v>47573</v>
      </c>
      <c r="I5" s="319">
        <f t="shared" si="0"/>
        <v>47938</v>
      </c>
      <c r="J5" s="319">
        <f t="shared" si="0"/>
        <v>48304</v>
      </c>
      <c r="K5" s="319">
        <f t="shared" si="0"/>
        <v>48669</v>
      </c>
      <c r="L5" s="319">
        <f t="shared" si="0"/>
        <v>49034</v>
      </c>
      <c r="M5" s="319">
        <f t="shared" si="0"/>
        <v>49399</v>
      </c>
      <c r="N5" s="319">
        <f t="shared" si="0"/>
        <v>49765</v>
      </c>
      <c r="O5" s="47"/>
      <c r="P5" s="648" t="s">
        <v>256</v>
      </c>
      <c r="Q5" s="646" t="s">
        <v>372</v>
      </c>
      <c r="R5" s="646"/>
      <c r="S5" s="646"/>
      <c r="T5" s="646"/>
      <c r="U5" s="646"/>
      <c r="V5" s="444"/>
    </row>
    <row r="6" spans="1:22" s="7" customFormat="1" ht="17.25" thickTop="1" thickBot="1" x14ac:dyDescent="0.3">
      <c r="A6" s="442"/>
      <c r="B6" s="21" t="s">
        <v>271</v>
      </c>
      <c r="C6" s="121">
        <f>'P &amp; L'!I20*(1-'DCF Valuation'!$C$28)</f>
        <v>30200.539594572714</v>
      </c>
      <c r="D6" s="283"/>
      <c r="E6" s="283">
        <f>'P &amp; L'!K20*(1-'DCF Valuation'!$C$28)</f>
        <v>47722.871521002424</v>
      </c>
      <c r="F6" s="283">
        <f>'P &amp; L'!L20*(1-'DCF Valuation'!$C$28)</f>
        <v>62651.256850989914</v>
      </c>
      <c r="G6" s="283">
        <f>'P &amp; L'!M20*(1-'DCF Valuation'!$C$28)</f>
        <v>80179.19663961546</v>
      </c>
      <c r="H6" s="283">
        <f>'P &amp; L'!N20*(1-'DCF Valuation'!$C$28)</f>
        <v>100421.06854042756</v>
      </c>
      <c r="I6" s="283">
        <f>'P &amp; L'!O20*(1-'DCF Valuation'!$C$28)</f>
        <v>123412.57462810044</v>
      </c>
      <c r="J6" s="283">
        <f>'P &amp; L'!P20*(1-'DCF Valuation'!$C$28)</f>
        <v>149064.99615572023</v>
      </c>
      <c r="K6" s="283">
        <f>'P &amp; L'!Q20*(1-'DCF Valuation'!$C$28)</f>
        <v>177176.8986902418</v>
      </c>
      <c r="L6" s="283">
        <f>'P &amp; L'!R20*(1-'DCF Valuation'!$C$28)</f>
        <v>208452.92119525676</v>
      </c>
      <c r="M6" s="283">
        <f>'P &amp; L'!S20*(1-'DCF Valuation'!$C$28)</f>
        <v>242934.98063472015</v>
      </c>
      <c r="N6" s="283">
        <f>'P &amp; L'!T20*(1-'DCF Valuation'!$C$28)</f>
        <v>280611.88642043463</v>
      </c>
      <c r="O6" s="47"/>
      <c r="P6" s="649"/>
      <c r="Q6" s="647"/>
      <c r="R6" s="647"/>
      <c r="S6" s="647"/>
      <c r="T6" s="647"/>
      <c r="U6" s="647"/>
      <c r="V6" s="444"/>
    </row>
    <row r="7" spans="1:22" ht="16.5" thickTop="1" x14ac:dyDescent="0.25">
      <c r="A7" s="442"/>
      <c r="B7" s="21" t="s">
        <v>240</v>
      </c>
      <c r="C7" s="121">
        <f>-'P &amp; L'!I19</f>
        <v>10370.200000000001</v>
      </c>
      <c r="D7" s="558"/>
      <c r="E7" s="283">
        <f>-'P &amp; L'!K19</f>
        <v>12200.966915051898</v>
      </c>
      <c r="F7" s="283">
        <f>-'P &amp; L'!L19</f>
        <v>13155.015250660559</v>
      </c>
      <c r="G7" s="283">
        <f>-'P &amp; L'!M19</f>
        <v>14580.023189706892</v>
      </c>
      <c r="H7" s="283">
        <f>-'P &amp; L'!N19</f>
        <v>16109.764933914696</v>
      </c>
      <c r="I7" s="283">
        <f>-'P &amp; L'!O19</f>
        <v>17710.103567237347</v>
      </c>
      <c r="J7" s="283">
        <f>-'P &amp; L'!P19</f>
        <v>19381.442835665384</v>
      </c>
      <c r="K7" s="283">
        <f>-'P &amp; L'!Q19</f>
        <v>21124.150303501941</v>
      </c>
      <c r="L7" s="283">
        <f>-'P &amp; L'!R19</f>
        <v>22938.511869347229</v>
      </c>
      <c r="M7" s="283">
        <f>-'P &amp; L'!S19</f>
        <v>24824.691191954331</v>
      </c>
      <c r="N7" s="283">
        <f>-'P &amp; L'!T19</f>
        <v>26782.808478250648</v>
      </c>
      <c r="O7" s="33"/>
      <c r="P7" s="559">
        <f ca="1">C21</f>
        <v>3140.5220649621347</v>
      </c>
      <c r="Q7" s="560">
        <v>0.03</v>
      </c>
      <c r="R7" s="560">
        <v>0.04</v>
      </c>
      <c r="S7" s="560">
        <v>4.4999999999999998E-2</v>
      </c>
      <c r="T7" s="560">
        <v>0.06</v>
      </c>
      <c r="U7" s="582">
        <v>7.0000000000000007E-2</v>
      </c>
      <c r="V7" s="470"/>
    </row>
    <row r="8" spans="1:22" x14ac:dyDescent="0.25">
      <c r="A8" s="442"/>
      <c r="B8" s="31" t="s">
        <v>241</v>
      </c>
      <c r="C8" s="561">
        <f>'Cash flow statement'!I41</f>
        <v>-41133.5</v>
      </c>
      <c r="D8" s="558"/>
      <c r="E8" s="472">
        <f>'Cash flow statement'!K41</f>
        <v>-32500</v>
      </c>
      <c r="F8" s="472">
        <f>'Cash flow statement'!L41</f>
        <v>-35000</v>
      </c>
      <c r="G8" s="472">
        <f>'Cash flow statement'!M41</f>
        <v>-37500</v>
      </c>
      <c r="H8" s="472">
        <f>'Cash flow statement'!N41</f>
        <v>-40000</v>
      </c>
      <c r="I8" s="472">
        <f>'Cash flow statement'!O41</f>
        <v>-42500</v>
      </c>
      <c r="J8" s="472">
        <f>'Cash flow statement'!P41</f>
        <v>-45000</v>
      </c>
      <c r="K8" s="472">
        <f>'Cash flow statement'!Q41</f>
        <v>-47500</v>
      </c>
      <c r="L8" s="472">
        <f>'Cash flow statement'!R41</f>
        <v>-50000</v>
      </c>
      <c r="M8" s="472">
        <f>'Cash flow statement'!S41</f>
        <v>-52500</v>
      </c>
      <c r="N8" s="472">
        <f>'Cash flow statement'!T41</f>
        <v>-55000</v>
      </c>
      <c r="O8" s="33"/>
      <c r="P8" s="562">
        <v>0.09</v>
      </c>
      <c r="Q8" s="563">
        <f t="dataTable" ref="Q8:U12" dt2D="1" dtr="1" r1="C31" r2="C29" ca="1"/>
        <v>3241.6717483339708</v>
      </c>
      <c r="R8" s="563">
        <v>3756.9476682370046</v>
      </c>
      <c r="S8" s="563">
        <v>4100.4649481723591</v>
      </c>
      <c r="T8" s="563">
        <v>5818.0513478491375</v>
      </c>
      <c r="U8" s="583">
        <v>8394.4309473643079</v>
      </c>
      <c r="V8" s="470"/>
    </row>
    <row r="9" spans="1:22" ht="16.5" thickBot="1" x14ac:dyDescent="0.3">
      <c r="A9" s="442"/>
      <c r="B9" s="21" t="s">
        <v>242</v>
      </c>
      <c r="C9" s="121">
        <f>SUM('Cash flow statement'!I19:I31)</f>
        <v>-6985.0999999999995</v>
      </c>
      <c r="D9" s="558"/>
      <c r="E9" s="472">
        <f>SUM('Cash flow statement'!K19:K31)</f>
        <v>-12949.891987644281</v>
      </c>
      <c r="F9" s="472">
        <f>SUM('Cash flow statement'!L19:L31)</f>
        <v>-13525.715583084067</v>
      </c>
      <c r="G9" s="472">
        <f>SUM('Cash flow statement'!M19:M31)</f>
        <v>-18258.218616114602</v>
      </c>
      <c r="H9" s="472">
        <f>SUM('Cash flow statement'!N19:N31)</f>
        <v>-21289.886342245114</v>
      </c>
      <c r="I9" s="472">
        <f>SUM('Cash flow statement'!O19:O31)</f>
        <v>-23765.212812313621</v>
      </c>
      <c r="J9" s="472">
        <f>SUM('Cash flow statement'!P19:P31)</f>
        <v>-26814.397750864406</v>
      </c>
      <c r="K9" s="472">
        <f>SUM('Cash flow statement'!Q19:Q31)</f>
        <v>-29356.164961981383</v>
      </c>
      <c r="L9" s="472">
        <f>SUM('Cash flow statement'!R19:R31)</f>
        <v>-32613.538125380965</v>
      </c>
      <c r="M9" s="472">
        <f>SUM('Cash flow statement'!S19:S31)</f>
        <v>-35913.469185421105</v>
      </c>
      <c r="N9" s="472">
        <f>SUM('Cash flow statement'!T19:T31)</f>
        <v>-39201.995167445959</v>
      </c>
      <c r="O9" s="33"/>
      <c r="P9" s="562">
        <v>0.1</v>
      </c>
      <c r="Q9" s="563">
        <v>2669.0410274302371</v>
      </c>
      <c r="R9" s="563">
        <v>3008.9494406136</v>
      </c>
      <c r="S9" s="563">
        <v>3225.2547944575581</v>
      </c>
      <c r="T9" s="563">
        <v>4198.6288867553685</v>
      </c>
      <c r="U9" s="583">
        <v>5388.3083328971388</v>
      </c>
      <c r="V9" s="470"/>
    </row>
    <row r="10" spans="1:22" ht="16.5" thickTop="1" x14ac:dyDescent="0.25">
      <c r="A10" s="442"/>
      <c r="B10" s="114" t="s">
        <v>243</v>
      </c>
      <c r="C10" s="117">
        <f>SUM(C6:C9)</f>
        <v>-7547.860405427281</v>
      </c>
      <c r="D10" s="558"/>
      <c r="E10" s="108">
        <f t="shared" ref="E10:N10" si="1">SUM(E6:E9)</f>
        <v>14473.946448410039</v>
      </c>
      <c r="F10" s="108">
        <f t="shared" si="1"/>
        <v>27280.556518566413</v>
      </c>
      <c r="G10" s="108">
        <f t="shared" si="1"/>
        <v>39001.001213207746</v>
      </c>
      <c r="H10" s="108">
        <f t="shared" si="1"/>
        <v>55240.947132097135</v>
      </c>
      <c r="I10" s="108">
        <f t="shared" si="1"/>
        <v>74857.465383024173</v>
      </c>
      <c r="J10" s="108">
        <f t="shared" si="1"/>
        <v>96632.041240521226</v>
      </c>
      <c r="K10" s="108">
        <f t="shared" si="1"/>
        <v>121444.88403176234</v>
      </c>
      <c r="L10" s="108">
        <f t="shared" si="1"/>
        <v>148777.89493922301</v>
      </c>
      <c r="M10" s="108">
        <f t="shared" si="1"/>
        <v>179346.20264125339</v>
      </c>
      <c r="N10" s="108">
        <f t="shared" si="1"/>
        <v>213192.69973123929</v>
      </c>
      <c r="O10" s="33"/>
      <c r="P10" s="562">
        <v>0.1086633796636863</v>
      </c>
      <c r="Q10" s="564">
        <v>2295.589213552244</v>
      </c>
      <c r="R10" s="563">
        <v>2542.4400028047353</v>
      </c>
      <c r="S10" s="563">
        <v>2694.9461802793608</v>
      </c>
      <c r="T10" s="563">
        <v>3340.4987274329187</v>
      </c>
      <c r="U10" s="583">
        <v>4049.146156598682</v>
      </c>
      <c r="V10" s="470"/>
    </row>
    <row r="11" spans="1:22" ht="16.5" thickBot="1" x14ac:dyDescent="0.3">
      <c r="A11" s="442"/>
      <c r="B11" s="31" t="s">
        <v>244</v>
      </c>
      <c r="C11" s="121"/>
      <c r="D11" s="558"/>
      <c r="E11" s="472">
        <v>0</v>
      </c>
      <c r="F11" s="472">
        <v>0</v>
      </c>
      <c r="G11" s="472">
        <v>0</v>
      </c>
      <c r="H11" s="472">
        <v>0</v>
      </c>
      <c r="I11" s="472">
        <v>0</v>
      </c>
      <c r="J11" s="472">
        <v>0</v>
      </c>
      <c r="K11" s="472">
        <v>0</v>
      </c>
      <c r="L11" s="472">
        <v>0</v>
      </c>
      <c r="M11" s="472">
        <v>0</v>
      </c>
      <c r="N11" s="472">
        <f>N10*(1+$C$31)/($C$29-$C$31)</f>
        <v>3962948.5806129305</v>
      </c>
      <c r="O11" s="33"/>
      <c r="P11" s="562">
        <v>0.12</v>
      </c>
      <c r="Q11" s="564">
        <v>1921.0861132379084</v>
      </c>
      <c r="R11" s="564">
        <v>2090.563330119795</v>
      </c>
      <c r="S11" s="564">
        <v>2192.2496602489268</v>
      </c>
      <c r="T11" s="564">
        <v>2598.9949807654548</v>
      </c>
      <c r="U11" s="583">
        <v>3005.7403012819823</v>
      </c>
      <c r="V11" s="470"/>
    </row>
    <row r="12" spans="1:22" ht="17.25" thickTop="1" thickBot="1" x14ac:dyDescent="0.3">
      <c r="A12" s="442"/>
      <c r="B12" s="114" t="s">
        <v>245</v>
      </c>
      <c r="C12" s="118"/>
      <c r="D12" s="558"/>
      <c r="E12" s="107">
        <f>SUM(E10:E11)</f>
        <v>14473.946448410039</v>
      </c>
      <c r="F12" s="107">
        <f t="shared" ref="F12:N12" si="2">SUM(F10:F11)</f>
        <v>27280.556518566413</v>
      </c>
      <c r="G12" s="107">
        <f t="shared" si="2"/>
        <v>39001.001213207746</v>
      </c>
      <c r="H12" s="107">
        <f t="shared" si="2"/>
        <v>55240.947132097135</v>
      </c>
      <c r="I12" s="107">
        <f t="shared" si="2"/>
        <v>74857.465383024173</v>
      </c>
      <c r="J12" s="107">
        <f t="shared" si="2"/>
        <v>96632.041240521226</v>
      </c>
      <c r="K12" s="107">
        <f t="shared" si="2"/>
        <v>121444.88403176234</v>
      </c>
      <c r="L12" s="107">
        <f t="shared" si="2"/>
        <v>148777.89493922301</v>
      </c>
      <c r="M12" s="107">
        <f t="shared" si="2"/>
        <v>179346.20264125339</v>
      </c>
      <c r="N12" s="107">
        <f t="shared" si="2"/>
        <v>4176141.2803441696</v>
      </c>
      <c r="O12" s="33"/>
      <c r="P12" s="562">
        <v>0.13</v>
      </c>
      <c r="Q12" s="564">
        <v>1665.5943885299998</v>
      </c>
      <c r="R12" s="564">
        <v>1791.0738816998432</v>
      </c>
      <c r="S12" s="564">
        <v>1864.8853482703389</v>
      </c>
      <c r="T12" s="564">
        <v>2149.5867193279664</v>
      </c>
      <c r="U12" s="583">
        <v>2418.4713475490594</v>
      </c>
      <c r="V12" s="470"/>
    </row>
    <row r="13" spans="1:22" ht="5.0999999999999996" customHeight="1" thickTop="1" x14ac:dyDescent="0.25">
      <c r="A13" s="442"/>
      <c r="B13" s="31"/>
      <c r="C13" s="561"/>
      <c r="D13" s="558"/>
      <c r="E13" s="472"/>
      <c r="F13" s="472"/>
      <c r="G13" s="472"/>
      <c r="H13" s="472"/>
      <c r="I13" s="472"/>
      <c r="J13" s="472"/>
      <c r="K13" s="472"/>
      <c r="L13" s="472"/>
      <c r="M13" s="472"/>
      <c r="N13" s="472"/>
      <c r="O13" s="33"/>
      <c r="P13" s="33"/>
      <c r="Q13" s="472"/>
      <c r="R13" s="33"/>
      <c r="S13" s="33"/>
      <c r="T13" s="33"/>
      <c r="U13" s="33"/>
      <c r="V13" s="470"/>
    </row>
    <row r="14" spans="1:22" ht="15" customHeight="1" x14ac:dyDescent="0.25">
      <c r="A14" s="442"/>
      <c r="B14" s="114" t="s">
        <v>247</v>
      </c>
      <c r="C14" s="121"/>
      <c r="D14" s="558"/>
      <c r="E14" s="565">
        <f t="shared" ref="E14:N14" ca="1" si="3">E12/(1+$C$29)^E53</f>
        <v>13689.691205372963</v>
      </c>
      <c r="F14" s="565">
        <f t="shared" ca="1" si="3"/>
        <v>23393.165673122159</v>
      </c>
      <c r="G14" s="565">
        <f t="shared" ca="1" si="3"/>
        <v>30328.918322290268</v>
      </c>
      <c r="H14" s="565">
        <f t="shared" ca="1" si="3"/>
        <v>38957.194706505114</v>
      </c>
      <c r="I14" s="565">
        <f t="shared" ca="1" si="3"/>
        <v>47874.810986918084</v>
      </c>
      <c r="J14" s="565">
        <f t="shared" ca="1" si="3"/>
        <v>56030.202007723878</v>
      </c>
      <c r="K14" s="565">
        <f t="shared" ca="1" si="3"/>
        <v>63859.520547606269</v>
      </c>
      <c r="L14" s="565">
        <f t="shared" ca="1" si="3"/>
        <v>70946.378747886105</v>
      </c>
      <c r="M14" s="565">
        <f t="shared" ca="1" si="3"/>
        <v>77558.500431306762</v>
      </c>
      <c r="N14" s="565">
        <f t="shared" ca="1" si="3"/>
        <v>1637349.8370196754</v>
      </c>
      <c r="O14" s="33"/>
      <c r="P14" s="566"/>
      <c r="Q14" s="566"/>
      <c r="R14" s="33"/>
      <c r="S14" s="33"/>
      <c r="T14" s="33"/>
      <c r="U14" s="33"/>
      <c r="V14" s="470"/>
    </row>
    <row r="15" spans="1:22" s="46" customFormat="1" ht="5.0999999999999996" customHeight="1" x14ac:dyDescent="0.25">
      <c r="A15" s="460"/>
      <c r="B15" s="31"/>
      <c r="C15" s="121"/>
      <c r="D15" s="283"/>
      <c r="E15" s="283"/>
      <c r="F15" s="283"/>
      <c r="G15" s="283"/>
      <c r="H15" s="283"/>
      <c r="I15" s="283"/>
      <c r="J15" s="566"/>
      <c r="K15" s="566"/>
      <c r="L15" s="566"/>
      <c r="M15" s="566"/>
      <c r="N15" s="566"/>
      <c r="O15" s="566"/>
      <c r="P15" s="472"/>
      <c r="Q15" s="472"/>
      <c r="R15" s="566"/>
      <c r="S15" s="566"/>
      <c r="T15" s="566"/>
      <c r="U15" s="105"/>
      <c r="V15" s="495"/>
    </row>
    <row r="16" spans="1:22" x14ac:dyDescent="0.25">
      <c r="A16" s="442"/>
      <c r="B16" s="31" t="s">
        <v>246</v>
      </c>
      <c r="C16" s="121">
        <f ca="1">SUM(E14:N14)</f>
        <v>2059988.2196484071</v>
      </c>
      <c r="D16" s="283"/>
      <c r="E16" s="567"/>
      <c r="F16" s="567"/>
      <c r="G16" s="567"/>
      <c r="H16" s="567"/>
      <c r="I16" s="567"/>
      <c r="J16" s="567"/>
      <c r="K16" s="567"/>
      <c r="L16" s="567"/>
      <c r="M16" s="567"/>
      <c r="N16" s="567"/>
      <c r="O16" s="472"/>
      <c r="P16" s="362"/>
      <c r="Q16" s="124" t="s">
        <v>277</v>
      </c>
      <c r="R16" s="124" t="s">
        <v>176</v>
      </c>
      <c r="S16" s="124" t="s">
        <v>278</v>
      </c>
      <c r="T16" s="124" t="s">
        <v>177</v>
      </c>
      <c r="U16" s="124" t="s">
        <v>279</v>
      </c>
      <c r="V16" s="470"/>
    </row>
    <row r="17" spans="1:22" x14ac:dyDescent="0.25">
      <c r="A17" s="442"/>
      <c r="B17" s="120" t="s">
        <v>248</v>
      </c>
      <c r="C17" s="121">
        <f>-C46</f>
        <v>-15562.800000000001</v>
      </c>
      <c r="D17" s="283"/>
      <c r="E17" s="567"/>
      <c r="F17" s="567"/>
      <c r="G17" s="567"/>
      <c r="H17" s="567"/>
      <c r="I17" s="567"/>
      <c r="J17" s="567"/>
      <c r="K17" s="567"/>
      <c r="L17" s="567"/>
      <c r="M17" s="567"/>
      <c r="N17" s="567"/>
      <c r="O17" s="568"/>
      <c r="P17" s="31" t="s">
        <v>256</v>
      </c>
      <c r="Q17" s="569">
        <v>0.09</v>
      </c>
      <c r="R17" s="569">
        <v>0.1</v>
      </c>
      <c r="S17" s="569">
        <f>(C24*C25)+(C26*(C27*(1-C28)))</f>
        <v>0.10121732573292377</v>
      </c>
      <c r="T17" s="569">
        <v>0.12</v>
      </c>
      <c r="U17" s="569">
        <v>0.13</v>
      </c>
      <c r="V17" s="470"/>
    </row>
    <row r="18" spans="1:22" ht="16.5" thickBot="1" x14ac:dyDescent="0.3">
      <c r="A18" s="442"/>
      <c r="B18" s="120" t="s">
        <v>249</v>
      </c>
      <c r="C18" s="121">
        <f>BS!I13</f>
        <v>72.599999999999994</v>
      </c>
      <c r="D18" s="283"/>
      <c r="E18" s="567"/>
      <c r="F18" s="567"/>
      <c r="G18" s="567"/>
      <c r="H18" s="567"/>
      <c r="I18" s="567"/>
      <c r="J18" s="567"/>
      <c r="K18" s="567"/>
      <c r="L18" s="567"/>
      <c r="M18" s="567"/>
      <c r="N18" s="567"/>
      <c r="O18" s="570"/>
      <c r="P18" s="31" t="s">
        <v>372</v>
      </c>
      <c r="Q18" s="569">
        <v>0.03</v>
      </c>
      <c r="R18" s="569">
        <v>0.04</v>
      </c>
      <c r="S18" s="569">
        <v>4.4999999999999998E-2</v>
      </c>
      <c r="T18" s="569">
        <v>0.06</v>
      </c>
      <c r="U18" s="569">
        <v>7.0000000000000007E-2</v>
      </c>
      <c r="V18" s="470"/>
    </row>
    <row r="19" spans="1:22" ht="16.5" thickTop="1" x14ac:dyDescent="0.25">
      <c r="A19" s="442"/>
      <c r="B19" s="122" t="s">
        <v>250</v>
      </c>
      <c r="C19" s="112">
        <f ca="1">SUM(C16:C18)</f>
        <v>2044498.0196484071</v>
      </c>
      <c r="D19" s="283"/>
      <c r="E19" s="567"/>
      <c r="F19" s="567"/>
      <c r="G19" s="567"/>
      <c r="H19" s="567"/>
      <c r="I19" s="567"/>
      <c r="J19" s="567"/>
      <c r="K19" s="567"/>
      <c r="L19" s="567"/>
      <c r="M19" s="567"/>
      <c r="N19" s="567"/>
      <c r="O19" s="570"/>
      <c r="P19" s="570"/>
      <c r="Q19" s="570"/>
      <c r="R19" s="570"/>
      <c r="S19" s="570"/>
      <c r="T19" s="570"/>
      <c r="U19" s="33"/>
      <c r="V19" s="470"/>
    </row>
    <row r="20" spans="1:22" ht="5.0999999999999996" customHeight="1" thickBot="1" x14ac:dyDescent="0.3">
      <c r="A20" s="442"/>
      <c r="B20" s="120"/>
      <c r="C20" s="121"/>
      <c r="D20" s="283"/>
      <c r="E20" s="567"/>
      <c r="F20" s="567"/>
      <c r="G20" s="567"/>
      <c r="H20" s="567"/>
      <c r="I20" s="567"/>
      <c r="J20" s="567"/>
      <c r="K20" s="567"/>
      <c r="L20" s="567"/>
      <c r="M20" s="567"/>
      <c r="N20" s="567"/>
      <c r="O20" s="570"/>
      <c r="P20" s="570"/>
      <c r="Q20" s="570"/>
      <c r="R20" s="570"/>
      <c r="S20" s="570"/>
      <c r="T20" s="570"/>
      <c r="U20" s="33"/>
      <c r="V20" s="470"/>
    </row>
    <row r="21" spans="1:22" ht="17.25" thickTop="1" thickBot="1" x14ac:dyDescent="0.3">
      <c r="A21" s="442"/>
      <c r="B21" s="127" t="s">
        <v>276</v>
      </c>
      <c r="C21" s="123">
        <f ca="1">C19/C41</f>
        <v>3140.5220649621347</v>
      </c>
      <c r="D21" s="283"/>
      <c r="E21" s="567"/>
      <c r="F21" s="567"/>
      <c r="G21" s="567"/>
      <c r="H21" s="567"/>
      <c r="I21" s="567"/>
      <c r="J21" s="567"/>
      <c r="K21" s="567"/>
      <c r="L21" s="567"/>
      <c r="M21" s="567"/>
      <c r="N21" s="567"/>
      <c r="O21" s="570"/>
      <c r="P21" s="33"/>
      <c r="Q21" s="33"/>
      <c r="R21" s="33"/>
      <c r="S21" s="33"/>
      <c r="T21" s="33"/>
      <c r="U21" s="33"/>
      <c r="V21" s="470"/>
    </row>
    <row r="22" spans="1:22" ht="5.0999999999999996" customHeight="1" thickTop="1" x14ac:dyDescent="0.25">
      <c r="A22" s="442"/>
      <c r="B22" s="31"/>
      <c r="C22" s="121"/>
      <c r="D22" s="283"/>
      <c r="E22" s="567"/>
      <c r="F22" s="567"/>
      <c r="G22" s="567"/>
      <c r="H22" s="567"/>
      <c r="I22" s="567"/>
      <c r="J22" s="567"/>
      <c r="K22" s="567"/>
      <c r="L22" s="567"/>
      <c r="M22" s="567"/>
      <c r="N22" s="567"/>
      <c r="O22" s="352"/>
      <c r="P22" s="33"/>
      <c r="Q22" s="33"/>
      <c r="R22" s="33"/>
      <c r="S22" s="33"/>
      <c r="T22" s="33"/>
      <c r="U22" s="33"/>
      <c r="V22" s="470"/>
    </row>
    <row r="23" spans="1:22" ht="15.75" customHeight="1" x14ac:dyDescent="0.25">
      <c r="A23" s="442"/>
      <c r="B23" s="571" t="s">
        <v>251</v>
      </c>
      <c r="C23" s="121"/>
      <c r="D23" s="283"/>
      <c r="E23" s="567"/>
      <c r="F23" s="567"/>
      <c r="G23" s="567"/>
      <c r="H23" s="567"/>
      <c r="I23" s="567"/>
      <c r="J23" s="567"/>
      <c r="K23" s="567"/>
      <c r="L23" s="567"/>
      <c r="M23" s="567"/>
      <c r="N23" s="567"/>
      <c r="O23" s="572"/>
      <c r="P23" s="650" t="s">
        <v>425</v>
      </c>
      <c r="Q23" s="573" t="s">
        <v>256</v>
      </c>
      <c r="R23" s="137" t="s">
        <v>278</v>
      </c>
      <c r="S23" s="33"/>
      <c r="T23" s="33"/>
      <c r="U23" s="33"/>
      <c r="V23" s="470"/>
    </row>
    <row r="24" spans="1:22" x14ac:dyDescent="0.25">
      <c r="A24" s="442"/>
      <c r="B24" s="31" t="s">
        <v>252</v>
      </c>
      <c r="C24" s="115">
        <f>C42/$C$48</f>
        <v>0.993717116825652</v>
      </c>
      <c r="D24" s="283"/>
      <c r="E24" s="567"/>
      <c r="F24" s="567"/>
      <c r="G24" s="567"/>
      <c r="H24" s="567"/>
      <c r="I24" s="567"/>
      <c r="J24" s="567"/>
      <c r="K24" s="567"/>
      <c r="L24" s="567"/>
      <c r="M24" s="567"/>
      <c r="N24" s="567"/>
      <c r="O24" s="572"/>
      <c r="P24" s="651"/>
      <c r="Q24" s="573" t="s">
        <v>372</v>
      </c>
      <c r="R24" s="137" t="s">
        <v>278</v>
      </c>
      <c r="S24" s="33"/>
      <c r="T24" s="33"/>
      <c r="U24" s="33"/>
      <c r="V24" s="470"/>
    </row>
    <row r="25" spans="1:22" x14ac:dyDescent="0.25">
      <c r="A25" s="442"/>
      <c r="B25" s="31" t="s">
        <v>253</v>
      </c>
      <c r="C25" s="115">
        <f>C37</f>
        <v>0.10150065999999999</v>
      </c>
      <c r="D25" s="283"/>
      <c r="E25" s="574"/>
      <c r="F25" s="567"/>
      <c r="G25" s="567"/>
      <c r="H25" s="567"/>
      <c r="I25" s="567"/>
      <c r="J25" s="567"/>
      <c r="K25" s="567"/>
      <c r="L25" s="567"/>
      <c r="M25" s="567"/>
      <c r="N25" s="567"/>
      <c r="O25" s="288"/>
      <c r="P25" s="33"/>
      <c r="Q25" s="33"/>
      <c r="R25" s="33"/>
      <c r="S25" s="33"/>
      <c r="T25" s="33"/>
      <c r="U25" s="33"/>
      <c r="V25" s="470"/>
    </row>
    <row r="26" spans="1:22" x14ac:dyDescent="0.25">
      <c r="A26" s="442"/>
      <c r="B26" s="31" t="s">
        <v>254</v>
      </c>
      <c r="C26" s="115">
        <f>C46/$C$48</f>
        <v>6.2828831743481188E-3</v>
      </c>
      <c r="D26" s="283"/>
      <c r="E26" s="574"/>
      <c r="F26" s="567"/>
      <c r="G26" s="567"/>
      <c r="H26" s="567"/>
      <c r="I26" s="567"/>
      <c r="J26" s="567"/>
      <c r="K26" s="567"/>
      <c r="L26" s="567"/>
      <c r="M26" s="567"/>
      <c r="N26" s="567"/>
      <c r="O26" s="572"/>
      <c r="P26" s="33"/>
      <c r="Q26" s="33"/>
      <c r="R26" s="33"/>
      <c r="S26" s="33"/>
      <c r="T26" s="33"/>
      <c r="U26" s="33"/>
      <c r="V26" s="470"/>
    </row>
    <row r="27" spans="1:22" x14ac:dyDescent="0.25">
      <c r="A27" s="442"/>
      <c r="B27" s="31" t="s">
        <v>255</v>
      </c>
      <c r="C27" s="575">
        <v>7.7499999999999999E-2</v>
      </c>
      <c r="D27" s="283"/>
      <c r="E27" s="574"/>
      <c r="F27" s="567"/>
      <c r="G27" s="567"/>
      <c r="H27" s="567"/>
      <c r="I27" s="567"/>
      <c r="J27" s="567"/>
      <c r="K27" s="567"/>
      <c r="L27" s="567"/>
      <c r="M27" s="567"/>
      <c r="N27" s="567"/>
      <c r="O27" s="472"/>
      <c r="P27" s="33"/>
      <c r="Q27" s="33"/>
      <c r="R27" s="33"/>
      <c r="S27" s="33"/>
      <c r="T27" s="33"/>
      <c r="U27" s="33"/>
      <c r="V27" s="470"/>
    </row>
    <row r="28" spans="1:22" ht="16.5" thickBot="1" x14ac:dyDescent="0.3">
      <c r="A28" s="442"/>
      <c r="B28" s="31" t="s">
        <v>257</v>
      </c>
      <c r="C28" s="115">
        <f>-'P &amp; L'!I31</f>
        <v>0.27220074382230602</v>
      </c>
      <c r="D28" s="283"/>
      <c r="E28" s="567"/>
      <c r="F28" s="567"/>
      <c r="G28" s="567"/>
      <c r="H28" s="567"/>
      <c r="I28" s="567"/>
      <c r="J28" s="567"/>
      <c r="K28" s="567"/>
      <c r="L28" s="567"/>
      <c r="M28" s="567"/>
      <c r="N28" s="567"/>
      <c r="O28" s="472"/>
      <c r="P28" s="33"/>
      <c r="Q28" s="33"/>
      <c r="R28" s="33"/>
      <c r="S28" s="33"/>
      <c r="T28" s="33"/>
      <c r="U28" s="33"/>
      <c r="V28" s="470"/>
    </row>
    <row r="29" spans="1:22" ht="17.25" thickTop="1" thickBot="1" x14ac:dyDescent="0.3">
      <c r="A29" s="442"/>
      <c r="B29" s="128" t="s">
        <v>256</v>
      </c>
      <c r="C29" s="125">
        <f>INDEX($Q$17:$U$18,MATCH($Q$23,$P$17:$P$18,0),MATCH($R$23,$Q$16:$U$16,0))</f>
        <v>0.10121732573292377</v>
      </c>
      <c r="D29" s="283"/>
      <c r="E29" s="567"/>
      <c r="F29" s="567"/>
      <c r="G29" s="567"/>
      <c r="H29" s="567"/>
      <c r="I29" s="567"/>
      <c r="J29" s="567"/>
      <c r="K29" s="567"/>
      <c r="L29" s="567"/>
      <c r="M29" s="567"/>
      <c r="N29" s="567"/>
      <c r="O29" s="472"/>
      <c r="P29" s="472"/>
      <c r="Q29" s="472"/>
      <c r="R29" s="472"/>
      <c r="S29" s="472"/>
      <c r="T29" s="472"/>
      <c r="U29" s="33"/>
      <c r="V29" s="470"/>
    </row>
    <row r="30" spans="1:22" ht="5.0999999999999996" customHeight="1" thickTop="1" x14ac:dyDescent="0.25">
      <c r="A30" s="442"/>
      <c r="B30" s="114"/>
      <c r="C30" s="115"/>
      <c r="D30" s="283"/>
      <c r="E30" s="567"/>
      <c r="F30" s="567"/>
      <c r="G30" s="567"/>
      <c r="H30" s="567"/>
      <c r="I30" s="567"/>
      <c r="J30" s="567"/>
      <c r="K30" s="567"/>
      <c r="L30" s="567"/>
      <c r="M30" s="567"/>
      <c r="N30" s="567"/>
      <c r="O30" s="472"/>
      <c r="P30" s="472"/>
      <c r="Q30" s="472"/>
      <c r="R30" s="472"/>
      <c r="S30" s="472"/>
      <c r="T30" s="472"/>
      <c r="U30" s="33"/>
      <c r="V30" s="470"/>
    </row>
    <row r="31" spans="1:22" x14ac:dyDescent="0.25">
      <c r="A31" s="442"/>
      <c r="B31" s="129" t="s">
        <v>270</v>
      </c>
      <c r="C31" s="126">
        <f>INDEX($Q$17:$U$18,MATCH($Q$24,$P$17:$P$18,0), MATCH($R$24,$Q$16:$U$16,0))</f>
        <v>4.4999999999999998E-2</v>
      </c>
      <c r="D31" s="283"/>
      <c r="E31" s="567"/>
      <c r="F31" s="567"/>
      <c r="G31" s="567"/>
      <c r="H31" s="567"/>
      <c r="I31" s="567"/>
      <c r="J31" s="567"/>
      <c r="K31" s="567"/>
      <c r="L31" s="567"/>
      <c r="M31" s="567"/>
      <c r="N31" s="567"/>
      <c r="O31" s="472"/>
      <c r="P31" s="472"/>
      <c r="Q31" s="472"/>
      <c r="R31" s="472"/>
      <c r="S31" s="472"/>
      <c r="T31" s="33"/>
      <c r="U31" s="33"/>
      <c r="V31" s="470"/>
    </row>
    <row r="32" spans="1:22" ht="5.0999999999999996" customHeight="1" x14ac:dyDescent="0.25">
      <c r="A32" s="442"/>
      <c r="B32" s="31"/>
      <c r="C32" s="121"/>
      <c r="D32" s="283"/>
      <c r="E32" s="567"/>
      <c r="F32" s="567"/>
      <c r="G32" s="567"/>
      <c r="H32" s="567"/>
      <c r="I32" s="567"/>
      <c r="J32" s="567"/>
      <c r="K32" s="567"/>
      <c r="L32" s="567"/>
      <c r="M32" s="567"/>
      <c r="N32" s="567"/>
      <c r="O32" s="472"/>
      <c r="P32" s="472"/>
      <c r="Q32" s="472"/>
      <c r="R32" s="472"/>
      <c r="S32" s="472"/>
      <c r="T32" s="33"/>
      <c r="U32" s="33"/>
      <c r="V32" s="470"/>
    </row>
    <row r="33" spans="1:22" ht="15" customHeight="1" x14ac:dyDescent="0.25">
      <c r="A33" s="442"/>
      <c r="B33" s="114" t="s">
        <v>266</v>
      </c>
      <c r="C33" s="121"/>
      <c r="D33" s="283"/>
      <c r="E33" s="567"/>
      <c r="F33" s="567"/>
      <c r="G33" s="567"/>
      <c r="H33" s="567"/>
      <c r="I33" s="567"/>
      <c r="J33" s="567"/>
      <c r="K33" s="567"/>
      <c r="L33" s="567"/>
      <c r="M33" s="567"/>
      <c r="N33" s="567"/>
      <c r="O33" s="472"/>
      <c r="P33" s="472"/>
      <c r="Q33" s="472"/>
      <c r="R33" s="472"/>
      <c r="S33" s="472"/>
      <c r="T33" s="472"/>
      <c r="U33" s="33"/>
      <c r="V33" s="470"/>
    </row>
    <row r="34" spans="1:22" ht="15" customHeight="1" x14ac:dyDescent="0.25">
      <c r="A34" s="442"/>
      <c r="B34" s="31" t="s">
        <v>267</v>
      </c>
      <c r="C34" s="575">
        <v>6.9419999999999996E-2</v>
      </c>
      <c r="D34" s="283"/>
      <c r="E34" s="567"/>
      <c r="F34" s="567"/>
      <c r="G34" s="567"/>
      <c r="H34" s="567"/>
      <c r="I34" s="567"/>
      <c r="J34" s="567"/>
      <c r="K34" s="567"/>
      <c r="L34" s="567"/>
      <c r="M34" s="567"/>
      <c r="N34" s="567"/>
      <c r="O34" s="472"/>
      <c r="P34" s="472"/>
      <c r="Q34" s="472"/>
      <c r="R34" s="472"/>
      <c r="S34" s="472"/>
      <c r="T34" s="472"/>
      <c r="U34" s="33"/>
      <c r="V34" s="470"/>
    </row>
    <row r="35" spans="1:22" ht="15" customHeight="1" x14ac:dyDescent="0.25">
      <c r="A35" s="442"/>
      <c r="B35" s="31" t="s">
        <v>268</v>
      </c>
      <c r="C35" s="576">
        <v>0.877</v>
      </c>
      <c r="D35" s="283"/>
      <c r="E35" s="567"/>
      <c r="F35" s="567"/>
      <c r="G35" s="567"/>
      <c r="H35" s="567"/>
      <c r="I35" s="567"/>
      <c r="J35" s="567"/>
      <c r="K35" s="567"/>
      <c r="L35" s="567"/>
      <c r="M35" s="567"/>
      <c r="N35" s="567"/>
      <c r="O35" s="472"/>
      <c r="P35" s="472"/>
      <c r="Q35" s="472"/>
      <c r="R35" s="472"/>
      <c r="S35" s="472"/>
      <c r="T35" s="472"/>
      <c r="U35" s="33"/>
      <c r="V35" s="470"/>
    </row>
    <row r="36" spans="1:22" ht="15" customHeight="1" thickBot="1" x14ac:dyDescent="0.3">
      <c r="A36" s="442"/>
      <c r="B36" s="31" t="s">
        <v>269</v>
      </c>
      <c r="C36" s="575">
        <v>0.106</v>
      </c>
      <c r="D36" s="283"/>
      <c r="E36" s="567"/>
      <c r="F36" s="567"/>
      <c r="G36" s="577"/>
      <c r="H36" s="567"/>
      <c r="I36" s="567"/>
      <c r="J36" s="567"/>
      <c r="K36" s="567"/>
      <c r="L36" s="567"/>
      <c r="M36" s="567"/>
      <c r="N36" s="567"/>
      <c r="O36" s="472"/>
      <c r="P36" s="472"/>
      <c r="Q36" s="472"/>
      <c r="R36" s="472"/>
      <c r="S36" s="472"/>
      <c r="T36" s="472"/>
      <c r="U36" s="33"/>
      <c r="V36" s="470"/>
    </row>
    <row r="37" spans="1:22" ht="15" customHeight="1" thickTop="1" thickBot="1" x14ac:dyDescent="0.3">
      <c r="A37" s="442"/>
      <c r="B37" s="39" t="s">
        <v>253</v>
      </c>
      <c r="C37" s="113">
        <f>C34+(C35*(C36-C34))</f>
        <v>0.10150065999999999</v>
      </c>
      <c r="D37" s="283"/>
      <c r="E37" s="567"/>
      <c r="F37" s="567"/>
      <c r="G37" s="567"/>
      <c r="H37" s="567"/>
      <c r="I37" s="567"/>
      <c r="J37" s="567"/>
      <c r="K37" s="567"/>
      <c r="L37" s="567"/>
      <c r="M37" s="567"/>
      <c r="N37" s="567"/>
      <c r="O37" s="472"/>
      <c r="P37" s="472"/>
      <c r="Q37" s="472"/>
      <c r="R37" s="472"/>
      <c r="S37" s="472"/>
      <c r="T37" s="472"/>
      <c r="U37" s="33"/>
      <c r="V37" s="470"/>
    </row>
    <row r="38" spans="1:22" ht="5.0999999999999996" customHeight="1" thickTop="1" x14ac:dyDescent="0.25">
      <c r="A38" s="442"/>
      <c r="B38" s="31"/>
      <c r="C38" s="121"/>
      <c r="D38" s="283"/>
      <c r="E38" s="567"/>
      <c r="F38" s="567"/>
      <c r="G38" s="567"/>
      <c r="H38" s="567"/>
      <c r="I38" s="567"/>
      <c r="J38" s="567"/>
      <c r="K38" s="567"/>
      <c r="L38" s="567"/>
      <c r="M38" s="567"/>
      <c r="N38" s="567"/>
      <c r="O38" s="472"/>
      <c r="P38" s="472"/>
      <c r="Q38" s="472"/>
      <c r="R38" s="472"/>
      <c r="S38" s="472"/>
      <c r="T38" s="472"/>
      <c r="U38" s="33"/>
      <c r="V38" s="470"/>
    </row>
    <row r="39" spans="1:22" x14ac:dyDescent="0.25">
      <c r="A39" s="442"/>
      <c r="B39" s="114" t="s">
        <v>265</v>
      </c>
      <c r="C39" s="121"/>
      <c r="D39" s="283"/>
      <c r="E39" s="567"/>
      <c r="F39" s="567"/>
      <c r="G39" s="567"/>
      <c r="H39" s="567"/>
      <c r="I39" s="567"/>
      <c r="J39" s="567"/>
      <c r="K39" s="567"/>
      <c r="L39" s="567"/>
      <c r="M39" s="567"/>
      <c r="N39" s="567"/>
      <c r="O39" s="472"/>
      <c r="P39" s="472"/>
      <c r="Q39" s="472"/>
      <c r="R39" s="472"/>
      <c r="S39" s="472"/>
      <c r="T39" s="472"/>
      <c r="U39" s="33"/>
      <c r="V39" s="470"/>
    </row>
    <row r="40" spans="1:22" x14ac:dyDescent="0.25">
      <c r="A40" s="442"/>
      <c r="B40" s="31" t="s">
        <v>258</v>
      </c>
      <c r="C40" s="576">
        <v>3781</v>
      </c>
      <c r="D40" s="283"/>
      <c r="E40" s="567"/>
      <c r="F40" s="567"/>
      <c r="G40" s="567"/>
      <c r="H40" s="567"/>
      <c r="I40" s="567"/>
      <c r="J40" s="567"/>
      <c r="K40" s="567"/>
      <c r="L40" s="567"/>
      <c r="M40" s="567"/>
      <c r="N40" s="567"/>
      <c r="O40" s="472"/>
      <c r="P40" s="472"/>
      <c r="Q40" s="472"/>
      <c r="R40" s="472"/>
      <c r="S40" s="472"/>
      <c r="T40" s="472"/>
      <c r="U40" s="33"/>
      <c r="V40" s="470"/>
    </row>
    <row r="41" spans="1:22" ht="16.5" thickBot="1" x14ac:dyDescent="0.3">
      <c r="A41" s="442"/>
      <c r="B41" s="31" t="s">
        <v>259</v>
      </c>
      <c r="C41" s="576">
        <f>651005781/10^6</f>
        <v>651.00578099999996</v>
      </c>
      <c r="D41" s="283"/>
      <c r="E41" s="567"/>
      <c r="F41" s="567"/>
      <c r="G41" s="567"/>
      <c r="H41" s="567"/>
      <c r="I41" s="567"/>
      <c r="J41" s="567"/>
      <c r="K41" s="567"/>
      <c r="L41" s="567"/>
      <c r="M41" s="567"/>
      <c r="N41" s="567"/>
      <c r="O41" s="472"/>
      <c r="P41" s="472"/>
      <c r="Q41" s="472"/>
      <c r="R41" s="472"/>
      <c r="S41" s="472"/>
      <c r="T41" s="472"/>
      <c r="U41" s="33"/>
      <c r="V41" s="470"/>
    </row>
    <row r="42" spans="1:22" ht="16.5" thickTop="1" x14ac:dyDescent="0.25">
      <c r="A42" s="442"/>
      <c r="B42" s="111" t="s">
        <v>260</v>
      </c>
      <c r="C42" s="112">
        <f>C40*C41</f>
        <v>2461452.8579609999</v>
      </c>
      <c r="D42" s="283"/>
      <c r="E42" s="567"/>
      <c r="F42" s="567"/>
      <c r="G42" s="567"/>
      <c r="H42" s="567"/>
      <c r="I42" s="567"/>
      <c r="J42" s="567"/>
      <c r="K42" s="567"/>
      <c r="L42" s="567"/>
      <c r="M42" s="567"/>
      <c r="N42" s="567"/>
      <c r="O42" s="472"/>
      <c r="P42" s="472"/>
      <c r="Q42" s="472"/>
      <c r="R42" s="472"/>
      <c r="S42" s="472"/>
      <c r="T42" s="472"/>
      <c r="U42" s="33"/>
      <c r="V42" s="470"/>
    </row>
    <row r="43" spans="1:22" ht="5.0999999999999996" customHeight="1" x14ac:dyDescent="0.25">
      <c r="A43" s="442"/>
      <c r="B43" s="31"/>
      <c r="C43" s="121"/>
      <c r="D43" s="283"/>
      <c r="E43" s="567"/>
      <c r="F43" s="567"/>
      <c r="G43" s="567"/>
      <c r="H43" s="567"/>
      <c r="I43" s="567"/>
      <c r="J43" s="567"/>
      <c r="K43" s="567"/>
      <c r="L43" s="567"/>
      <c r="M43" s="567"/>
      <c r="N43" s="567"/>
      <c r="O43" s="472"/>
      <c r="P43" s="472"/>
      <c r="Q43" s="472"/>
      <c r="R43" s="472"/>
      <c r="S43" s="472"/>
      <c r="T43" s="472"/>
      <c r="U43" s="33"/>
      <c r="V43" s="470"/>
    </row>
    <row r="44" spans="1:22" x14ac:dyDescent="0.25">
      <c r="A44" s="442"/>
      <c r="B44" s="31" t="s">
        <v>261</v>
      </c>
      <c r="C44" s="121">
        <f>BS!I46+BS!I54</f>
        <v>14597.2</v>
      </c>
      <c r="D44" s="283"/>
      <c r="E44" s="567"/>
      <c r="F44" s="567"/>
      <c r="G44" s="567"/>
      <c r="H44" s="567"/>
      <c r="I44" s="567"/>
      <c r="J44" s="567"/>
      <c r="K44" s="567"/>
      <c r="L44" s="567"/>
      <c r="M44" s="567"/>
      <c r="N44" s="567"/>
      <c r="O44" s="472"/>
      <c r="P44" s="472"/>
      <c r="Q44" s="472"/>
      <c r="R44" s="472"/>
      <c r="S44" s="472"/>
      <c r="T44" s="472"/>
      <c r="U44" s="33"/>
      <c r="V44" s="470"/>
    </row>
    <row r="45" spans="1:22" ht="16.5" thickBot="1" x14ac:dyDescent="0.3">
      <c r="A45" s="442"/>
      <c r="B45" s="31" t="s">
        <v>262</v>
      </c>
      <c r="C45" s="121">
        <f>'Cash flow statement'!I71</f>
        <v>-965.6</v>
      </c>
      <c r="D45" s="283"/>
      <c r="E45" s="567"/>
      <c r="F45" s="567"/>
      <c r="G45" s="567"/>
      <c r="H45" s="567"/>
      <c r="I45" s="567"/>
      <c r="J45" s="567"/>
      <c r="K45" s="567"/>
      <c r="L45" s="567"/>
      <c r="M45" s="567"/>
      <c r="N45" s="567"/>
      <c r="O45" s="472"/>
      <c r="P45" s="472"/>
      <c r="Q45" s="472"/>
      <c r="R45" s="472"/>
      <c r="S45" s="472"/>
      <c r="T45" s="472"/>
      <c r="U45" s="33"/>
      <c r="V45" s="470"/>
    </row>
    <row r="46" spans="1:22" ht="16.5" thickTop="1" x14ac:dyDescent="0.25">
      <c r="A46" s="442"/>
      <c r="B46" s="111" t="s">
        <v>263</v>
      </c>
      <c r="C46" s="112">
        <f>C44-C45</f>
        <v>15562.800000000001</v>
      </c>
      <c r="D46" s="283"/>
      <c r="E46" s="567"/>
      <c r="F46" s="567"/>
      <c r="G46" s="567"/>
      <c r="H46" s="567"/>
      <c r="I46" s="567"/>
      <c r="J46" s="567"/>
      <c r="K46" s="567"/>
      <c r="L46" s="567"/>
      <c r="M46" s="567"/>
      <c r="N46" s="567"/>
      <c r="O46" s="472"/>
      <c r="P46" s="472"/>
      <c r="Q46" s="472"/>
      <c r="R46" s="472"/>
      <c r="S46" s="472"/>
      <c r="T46" s="472"/>
      <c r="U46" s="33"/>
      <c r="V46" s="470"/>
    </row>
    <row r="47" spans="1:22" ht="5.0999999999999996" customHeight="1" thickBot="1" x14ac:dyDescent="0.3">
      <c r="A47" s="442"/>
      <c r="B47" s="31"/>
      <c r="C47" s="121"/>
      <c r="D47" s="283"/>
      <c r="E47" s="567"/>
      <c r="F47" s="567"/>
      <c r="G47" s="567"/>
      <c r="H47" s="567"/>
      <c r="I47" s="567"/>
      <c r="J47" s="567"/>
      <c r="K47" s="567"/>
      <c r="L47" s="567"/>
      <c r="M47" s="567"/>
      <c r="N47" s="567"/>
      <c r="O47" s="472"/>
      <c r="P47" s="472"/>
      <c r="Q47" s="472"/>
      <c r="R47" s="472"/>
      <c r="S47" s="472"/>
      <c r="T47" s="472"/>
      <c r="U47" s="33"/>
      <c r="V47" s="470"/>
    </row>
    <row r="48" spans="1:22" ht="17.25" thickTop="1" thickBot="1" x14ac:dyDescent="0.3">
      <c r="A48" s="442"/>
      <c r="B48" s="39" t="s">
        <v>264</v>
      </c>
      <c r="C48" s="110">
        <f>C42+C46</f>
        <v>2477015.6579609998</v>
      </c>
      <c r="D48" s="283"/>
      <c r="E48" s="567"/>
      <c r="F48" s="567"/>
      <c r="G48" s="567"/>
      <c r="H48" s="567"/>
      <c r="I48" s="567"/>
      <c r="J48" s="567"/>
      <c r="K48" s="567"/>
      <c r="L48" s="567"/>
      <c r="M48" s="567"/>
      <c r="N48" s="567"/>
      <c r="O48" s="472"/>
      <c r="P48" s="472"/>
      <c r="Q48" s="472"/>
      <c r="R48" s="472"/>
      <c r="S48" s="472"/>
      <c r="T48" s="472"/>
      <c r="U48" s="33"/>
      <c r="V48" s="470"/>
    </row>
    <row r="49" spans="1:22" ht="5.0999999999999996" customHeight="1" thickTop="1" x14ac:dyDescent="0.25">
      <c r="A49" s="442"/>
      <c r="B49" s="31"/>
      <c r="C49" s="121"/>
      <c r="D49" s="283"/>
      <c r="E49" s="567"/>
      <c r="F49" s="567"/>
      <c r="G49" s="567"/>
      <c r="H49" s="567"/>
      <c r="I49" s="567"/>
      <c r="J49" s="567"/>
      <c r="K49" s="567"/>
      <c r="L49" s="567"/>
      <c r="M49" s="567"/>
      <c r="N49" s="567"/>
      <c r="O49" s="472"/>
      <c r="P49" s="472"/>
      <c r="Q49" s="472"/>
      <c r="R49" s="472"/>
      <c r="S49" s="472"/>
      <c r="T49" s="472"/>
      <c r="U49" s="33"/>
      <c r="V49" s="470"/>
    </row>
    <row r="50" spans="1:22" x14ac:dyDescent="0.25">
      <c r="A50" s="442"/>
      <c r="B50" s="31" t="s">
        <v>272</v>
      </c>
      <c r="C50" s="578">
        <f ca="1">TODAY()</f>
        <v>46269</v>
      </c>
      <c r="D50" s="283"/>
      <c r="E50" s="567"/>
      <c r="F50" s="567"/>
      <c r="G50" s="567"/>
      <c r="H50" s="567"/>
      <c r="I50" s="567"/>
      <c r="J50" s="567"/>
      <c r="K50" s="567"/>
      <c r="L50" s="567"/>
      <c r="M50" s="567"/>
      <c r="N50" s="567"/>
      <c r="O50" s="472"/>
      <c r="P50" s="472"/>
      <c r="Q50" s="472"/>
      <c r="R50" s="472"/>
      <c r="S50" s="472"/>
      <c r="T50" s="472"/>
      <c r="U50" s="33"/>
      <c r="V50" s="470"/>
    </row>
    <row r="51" spans="1:22" x14ac:dyDescent="0.25">
      <c r="A51" s="442"/>
      <c r="B51" s="31" t="s">
        <v>274</v>
      </c>
      <c r="C51" s="121">
        <v>360</v>
      </c>
      <c r="D51" s="283"/>
      <c r="E51" s="567"/>
      <c r="F51" s="567"/>
      <c r="G51" s="567"/>
      <c r="H51" s="567"/>
      <c r="I51" s="567"/>
      <c r="J51" s="567"/>
      <c r="K51" s="567"/>
      <c r="L51" s="567"/>
      <c r="M51" s="567"/>
      <c r="N51" s="567"/>
      <c r="O51" s="472"/>
      <c r="P51" s="472"/>
      <c r="Q51" s="472"/>
      <c r="R51" s="472"/>
      <c r="S51" s="472"/>
      <c r="T51" s="472"/>
      <c r="U51" s="33"/>
      <c r="V51" s="470"/>
    </row>
    <row r="52" spans="1:22" x14ac:dyDescent="0.25">
      <c r="A52" s="442"/>
      <c r="B52" s="31" t="s">
        <v>273</v>
      </c>
      <c r="C52" s="121">
        <v>0</v>
      </c>
      <c r="D52" s="283"/>
      <c r="E52" s="579">
        <f t="shared" ref="E52:N52" ca="1" si="4">E5-$C$50</f>
        <v>208</v>
      </c>
      <c r="F52" s="579">
        <f t="shared" ca="1" si="4"/>
        <v>574</v>
      </c>
      <c r="G52" s="579">
        <f t="shared" ca="1" si="4"/>
        <v>939</v>
      </c>
      <c r="H52" s="579">
        <f t="shared" ca="1" si="4"/>
        <v>1304</v>
      </c>
      <c r="I52" s="579">
        <f t="shared" ca="1" si="4"/>
        <v>1669</v>
      </c>
      <c r="J52" s="579">
        <f t="shared" ca="1" si="4"/>
        <v>2035</v>
      </c>
      <c r="K52" s="579">
        <f t="shared" ca="1" si="4"/>
        <v>2400</v>
      </c>
      <c r="L52" s="579">
        <f t="shared" ca="1" si="4"/>
        <v>2765</v>
      </c>
      <c r="M52" s="579">
        <f t="shared" ca="1" si="4"/>
        <v>3130</v>
      </c>
      <c r="N52" s="579">
        <f t="shared" ca="1" si="4"/>
        <v>3496</v>
      </c>
      <c r="O52" s="472"/>
      <c r="P52" s="472"/>
      <c r="Q52" s="472"/>
      <c r="R52" s="472"/>
      <c r="S52" s="472"/>
      <c r="T52" s="33"/>
      <c r="U52" s="33"/>
      <c r="V52" s="470"/>
    </row>
    <row r="53" spans="1:22" x14ac:dyDescent="0.25">
      <c r="A53" s="442"/>
      <c r="B53" s="31" t="s">
        <v>275</v>
      </c>
      <c r="C53" s="121">
        <v>0</v>
      </c>
      <c r="D53" s="283"/>
      <c r="E53" s="579">
        <f t="shared" ref="E53:N53" ca="1" si="5">E52/$C$51</f>
        <v>0.57777777777777772</v>
      </c>
      <c r="F53" s="579">
        <f t="shared" ca="1" si="5"/>
        <v>1.5944444444444446</v>
      </c>
      <c r="G53" s="579">
        <f t="shared" ca="1" si="5"/>
        <v>2.6083333333333334</v>
      </c>
      <c r="H53" s="579">
        <f t="shared" ca="1" si="5"/>
        <v>3.6222222222222222</v>
      </c>
      <c r="I53" s="579">
        <f t="shared" ca="1" si="5"/>
        <v>4.6361111111111111</v>
      </c>
      <c r="J53" s="579">
        <f t="shared" ca="1" si="5"/>
        <v>5.6527777777777777</v>
      </c>
      <c r="K53" s="579">
        <f t="shared" ca="1" si="5"/>
        <v>6.666666666666667</v>
      </c>
      <c r="L53" s="579">
        <f t="shared" ca="1" si="5"/>
        <v>7.6805555555555554</v>
      </c>
      <c r="M53" s="579">
        <f t="shared" ca="1" si="5"/>
        <v>8.6944444444444446</v>
      </c>
      <c r="N53" s="579">
        <f t="shared" ca="1" si="5"/>
        <v>9.7111111111111104</v>
      </c>
      <c r="O53" s="472"/>
      <c r="P53" s="33"/>
      <c r="Q53" s="33"/>
      <c r="R53" s="472"/>
      <c r="S53" s="472"/>
      <c r="T53" s="472"/>
      <c r="U53" s="33"/>
      <c r="V53" s="470"/>
    </row>
    <row r="54" spans="1:22" ht="15.75" customHeight="1" thickBot="1" x14ac:dyDescent="0.3">
      <c r="A54" s="465"/>
      <c r="B54" s="580"/>
      <c r="C54" s="581"/>
      <c r="D54" s="581"/>
      <c r="E54" s="581"/>
      <c r="F54" s="581"/>
      <c r="G54" s="581"/>
      <c r="H54" s="581"/>
      <c r="I54" s="581"/>
      <c r="J54" s="467"/>
      <c r="K54" s="467"/>
      <c r="L54" s="467"/>
      <c r="M54" s="467"/>
      <c r="N54" s="467"/>
      <c r="O54" s="467"/>
      <c r="P54" s="467"/>
      <c r="Q54" s="467"/>
      <c r="R54" s="467"/>
      <c r="S54" s="467"/>
      <c r="T54" s="467"/>
      <c r="U54" s="467"/>
      <c r="V54" s="481"/>
    </row>
    <row r="55" spans="1:22" ht="15.75" customHeight="1" thickTop="1" x14ac:dyDescent="0.25"/>
    <row r="56" spans="1:22" ht="15.75" customHeight="1" x14ac:dyDescent="0.25"/>
    <row r="57" spans="1:22" ht="15.75" customHeight="1" x14ac:dyDescent="0.25"/>
    <row r="58" spans="1:22" ht="5.0999999999999996" customHeight="1" x14ac:dyDescent="0.25">
      <c r="B58" s="119"/>
      <c r="C58" s="116"/>
      <c r="D58" s="116"/>
      <c r="E58" s="116"/>
      <c r="F58" s="116"/>
      <c r="G58" s="116"/>
      <c r="H58" s="116"/>
      <c r="I58" s="116"/>
    </row>
  </sheetData>
  <sheetProtection sheet="1" objects="1" scenarios="1" selectLockedCells="1"/>
  <mergeCells count="4">
    <mergeCell ref="Q5:U6"/>
    <mergeCell ref="P5:P6"/>
    <mergeCell ref="B2:U3"/>
    <mergeCell ref="P23:P24"/>
  </mergeCells>
  <dataValidations count="1">
    <dataValidation type="list" allowBlank="1" showInputMessage="1" showErrorMessage="1" sqref="R23:R24">
      <formula1>$Q$16:$U$16</formula1>
    </dataValidation>
  </dataValidations>
  <pageMargins left="0.25" right="0.25" top="0.75" bottom="0.75" header="0.3" footer="0.3"/>
  <pageSetup paperSize="9" scale="46"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890B0C-72E7-4F0A-9D86-9001B5136D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13</vt:i4>
      </vt:variant>
    </vt:vector>
  </HeadingPairs>
  <TitlesOfParts>
    <vt:vector size="27" baseType="lpstr">
      <vt:lpstr>Revenue driver</vt:lpstr>
      <vt:lpstr>Working Capital</vt:lpstr>
      <vt:lpstr>Schedules</vt:lpstr>
      <vt:lpstr>Data_Sheet</vt:lpstr>
      <vt:lpstr>Front Page</vt:lpstr>
      <vt:lpstr>Index</vt:lpstr>
      <vt:lpstr>Introduction</vt:lpstr>
      <vt:lpstr>Operating and Financial Summary</vt:lpstr>
      <vt:lpstr>Common Size Statements</vt:lpstr>
      <vt:lpstr>Ratio Analysis</vt:lpstr>
      <vt:lpstr>P &amp; L</vt:lpstr>
      <vt:lpstr>BS</vt:lpstr>
      <vt:lpstr>Cash flow statement</vt:lpstr>
      <vt:lpstr>DCF Valuation</vt:lpstr>
      <vt:lpstr>BS!Print_Area</vt:lpstr>
      <vt:lpstr>'Cash flow statement'!Print_Area</vt:lpstr>
      <vt:lpstr>'Common Size Statements'!Print_Area</vt:lpstr>
      <vt:lpstr>'DCF Valuation'!Print_Area</vt:lpstr>
      <vt:lpstr>'Front Page'!Print_Area</vt:lpstr>
      <vt:lpstr>Index!Print_Area</vt:lpstr>
      <vt:lpstr>Introduction!Print_Area</vt:lpstr>
      <vt:lpstr>'Operating and Financial Summary'!Print_Area</vt:lpstr>
      <vt:lpstr>'P &amp; L'!Print_Area</vt:lpstr>
      <vt:lpstr>'Ratio Analysis'!Print_Area</vt:lpstr>
      <vt:lpstr>'Revenue driver'!Print_Area</vt:lpstr>
      <vt:lpstr>Schedules!Print_Area</vt:lpstr>
      <vt:lpstr>'Working Capital'!Print_Area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Pranesh MK</dc:creator>
  <cp:lastModifiedBy>Pranesh MK</cp:lastModifiedBy>
  <cp:lastPrinted>2026-09-04T10:47:48Z</cp:lastPrinted>
  <dcterms:created xsi:type="dcterms:W3CDTF">2026-04-15T05:50:10Z</dcterms:created>
  <dcterms:modified xsi:type="dcterms:W3CDTF">2026-09-04T10:48:30Z</dcterms:modified>
</cp:coreProperties>
</file>