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codeName="ThisWorkbook" defaultThemeVersion="124226"/>
  <bookViews>
    <workbookView xWindow="240" yWindow="165" windowWidth="14805" windowHeight="7950" tabRatio="814" activeTab="3"/>
  </bookViews>
  <sheets>
    <sheet name="Input" sheetId="12" r:id="rId1"/>
    <sheet name="Pile Reaction Check" sheetId="7" r:id="rId2"/>
    <sheet name="Staad Stress Resulsts" sheetId="6" r:id="rId3"/>
    <sheet name="Flexure" sheetId="10" r:id="rId4"/>
    <sheet name="Punching Shear" sheetId="11" r:id="rId5"/>
    <sheet name="Crack Width" sheetId="5" r:id="rId6"/>
    <sheet name="One Way Shear" sheetId="9" state="hidden" r:id="rId7"/>
    <sheet name="SUMMARY " sheetId="16" r:id="rId8"/>
    <sheet name="Pile Capacities" sheetId="15" r:id="rId9"/>
    <sheet name="Sheet1" sheetId="13" r:id="rId10"/>
  </sheets>
  <externalReferences>
    <externalReference r:id="rId11"/>
    <externalReference r:id="rId12"/>
    <externalReference r:id="rId13"/>
  </externalReferences>
  <definedNames>
    <definedName name="\A">[1]DESIGN!#REF!</definedName>
    <definedName name="\B" localSheetId="0">Input!#REF!</definedName>
    <definedName name="\B">#REF!</definedName>
    <definedName name="\R" localSheetId="0">Input!#REF!</definedName>
    <definedName name="\R">#REF!</definedName>
    <definedName name="\S" localSheetId="0">Input!#REF!</definedName>
    <definedName name="\S">#REF!</definedName>
    <definedName name="_A">[1]DESIGN!#REF!</definedName>
    <definedName name="_Dist_Bin" localSheetId="0" hidden="1">Input!#REF!</definedName>
    <definedName name="_Dist_Bin" hidden="1">#REF!</definedName>
    <definedName name="_Dist_Values" localSheetId="0" hidden="1">Input!$H$25:$H$54</definedName>
    <definedName name="_Dist_Values" hidden="1">#REF!</definedName>
    <definedName name="_R" localSheetId="0">Input!#REF!</definedName>
    <definedName name="_R">#REF!</definedName>
    <definedName name="AB">#REF!</definedName>
    <definedName name="_xlnm.Print_Area" localSheetId="5">'Crack Width'!$A$1:$I$69</definedName>
    <definedName name="_xlnm.Print_Area" localSheetId="3">Flexure!$A$1:$J$178</definedName>
    <definedName name="_xlnm.Print_Area" localSheetId="0">Input!$A$1:$U$96</definedName>
    <definedName name="_xlnm.Print_Area" localSheetId="6">'One Way Shear'!$A$1:$N$61</definedName>
    <definedName name="_xlnm.Print_Area" localSheetId="1">'Pile Reaction Check'!$A$1:$K$75</definedName>
    <definedName name="_xlnm.Print_Area" localSheetId="4">'Punching Shear'!$A$1:$M$51</definedName>
    <definedName name="_xlnm.Print_Area" localSheetId="2">'Staad Stress Resulsts'!$A$1:$O$69</definedName>
    <definedName name="_xlnm.Print_Titles" localSheetId="3">Flexure!$1:$7</definedName>
    <definedName name="_xlnm.Print_Titles" localSheetId="0">Input!$1:$6</definedName>
    <definedName name="Print_Titles_MI" localSheetId="3">Flexure!#REF!</definedName>
    <definedName name="Print_Titles_MI" localSheetId="0">Input!#REF!</definedName>
    <definedName name="Z_740F6700_D24D_484C_9147_4B229BD04038_.wvu.PrintArea" localSheetId="0" hidden="1">Input!$A$1:$K$96</definedName>
    <definedName name="Z_740F6700_D24D_484C_9147_4B229BD04038_.wvu.PrintTitles" localSheetId="0" hidden="1">Input!$1:$6</definedName>
  </definedNames>
  <calcPr calcId="145621"/>
</workbook>
</file>

<file path=xl/calcChain.xml><?xml version="1.0" encoding="utf-8"?>
<calcChain xmlns="http://schemas.openxmlformats.org/spreadsheetml/2006/main">
  <c r="G145" i="10" l="1"/>
  <c r="E28" i="7" l="1"/>
  <c r="E30" i="7" s="1"/>
  <c r="E29" i="7"/>
  <c r="E31" i="7" s="1"/>
  <c r="E35" i="7"/>
  <c r="E36" i="7"/>
  <c r="E38" i="7" s="1"/>
  <c r="E37" i="7"/>
  <c r="E41" i="7"/>
  <c r="E42" i="7"/>
  <c r="E43" i="7"/>
  <c r="E44" i="7"/>
  <c r="G64" i="5" l="1"/>
  <c r="L5" i="6"/>
  <c r="O64" i="6" l="1"/>
  <c r="N64" i="6"/>
  <c r="M64" i="6"/>
  <c r="L64" i="6"/>
  <c r="O63" i="6"/>
  <c r="N63" i="6"/>
  <c r="M63" i="6"/>
  <c r="L63" i="6"/>
  <c r="O62" i="6"/>
  <c r="N62" i="6"/>
  <c r="M62" i="6"/>
  <c r="L62" i="6"/>
  <c r="O61" i="6"/>
  <c r="N61" i="6"/>
  <c r="M61" i="6"/>
  <c r="L61" i="6"/>
  <c r="O60" i="6"/>
  <c r="N60" i="6"/>
  <c r="M60" i="6"/>
  <c r="L60" i="6"/>
  <c r="O59" i="6"/>
  <c r="N59" i="6"/>
  <c r="M59" i="6"/>
  <c r="L59" i="6"/>
  <c r="O58" i="6"/>
  <c r="N58" i="6"/>
  <c r="M58" i="6"/>
  <c r="L58" i="6"/>
  <c r="O57" i="6"/>
  <c r="N57" i="6"/>
  <c r="M57" i="6"/>
  <c r="L57" i="6"/>
  <c r="O56" i="6"/>
  <c r="N56" i="6"/>
  <c r="M56" i="6"/>
  <c r="L56" i="6"/>
  <c r="O55" i="6"/>
  <c r="N55" i="6"/>
  <c r="M55" i="6"/>
  <c r="L55" i="6"/>
  <c r="O54" i="6"/>
  <c r="N54" i="6"/>
  <c r="M54" i="6"/>
  <c r="L54" i="6"/>
  <c r="O53" i="6"/>
  <c r="N53" i="6"/>
  <c r="M53" i="6"/>
  <c r="L53" i="6"/>
  <c r="O52" i="6"/>
  <c r="N52" i="6"/>
  <c r="M52" i="6"/>
  <c r="L52" i="6"/>
  <c r="O51" i="6"/>
  <c r="N51" i="6"/>
  <c r="M51" i="6"/>
  <c r="L51" i="6"/>
  <c r="O50" i="6"/>
  <c r="N50" i="6"/>
  <c r="M50" i="6"/>
  <c r="L50" i="6"/>
  <c r="O49" i="6"/>
  <c r="O65" i="6" s="1"/>
  <c r="N49" i="6"/>
  <c r="N65" i="6" s="1"/>
  <c r="M49" i="6"/>
  <c r="M65" i="6" s="1"/>
  <c r="L49" i="6"/>
  <c r="L65" i="6" s="1"/>
  <c r="L66" i="6" l="1"/>
  <c r="N66" i="6"/>
  <c r="M66" i="6"/>
  <c r="O66" i="6"/>
  <c r="L52" i="5" l="1"/>
  <c r="C51" i="5" s="1"/>
  <c r="L50" i="5"/>
  <c r="C50" i="5" s="1"/>
  <c r="L53" i="5"/>
  <c r="C53" i="5" s="1"/>
  <c r="L51" i="5"/>
  <c r="C52" i="5" s="1"/>
  <c r="H90" i="12"/>
  <c r="H92" i="12" l="1"/>
  <c r="E53" i="7" s="1"/>
  <c r="F53" i="7" s="1"/>
  <c r="H93" i="12"/>
  <c r="V16" i="15"/>
  <c r="V15" i="15"/>
  <c r="V11" i="15"/>
  <c r="V12" i="15"/>
  <c r="V13" i="15"/>
  <c r="V14" i="15"/>
  <c r="V10" i="15"/>
  <c r="U11" i="15"/>
  <c r="U12" i="15"/>
  <c r="U13" i="15"/>
  <c r="U14" i="15"/>
  <c r="U15" i="15"/>
  <c r="U16" i="15"/>
  <c r="U10" i="15"/>
  <c r="T11" i="15"/>
  <c r="T12" i="15"/>
  <c r="T13" i="15"/>
  <c r="T14" i="15"/>
  <c r="T15" i="15"/>
  <c r="T16" i="15"/>
  <c r="T10" i="15"/>
  <c r="S11" i="15"/>
  <c r="S12" i="15"/>
  <c r="S13" i="15"/>
  <c r="S14" i="15"/>
  <c r="S15" i="15"/>
  <c r="S16" i="15"/>
  <c r="S10" i="15"/>
  <c r="R11" i="15"/>
  <c r="R12" i="15"/>
  <c r="R13" i="15"/>
  <c r="R14" i="15"/>
  <c r="R15" i="15"/>
  <c r="R16" i="15"/>
  <c r="R10" i="15"/>
  <c r="Q11" i="15"/>
  <c r="Q12" i="15"/>
  <c r="Q13" i="15"/>
  <c r="Q14" i="15"/>
  <c r="Q15" i="15"/>
  <c r="Q16" i="15"/>
  <c r="Q10" i="15"/>
  <c r="H33" i="12" l="1"/>
  <c r="H23" i="12"/>
  <c r="H24" i="12" s="1"/>
  <c r="B26" i="16" l="1"/>
  <c r="B5" i="16" l="1"/>
  <c r="B4" i="16"/>
  <c r="E14" i="16"/>
  <c r="E13" i="16"/>
  <c r="E12" i="16"/>
  <c r="E11" i="16"/>
  <c r="H53" i="5"/>
  <c r="D14" i="16" s="1"/>
  <c r="H52" i="5"/>
  <c r="D13" i="16" s="1"/>
  <c r="H51" i="5"/>
  <c r="D12" i="16" s="1"/>
  <c r="H50" i="5"/>
  <c r="D11" i="16" s="1"/>
  <c r="H18" i="5"/>
  <c r="G59" i="5"/>
  <c r="G169" i="10" l="1"/>
  <c r="G51" i="5" s="1"/>
  <c r="C12" i="16" l="1"/>
  <c r="G53" i="15"/>
  <c r="G26" i="15" l="1"/>
  <c r="G25" i="15"/>
  <c r="G24" i="15"/>
  <c r="Q16" i="7"/>
  <c r="Q12" i="7" l="1"/>
  <c r="R12" i="7"/>
  <c r="Q13" i="7" l="1"/>
  <c r="R17" i="7" l="1"/>
  <c r="R16" i="7"/>
  <c r="R13" i="7"/>
  <c r="Q17" i="7"/>
  <c r="N53" i="7" l="1"/>
  <c r="N54" i="7"/>
  <c r="N55" i="7"/>
  <c r="N56" i="7"/>
  <c r="N57" i="7"/>
  <c r="N58" i="7"/>
  <c r="N59" i="7"/>
  <c r="N60" i="7"/>
  <c r="N61" i="7"/>
  <c r="N62" i="7"/>
  <c r="N63" i="7"/>
  <c r="N52" i="7"/>
  <c r="N40" i="7"/>
  <c r="N41" i="7"/>
  <c r="N42" i="7"/>
  <c r="N43" i="7"/>
  <c r="N44" i="7"/>
  <c r="N45" i="7"/>
  <c r="N46" i="7"/>
  <c r="N47" i="7"/>
  <c r="N48" i="7"/>
  <c r="N49" i="7"/>
  <c r="N50" i="7"/>
  <c r="N38" i="7"/>
  <c r="M53" i="7"/>
  <c r="M54" i="7"/>
  <c r="M55" i="7"/>
  <c r="M56" i="7"/>
  <c r="M57" i="7"/>
  <c r="M58" i="7"/>
  <c r="M59" i="7"/>
  <c r="M60" i="7"/>
  <c r="M61" i="7"/>
  <c r="M62" i="7"/>
  <c r="M63" i="7"/>
  <c r="M52" i="7"/>
  <c r="M40" i="7"/>
  <c r="M41" i="7"/>
  <c r="M42" i="7"/>
  <c r="M43" i="7"/>
  <c r="M44" i="7"/>
  <c r="M45" i="7"/>
  <c r="M46" i="7"/>
  <c r="M47" i="7"/>
  <c r="M48" i="7"/>
  <c r="M49" i="7"/>
  <c r="M50" i="7"/>
  <c r="M38" i="7"/>
  <c r="M13" i="7"/>
  <c r="M14" i="7"/>
  <c r="M15" i="7"/>
  <c r="M16" i="7"/>
  <c r="M17" i="7"/>
  <c r="M18" i="7"/>
  <c r="M19" i="7"/>
  <c r="M20" i="7"/>
  <c r="M21" i="7"/>
  <c r="M22" i="7"/>
  <c r="M23" i="7"/>
  <c r="M12" i="7"/>
  <c r="O23" i="7"/>
  <c r="O22" i="7"/>
  <c r="O21" i="7"/>
  <c r="O13" i="7"/>
  <c r="O14" i="7"/>
  <c r="O15" i="7"/>
  <c r="O16" i="7"/>
  <c r="O17" i="7"/>
  <c r="O18" i="7"/>
  <c r="O19" i="7"/>
  <c r="O20" i="7"/>
  <c r="N13" i="7"/>
  <c r="N14" i="7"/>
  <c r="N15" i="7"/>
  <c r="N16" i="7"/>
  <c r="N17" i="7"/>
  <c r="N18" i="7"/>
  <c r="N19" i="7"/>
  <c r="N20" i="7"/>
  <c r="N21" i="7"/>
  <c r="N22" i="7"/>
  <c r="N23" i="7"/>
  <c r="O12" i="7"/>
  <c r="N12" i="7"/>
  <c r="G11" i="15"/>
  <c r="K21" i="15"/>
  <c r="K19" i="15"/>
  <c r="G55" i="15" s="1"/>
  <c r="M36" i="7" l="1"/>
  <c r="M25" i="7"/>
  <c r="D55" i="11"/>
  <c r="M35" i="7" l="1"/>
  <c r="O25" i="7"/>
  <c r="N25" i="7"/>
  <c r="G65" i="15"/>
  <c r="K66" i="15" s="1"/>
  <c r="G66" i="15" s="1"/>
  <c r="Q28" i="6"/>
  <c r="R28" i="6"/>
  <c r="Q29" i="6"/>
  <c r="R29" i="6"/>
  <c r="Q30" i="6"/>
  <c r="R30" i="6"/>
  <c r="Q31" i="6"/>
  <c r="R31" i="6"/>
  <c r="Q32" i="6"/>
  <c r="R32" i="6"/>
  <c r="Q33" i="6"/>
  <c r="R33" i="6"/>
  <c r="Q34" i="6"/>
  <c r="R34" i="6"/>
  <c r="Q35" i="6"/>
  <c r="R35" i="6"/>
  <c r="Q36" i="6"/>
  <c r="R36" i="6"/>
  <c r="Q37" i="6"/>
  <c r="R37" i="6"/>
  <c r="Q38" i="6"/>
  <c r="R38" i="6"/>
  <c r="Q39" i="6"/>
  <c r="R39" i="6"/>
  <c r="Q40" i="6"/>
  <c r="R40" i="6"/>
  <c r="Q41" i="6"/>
  <c r="R41" i="6"/>
  <c r="Q42" i="6"/>
  <c r="R42" i="6"/>
  <c r="R27" i="6"/>
  <c r="Q27" i="6"/>
  <c r="E48" i="11" s="1"/>
  <c r="A21" i="16" s="1"/>
  <c r="H80" i="12"/>
  <c r="H81" i="12" l="1"/>
  <c r="E46" i="7"/>
  <c r="P25" i="7"/>
  <c r="E28" i="5"/>
  <c r="B6" i="16"/>
  <c r="Q25" i="6"/>
  <c r="F50" i="9" s="1"/>
  <c r="J80" i="12"/>
  <c r="G69" i="15"/>
  <c r="E69" i="7"/>
  <c r="E59" i="7" l="1"/>
  <c r="E62" i="7" s="1"/>
  <c r="F62" i="7" s="1"/>
  <c r="E50" i="7"/>
  <c r="G57" i="15" s="1"/>
  <c r="K58" i="15" s="1"/>
  <c r="G58" i="15" s="1"/>
  <c r="E51" i="7" s="1"/>
  <c r="E54" i="7" s="1"/>
  <c r="F54" i="7" s="1"/>
  <c r="G61" i="15"/>
  <c r="K62" i="15" s="1"/>
  <c r="G62" i="15" s="1"/>
  <c r="E60" i="7" s="1"/>
  <c r="E63" i="7" s="1"/>
  <c r="F63" i="7" s="1"/>
  <c r="K70" i="15"/>
  <c r="G70" i="15" s="1"/>
  <c r="E72" i="7" s="1"/>
  <c r="E73" i="7" s="1"/>
  <c r="F73" i="7" s="1"/>
  <c r="E70" i="7"/>
  <c r="F70" i="7" s="1"/>
  <c r="I56" i="11"/>
  <c r="I20" i="11"/>
  <c r="I10" i="11"/>
  <c r="D61" i="11" s="1"/>
  <c r="I33" i="9"/>
  <c r="G154" i="10"/>
  <c r="G50" i="5" s="1"/>
  <c r="C11" i="16" l="1"/>
  <c r="C96" i="10"/>
  <c r="J79" i="12" l="1"/>
  <c r="J78" i="12"/>
  <c r="J70" i="12"/>
  <c r="J69" i="12"/>
  <c r="H68" i="12"/>
  <c r="J81" i="12" s="1"/>
  <c r="J67" i="12"/>
  <c r="J66" i="12"/>
  <c r="J65" i="12"/>
  <c r="H37" i="12"/>
  <c r="H36" i="12"/>
  <c r="I30" i="12"/>
  <c r="J29" i="12"/>
  <c r="H27" i="12"/>
  <c r="E50" i="5" l="1"/>
  <c r="E51" i="5" s="1"/>
  <c r="E52" i="5" s="1"/>
  <c r="E53" i="5" s="1"/>
  <c r="H20" i="5"/>
  <c r="AA37" i="12"/>
  <c r="D4" i="9"/>
  <c r="D10" i="11"/>
  <c r="D12" i="11"/>
  <c r="D5" i="9"/>
  <c r="D59" i="9" s="1"/>
  <c r="D60" i="9" s="1"/>
  <c r="A32" i="16" s="1"/>
  <c r="H40" i="12"/>
  <c r="H41" i="12" s="1"/>
  <c r="D63" i="11" l="1"/>
  <c r="F45" i="11"/>
  <c r="D46" i="9"/>
  <c r="D49" i="9"/>
  <c r="D43" i="11" l="1"/>
  <c r="D46" i="11" s="1"/>
  <c r="D21" i="11"/>
  <c r="D18" i="11"/>
  <c r="D24" i="11" s="1"/>
  <c r="D14" i="11"/>
  <c r="D37" i="11" l="1"/>
  <c r="D56" i="11"/>
  <c r="D58" i="11" s="1"/>
  <c r="D66" i="11"/>
  <c r="D68" i="11" l="1"/>
  <c r="G63" i="11"/>
  <c r="F63" i="11" s="1"/>
  <c r="I63" i="11" l="1"/>
  <c r="G176" i="10"/>
  <c r="G162" i="10"/>
  <c r="G52" i="5" s="1"/>
  <c r="D33" i="11" l="1"/>
  <c r="G53" i="5"/>
  <c r="D32" i="11"/>
  <c r="D34" i="11" s="1"/>
  <c r="D36" i="11" s="1"/>
  <c r="C50" i="11" s="1"/>
  <c r="D26" i="9"/>
  <c r="F24" i="9" s="1"/>
  <c r="C13" i="16"/>
  <c r="C14" i="16"/>
  <c r="G68" i="11" l="1"/>
  <c r="F68" i="11" s="1"/>
  <c r="B21" i="16"/>
  <c r="D21" i="16" s="1"/>
  <c r="C24" i="9"/>
  <c r="D31" i="9"/>
  <c r="C98" i="10"/>
  <c r="C106" i="10" s="1"/>
  <c r="I68" i="11" l="1"/>
  <c r="B55" i="9"/>
  <c r="B52" i="9"/>
  <c r="D34" i="9"/>
  <c r="O41" i="6" l="1"/>
  <c r="N41" i="6"/>
  <c r="M41" i="6"/>
  <c r="L41" i="6"/>
  <c r="O40" i="6"/>
  <c r="N40" i="6"/>
  <c r="M40" i="6"/>
  <c r="L40" i="6"/>
  <c r="O39" i="6"/>
  <c r="N39" i="6"/>
  <c r="M39" i="6"/>
  <c r="L39" i="6"/>
  <c r="O38" i="6"/>
  <c r="N38" i="6"/>
  <c r="M38" i="6"/>
  <c r="L38" i="6"/>
  <c r="O37" i="6"/>
  <c r="N37" i="6"/>
  <c r="M37" i="6"/>
  <c r="L37" i="6"/>
  <c r="O36" i="6"/>
  <c r="N36" i="6"/>
  <c r="M36" i="6"/>
  <c r="L36" i="6"/>
  <c r="O35" i="6"/>
  <c r="N35" i="6"/>
  <c r="M35" i="6"/>
  <c r="L35" i="6"/>
  <c r="O34" i="6"/>
  <c r="N34" i="6"/>
  <c r="M34" i="6"/>
  <c r="L34" i="6"/>
  <c r="O33" i="6"/>
  <c r="N33" i="6"/>
  <c r="M33" i="6"/>
  <c r="L33" i="6"/>
  <c r="O32" i="6"/>
  <c r="N32" i="6"/>
  <c r="M32" i="6"/>
  <c r="L32" i="6"/>
  <c r="O31" i="6"/>
  <c r="N31" i="6"/>
  <c r="M31" i="6"/>
  <c r="L31" i="6"/>
  <c r="O30" i="6"/>
  <c r="N30" i="6"/>
  <c r="M30" i="6"/>
  <c r="L30" i="6"/>
  <c r="O29" i="6"/>
  <c r="N29" i="6"/>
  <c r="M29" i="6"/>
  <c r="L29" i="6"/>
  <c r="O28" i="6"/>
  <c r="N28" i="6"/>
  <c r="M28" i="6"/>
  <c r="L28" i="6"/>
  <c r="O27" i="6"/>
  <c r="N27" i="6"/>
  <c r="M27" i="6"/>
  <c r="L27" i="6"/>
  <c r="O26" i="6"/>
  <c r="O43" i="6" s="1"/>
  <c r="N26" i="6"/>
  <c r="M26" i="6"/>
  <c r="M43" i="6" s="1"/>
  <c r="L26" i="6"/>
  <c r="L43" i="6" s="1"/>
  <c r="M5" i="6"/>
  <c r="O20" i="6"/>
  <c r="N20" i="6"/>
  <c r="M20" i="6"/>
  <c r="L20" i="6"/>
  <c r="O19" i="6"/>
  <c r="N19" i="6"/>
  <c r="M19" i="6"/>
  <c r="L19" i="6"/>
  <c r="O18" i="6"/>
  <c r="N18" i="6"/>
  <c r="M18" i="6"/>
  <c r="L18" i="6"/>
  <c r="O17" i="6"/>
  <c r="N17" i="6"/>
  <c r="M17" i="6"/>
  <c r="L17" i="6"/>
  <c r="O16" i="6"/>
  <c r="N16" i="6"/>
  <c r="M16" i="6"/>
  <c r="L16" i="6"/>
  <c r="O15" i="6"/>
  <c r="N15" i="6"/>
  <c r="M15" i="6"/>
  <c r="L15" i="6"/>
  <c r="O14" i="6"/>
  <c r="N14" i="6"/>
  <c r="M14" i="6"/>
  <c r="L14" i="6"/>
  <c r="O13" i="6"/>
  <c r="N13" i="6"/>
  <c r="M13" i="6"/>
  <c r="L13" i="6"/>
  <c r="O12" i="6"/>
  <c r="N12" i="6"/>
  <c r="M12" i="6"/>
  <c r="L12" i="6"/>
  <c r="O11" i="6"/>
  <c r="N11" i="6"/>
  <c r="M11" i="6"/>
  <c r="L11" i="6"/>
  <c r="O10" i="6"/>
  <c r="N10" i="6"/>
  <c r="M10" i="6"/>
  <c r="L10" i="6"/>
  <c r="O9" i="6"/>
  <c r="N9" i="6"/>
  <c r="M9" i="6"/>
  <c r="L9" i="6"/>
  <c r="O8" i="6"/>
  <c r="N8" i="6"/>
  <c r="M8" i="6"/>
  <c r="L8" i="6"/>
  <c r="O7" i="6"/>
  <c r="N7" i="6"/>
  <c r="M7" i="6"/>
  <c r="L7" i="6"/>
  <c r="O6" i="6"/>
  <c r="N6" i="6"/>
  <c r="M6" i="6"/>
  <c r="L6" i="6"/>
  <c r="O5" i="6"/>
  <c r="O22" i="6" s="1"/>
  <c r="N5" i="6"/>
  <c r="N22" i="6" s="1"/>
  <c r="L22" i="6" l="1"/>
  <c r="M22" i="6"/>
  <c r="N43" i="6"/>
  <c r="M42" i="6"/>
  <c r="N42" i="6"/>
  <c r="L42" i="6"/>
  <c r="O42" i="6"/>
  <c r="M21" i="6"/>
  <c r="N21" i="6"/>
  <c r="O21" i="6"/>
  <c r="L21" i="6"/>
  <c r="H58" i="12" l="1"/>
  <c r="H57" i="12"/>
  <c r="H59" i="12"/>
  <c r="H60" i="12"/>
  <c r="D52" i="5"/>
  <c r="F52" i="5" s="1"/>
  <c r="D53" i="5"/>
  <c r="F53" i="5" s="1"/>
  <c r="D51" i="5" l="1"/>
  <c r="F51" i="5" s="1"/>
  <c r="C122" i="10"/>
  <c r="G151" i="10" s="1"/>
  <c r="C113" i="10"/>
  <c r="D18" i="9"/>
  <c r="D52" i="9"/>
  <c r="B11" i="16" l="1"/>
  <c r="F11" i="16" s="1"/>
  <c r="G155" i="10"/>
  <c r="G159" i="10"/>
  <c r="E122" i="10"/>
  <c r="D50" i="5"/>
  <c r="F50" i="5" s="1"/>
  <c r="E27" i="5" s="1"/>
  <c r="H25" i="5" s="1"/>
  <c r="C55" i="5"/>
  <c r="D37" i="9"/>
  <c r="D39" i="9" s="1"/>
  <c r="D38" i="9"/>
  <c r="G166" i="10"/>
  <c r="G173" i="10"/>
  <c r="G177" i="10" s="1"/>
  <c r="E113" i="10"/>
  <c r="G113" i="10"/>
  <c r="B13" i="16" l="1"/>
  <c r="F13" i="16" s="1"/>
  <c r="G163" i="10"/>
  <c r="B12" i="16"/>
  <c r="F12" i="16" s="1"/>
  <c r="G170" i="10"/>
  <c r="F60" i="9"/>
  <c r="B32" i="16" s="1"/>
  <c r="D32" i="16" s="1"/>
  <c r="H23" i="5"/>
  <c r="H24" i="5"/>
  <c r="G57" i="5"/>
  <c r="E29" i="5"/>
  <c r="B14" i="16"/>
  <c r="F14" i="16" s="1"/>
  <c r="D55" i="9"/>
  <c r="G66" i="5" l="1"/>
  <c r="I33" i="5"/>
  <c r="C33" i="5"/>
  <c r="G55" i="9"/>
  <c r="C55" i="9"/>
  <c r="E60" i="9"/>
  <c r="I60" i="9"/>
  <c r="G68" i="5" l="1"/>
  <c r="G69" i="5" s="1"/>
  <c r="A26" i="16" l="1"/>
  <c r="D26" i="16" s="1"/>
  <c r="I69" i="5"/>
</calcChain>
</file>

<file path=xl/sharedStrings.xml><?xml version="1.0" encoding="utf-8"?>
<sst xmlns="http://schemas.openxmlformats.org/spreadsheetml/2006/main" count="992" uniqueCount="542">
  <si>
    <t>mm</t>
  </si>
  <si>
    <t xml:space="preserve"> =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</si>
  <si>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</si>
  <si>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>Mpa</t>
  </si>
  <si>
    <t>(refer Table 2.1N, EN 1992-1-1)</t>
  </si>
  <si>
    <t>fck</t>
  </si>
  <si>
    <t>where</t>
  </si>
  <si>
    <t>d</t>
  </si>
  <si>
    <t>k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</si>
  <si>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 2</t>
    </r>
  </si>
  <si>
    <r>
      <t>b</t>
    </r>
    <r>
      <rPr>
        <vertAlign val="subscript"/>
        <sz val="11"/>
        <color theme="1"/>
        <rFont val="Calibri"/>
        <family val="2"/>
        <scheme val="minor"/>
      </rPr>
      <t>w</t>
    </r>
  </si>
  <si>
    <t>is the smallest width of the c/s in the tensile area (mm)</t>
  </si>
  <si>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 0.02</t>
    </r>
  </si>
  <si>
    <r>
      <t>C</t>
    </r>
    <r>
      <rPr>
        <vertAlign val="subscript"/>
        <sz val="11"/>
        <color theme="1"/>
        <rFont val="Calibri"/>
        <family val="2"/>
        <scheme val="minor"/>
      </rPr>
      <t>Rd,c</t>
    </r>
  </si>
  <si>
    <r>
      <t>γ</t>
    </r>
    <r>
      <rPr>
        <vertAlign val="subscript"/>
        <sz val="11"/>
        <color theme="1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</si>
  <si>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min</t>
    </r>
  </si>
  <si>
    <t>Refer EQ. 6.3N (EN 1992 1-1)</t>
  </si>
  <si>
    <t>Check for Punching shear resistance of column bases without shear reinforcement</t>
  </si>
  <si>
    <t>As per clause 6.4.4 (2) EN 1992-1-1 ed 11</t>
  </si>
  <si>
    <t xml:space="preserve">The punching shear resistance should be verified at control perimeters within 2d </t>
  </si>
  <si>
    <t>Average effective depth,</t>
  </si>
  <si>
    <t>a</t>
  </si>
  <si>
    <t>mm (max 2d)</t>
  </si>
  <si>
    <t>a is the distance from the periphery of the column</t>
  </si>
  <si>
    <t>to the control perimeter considered</t>
  </si>
  <si>
    <t>Refer CL. 6.4.4 (2) EN 1992-1-1 ed 11</t>
  </si>
  <si>
    <t>Refer Cl. 6.4.4(1) note (EN 1992 1-1)</t>
  </si>
  <si>
    <r>
      <t>v</t>
    </r>
    <r>
      <rPr>
        <vertAlign val="subscript"/>
        <sz val="11"/>
        <color theme="1"/>
        <rFont val="Calibri"/>
        <family val="2"/>
        <scheme val="minor"/>
      </rPr>
      <t>Rd</t>
    </r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</si>
  <si>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</si>
  <si>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Rd, min</t>
    </r>
  </si>
  <si>
    <t>=</t>
  </si>
  <si>
    <t>mm2</t>
  </si>
  <si>
    <t>Crack width calculation</t>
  </si>
  <si>
    <t>kN-m/m</t>
  </si>
  <si>
    <t xml:space="preserve"> </t>
  </si>
  <si>
    <t>Shear</t>
  </si>
  <si>
    <t>Membrane</t>
  </si>
  <si>
    <t>Bending Moment</t>
  </si>
  <si>
    <t>Plate</t>
  </si>
  <si>
    <t>L/C</t>
  </si>
  <si>
    <t>SQX (local) N/mm2</t>
  </si>
  <si>
    <t>SQY (local) N/mm2</t>
  </si>
  <si>
    <t>SX (local) N/mm2</t>
  </si>
  <si>
    <t>SY (local) N/mm2</t>
  </si>
  <si>
    <t>SXY (local) N/mm2</t>
  </si>
  <si>
    <t>Mx kN-m/m</t>
  </si>
  <si>
    <t>My kN-m/m</t>
  </si>
  <si>
    <t>Mxy kN-m/m</t>
  </si>
  <si>
    <t>Max Qx</t>
  </si>
  <si>
    <t>Min Qx</t>
  </si>
  <si>
    <t>Max Qy</t>
  </si>
  <si>
    <t>Min Qy</t>
  </si>
  <si>
    <t>Max Sx</t>
  </si>
  <si>
    <t>Min Sx</t>
  </si>
  <si>
    <t>Max Sy</t>
  </si>
  <si>
    <t>Min Sy</t>
  </si>
  <si>
    <t>Max Sxy</t>
  </si>
  <si>
    <t>Min Sxy</t>
  </si>
  <si>
    <t>Max Mx</t>
  </si>
  <si>
    <t>Min Mx</t>
  </si>
  <si>
    <t>Max My</t>
  </si>
  <si>
    <t>Min My</t>
  </si>
  <si>
    <t>Max Mxy</t>
  </si>
  <si>
    <t>Min Mxy</t>
  </si>
  <si>
    <t>Horizontal</t>
  </si>
  <si>
    <t>Vertical</t>
  </si>
  <si>
    <t>Node</t>
  </si>
  <si>
    <t>Fx kN</t>
  </si>
  <si>
    <t>Fy kN</t>
  </si>
  <si>
    <t>Fz kN</t>
  </si>
  <si>
    <t>Wood-Armer Moments</t>
  </si>
  <si>
    <t>Mx + Mxy</t>
  </si>
  <si>
    <t>Mx - Mxy</t>
  </si>
  <si>
    <t>My + Mxy</t>
  </si>
  <si>
    <t>My - Mxy</t>
  </si>
  <si>
    <t>STAAD analysis results for shear check (AT A DISTANCE OF "d" FROM FACE OF COLUMN &amp; PILE)</t>
  </si>
  <si>
    <t>yellow cells to be linked with main sheet</t>
  </si>
  <si>
    <t>Check for one way shear</t>
  </si>
  <si>
    <t>As per clause 6.2.2 (1) EN 1992-1-1 ed 11</t>
  </si>
  <si>
    <r>
      <t>The design value for the shear resistance V</t>
    </r>
    <r>
      <rPr>
        <vertAlign val="subscript"/>
        <sz val="10"/>
        <color theme="1"/>
        <rFont val="Arial"/>
        <family val="2"/>
      </rPr>
      <t>Rd,c</t>
    </r>
    <r>
      <rPr>
        <sz val="10"/>
        <color theme="1"/>
        <rFont val="Arial"/>
        <family val="2"/>
      </rPr>
      <t xml:space="preserve"> is given by</t>
    </r>
  </si>
  <si>
    <r>
      <t>V</t>
    </r>
    <r>
      <rPr>
        <vertAlign val="subscript"/>
        <sz val="10"/>
        <color theme="1"/>
        <rFont val="Arial"/>
        <family val="2"/>
      </rPr>
      <t>Rd,c</t>
    </r>
  </si>
  <si>
    <t>Refer EQ. 6.2.a (EN 1992 1-1)</t>
  </si>
  <si>
    <t>with a minimum of</t>
  </si>
  <si>
    <r>
      <t>V</t>
    </r>
    <r>
      <rPr>
        <vertAlign val="subscript"/>
        <sz val="10"/>
        <color theme="1"/>
        <rFont val="Arial"/>
        <family val="2"/>
      </rPr>
      <t>Rd,c MIN</t>
    </r>
  </si>
  <si>
    <r>
      <t xml:space="preserve"> =   v</t>
    </r>
    <r>
      <rPr>
        <vertAlign val="subscript"/>
        <sz val="10"/>
        <color theme="1"/>
        <rFont val="Arial"/>
        <family val="2"/>
      </rPr>
      <t>min</t>
    </r>
    <r>
      <rPr>
        <sz val="10"/>
        <color theme="1"/>
        <rFont val="Arial"/>
        <family val="2"/>
      </rPr>
      <t xml:space="preserve"> b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d</t>
    </r>
  </si>
  <si>
    <t>Refer EQ. 6.2.b (EN 1992 1-1)</t>
  </si>
  <si>
    <t>mm (effective depth)</t>
  </si>
  <si>
    <t>≤  2</t>
  </si>
  <si>
    <r>
      <t>A</t>
    </r>
    <r>
      <rPr>
        <vertAlign val="subscript"/>
        <sz val="10"/>
        <color theme="1"/>
        <rFont val="Arial"/>
        <family val="2"/>
      </rPr>
      <t>sl</t>
    </r>
  </si>
  <si>
    <r>
      <t>mm</t>
    </r>
    <r>
      <rPr>
        <vertAlign val="superscript"/>
        <sz val="10"/>
        <color theme="1"/>
        <rFont val="Arial"/>
        <family val="2"/>
      </rPr>
      <t>2</t>
    </r>
  </si>
  <si>
    <t>Bar dia</t>
  </si>
  <si>
    <t>at</t>
  </si>
  <si>
    <t>mm c/c</t>
  </si>
  <si>
    <r>
      <t>b</t>
    </r>
    <r>
      <rPr>
        <vertAlign val="subscript"/>
        <sz val="10"/>
        <color theme="1"/>
        <rFont val="Arial"/>
        <family val="2"/>
      </rPr>
      <t>w</t>
    </r>
  </si>
  <si>
    <r>
      <t>ᵨ</t>
    </r>
    <r>
      <rPr>
        <vertAlign val="subscript"/>
        <sz val="10"/>
        <color theme="1"/>
        <rFont val="Arial"/>
        <family val="2"/>
      </rPr>
      <t>l</t>
    </r>
  </si>
  <si>
    <t>≤  0.02</t>
  </si>
  <si>
    <r>
      <t>C</t>
    </r>
    <r>
      <rPr>
        <vertAlign val="subscript"/>
        <sz val="10"/>
        <color theme="1"/>
        <rFont val="Arial"/>
        <family val="2"/>
      </rPr>
      <t>Rd,c</t>
    </r>
  </si>
  <si>
    <r>
      <t>0.18/γ</t>
    </r>
    <r>
      <rPr>
        <vertAlign val="subscript"/>
        <sz val="10"/>
        <color theme="1"/>
        <rFont val="Arial"/>
        <family val="2"/>
      </rPr>
      <t>c</t>
    </r>
  </si>
  <si>
    <r>
      <t>γ</t>
    </r>
    <r>
      <rPr>
        <vertAlign val="subscript"/>
        <sz val="10"/>
        <color theme="1"/>
        <rFont val="Arial"/>
        <family val="2"/>
      </rPr>
      <t>c</t>
    </r>
  </si>
  <si>
    <t>Refer Cl. 6.2.2(1) note (EN 1992 1-1)(value to confirmed with National Annex)</t>
  </si>
  <si>
    <r>
      <t>v</t>
    </r>
    <r>
      <rPr>
        <vertAlign val="subscript"/>
        <sz val="10"/>
        <color theme="1"/>
        <rFont val="Arial"/>
        <family val="2"/>
      </rPr>
      <t>min</t>
    </r>
  </si>
  <si>
    <r>
      <t>0.035 k</t>
    </r>
    <r>
      <rPr>
        <vertAlign val="superscript"/>
        <sz val="10"/>
        <color theme="1"/>
        <rFont val="Arial"/>
        <family val="2"/>
      </rPr>
      <t>3/2</t>
    </r>
    <r>
      <rPr>
        <sz val="10"/>
        <color theme="1"/>
        <rFont val="Arial"/>
        <family val="2"/>
      </rPr>
      <t xml:space="preserve"> fck</t>
    </r>
    <r>
      <rPr>
        <vertAlign val="superscript"/>
        <sz val="10"/>
        <color theme="1"/>
        <rFont val="Arial"/>
        <family val="2"/>
      </rPr>
      <t>1/2</t>
    </r>
  </si>
  <si>
    <t>kN</t>
  </si>
  <si>
    <t>Strength reduction factor for concrete cracked in shear</t>
  </si>
  <si>
    <t>Refer EQ. 6.6N (EN 1992 1-1)</t>
  </si>
  <si>
    <t>v</t>
  </si>
  <si>
    <r>
      <t>f</t>
    </r>
    <r>
      <rPr>
        <vertAlign val="subscript"/>
        <sz val="10"/>
        <color theme="1"/>
        <rFont val="Arial"/>
        <family val="2"/>
      </rPr>
      <t>cd</t>
    </r>
  </si>
  <si>
    <r>
      <t>α</t>
    </r>
    <r>
      <rPr>
        <vertAlign val="subscript"/>
        <sz val="10"/>
        <color theme="1"/>
        <rFont val="Arial"/>
        <family val="2"/>
      </rPr>
      <t>cc</t>
    </r>
    <r>
      <rPr>
        <sz val="10"/>
        <color theme="1"/>
        <rFont val="Arial"/>
        <family val="2"/>
      </rPr>
      <t xml:space="preserve"> fck / γ</t>
    </r>
    <r>
      <rPr>
        <vertAlign val="subscript"/>
        <sz val="10"/>
        <color theme="1"/>
        <rFont val="Arial"/>
        <family val="2"/>
      </rPr>
      <t>c</t>
    </r>
  </si>
  <si>
    <t>Refer EQ. 3.15 (EN 1992 1-1)</t>
  </si>
  <si>
    <r>
      <t>α</t>
    </r>
    <r>
      <rPr>
        <vertAlign val="subscript"/>
        <sz val="10"/>
        <color theme="1"/>
        <rFont val="Arial"/>
        <family val="2"/>
      </rPr>
      <t>cc</t>
    </r>
    <r>
      <rPr>
        <sz val="10"/>
        <color theme="1"/>
        <rFont val="Arial"/>
        <family val="2"/>
      </rPr>
      <t xml:space="preserve"> </t>
    </r>
  </si>
  <si>
    <t>Refer Cl. 3.1.6(1) note (EN 1992 1-1)(value to confirmed with National Annex)</t>
  </si>
  <si>
    <r>
      <t>The design shear force V</t>
    </r>
    <r>
      <rPr>
        <vertAlign val="subscript"/>
        <sz val="10"/>
        <color theme="1"/>
        <rFont val="Arial"/>
        <family val="2"/>
      </rPr>
      <t>Ed</t>
    </r>
  </si>
  <si>
    <r>
      <t>V</t>
    </r>
    <r>
      <rPr>
        <vertAlign val="subscript"/>
        <sz val="10"/>
        <color theme="1"/>
        <rFont val="Arial"/>
        <family val="2"/>
      </rPr>
      <t>Ed</t>
    </r>
  </si>
  <si>
    <t xml:space="preserve">≤  </t>
  </si>
  <si>
    <r>
      <t>(0.5b</t>
    </r>
    <r>
      <rPr>
        <vertAlign val="subscript"/>
        <sz val="10"/>
        <color theme="1"/>
        <rFont val="Arial"/>
        <family val="2"/>
      </rPr>
      <t xml:space="preserve">w </t>
    </r>
    <r>
      <rPr>
        <sz val="10"/>
        <color theme="1"/>
        <rFont val="Arial"/>
        <family val="2"/>
      </rPr>
      <t>d v f</t>
    </r>
    <r>
      <rPr>
        <vertAlign val="subscript"/>
        <sz val="10"/>
        <color theme="1"/>
        <rFont val="Arial"/>
        <family val="2"/>
      </rPr>
      <t>cd</t>
    </r>
    <r>
      <rPr>
        <sz val="10"/>
        <color theme="1"/>
        <rFont val="Arial"/>
        <family val="2"/>
      </rPr>
      <t>)</t>
    </r>
  </si>
  <si>
    <t>Refer EQ. 6.5 (EN 1992 1-1)</t>
  </si>
  <si>
    <t>Also,</t>
  </si>
  <si>
    <t>Shear reduction check</t>
  </si>
  <si>
    <t>β</t>
  </si>
  <si>
    <r>
      <t>a</t>
    </r>
    <r>
      <rPr>
        <vertAlign val="subscript"/>
        <sz val="10"/>
        <color theme="1"/>
        <rFont val="Arial"/>
        <family val="2"/>
      </rPr>
      <t>v</t>
    </r>
    <r>
      <rPr>
        <sz val="10"/>
        <color theme="1"/>
        <rFont val="Arial"/>
        <family val="2"/>
      </rPr>
      <t>/2d</t>
    </r>
  </si>
  <si>
    <t>For</t>
  </si>
  <si>
    <r>
      <t>a</t>
    </r>
    <r>
      <rPr>
        <vertAlign val="subscript"/>
        <sz val="10"/>
        <color theme="1"/>
        <rFont val="Arial"/>
        <family val="2"/>
      </rPr>
      <t>v</t>
    </r>
  </si>
  <si>
    <t xml:space="preserve">Refer Clause 6.2.2(6) (EN 1992 1-1) </t>
  </si>
  <si>
    <r>
      <t>β V</t>
    </r>
    <r>
      <rPr>
        <vertAlign val="subscript"/>
        <sz val="10"/>
        <color theme="1"/>
        <rFont val="Arial"/>
        <family val="2"/>
      </rPr>
      <t>Ed</t>
    </r>
  </si>
  <si>
    <t>Master File Name :</t>
  </si>
  <si>
    <t xml:space="preserve">               Input Date :</t>
  </si>
  <si>
    <t>Project Number :</t>
  </si>
  <si>
    <t xml:space="preserve">  Proj. Related settings by LE on :</t>
  </si>
  <si>
    <t>Project Std. File Name :</t>
  </si>
  <si>
    <t>Unit / Equipment No.:</t>
  </si>
  <si>
    <t>Prep By/Checked By :</t>
  </si>
  <si>
    <t xml:space="preserve">       Revision Status :</t>
  </si>
  <si>
    <t>Title :</t>
  </si>
  <si>
    <t>NOTE: USER TO ENTER DATA IN CELLS WITH PALE BLUE BACKGROUND AND LE TO</t>
  </si>
  <si>
    <t>CONFIRM VALUES IN CELLS WITH YELLOW BACKGROUND.</t>
  </si>
  <si>
    <t>Fig. 3.5 Rectangular Stress distribution (Cl. 3.1.7, EN 1992-1-1)</t>
  </si>
  <si>
    <t>Assuming fck ≤ 50 Mpa</t>
  </si>
  <si>
    <t xml:space="preserve">The x/d ratio can be written in terms of the steel strain as illustrated in Figure. 
</t>
  </si>
  <si>
    <t>Lever Arm distance</t>
  </si>
  <si>
    <t>z</t>
  </si>
  <si>
    <t>or</t>
  </si>
  <si>
    <t>Rearranging,</t>
  </si>
  <si>
    <t>These equations are valid under the assumption that the reinforcing steel yields before the concrete crushes.</t>
  </si>
  <si>
    <t xml:space="preserve">The corresponding compression force is </t>
  </si>
  <si>
    <t>whereas the inner lever arm is:</t>
  </si>
  <si>
    <t>For Limiting Moment of Resistance</t>
  </si>
  <si>
    <t>For under-reinforced section</t>
  </si>
  <si>
    <t>K  =</t>
  </si>
  <si>
    <t>Referring to the figure above</t>
  </si>
  <si>
    <t>Also, Moment is equal to Force multiplied by lever arm distance, z</t>
  </si>
  <si>
    <t>Rearranging, we get</t>
  </si>
  <si>
    <t xml:space="preserve">Spacing provided in X direction </t>
  </si>
  <si>
    <t>Ast provided in X direction</t>
  </si>
  <si>
    <t xml:space="preserve">Spacing provided in Y direction </t>
  </si>
  <si>
    <t>Ast provided in Y direction</t>
  </si>
  <si>
    <t>Dia of bar in X direction</t>
  </si>
  <si>
    <r>
      <t xml:space="preserve">Derivation to find </t>
    </r>
    <r>
      <rPr>
        <b/>
        <sz val="12"/>
        <color rgb="FF00B0F0"/>
        <rFont val="TKTypeRegular"/>
        <family val="2"/>
      </rPr>
      <t>d</t>
    </r>
    <r>
      <rPr>
        <b/>
        <vertAlign val="subscript"/>
        <sz val="12"/>
        <color rgb="FF00B0F0"/>
        <rFont val="TKTypeRegular"/>
        <family val="2"/>
      </rPr>
      <t>req</t>
    </r>
    <r>
      <rPr>
        <b/>
        <u/>
        <sz val="12"/>
        <color rgb="FF00B0F0"/>
        <rFont val="TKTypeRegular"/>
        <family val="2"/>
      </rPr>
      <t xml:space="preserve"> :</t>
    </r>
  </si>
  <si>
    <r>
      <t>η = 1 for f</t>
    </r>
    <r>
      <rPr>
        <vertAlign val="subscript"/>
        <sz val="12"/>
        <color theme="1"/>
        <rFont val="TKTypeRegular"/>
        <family val="2"/>
      </rPr>
      <t xml:space="preserve">ck  </t>
    </r>
    <r>
      <rPr>
        <sz val="12"/>
        <color theme="1"/>
        <rFont val="TKTypeRegular"/>
        <family val="2"/>
      </rPr>
      <t>≤ 50</t>
    </r>
  </si>
  <si>
    <r>
      <t>λ = 0.8 for f</t>
    </r>
    <r>
      <rPr>
        <vertAlign val="subscript"/>
        <sz val="12"/>
        <color theme="1"/>
        <rFont val="TKTypeRegular"/>
        <family val="2"/>
      </rPr>
      <t xml:space="preserve">ck  </t>
    </r>
    <r>
      <rPr>
        <sz val="12"/>
        <color theme="1"/>
        <rFont val="TKTypeRegular"/>
        <family val="2"/>
      </rPr>
      <t>≤ 50</t>
    </r>
  </si>
  <si>
    <r>
      <t>For equilibrium, the ULS design moment M</t>
    </r>
    <r>
      <rPr>
        <vertAlign val="subscript"/>
        <sz val="12"/>
        <rFont val="TKTypeRegular"/>
        <family val="2"/>
      </rPr>
      <t xml:space="preserve">Ed </t>
    </r>
    <r>
      <rPr>
        <sz val="11"/>
        <color theme="1"/>
        <rFont val="TKTypeRegular"/>
        <family val="2"/>
      </rPr>
      <t>has to be balanced by the resisting moment
M</t>
    </r>
    <r>
      <rPr>
        <vertAlign val="subscript"/>
        <sz val="12"/>
        <rFont val="TKTypeRegular"/>
        <family val="2"/>
      </rPr>
      <t>Rd</t>
    </r>
    <r>
      <rPr>
        <sz val="11"/>
        <color theme="1"/>
        <rFont val="TKTypeRegular"/>
        <family val="2"/>
      </rPr>
      <t xml:space="preserve"> so that:</t>
    </r>
  </si>
  <si>
    <r>
      <t>Where, z is the lever arm between the resultant forces F</t>
    </r>
    <r>
      <rPr>
        <vertAlign val="subscript"/>
        <sz val="12"/>
        <rFont val="TKTypeRegular"/>
        <family val="2"/>
      </rPr>
      <t xml:space="preserve">c </t>
    </r>
    <r>
      <rPr>
        <sz val="11"/>
        <color theme="1"/>
        <rFont val="TKTypeRegular"/>
        <family val="2"/>
      </rPr>
      <t>&amp; F</t>
    </r>
    <r>
      <rPr>
        <vertAlign val="subscript"/>
        <sz val="12"/>
        <rFont val="TKTypeRegular"/>
        <family val="2"/>
      </rPr>
      <t>s</t>
    </r>
    <r>
      <rPr>
        <sz val="11"/>
        <color theme="1"/>
        <rFont val="TKTypeRegular"/>
        <family val="2"/>
      </rPr>
      <t>.</t>
    </r>
  </si>
  <si>
    <r>
      <t>x</t>
    </r>
    <r>
      <rPr>
        <vertAlign val="subscript"/>
        <sz val="12"/>
        <rFont val="TKTypeRegular"/>
        <family val="2"/>
      </rPr>
      <t>bal</t>
    </r>
    <r>
      <rPr>
        <sz val="11"/>
        <color theme="1"/>
        <rFont val="TKTypeRegular"/>
        <family val="2"/>
      </rPr>
      <t>/d  =</t>
    </r>
  </si>
  <si>
    <r>
      <t>z</t>
    </r>
    <r>
      <rPr>
        <vertAlign val="subscript"/>
        <sz val="12"/>
        <rFont val="TKTypeRegular"/>
        <family val="2"/>
      </rPr>
      <t>bal</t>
    </r>
    <r>
      <rPr>
        <sz val="11"/>
        <color theme="1"/>
        <rFont val="TKTypeRegular"/>
        <family val="2"/>
      </rPr>
      <t>/d  =</t>
    </r>
  </si>
  <si>
    <r>
      <t>K</t>
    </r>
    <r>
      <rPr>
        <vertAlign val="subscript"/>
        <sz val="12"/>
        <rFont val="TKTypeRegular"/>
        <family val="2"/>
      </rPr>
      <t>bal</t>
    </r>
    <r>
      <rPr>
        <sz val="11"/>
        <color theme="1"/>
        <rFont val="TKTypeRegular"/>
        <family val="2"/>
      </rPr>
      <t xml:space="preserve">  =</t>
    </r>
  </si>
  <si>
    <r>
      <t>Hence, the expression for depth required for balance section, d</t>
    </r>
    <r>
      <rPr>
        <vertAlign val="subscript"/>
        <sz val="12"/>
        <rFont val="TKTypeRegular"/>
        <family val="2"/>
      </rPr>
      <t>req</t>
    </r>
  </si>
  <si>
    <r>
      <t>d</t>
    </r>
    <r>
      <rPr>
        <vertAlign val="subscript"/>
        <sz val="12"/>
        <rFont val="TKTypeRegular"/>
        <family val="2"/>
      </rPr>
      <t>req</t>
    </r>
    <r>
      <rPr>
        <sz val="11"/>
        <color theme="1"/>
        <rFont val="TKTypeRegular"/>
        <family val="2"/>
      </rPr>
      <t xml:space="preserve">  =</t>
    </r>
  </si>
  <si>
    <r>
      <t>d</t>
    </r>
    <r>
      <rPr>
        <vertAlign val="subscript"/>
        <sz val="12"/>
        <rFont val="TKTypeRegular"/>
        <family val="2"/>
      </rPr>
      <t>provided</t>
    </r>
  </si>
  <si>
    <t>Check for under-reinforced section:</t>
  </si>
  <si>
    <r>
      <t xml:space="preserve">Derivation to find </t>
    </r>
    <r>
      <rPr>
        <b/>
        <sz val="12"/>
        <color rgb="FF00B0F0"/>
        <rFont val="TKTypeRegular"/>
        <family val="2"/>
      </rPr>
      <t>A</t>
    </r>
    <r>
      <rPr>
        <b/>
        <vertAlign val="subscript"/>
        <sz val="12"/>
        <color rgb="FF00B0F0"/>
        <rFont val="TKTypeRegular"/>
        <family val="2"/>
      </rPr>
      <t>st</t>
    </r>
    <r>
      <rPr>
        <b/>
        <u/>
        <sz val="12"/>
        <color rgb="FF00B0F0"/>
        <rFont val="TKTypeRegular"/>
        <family val="2"/>
      </rPr>
      <t>:</t>
    </r>
  </si>
  <si>
    <r>
      <t>Total Tensile Force, F</t>
    </r>
    <r>
      <rPr>
        <vertAlign val="subscript"/>
        <sz val="12"/>
        <rFont val="TKTypeRegular"/>
        <family val="2"/>
      </rPr>
      <t>s</t>
    </r>
  </si>
  <si>
    <t>Dia of bar in Y direction</t>
  </si>
  <si>
    <r>
      <t>Bending of the section (according to Figure 3.5) will induce a resultant tensile force, F</t>
    </r>
    <r>
      <rPr>
        <vertAlign val="subscript"/>
        <sz val="12"/>
        <rFont val="TKTypeRegular"/>
        <family val="2"/>
      </rPr>
      <t>s</t>
    </r>
    <r>
      <rPr>
        <sz val="12"/>
        <color theme="1"/>
        <rFont val="TKTypeRegular"/>
        <family val="2"/>
      </rPr>
      <t xml:space="preserve"> in the reinforcing steel, and a resultant compressive force in the concrete F</t>
    </r>
    <r>
      <rPr>
        <vertAlign val="subscript"/>
        <sz val="12"/>
        <rFont val="TKTypeRegular"/>
        <family val="2"/>
      </rPr>
      <t>c</t>
    </r>
    <r>
      <rPr>
        <sz val="12"/>
        <color theme="1"/>
        <rFont val="TKTypeRegular"/>
        <family val="2"/>
      </rPr>
      <t xml:space="preserve"> which acts through the centroid of the effective compressed area .</t>
    </r>
  </si>
  <si>
    <t>MAX Mx =</t>
  </si>
  <si>
    <t>MIN Mx =</t>
  </si>
  <si>
    <t>MAX My =</t>
  </si>
  <si>
    <t>MIN My =</t>
  </si>
  <si>
    <t>Reinforcement in X direction (Mx +ve)</t>
  </si>
  <si>
    <t xml:space="preserve">Ast required </t>
  </si>
  <si>
    <t>Reinforcement in X direction (Mx -ve)</t>
  </si>
  <si>
    <t>Reinforcement in Y direction (My +ve)</t>
  </si>
  <si>
    <t>Reinforcement in Y direction (My -ve)</t>
  </si>
  <si>
    <t>For Piles</t>
  </si>
  <si>
    <t>from the periphery of the column, so we have considered critical section at d from face of pile</t>
  </si>
  <si>
    <t>Pile dia.</t>
  </si>
  <si>
    <r>
      <t>d</t>
    </r>
    <r>
      <rPr>
        <vertAlign val="subscript"/>
        <sz val="11"/>
        <color theme="1"/>
        <rFont val="Calibri"/>
        <family val="2"/>
        <scheme val="minor"/>
      </rPr>
      <t>eff</t>
    </r>
  </si>
  <si>
    <r>
      <t>0.18/</t>
    </r>
    <r>
      <rPr>
        <sz val="11"/>
        <color theme="1"/>
        <rFont val="Calibri"/>
        <family val="2"/>
      </rPr>
      <t>γ</t>
    </r>
    <r>
      <rPr>
        <vertAlign val="subscript"/>
        <sz val="11"/>
        <color theme="1"/>
        <rFont val="Calibri"/>
        <family val="2"/>
      </rPr>
      <t>c</t>
    </r>
  </si>
  <si>
    <r>
      <t>0.035 k</t>
    </r>
    <r>
      <rPr>
        <vertAlign val="superscript"/>
        <sz val="11"/>
        <color theme="1"/>
        <rFont val="Calibri"/>
        <family val="2"/>
        <scheme val="minor"/>
      </rPr>
      <t>3/2</t>
    </r>
    <r>
      <rPr>
        <sz val="11"/>
        <color theme="1"/>
        <rFont val="Calibri"/>
        <family val="2"/>
        <scheme val="minor"/>
      </rPr>
      <t xml:space="preserve"> fck</t>
    </r>
    <r>
      <rPr>
        <vertAlign val="superscript"/>
        <sz val="11"/>
        <color theme="1"/>
        <rFont val="Calibri"/>
        <family val="2"/>
        <scheme val="minor"/>
      </rPr>
      <t>1/2</t>
    </r>
  </si>
  <si>
    <r>
      <t>v</t>
    </r>
    <r>
      <rPr>
        <vertAlign val="subscript"/>
        <sz val="11"/>
        <color theme="1"/>
        <rFont val="Calibri"/>
        <family val="2"/>
        <scheme val="minor"/>
      </rPr>
      <t>Rd, max</t>
    </r>
  </si>
  <si>
    <r>
      <t>0.4 v f</t>
    </r>
    <r>
      <rPr>
        <vertAlign val="subscript"/>
        <sz val="11"/>
        <color theme="1"/>
        <rFont val="Calibri"/>
        <family val="2"/>
        <scheme val="minor"/>
      </rPr>
      <t>cd</t>
    </r>
    <r>
      <rPr>
        <sz val="11"/>
        <color theme="1"/>
        <rFont val="Calibri"/>
        <family val="2"/>
        <scheme val="minor"/>
      </rPr>
      <t xml:space="preserve"> </t>
    </r>
  </si>
  <si>
    <t>Refer Note of Clause 6.4.5(3) (EN 1992 1-1)</t>
  </si>
  <si>
    <r>
      <t>α</t>
    </r>
    <r>
      <rPr>
        <vertAlign val="subscript"/>
        <sz val="11"/>
        <color theme="1"/>
        <rFont val="Calibri"/>
        <family val="2"/>
      </rPr>
      <t>cc</t>
    </r>
    <r>
      <rPr>
        <sz val="11"/>
        <color theme="1"/>
        <rFont val="Calibri"/>
        <family val="2"/>
      </rPr>
      <t xml:space="preserve"> </t>
    </r>
  </si>
  <si>
    <r>
      <t>f</t>
    </r>
    <r>
      <rPr>
        <vertAlign val="subscript"/>
        <sz val="11"/>
        <color theme="1"/>
        <rFont val="Calibri"/>
        <family val="2"/>
        <scheme val="minor"/>
      </rPr>
      <t>cd</t>
    </r>
  </si>
  <si>
    <r>
      <t>α</t>
    </r>
    <r>
      <rPr>
        <vertAlign val="subscript"/>
        <sz val="11"/>
        <color theme="1"/>
        <rFont val="Calibri"/>
        <family val="2"/>
      </rPr>
      <t>cc</t>
    </r>
    <r>
      <rPr>
        <sz val="11"/>
        <color theme="1"/>
        <rFont val="Calibri"/>
        <family val="2"/>
      </rPr>
      <t xml:space="preserve"> f</t>
    </r>
    <r>
      <rPr>
        <vertAlign val="subscript"/>
        <sz val="11"/>
        <color theme="1"/>
        <rFont val="Calibri"/>
        <family val="2"/>
      </rPr>
      <t>ck</t>
    </r>
    <r>
      <rPr>
        <sz val="11"/>
        <color theme="1"/>
        <rFont val="Calibri"/>
        <family val="2"/>
      </rPr>
      <t xml:space="preserve"> / γ</t>
    </r>
    <r>
      <rPr>
        <vertAlign val="subscript"/>
        <sz val="11"/>
        <color theme="1"/>
        <rFont val="Calibri"/>
        <family val="2"/>
      </rPr>
      <t>c</t>
    </r>
  </si>
  <si>
    <t>For concentric loading the net applied force is</t>
  </si>
  <si>
    <r>
      <t>V</t>
    </r>
    <r>
      <rPr>
        <vertAlign val="subscript"/>
        <sz val="11"/>
        <color theme="1"/>
        <rFont val="Calibri"/>
        <family val="2"/>
        <scheme val="minor"/>
      </rPr>
      <t>Ed,red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</si>
  <si>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Ed </t>
    </r>
    <r>
      <rPr>
        <sz val="11"/>
        <color theme="1"/>
        <rFont val="Calibri"/>
        <family val="2"/>
        <scheme val="minor"/>
      </rPr>
      <t>-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∆ V</t>
    </r>
    <r>
      <rPr>
        <vertAlign val="subscript"/>
        <sz val="11"/>
        <color theme="1"/>
        <rFont val="Calibri"/>
        <family val="2"/>
      </rPr>
      <t>Ed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</si>
  <si>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Ed 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</si>
  <si>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 xml:space="preserve"> is the applied shear force (max. pile reaction, vertical)</t>
    </r>
  </si>
  <si>
    <t>base area</t>
  </si>
  <si>
    <t>Unit wt. of concrete</t>
  </si>
  <si>
    <r>
      <t>KN/m</t>
    </r>
    <r>
      <rPr>
        <vertAlign val="superscript"/>
        <sz val="11"/>
        <color theme="1"/>
        <rFont val="Calibri"/>
        <family val="2"/>
        <scheme val="minor"/>
      </rPr>
      <t>3</t>
    </r>
  </si>
  <si>
    <t>within critical sec.</t>
  </si>
  <si>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∆ V</t>
    </r>
    <r>
      <rPr>
        <vertAlign val="subscript"/>
        <sz val="11"/>
        <color theme="1"/>
        <rFont val="Calibri"/>
        <family val="2"/>
      </rPr>
      <t>Ed</t>
    </r>
  </si>
  <si>
    <t>is the net upward  force within the control perimeter considered</t>
  </si>
  <si>
    <t>i.e upward pressure from soil minus self weight of base</t>
  </si>
  <si>
    <t>Checking at pile perimeter</t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</si>
  <si>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</si>
  <si>
    <t>Perimeter of pile</t>
  </si>
  <si>
    <r>
      <t>v</t>
    </r>
    <r>
      <rPr>
        <vertAlign val="subscript"/>
        <sz val="11"/>
        <color theme="1"/>
        <rFont val="Calibri"/>
        <family val="2"/>
        <scheme val="minor"/>
      </rPr>
      <t>Ed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</si>
  <si>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Ed </t>
    </r>
    <r>
      <rPr>
        <sz val="11"/>
        <color theme="1"/>
        <rFont val="Calibri"/>
        <family val="2"/>
        <scheme val="minor"/>
      </rPr>
      <t>/ 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d</t>
    </r>
  </si>
  <si>
    <r>
      <t>V</t>
    </r>
    <r>
      <rPr>
        <vertAlign val="subscript"/>
        <sz val="11"/>
        <color theme="1"/>
        <rFont val="Calibri"/>
        <family val="2"/>
        <scheme val="minor"/>
      </rPr>
      <t>Rd,max</t>
    </r>
  </si>
  <si>
    <t>Checking at distance d from face of pile</t>
  </si>
  <si>
    <t>u</t>
  </si>
  <si>
    <t>u is the perimeter of the critical section considered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</si>
  <si>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Ed 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</si>
  <si>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Ed,red </t>
    </r>
    <r>
      <rPr>
        <sz val="11"/>
        <color theme="1"/>
        <rFont val="Calibri"/>
        <family val="2"/>
        <scheme val="minor"/>
      </rPr>
      <t>/ ud</t>
    </r>
  </si>
  <si>
    <r>
      <t>(max of V</t>
    </r>
    <r>
      <rPr>
        <vertAlign val="sub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and V</t>
    </r>
    <r>
      <rPr>
        <vertAlign val="subscript"/>
        <sz val="11"/>
        <color theme="1"/>
        <rFont val="Calibri"/>
        <family val="2"/>
        <scheme val="minor"/>
      </rPr>
      <t>Rd,min</t>
    </r>
    <r>
      <rPr>
        <sz val="11"/>
        <color theme="1"/>
        <rFont val="Calibri"/>
        <family val="2"/>
        <scheme val="minor"/>
      </rPr>
      <t>)</t>
    </r>
  </si>
  <si>
    <t>Moment</t>
  </si>
  <si>
    <t>Mx kN-m</t>
  </si>
  <si>
    <t>My kN-m</t>
  </si>
  <si>
    <t>Mz kN-m</t>
  </si>
  <si>
    <t>Max Fx</t>
  </si>
  <si>
    <t>Min Fx</t>
  </si>
  <si>
    <t>Max Fy</t>
  </si>
  <si>
    <t>Min Fy</t>
  </si>
  <si>
    <t>Max Fz</t>
  </si>
  <si>
    <t>Min Fz</t>
  </si>
  <si>
    <t>Max Mz</t>
  </si>
  <si>
    <t>Min Mz</t>
  </si>
  <si>
    <t>Diameter of Pile Dp =</t>
  </si>
  <si>
    <t>Length of Pile Lp =</t>
  </si>
  <si>
    <t>Paste support reaction from staad :</t>
  </si>
  <si>
    <t>Maximum compression =</t>
  </si>
  <si>
    <t>No of Piles provide =</t>
  </si>
  <si>
    <t>m</t>
  </si>
  <si>
    <t>A</t>
  </si>
  <si>
    <t>DEFAULT VALUES</t>
  </si>
  <si>
    <t>(As per PDE-CVC-G00-EB-0002)</t>
  </si>
  <si>
    <t>A.1</t>
  </si>
  <si>
    <t>Exposure class for No risk</t>
  </si>
  <si>
    <t>X0</t>
  </si>
  <si>
    <t>Exposure class Carbonation-induced corrosion</t>
  </si>
  <si>
    <t>XC4</t>
  </si>
  <si>
    <t>Cyclic wet and dry</t>
  </si>
  <si>
    <t>Exposure class for Chloride-induced corrosion</t>
  </si>
  <si>
    <t>XD1</t>
  </si>
  <si>
    <t>Moderate humidity</t>
  </si>
  <si>
    <t>Exposure class for Chloride-induced corrosion from sea-watert</t>
  </si>
  <si>
    <t>XS1</t>
  </si>
  <si>
    <t>Exposed to airborne salt but not in direct contact with sea water</t>
  </si>
  <si>
    <t>Exposure class for Freeze/Thaw Attack</t>
  </si>
  <si>
    <t>XF1</t>
  </si>
  <si>
    <t>Moderate water saturation, without de-icing agent</t>
  </si>
  <si>
    <t>Exposure class for Chemical Attack</t>
  </si>
  <si>
    <t>XA1</t>
  </si>
  <si>
    <t>Slightly aggressive chemical environment according to EN 206-1, Table 2</t>
  </si>
  <si>
    <t>(Table 4.1, EN1992-1-1:2010 )</t>
  </si>
  <si>
    <t>Service Life</t>
  </si>
  <si>
    <t>years</t>
  </si>
  <si>
    <t>Structural class for pilecap design</t>
  </si>
  <si>
    <t>S4</t>
  </si>
  <si>
    <t>( Assuming Air entrainment &lt; 4 % , Good Quanility control at site ,Nominal size of Aggregates &lt;32mm)</t>
  </si>
  <si>
    <t xml:space="preserve">Maximum permissible crack width </t>
  </si>
  <si>
    <t>(Table 7.1N ,BS EN1992-1-1:2010)</t>
  </si>
  <si>
    <t>A.2</t>
  </si>
  <si>
    <t xml:space="preserve">Grade of structural concrete </t>
  </si>
  <si>
    <t>C30/37</t>
  </si>
  <si>
    <t>AS per PDE-CVC-G00-EB-0002</t>
  </si>
  <si>
    <t xml:space="preserve">fck = Characteristics compressive cylindrical strength </t>
  </si>
  <si>
    <r>
      <t>N/mm</t>
    </r>
    <r>
      <rPr>
        <vertAlign val="superscript"/>
        <sz val="10"/>
        <color theme="1"/>
        <rFont val="Arial"/>
        <family val="2"/>
      </rPr>
      <t>2</t>
    </r>
  </si>
  <si>
    <t>(Table 3.1,EN1992-1-1:2010)</t>
  </si>
  <si>
    <t xml:space="preserve">fctm = </t>
  </si>
  <si>
    <t xml:space="preserve">Grade of lean concrete </t>
  </si>
  <si>
    <t>C12/15</t>
  </si>
  <si>
    <r>
      <t>Reinforcment ,Yield Strength ,</t>
    </r>
    <r>
      <rPr>
        <sz val="11"/>
        <rFont val="Arial"/>
        <family val="2"/>
      </rPr>
      <t xml:space="preserve"> f</t>
    </r>
    <r>
      <rPr>
        <vertAlign val="subscript"/>
        <sz val="11"/>
        <rFont val="Arial"/>
        <family val="2"/>
      </rPr>
      <t>yk</t>
    </r>
  </si>
  <si>
    <r>
      <rPr>
        <sz val="10"/>
        <color theme="1"/>
        <rFont val="Arial"/>
        <family val="2"/>
      </rPr>
      <t>N/mm</t>
    </r>
    <r>
      <rPr>
        <vertAlign val="superscript"/>
        <sz val="10"/>
        <color theme="1"/>
        <rFont val="Arial"/>
        <family val="2"/>
      </rPr>
      <t>2</t>
    </r>
  </si>
  <si>
    <t>(Table C.1  BS EN1992-1-1:2010 Annex C)</t>
  </si>
  <si>
    <t>Unit wt. of Concrete (wc)</t>
  </si>
  <si>
    <r>
      <t>kN/m</t>
    </r>
    <r>
      <rPr>
        <b/>
        <vertAlign val="superscript"/>
        <sz val="10"/>
        <rFont val="Arial"/>
        <family val="2"/>
      </rPr>
      <t>3</t>
    </r>
  </si>
  <si>
    <t>Thickness of lean concrete (tl)</t>
  </si>
  <si>
    <t>Soil depth to be ignored as overburden (dts)</t>
  </si>
  <si>
    <r>
      <t>Concrete clear cover to main reinf. (Top &amp; Side) in pilecap(C</t>
    </r>
    <r>
      <rPr>
        <vertAlign val="subscript"/>
        <sz val="9"/>
        <rFont val="Arial"/>
        <family val="2"/>
      </rPr>
      <t>t</t>
    </r>
    <r>
      <rPr>
        <sz val="9"/>
        <rFont val="Arial"/>
        <family val="2"/>
      </rPr>
      <t>)</t>
    </r>
  </si>
  <si>
    <t>(cl. 4.4.1,BS EN1992-1-1:2010)</t>
  </si>
  <si>
    <t>Y = Pile anchorage into pile cap</t>
  </si>
  <si>
    <t>PDE-CVC-G00-ED-0001</t>
  </si>
  <si>
    <r>
      <t>Clear cover to main reinf. (Bottom) in pile cap (C</t>
    </r>
    <r>
      <rPr>
        <vertAlign val="subscript"/>
        <sz val="10"/>
        <rFont val="Arial"/>
        <family val="2"/>
      </rPr>
      <t>b</t>
    </r>
    <r>
      <rPr>
        <sz val="10"/>
        <rFont val="Arial"/>
        <family val="2"/>
      </rPr>
      <t>)</t>
    </r>
  </si>
  <si>
    <t>(cl. 4.4.1, EN1992-1-1:2010)</t>
  </si>
  <si>
    <r>
      <t>(Bottom Nominal cover C</t>
    </r>
    <r>
      <rPr>
        <vertAlign val="subscript"/>
        <sz val="9"/>
        <color rgb="FF0000FF"/>
        <rFont val="Arial"/>
        <family val="2"/>
      </rPr>
      <t>b</t>
    </r>
    <r>
      <rPr>
        <sz val="9"/>
        <color rgb="FF0000FF"/>
        <rFont val="Arial"/>
        <family val="2"/>
      </rPr>
      <t xml:space="preserve"> =  pile anchorage (Y) in to pile cap + No clearance assumed)</t>
    </r>
  </si>
  <si>
    <t>A.4</t>
  </si>
  <si>
    <t>fcm = fck + 8</t>
  </si>
  <si>
    <r>
      <t>Modulus of Elasticity for concrete, E</t>
    </r>
    <r>
      <rPr>
        <vertAlign val="subscript"/>
        <sz val="10"/>
        <rFont val="Arial"/>
        <family val="2"/>
      </rPr>
      <t xml:space="preserve">cm </t>
    </r>
    <r>
      <rPr>
        <sz val="10"/>
        <rFont val="Arial"/>
        <family val="2"/>
      </rPr>
      <t>= 22*[fcm /10]</t>
    </r>
    <r>
      <rPr>
        <vertAlign val="superscript"/>
        <sz val="10"/>
        <rFont val="Arial"/>
        <family val="2"/>
      </rPr>
      <t>0.3</t>
    </r>
  </si>
  <si>
    <r>
      <t>Modulus of Elasticity for Reinforcement, E</t>
    </r>
    <r>
      <rPr>
        <vertAlign val="subscript"/>
        <sz val="10"/>
        <rFont val="Arial"/>
        <family val="2"/>
      </rPr>
      <t>s</t>
    </r>
  </si>
  <si>
    <t>(cl. 3.2.7 (4),EN1992-1-1:2010)</t>
  </si>
  <si>
    <t>A.5</t>
  </si>
  <si>
    <t>Partial factor for materials for ultimate limit states</t>
  </si>
  <si>
    <t>For concrete</t>
  </si>
  <si>
    <r>
      <rPr>
        <sz val="12"/>
        <rFont val="Symbol"/>
        <family val="1"/>
        <charset val="2"/>
      </rPr>
      <t>g</t>
    </r>
    <r>
      <rPr>
        <vertAlign val="subscript"/>
        <sz val="12"/>
        <rFont val="Arial"/>
        <family val="2"/>
      </rPr>
      <t>c</t>
    </r>
  </si>
  <si>
    <t>(cl. 2.4.2.4 EN1992-1-1:2010 and National Annex)</t>
  </si>
  <si>
    <t xml:space="preserve">For reinforcement steel </t>
  </si>
  <si>
    <r>
      <rPr>
        <sz val="12"/>
        <rFont val="Symbol"/>
        <family val="1"/>
        <charset val="2"/>
      </rPr>
      <t>g</t>
    </r>
    <r>
      <rPr>
        <vertAlign val="subscript"/>
        <sz val="12"/>
        <rFont val="Arial"/>
        <family val="2"/>
      </rPr>
      <t>s</t>
    </r>
  </si>
  <si>
    <t>A.6</t>
  </si>
  <si>
    <t>Seismic Parameters as per EUROCODE &amp; Project design basis</t>
  </si>
  <si>
    <t>Design seismic coefficient is assumed on higher side</t>
  </si>
  <si>
    <r>
      <t>Coefficient required to be multiplyed with mass to get base shear , Sd</t>
    </r>
    <r>
      <rPr>
        <vertAlign val="subscript"/>
        <sz val="11"/>
        <rFont val="TKTypeRegular"/>
        <family val="2"/>
      </rPr>
      <t>(T)</t>
    </r>
  </si>
  <si>
    <t>( design seismic response coefficient, is required to calculate the sesmic force due to selfweight of  pilecap)</t>
  </si>
  <si>
    <t>B</t>
  </si>
  <si>
    <t>Civil Design Basis no.</t>
  </si>
  <si>
    <t>XXXX-CI-DOC-0001</t>
  </si>
  <si>
    <t>Concept Note no.</t>
  </si>
  <si>
    <t>---</t>
  </si>
  <si>
    <t>Height of Equipment</t>
  </si>
  <si>
    <t>Type of anchor bolts(As per Engineering spec. or design basis)</t>
  </si>
  <si>
    <t>Diameter (Db)</t>
  </si>
  <si>
    <t>No. of bolts (Nb)</t>
  </si>
  <si>
    <t>Embedment length in concrete</t>
  </si>
  <si>
    <t>Thickness of grout (tg)</t>
  </si>
  <si>
    <t>Yield stress of Bolts, Fyb</t>
  </si>
  <si>
    <r>
      <t>N/mm</t>
    </r>
    <r>
      <rPr>
        <vertAlign val="superscript"/>
        <sz val="10"/>
        <rFont val="Arial"/>
        <family val="2"/>
      </rPr>
      <t>2</t>
    </r>
  </si>
  <si>
    <t>Top Of Grout (TOG) Elevation                                                         EL</t>
  </si>
  <si>
    <t>EL</t>
  </si>
  <si>
    <t>Ground level to be considered for Excavation                                   EL</t>
  </si>
  <si>
    <t>C</t>
  </si>
  <si>
    <t>Remarks</t>
  </si>
  <si>
    <t>K</t>
  </si>
  <si>
    <t>D</t>
  </si>
  <si>
    <t xml:space="preserve">m </t>
  </si>
  <si>
    <t>DIA</t>
  </si>
  <si>
    <t>TYPE A</t>
  </si>
  <si>
    <t>TYPE B</t>
  </si>
  <si>
    <t>Title : DESIGN OF RAFT FOUNDATION AS PER BS EN1992-1-1:2010</t>
  </si>
  <si>
    <t>PLATE RESULTS</t>
  </si>
  <si>
    <t>ANCHOR BOLT DETAILS</t>
  </si>
  <si>
    <t>RAFT DETAILS</t>
  </si>
  <si>
    <t>Under Side of raft</t>
  </si>
  <si>
    <t>D = Depth of raft (from TOG to Bottom of raft)</t>
  </si>
  <si>
    <t>Length of Raft "L"</t>
  </si>
  <si>
    <t>Width of Raft "B"</t>
  </si>
  <si>
    <t xml:space="preserve">Construction Unit : </t>
  </si>
  <si>
    <t xml:space="preserve"> Equipment No./ Civil Item No.:</t>
  </si>
  <si>
    <t>KXEO - 00045 / 66-6705-700</t>
  </si>
  <si>
    <t>PDE-CVC-G00-EC-0004</t>
  </si>
  <si>
    <t xml:space="preserve">FROM StaadPro Analysis </t>
  </si>
  <si>
    <t>( Top of raft is considred at Ground Level )</t>
  </si>
  <si>
    <t>E</t>
  </si>
  <si>
    <t>PILE  DETAILS</t>
  </si>
  <si>
    <t>Design Compression Capacity of pile =</t>
  </si>
  <si>
    <t xml:space="preserve">Type of Pile  based on Connectors  = </t>
  </si>
  <si>
    <t>Design Tension Capacity of pile =</t>
  </si>
  <si>
    <t xml:space="preserve">Title : DESIGN OF RAFT FOUNDATION AS PER BS EN1992-1-1:2010                </t>
  </si>
  <si>
    <t xml:space="preserve">SHEET -1 </t>
  </si>
  <si>
    <t xml:space="preserve">SHEET -2 </t>
  </si>
  <si>
    <t>Utility ratio for Pile compression =</t>
  </si>
  <si>
    <t>Utility ratio for Pile  tension =</t>
  </si>
  <si>
    <t xml:space="preserve">KN </t>
  </si>
  <si>
    <t>Buoyancy force per pile = (L x B x D x 10 / number of piles )</t>
  </si>
  <si>
    <t>Actual shear stress Ved =</t>
  </si>
  <si>
    <t>Pile capacities as per PDE-CVC-G00-DD-0002</t>
  </si>
  <si>
    <t>Allowable compressive capacity =</t>
  </si>
  <si>
    <t>Ultimate capacity =</t>
  </si>
  <si>
    <t>Pile Settlement =</t>
  </si>
  <si>
    <t>cm</t>
  </si>
  <si>
    <t>Allowable Tensile capacity =</t>
  </si>
  <si>
    <t>Allowable Shear capacity =</t>
  </si>
  <si>
    <t>Pile capacities as per PDE-CVC-G00-ED-0002</t>
  </si>
  <si>
    <t>Pile-Pile cap bonding type II</t>
  </si>
  <si>
    <t>Ultimate pile capacity in compression =</t>
  </si>
  <si>
    <t>Corresponding ulitimate shear capacity =</t>
  </si>
  <si>
    <t>Ultimate pile capacity in tension =</t>
  </si>
  <si>
    <t>Relation between axial load &amp; allowable shear load</t>
  </si>
  <si>
    <t>Ned (kN)</t>
  </si>
  <si>
    <t>Hed (kN)</t>
  </si>
  <si>
    <t>Design compression capacity =</t>
  </si>
  <si>
    <t>Design tension capacity =</t>
  </si>
  <si>
    <t>Actual tension =</t>
  </si>
  <si>
    <t>Design Shear capacity =</t>
  </si>
  <si>
    <t>Ultimalte Shear Capacity of pile corresponding to actual tension =</t>
  </si>
  <si>
    <t>Type II</t>
  </si>
  <si>
    <t>Pile group =</t>
  </si>
  <si>
    <t>Pile Spacing =</t>
  </si>
  <si>
    <t>Pile group reduction factor =</t>
  </si>
  <si>
    <t>Case I : Maximum Compression</t>
  </si>
  <si>
    <t>Corresponding shear in X =</t>
  </si>
  <si>
    <t>Corresponding shear in Z =</t>
  </si>
  <si>
    <t>Case II : Maximum Tension</t>
  </si>
  <si>
    <t>Maximum Tension =</t>
  </si>
  <si>
    <t>Case III : Maximum Shear</t>
  </si>
  <si>
    <t>Pile capacity check for Case I</t>
  </si>
  <si>
    <t>Ultimalte Shear Capacity of pile corresponding to actual compression =</t>
  </si>
  <si>
    <t>Actual compression =</t>
  </si>
  <si>
    <t>Pile capacity check for Case II</t>
  </si>
  <si>
    <t>Total tension = Tension force + Buoyancy force</t>
  </si>
  <si>
    <t>Pile capacity check for Case III</t>
  </si>
  <si>
    <t>Corresponding vertical load =</t>
  </si>
  <si>
    <t>vertical force =</t>
  </si>
  <si>
    <t>2001 0.9D+1.5WL+0.9TS+1.5I</t>
  </si>
  <si>
    <t>2404 1.35D+1.2LL+1.35OLE+1.35AL+1.5WL+0.9TS+1.5I</t>
  </si>
  <si>
    <t>2401 1.35D+1.2LL+1.35OLE+1.35AL+1.5WL+0.9TS+1.5I</t>
  </si>
  <si>
    <t>2002 0.9D+1.5WL+0.9TS+1.5I</t>
  </si>
  <si>
    <t>2403 1.35D+1.2LL+1.35OLE+1.35AL+1.5WL+0.9TS+1.5I</t>
  </si>
  <si>
    <t>Resultant Shar =</t>
  </si>
  <si>
    <t>Utility ratio for Pile shear =</t>
  </si>
  <si>
    <t>Maximum Resultant shear case A =</t>
  </si>
  <si>
    <t>Maximum Resultant shear case B =</t>
  </si>
  <si>
    <t>Ultimalte Shear Capacity of pile corresponding to actual vertical load for case A =</t>
  </si>
  <si>
    <t>Utility ratio for Pile shear  =</t>
  </si>
  <si>
    <t>Ultimalte Shear Capacity of pile corresponding to actual vertical load for case B =</t>
  </si>
  <si>
    <t>3x3 Pile group</t>
  </si>
  <si>
    <t>&gt;5D</t>
  </si>
  <si>
    <t>Actual Shear Capacity</t>
  </si>
  <si>
    <t>Axial</t>
  </si>
  <si>
    <t>Shear Capacity</t>
  </si>
  <si>
    <t>Negative Value for Tension</t>
  </si>
  <si>
    <t>Resultant Shear =</t>
  </si>
  <si>
    <t>Total Compression = Maximum compression - Buoyancy force =</t>
  </si>
  <si>
    <t>Spring constants :</t>
  </si>
  <si>
    <t xml:space="preserve">Fy = </t>
  </si>
  <si>
    <t>Fx =</t>
  </si>
  <si>
    <t>Fz =</t>
  </si>
  <si>
    <r>
      <t xml:space="preserve"> =   C</t>
    </r>
    <r>
      <rPr>
        <vertAlign val="subscript"/>
        <sz val="10"/>
        <color theme="1"/>
        <rFont val="Arial"/>
        <family val="2"/>
      </rPr>
      <t>Rd,c</t>
    </r>
    <r>
      <rPr>
        <sz val="10"/>
        <color theme="1"/>
        <rFont val="Arial"/>
        <family val="2"/>
      </rPr>
      <t xml:space="preserve"> k (100 </t>
    </r>
    <r>
      <rPr>
        <sz val="18"/>
        <color theme="1"/>
        <rFont val="Arial"/>
        <family val="2"/>
      </rPr>
      <t>ᵨ</t>
    </r>
    <r>
      <rPr>
        <vertAlign val="subscript"/>
        <sz val="10"/>
        <color theme="1"/>
        <rFont val="Arial"/>
        <family val="2"/>
      </rPr>
      <t>l</t>
    </r>
    <r>
      <rPr>
        <sz val="10"/>
        <color theme="1"/>
        <rFont val="Arial"/>
        <family val="2"/>
      </rPr>
      <t xml:space="preserve"> f</t>
    </r>
    <r>
      <rPr>
        <vertAlign val="subscript"/>
        <sz val="10"/>
        <color theme="1"/>
        <rFont val="Arial"/>
        <family val="2"/>
      </rPr>
      <t>ck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 xml:space="preserve">1/3 </t>
    </r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d</t>
    </r>
  </si>
  <si>
    <t>(Refer Reinforcement calculation)</t>
  </si>
  <si>
    <t>c= cover to reinforcement</t>
  </si>
  <si>
    <r>
      <t>K</t>
    </r>
    <r>
      <rPr>
        <vertAlign val="subscript"/>
        <sz val="11"/>
        <color theme="1"/>
        <rFont val="TKTypeRegular"/>
        <family val="2"/>
      </rPr>
      <t>1</t>
    </r>
    <r>
      <rPr>
        <sz val="11"/>
        <color theme="1"/>
        <rFont val="TKTypeRegular"/>
        <family val="2"/>
      </rPr>
      <t xml:space="preserve"> (for high bond bar)</t>
    </r>
  </si>
  <si>
    <r>
      <t>K</t>
    </r>
    <r>
      <rPr>
        <vertAlign val="subscript"/>
        <sz val="11"/>
        <color theme="1"/>
        <rFont val="TKTypeRegular"/>
        <family val="2"/>
      </rPr>
      <t>2</t>
    </r>
    <r>
      <rPr>
        <sz val="11"/>
        <color theme="1"/>
        <rFont val="TKTypeRegular"/>
        <family val="2"/>
      </rPr>
      <t xml:space="preserve"> (for bending)</t>
    </r>
  </si>
  <si>
    <r>
      <rPr>
        <sz val="15"/>
        <color theme="1"/>
        <rFont val="Calibri"/>
        <family val="2"/>
      </rPr>
      <t>ᶲ</t>
    </r>
    <r>
      <rPr>
        <sz val="11"/>
        <color theme="1"/>
        <rFont val="TKTypeRegular"/>
        <family val="2"/>
      </rPr>
      <t xml:space="preserve"> = bar diameter </t>
    </r>
  </si>
  <si>
    <r>
      <t>A</t>
    </r>
    <r>
      <rPr>
        <vertAlign val="subscript"/>
        <sz val="11"/>
        <color theme="1"/>
        <rFont val="TKTypeRegular"/>
        <family val="2"/>
      </rPr>
      <t>c,eff</t>
    </r>
    <r>
      <rPr>
        <sz val="11"/>
        <color theme="1"/>
        <rFont val="TKTypeRegular"/>
        <family val="2"/>
      </rPr>
      <t xml:space="preserve"> = minimum of { 2.5 (h-d), (h-x)/3, h/2} x 1000</t>
    </r>
  </si>
  <si>
    <r>
      <t>Depth of neutral axis, x = 2 (d-z)</t>
    </r>
    <r>
      <rPr>
        <sz val="11"/>
        <rFont val="TKTypeRegular"/>
        <family val="2"/>
      </rPr>
      <t xml:space="preserve"> / </t>
    </r>
    <r>
      <rPr>
        <sz val="15.95"/>
        <rFont val="GreekC"/>
      </rPr>
      <t>λ</t>
    </r>
  </si>
  <si>
    <t>here, h = D</t>
  </si>
  <si>
    <t>x</t>
  </si>
  <si>
    <r>
      <rPr>
        <sz val="11"/>
        <color theme="1"/>
        <rFont val="Calibri"/>
        <family val="2"/>
      </rPr>
      <t>ρρ</t>
    </r>
    <r>
      <rPr>
        <vertAlign val="subscript"/>
        <sz val="11"/>
        <color theme="1"/>
        <rFont val="TKTypeRegular"/>
        <family val="2"/>
      </rPr>
      <t>eff</t>
    </r>
  </si>
  <si>
    <t>As / Ac,eff</t>
  </si>
  <si>
    <r>
      <t>Recommended values of k</t>
    </r>
    <r>
      <rPr>
        <vertAlign val="subscript"/>
        <sz val="11"/>
        <color theme="1"/>
        <rFont val="TKTypeRegular"/>
        <family val="2"/>
      </rPr>
      <t>3</t>
    </r>
    <r>
      <rPr>
        <sz val="11"/>
        <color theme="1"/>
        <rFont val="TKTypeRegular"/>
        <family val="2"/>
      </rPr>
      <t xml:space="preserve"> = 3.4 &amp; k</t>
    </r>
    <r>
      <rPr>
        <vertAlign val="subscript"/>
        <sz val="11"/>
        <color theme="1"/>
        <rFont val="TKTypeRegular"/>
        <family val="2"/>
      </rPr>
      <t>4</t>
    </r>
    <r>
      <rPr>
        <sz val="11"/>
        <color theme="1"/>
        <rFont val="TKTypeRegular"/>
        <family val="2"/>
      </rPr>
      <t xml:space="preserve"> = 0.425 (pg no 126, EN 1992-3:2006)</t>
    </r>
  </si>
  <si>
    <r>
      <t>S</t>
    </r>
    <r>
      <rPr>
        <vertAlign val="subscript"/>
        <sz val="11"/>
        <color theme="1"/>
        <rFont val="TKTypeRegular"/>
        <family val="2"/>
      </rPr>
      <t>r,max</t>
    </r>
    <r>
      <rPr>
        <sz val="11"/>
        <color theme="1"/>
        <rFont val="TKTypeRegular"/>
        <family val="2"/>
      </rPr>
      <t xml:space="preserve"> </t>
    </r>
  </si>
  <si>
    <t>MU</t>
  </si>
  <si>
    <t>As</t>
  </si>
  <si>
    <t>Top  X</t>
  </si>
  <si>
    <t>Top Y</t>
  </si>
  <si>
    <t>Bottom X</t>
  </si>
  <si>
    <t>Bottom Y</t>
  </si>
  <si>
    <t>Mu(max)</t>
  </si>
  <si>
    <t>N/mm2</t>
  </si>
  <si>
    <r>
      <rPr>
        <sz val="11"/>
        <color theme="1"/>
        <rFont val="GreekC"/>
      </rPr>
      <t>α</t>
    </r>
    <r>
      <rPr>
        <vertAlign val="subscript"/>
        <sz val="11"/>
        <color theme="1"/>
        <rFont val="TKTypeRegular"/>
        <family val="2"/>
      </rPr>
      <t>e</t>
    </r>
    <r>
      <rPr>
        <sz val="11"/>
        <color theme="1"/>
        <rFont val="TKTypeRegular"/>
        <family val="2"/>
      </rPr>
      <t xml:space="preserve"> = (2 x 10</t>
    </r>
    <r>
      <rPr>
        <vertAlign val="superscript"/>
        <sz val="11"/>
        <color theme="1"/>
        <rFont val="TKTypeRegular"/>
        <family val="2"/>
      </rPr>
      <t>5</t>
    </r>
    <r>
      <rPr>
        <sz val="11"/>
        <color theme="1"/>
        <rFont val="TKTypeRegular"/>
        <family val="2"/>
      </rPr>
      <t>) / (33 x 10</t>
    </r>
    <r>
      <rPr>
        <vertAlign val="superscript"/>
        <sz val="11"/>
        <color theme="1"/>
        <rFont val="TKTypeRegular"/>
        <family val="2"/>
      </rPr>
      <t>3</t>
    </r>
    <r>
      <rPr>
        <sz val="11"/>
        <color theme="1"/>
        <rFont val="TKTypeRegular"/>
        <family val="2"/>
      </rPr>
      <t xml:space="preserve">)   </t>
    </r>
  </si>
  <si>
    <t>(Refer table 3.1, EN 1991-1:20010-12)</t>
  </si>
  <si>
    <r>
      <t>k</t>
    </r>
    <r>
      <rPr>
        <vertAlign val="subscript"/>
        <sz val="11"/>
        <color theme="1"/>
        <rFont val="TKTypeRegular"/>
        <family val="2"/>
      </rPr>
      <t>t</t>
    </r>
    <r>
      <rPr>
        <sz val="11"/>
        <color theme="1"/>
        <rFont val="TKTypeRegular"/>
        <family val="2"/>
      </rPr>
      <t xml:space="preserve"> (for long term loading)</t>
    </r>
  </si>
  <si>
    <r>
      <t>f</t>
    </r>
    <r>
      <rPr>
        <vertAlign val="subscript"/>
        <sz val="11"/>
        <color theme="1"/>
        <rFont val="TKTypeRegular"/>
        <family val="2"/>
      </rPr>
      <t>ct,eff</t>
    </r>
    <r>
      <rPr>
        <sz val="11"/>
        <color theme="1"/>
        <rFont val="TKTypeRegular"/>
        <family val="2"/>
      </rPr>
      <t xml:space="preserve"> = f</t>
    </r>
    <r>
      <rPr>
        <vertAlign val="subscript"/>
        <sz val="11"/>
        <color theme="1"/>
        <rFont val="TKTypeRegular"/>
        <family val="2"/>
      </rPr>
      <t>ctm</t>
    </r>
  </si>
  <si>
    <r>
      <t>e</t>
    </r>
    <r>
      <rPr>
        <vertAlign val="subscript"/>
        <sz val="11"/>
        <color theme="1"/>
        <rFont val="TKTypeRegular"/>
        <family val="2"/>
      </rPr>
      <t>cr</t>
    </r>
    <r>
      <rPr>
        <sz val="11"/>
        <color theme="1"/>
        <rFont val="TKTypeRegular"/>
        <family val="2"/>
      </rPr>
      <t xml:space="preserve"> </t>
    </r>
  </si>
  <si>
    <r>
      <t>Therefore, w</t>
    </r>
    <r>
      <rPr>
        <vertAlign val="subscript"/>
        <sz val="11"/>
        <color theme="1"/>
        <rFont val="TKTypeRegular"/>
        <family val="2"/>
      </rPr>
      <t>k</t>
    </r>
    <r>
      <rPr>
        <sz val="11"/>
        <color theme="1"/>
        <rFont val="TKTypeRegular"/>
        <family val="2"/>
      </rPr>
      <t xml:space="preserve"> = S</t>
    </r>
    <r>
      <rPr>
        <vertAlign val="subscript"/>
        <sz val="11"/>
        <color theme="1"/>
        <rFont val="TKTypeRegular"/>
        <family val="2"/>
      </rPr>
      <t>r,max</t>
    </r>
    <r>
      <rPr>
        <sz val="11"/>
        <color theme="1"/>
        <rFont val="TKTypeRegular"/>
        <family val="2"/>
      </rPr>
      <t xml:space="preserve"> x e</t>
    </r>
    <r>
      <rPr>
        <vertAlign val="subscript"/>
        <sz val="11"/>
        <color theme="1"/>
        <rFont val="TKTypeRegular"/>
        <family val="2"/>
      </rPr>
      <t>cr</t>
    </r>
    <r>
      <rPr>
        <sz val="11"/>
        <color theme="1"/>
        <rFont val="TKTypeRegular"/>
        <family val="2"/>
      </rPr>
      <t xml:space="preserve">  </t>
    </r>
  </si>
  <si>
    <r>
      <t>w</t>
    </r>
    <r>
      <rPr>
        <vertAlign val="subscript"/>
        <sz val="11"/>
        <color theme="1"/>
        <rFont val="TKTypeRegular"/>
        <family val="2"/>
      </rPr>
      <t>k1</t>
    </r>
  </si>
  <si>
    <t>Allowable crack width, wk1</t>
  </si>
  <si>
    <r>
      <t>f</t>
    </r>
    <r>
      <rPr>
        <vertAlign val="subscript"/>
        <sz val="11"/>
        <color theme="1"/>
        <rFont val="TKTypeRegular"/>
        <family val="2"/>
      </rPr>
      <t>ck</t>
    </r>
  </si>
  <si>
    <t>h</t>
  </si>
  <si>
    <r>
      <t>f</t>
    </r>
    <r>
      <rPr>
        <vertAlign val="subscript"/>
        <sz val="11"/>
        <color theme="1"/>
        <rFont val="TKTypeRegular"/>
        <family val="2"/>
      </rPr>
      <t>ctm</t>
    </r>
  </si>
  <si>
    <t>As per clause 7.3.4</t>
  </si>
  <si>
    <r>
      <t>ε</t>
    </r>
    <r>
      <rPr>
        <vertAlign val="subscript"/>
        <sz val="12"/>
        <color theme="1"/>
        <rFont val="Cambria"/>
        <family val="1"/>
        <scheme val="major"/>
      </rPr>
      <t>sm</t>
    </r>
    <r>
      <rPr>
        <sz val="11"/>
        <color theme="1"/>
        <rFont val="GreekC"/>
      </rPr>
      <t xml:space="preserve"> - ε</t>
    </r>
    <r>
      <rPr>
        <vertAlign val="subscript"/>
        <sz val="11"/>
        <color theme="1"/>
        <rFont val="Calibri"/>
        <family val="2"/>
      </rPr>
      <t>cm</t>
    </r>
  </si>
  <si>
    <t>Bar Dia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</si>
  <si>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TKTypeRegular"/>
        <family val="2"/>
      </rPr>
      <t>s</t>
    </r>
    <r>
      <rPr>
        <sz val="11"/>
        <color theme="1"/>
        <rFont val="TKTypeRegular"/>
        <family val="2"/>
      </rPr>
      <t xml:space="preserve"> = M</t>
    </r>
    <r>
      <rPr>
        <vertAlign val="subscript"/>
        <sz val="11"/>
        <color theme="1"/>
        <rFont val="TKTypeRegular"/>
        <family val="2"/>
      </rPr>
      <t>u</t>
    </r>
    <r>
      <rPr>
        <sz val="11"/>
        <color theme="1"/>
        <rFont val="TKTypeRegular"/>
        <family val="2"/>
      </rPr>
      <t>/ (A</t>
    </r>
    <r>
      <rPr>
        <vertAlign val="subscript"/>
        <sz val="11"/>
        <color theme="1"/>
        <rFont val="TKTypeRegular"/>
        <family val="2"/>
      </rPr>
      <t>s</t>
    </r>
    <r>
      <rPr>
        <sz val="11"/>
        <color theme="1"/>
        <rFont val="TKTypeRegular"/>
        <family val="2"/>
      </rPr>
      <t xml:space="preserve"> x z) </t>
    </r>
  </si>
  <si>
    <t>Bar Diameter</t>
  </si>
  <si>
    <t>Spacing</t>
  </si>
  <si>
    <t>Reinforcement Location</t>
  </si>
  <si>
    <t>DIMENSIONS OF RAFT</t>
  </si>
  <si>
    <t>LENGTH (L) =</t>
  </si>
  <si>
    <t>BREADTH (B) =</t>
  </si>
  <si>
    <t>THICKNESS (D) =</t>
  </si>
  <si>
    <t>SUMMARY OF RAFT DESIGN</t>
  </si>
  <si>
    <t>REINFORCEMENT DETAILS</t>
  </si>
  <si>
    <t>CHECK FOR ONE WAY SHEAR</t>
  </si>
  <si>
    <t>Ast reqd</t>
  </si>
  <si>
    <t>Ast provided</t>
  </si>
  <si>
    <r>
      <t>Actual Shear 
(β V</t>
    </r>
    <r>
      <rPr>
        <vertAlign val="subscript"/>
        <sz val="10"/>
        <color theme="1"/>
        <rFont val="Arial"/>
        <family val="2"/>
      </rPr>
      <t>ed)</t>
    </r>
  </si>
  <si>
    <r>
      <t>Shear Capacity 
(min of V</t>
    </r>
    <r>
      <rPr>
        <vertAlign val="subscript"/>
        <sz val="11"/>
        <color theme="1"/>
        <rFont val="TKTypeRegular"/>
        <family val="2"/>
      </rPr>
      <t>Rd,c</t>
    </r>
    <r>
      <rPr>
        <sz val="11"/>
        <color theme="1"/>
        <rFont val="TKTypeRegular"/>
        <family val="2"/>
      </rPr>
      <t xml:space="preserve"> &amp; V</t>
    </r>
    <r>
      <rPr>
        <vertAlign val="subscript"/>
        <sz val="11"/>
        <color theme="1"/>
        <rFont val="TKTypeRegular"/>
        <family val="2"/>
      </rPr>
      <t xml:space="preserve">Rd,c </t>
    </r>
    <r>
      <rPr>
        <sz val="11"/>
        <color theme="1"/>
        <rFont val="TKTypeRegular"/>
        <family val="2"/>
      </rPr>
      <t>)</t>
    </r>
  </si>
  <si>
    <t>CHECK FOR PUNCHING SHEAR</t>
  </si>
  <si>
    <r>
      <t>Actual Punching Shear stress (v</t>
    </r>
    <r>
      <rPr>
        <vertAlign val="subscript"/>
        <sz val="11"/>
        <color theme="1"/>
        <rFont val="TKTypeRegular"/>
        <family val="2"/>
      </rPr>
      <t>ed</t>
    </r>
    <r>
      <rPr>
        <sz val="11"/>
        <color theme="1"/>
        <rFont val="TKTypeRegular"/>
        <family val="2"/>
      </rPr>
      <t>)</t>
    </r>
  </si>
  <si>
    <r>
      <t>Allowable Punching shear stress (v</t>
    </r>
    <r>
      <rPr>
        <vertAlign val="subscript"/>
        <sz val="11"/>
        <color theme="1"/>
        <rFont val="TKTypeRegular"/>
        <family val="2"/>
      </rPr>
      <t>Rd</t>
    </r>
    <r>
      <rPr>
        <sz val="11"/>
        <color theme="1"/>
        <rFont val="TKTypeRegular"/>
        <family val="2"/>
      </rPr>
      <t>)</t>
    </r>
  </si>
  <si>
    <t>CHECK FOR CRACK WIDTH</t>
  </si>
  <si>
    <r>
      <t>Actual crack width (w</t>
    </r>
    <r>
      <rPr>
        <vertAlign val="subscript"/>
        <sz val="11"/>
        <color theme="1"/>
        <rFont val="TKTypeRegular"/>
        <family val="2"/>
      </rPr>
      <t>k</t>
    </r>
    <r>
      <rPr>
        <sz val="11"/>
        <color theme="1"/>
        <rFont val="TKTypeRegular"/>
        <family val="2"/>
      </rPr>
      <t>)</t>
    </r>
  </si>
  <si>
    <r>
      <t>Allowable Crack Width (w</t>
    </r>
    <r>
      <rPr>
        <vertAlign val="subscript"/>
        <sz val="11"/>
        <color theme="1"/>
        <rFont val="TKTypeRegular"/>
        <family val="2"/>
      </rPr>
      <t>k1</t>
    </r>
    <r>
      <rPr>
        <sz val="11"/>
        <color theme="1"/>
        <rFont val="TKTypeRegular"/>
        <family val="2"/>
      </rPr>
      <t>)</t>
    </r>
  </si>
  <si>
    <t>Structural Class</t>
  </si>
  <si>
    <t>Exposure Class according to Table 4.1</t>
  </si>
  <si>
    <t>S1</t>
  </si>
  <si>
    <t>S2</t>
  </si>
  <si>
    <t>S3</t>
  </si>
  <si>
    <t>S5</t>
  </si>
  <si>
    <t>S6</t>
  </si>
  <si>
    <t>C20/25</t>
  </si>
  <si>
    <t>C25/30</t>
  </si>
  <si>
    <t>C35/45</t>
  </si>
  <si>
    <t>C40/50</t>
  </si>
  <si>
    <t>C45/55</t>
  </si>
  <si>
    <t>C50/60</t>
  </si>
  <si>
    <t>C55/67</t>
  </si>
  <si>
    <t>C60/75</t>
  </si>
  <si>
    <t>C70/85</t>
  </si>
  <si>
    <t>C80/95</t>
  </si>
  <si>
    <t>C90/105</t>
  </si>
  <si>
    <r>
      <rPr>
        <sz val="12"/>
        <rFont val="Calibri"/>
        <family val="2"/>
      </rPr>
      <t>ε</t>
    </r>
    <r>
      <rPr>
        <vertAlign val="subscript"/>
        <sz val="12"/>
        <rFont val="Helv"/>
      </rPr>
      <t>cu3</t>
    </r>
  </si>
  <si>
    <t>fctm</t>
  </si>
  <si>
    <t xml:space="preserve">For concrete without reinforcement or embedded metal, all exposures 
</t>
  </si>
  <si>
    <t>3d</t>
  </si>
  <si>
    <t>4d</t>
  </si>
  <si>
    <t>&gt;=6d</t>
  </si>
  <si>
    <t>500 dia</t>
  </si>
  <si>
    <t>800 dia</t>
  </si>
  <si>
    <t>Effective depth "d" = (dy+dz)/2</t>
  </si>
  <si>
    <r>
      <t>ᵨ</t>
    </r>
    <r>
      <rPr>
        <vertAlign val="subscript"/>
        <sz val="11"/>
        <color theme="1"/>
        <rFont val="Calibri"/>
        <family val="2"/>
      </rPr>
      <t>lx</t>
    </r>
  </si>
  <si>
    <r>
      <t>ᵨ</t>
    </r>
    <r>
      <rPr>
        <vertAlign val="subscript"/>
        <sz val="11"/>
        <color theme="1"/>
        <rFont val="Calibri"/>
        <family val="2"/>
      </rPr>
      <t>lz</t>
    </r>
  </si>
  <si>
    <r>
      <t>ᵨ</t>
    </r>
    <r>
      <rPr>
        <vertAlign val="subscript"/>
        <sz val="11"/>
        <color theme="1"/>
        <rFont val="Calibri"/>
        <family val="2"/>
      </rPr>
      <t xml:space="preserve">l =  </t>
    </r>
    <r>
      <rPr>
        <vertAlign val="subscript"/>
        <sz val="16"/>
        <color theme="1"/>
        <rFont val="Calibri"/>
        <family val="2"/>
      </rPr>
      <t>sqrt(ᵨlx * ᵨlz) =</t>
    </r>
  </si>
  <si>
    <t>Area</t>
  </si>
  <si>
    <t>I</t>
  </si>
  <si>
    <t>II</t>
  </si>
  <si>
    <t>IIIa</t>
  </si>
  <si>
    <t>IIIb</t>
  </si>
  <si>
    <t>IV</t>
  </si>
  <si>
    <t>V</t>
  </si>
  <si>
    <t>VI</t>
  </si>
  <si>
    <t>Pile length</t>
  </si>
  <si>
    <t>Compression capacity for 500 dia pile</t>
  </si>
  <si>
    <t>Compression capacity for 800 dia pile</t>
  </si>
  <si>
    <t>Tension capacity for 500 dia pile</t>
  </si>
  <si>
    <t>Tension capacity for 800 dia pile</t>
  </si>
  <si>
    <t>Area as per soil report</t>
  </si>
  <si>
    <t>Minimum Reinforcement</t>
  </si>
  <si>
    <t xml:space="preserve">Minimum reinforcement in each direction = </t>
  </si>
  <si>
    <t>0.0015bt</t>
  </si>
  <si>
    <t>9.2.1.1 of EN1992</t>
  </si>
  <si>
    <t>STAAD analysis results for Flexure</t>
  </si>
  <si>
    <t>STAAD analysis results for crack width calculation (Use working load cases)</t>
  </si>
  <si>
    <t>2012 0.9D+1.35OLE+1.35AL+1.5WL+0.9TS+1.5I</t>
  </si>
  <si>
    <t>2004 0.9D+1.5WL+0.9TS+1.5I</t>
  </si>
  <si>
    <t>2601 1.0D+0.15LL+0.8OLE+0.8AL+1.0SES+1.0I</t>
  </si>
  <si>
    <t>2602 1.0D+0.15LL+0.8OLE+0.8AL+1.0SES+1.0I</t>
  </si>
  <si>
    <t>2603 1.0D+0.15LL+0.8OLE+0.8AL+1.0SES+1.0I</t>
  </si>
  <si>
    <t>2604 1.0D+0.15LL+0.8OLE+0.8AL+1.0SES+1.0I</t>
  </si>
  <si>
    <t>2007 0.9D+1.5WL+0.9TS+1.5I</t>
  </si>
  <si>
    <t>2405 1.35D+1.2LL+1.35OLE+1.35AL+1.5WL+0.9TS+1.5I</t>
  </si>
  <si>
    <t>TOP REINFORCEMENT (BOTTOM)</t>
  </si>
  <si>
    <t>BOTTOM REINFORCEMENT (TOP)</t>
  </si>
  <si>
    <t>2010 0.9D+1.35OLE+1.35AL+1.5WL+0.9TS+1.5I</t>
  </si>
  <si>
    <t>1901 1.0D+0.15LL+0.8OLE+0.8AL+1.0W+1.0I</t>
  </si>
  <si>
    <t>1902 1.0D+0.15LL+0.8OLE+0.8AL+1.0W+1.0I</t>
  </si>
  <si>
    <t>1903 1.0D+0.15LL+0.8OLE+0.8AL+1.0W+1.0I</t>
  </si>
  <si>
    <t>1904 1.0D+0.15LL+0.8OLE+0.8AL+1.0W+1.0I</t>
  </si>
  <si>
    <t>1825 1.0D+0.15LL+1.0HT+1.0AL+1.0TS+1.0I</t>
  </si>
  <si>
    <t>1830 1.0D+0.15LL+1.0HT+1.0AL+1.0TS+1.0I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</si>
</sst>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 * #,##0.00_ ;_ * \-#,##0.00_ ;_ * &quot;-&quot;??_ ;_ @_ "/>
    <numFmt numFmtId="164" formatCode="0.000"/>
    <numFmt numFmtId="165" formatCode="0.0000"/>
    <numFmt numFmtId="166" formatCode="0.0"/>
    <numFmt numFmtId="167" formatCode="0.00_)"/>
    <numFmt numFmtId="168" formatCode="0.000_)"/>
    <numFmt numFmtId="169" formatCode="0.0000_)"/>
    <numFmt numFmtId="170" formatCode="0_)"/>
    <numFmt numFmtId="171" formatCode="dd\/mm\/yyyy"/>
    <numFmt numFmtId="172" formatCode="0&quot; Mpa&quot;"/>
    <numFmt numFmtId="173" formatCode="0&quot; mm&quot;"/>
    <numFmt numFmtId="174" formatCode="0.0_)"/>
    <numFmt numFmtId="175" formatCode="&quot;M&quot;0"/>
    <numFmt numFmtId="176" formatCode="0_)&quot;mm&quot;"/>
    <numFmt numFmtId="177" formatCode="&quot; M&quot;0"/>
    <numFmt numFmtId="178" formatCode="#,##0.000"/>
    <numFmt numFmtId="179" formatCode="0.00000"/>
  </numFmts>
  <fonts count="10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10"/>
      <name val="TKTypeRegular"/>
      <family val="2"/>
    </font>
    <font>
      <sz val="10"/>
      <name val="TKTypeRegular"/>
      <family val="2"/>
    </font>
    <font>
      <sz val="12"/>
      <name val="TKTypeRegular"/>
      <family val="2"/>
    </font>
    <font>
      <sz val="10"/>
      <color indexed="10"/>
      <name val="TKTypeRegular"/>
      <family val="2"/>
    </font>
    <font>
      <b/>
      <sz val="10"/>
      <color indexed="10"/>
      <name val="TKTypeRegular"/>
      <family val="2"/>
    </font>
    <font>
      <b/>
      <sz val="10"/>
      <color theme="1"/>
      <name val="TKTypeRegular"/>
      <family val="2"/>
    </font>
    <font>
      <b/>
      <sz val="10"/>
      <color indexed="12"/>
      <name val="TKTypeRegular"/>
      <family val="2"/>
    </font>
    <font>
      <sz val="10"/>
      <color indexed="12"/>
      <name val="TKTypeRegular"/>
      <family val="2"/>
    </font>
    <font>
      <b/>
      <sz val="10"/>
      <color rgb="FFFF0000"/>
      <name val="TKTypeRegular"/>
      <family val="2"/>
    </font>
    <font>
      <b/>
      <u/>
      <sz val="12"/>
      <color rgb="FF00B0F0"/>
      <name val="TKTypeRegular"/>
      <family val="2"/>
    </font>
    <font>
      <b/>
      <sz val="12"/>
      <color rgb="FF00B0F0"/>
      <name val="TKTypeRegular"/>
      <family val="2"/>
    </font>
    <font>
      <b/>
      <vertAlign val="subscript"/>
      <sz val="12"/>
      <color rgb="FF00B0F0"/>
      <name val="TKTypeRegular"/>
      <family val="2"/>
    </font>
    <font>
      <b/>
      <sz val="12"/>
      <name val="TKTypeRegular"/>
      <family val="2"/>
    </font>
    <font>
      <sz val="12"/>
      <color theme="1"/>
      <name val="TKTypeRegular"/>
      <family val="2"/>
    </font>
    <font>
      <vertAlign val="subscript"/>
      <sz val="12"/>
      <color theme="1"/>
      <name val="TKTypeRegular"/>
      <family val="2"/>
    </font>
    <font>
      <sz val="16"/>
      <name val="TKTypeRegular"/>
      <family val="2"/>
    </font>
    <font>
      <vertAlign val="subscript"/>
      <sz val="12"/>
      <name val="TKTypeRegular"/>
      <family val="2"/>
    </font>
    <font>
      <sz val="11"/>
      <color theme="1"/>
      <name val="TKTypeRegular"/>
      <family val="2"/>
    </font>
    <font>
      <sz val="12"/>
      <color rgb="FFFF0000"/>
      <name val="TKTypeRegular"/>
      <family val="2"/>
    </font>
    <font>
      <b/>
      <sz val="12"/>
      <color rgb="FFFF0000"/>
      <name val="TKTypeRegular"/>
      <family val="2"/>
    </font>
    <font>
      <sz val="10"/>
      <color theme="1"/>
      <name val="TKTypeRegular"/>
      <family val="2"/>
    </font>
    <font>
      <i/>
      <sz val="10"/>
      <name val="TKTypeRegular"/>
      <family val="2"/>
    </font>
    <font>
      <sz val="10"/>
      <color rgb="FF0000FF"/>
      <name val="TKTypeRegular"/>
      <family val="2"/>
    </font>
    <font>
      <b/>
      <sz val="10"/>
      <color rgb="FF0000FF"/>
      <name val="TKTypeRegular"/>
      <family val="2"/>
    </font>
    <font>
      <sz val="14"/>
      <name val="TKTypeRegular"/>
      <family val="2"/>
    </font>
    <font>
      <sz val="11"/>
      <name val="TKTypeRegular"/>
      <family val="2"/>
    </font>
    <font>
      <b/>
      <sz val="11"/>
      <color theme="1"/>
      <name val="TKTypeRegular"/>
      <family val="2"/>
    </font>
    <font>
      <sz val="11"/>
      <color indexed="12"/>
      <name val="TKTypeRegular"/>
      <family val="2"/>
    </font>
    <font>
      <b/>
      <sz val="10"/>
      <name val="Arial"/>
      <family val="2"/>
    </font>
    <font>
      <sz val="10"/>
      <name val="Tms Rmn"/>
    </font>
    <font>
      <sz val="12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b/>
      <u/>
      <sz val="10"/>
      <color indexed="12"/>
      <name val="Arial"/>
      <family val="2"/>
    </font>
    <font>
      <sz val="8"/>
      <name val="Arial"/>
      <family val="2"/>
    </font>
    <font>
      <i/>
      <sz val="10"/>
      <color rgb="FF0000FF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9.5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b/>
      <vertAlign val="superscript"/>
      <sz val="10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b/>
      <sz val="9.5"/>
      <color rgb="FFFF0000"/>
      <name val="Arial"/>
      <family val="2"/>
    </font>
    <font>
      <b/>
      <sz val="6"/>
      <color rgb="FFFF0000"/>
      <name val="Arial"/>
      <family val="2"/>
    </font>
    <font>
      <vertAlign val="subscript"/>
      <sz val="10"/>
      <name val="Arial"/>
      <family val="2"/>
    </font>
    <font>
      <vertAlign val="subscript"/>
      <sz val="9"/>
      <color rgb="FF0000FF"/>
      <name val="Arial"/>
      <family val="2"/>
    </font>
    <font>
      <vertAlign val="superscript"/>
      <sz val="10"/>
      <name val="Arial"/>
      <family val="2"/>
    </font>
    <font>
      <sz val="12"/>
      <name val="Arial"/>
      <family val="2"/>
    </font>
    <font>
      <sz val="12"/>
      <name val="Symbol"/>
      <family val="1"/>
      <charset val="2"/>
    </font>
    <font>
      <vertAlign val="subscript"/>
      <sz val="12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u/>
      <sz val="10"/>
      <color rgb="FF0000FF"/>
      <name val="Arial"/>
      <family val="2"/>
    </font>
    <font>
      <vertAlign val="subscript"/>
      <sz val="11"/>
      <name val="TKTypeRegular"/>
      <family val="2"/>
    </font>
    <font>
      <b/>
      <u/>
      <sz val="10"/>
      <name val="Arial"/>
      <family val="2"/>
    </font>
    <font>
      <b/>
      <u/>
      <sz val="12"/>
      <color rgb="FFFF0000"/>
      <name val="Arial"/>
      <family val="2"/>
    </font>
    <font>
      <b/>
      <sz val="10"/>
      <color rgb="FF009900"/>
      <name val="Arial"/>
      <family val="2"/>
    </font>
    <font>
      <sz val="10"/>
      <color rgb="FFFF0000"/>
      <name val="Arial"/>
      <family val="2"/>
    </font>
    <font>
      <sz val="9"/>
      <color indexed="12"/>
      <name val="Arial"/>
      <family val="2"/>
    </font>
    <font>
      <sz val="1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lbertus MT Lt"/>
      <family val="1"/>
    </font>
    <font>
      <sz val="11"/>
      <color theme="1"/>
      <name val="Albertus MT Lt"/>
      <family val="1"/>
    </font>
    <font>
      <b/>
      <sz val="11"/>
      <color theme="1"/>
      <name val="Albertus MT Lt"/>
    </font>
    <font>
      <sz val="25"/>
      <color theme="1"/>
      <name val="Calibri"/>
      <family val="2"/>
    </font>
    <font>
      <sz val="18"/>
      <color theme="1"/>
      <name val="Arial"/>
      <family val="2"/>
    </font>
    <font>
      <b/>
      <u/>
      <sz val="10"/>
      <name val="TKTypeRegular"/>
      <family val="2"/>
    </font>
    <font>
      <b/>
      <u/>
      <sz val="12"/>
      <color theme="1"/>
      <name val="TKTypeRegular"/>
      <family val="2"/>
    </font>
    <font>
      <b/>
      <sz val="11"/>
      <color rgb="FFFF0000"/>
      <name val="TKTypeRegular"/>
      <family val="2"/>
    </font>
    <font>
      <vertAlign val="subscript"/>
      <sz val="11"/>
      <color theme="1"/>
      <name val="TKTypeRegular"/>
      <family val="2"/>
    </font>
    <font>
      <sz val="15"/>
      <color theme="1"/>
      <name val="Calibri"/>
      <family val="2"/>
    </font>
    <font>
      <sz val="15.95"/>
      <name val="GreekC"/>
    </font>
    <font>
      <sz val="11"/>
      <color theme="1"/>
      <name val="GreekC"/>
    </font>
    <font>
      <vertAlign val="superscript"/>
      <sz val="11"/>
      <color theme="1"/>
      <name val="TKTypeRegular"/>
      <family val="2"/>
    </font>
    <font>
      <vertAlign val="subscript"/>
      <sz val="12"/>
      <color theme="1"/>
      <name val="Cambria"/>
      <family val="1"/>
      <scheme val="major"/>
    </font>
    <font>
      <b/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2"/>
      <name val="Helv"/>
    </font>
    <font>
      <vertAlign val="subscript"/>
      <sz val="16"/>
      <color theme="1"/>
      <name val="Calibri"/>
      <family val="2"/>
    </font>
    <font>
      <b/>
      <u/>
      <sz val="12"/>
      <name val="TKTypeRegular"/>
      <family val="2"/>
    </font>
    <font>
      <sz val="12"/>
      <color rgb="FF0070C0"/>
      <name val="TKTypeRegular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7D5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80">
    <xf numFmtId="0" fontId="0" fillId="0" borderId="0"/>
    <xf numFmtId="167" fontId="1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7" fontId="14" fillId="0" borderId="0"/>
    <xf numFmtId="9" fontId="14" fillId="0" borderId="0" applyFont="0" applyFill="0" applyBorder="0" applyAlignment="0" applyProtection="0"/>
    <xf numFmtId="167" fontId="14" fillId="0" borderId="0"/>
    <xf numFmtId="43" fontId="13" fillId="0" borderId="0" applyFont="0" applyFill="0" applyBorder="0" applyAlignment="0" applyProtection="0"/>
  </cellStyleXfs>
  <cellXfs count="5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6" fillId="0" borderId="0" xfId="0" applyFon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right"/>
    </xf>
    <xf numFmtId="0" fontId="0" fillId="0" borderId="0" xfId="0" quotePrefix="1" applyFill="1" applyBorder="1"/>
    <xf numFmtId="0" fontId="0" fillId="0" borderId="4" xfId="0" applyBorder="1"/>
    <xf numFmtId="0" fontId="0" fillId="0" borderId="7" xfId="0" applyBorder="1"/>
    <xf numFmtId="0" fontId="1" fillId="0" borderId="2" xfId="0" applyFont="1" applyBorder="1"/>
    <xf numFmtId="0" fontId="1" fillId="0" borderId="0" xfId="0" applyFont="1"/>
    <xf numFmtId="0" fontId="9" fillId="0" borderId="0" xfId="0" applyFont="1"/>
    <xf numFmtId="0" fontId="9" fillId="3" borderId="0" xfId="0" applyFont="1" applyFill="1"/>
    <xf numFmtId="0" fontId="9" fillId="0" borderId="1" xfId="0" applyFont="1" applyBorder="1"/>
    <xf numFmtId="0" fontId="10" fillId="0" borderId="2" xfId="0" applyFont="1" applyBorder="1"/>
    <xf numFmtId="0" fontId="9" fillId="0" borderId="2" xfId="0" applyFont="1" applyBorder="1"/>
    <xf numFmtId="0" fontId="9" fillId="0" borderId="7" xfId="0" applyFont="1" applyBorder="1"/>
    <xf numFmtId="0" fontId="9" fillId="0" borderId="3" xfId="0" applyFont="1" applyBorder="1"/>
    <xf numFmtId="0" fontId="10" fillId="0" borderId="0" xfId="0" applyFont="1" applyBorder="1"/>
    <xf numFmtId="0" fontId="9" fillId="0" borderId="0" xfId="0" applyFont="1" applyBorder="1"/>
    <xf numFmtId="0" fontId="9" fillId="0" borderId="4" xfId="0" applyFont="1" applyBorder="1"/>
    <xf numFmtId="0" fontId="9" fillId="3" borderId="0" xfId="0" applyFont="1" applyFill="1" applyBorder="1"/>
    <xf numFmtId="164" fontId="9" fillId="0" borderId="0" xfId="0" applyNumberFormat="1" applyFont="1" applyBorder="1" applyAlignment="1">
      <alignment horizontal="left"/>
    </xf>
    <xf numFmtId="2" fontId="9" fillId="0" borderId="0" xfId="0" applyNumberFormat="1" applyFont="1" applyBorder="1"/>
    <xf numFmtId="164" fontId="9" fillId="0" borderId="0" xfId="0" applyNumberFormat="1" applyFont="1" applyBorder="1"/>
    <xf numFmtId="1" fontId="9" fillId="3" borderId="0" xfId="0" applyNumberFormat="1" applyFont="1" applyFill="1" applyBorder="1"/>
    <xf numFmtId="0" fontId="9" fillId="0" borderId="0" xfId="0" applyFont="1" applyBorder="1" applyAlignment="1">
      <alignment horizontal="left"/>
    </xf>
    <xf numFmtId="165" fontId="9" fillId="0" borderId="0" xfId="0" applyNumberFormat="1" applyFont="1" applyBorder="1" applyAlignment="1">
      <alignment horizontal="left"/>
    </xf>
    <xf numFmtId="2" fontId="9" fillId="0" borderId="0" xfId="0" applyNumberFormat="1" applyFont="1" applyBorder="1" applyAlignment="1">
      <alignment horizontal="left"/>
    </xf>
    <xf numFmtId="0" fontId="9" fillId="0" borderId="0" xfId="0" quotePrefix="1" applyFont="1" applyBorder="1"/>
    <xf numFmtId="0" fontId="9" fillId="0" borderId="0" xfId="0" applyFont="1" applyAlignment="1">
      <alignment horizontal="left"/>
    </xf>
    <xf numFmtId="0" fontId="9" fillId="0" borderId="0" xfId="0" applyFont="1" applyFill="1" applyBorder="1"/>
    <xf numFmtId="0" fontId="9" fillId="0" borderId="8" xfId="0" applyFont="1" applyBorder="1"/>
    <xf numFmtId="0" fontId="9" fillId="0" borderId="6" xfId="0" applyFont="1" applyBorder="1"/>
    <xf numFmtId="0" fontId="9" fillId="0" borderId="5" xfId="0" applyFont="1" applyBorder="1"/>
    <xf numFmtId="167" fontId="15" fillId="0" borderId="0" xfId="1" applyFont="1" applyFill="1" applyBorder="1" applyAlignment="1" applyProtection="1">
      <alignment vertical="center"/>
    </xf>
    <xf numFmtId="167" fontId="16" fillId="0" borderId="0" xfId="1" applyFont="1" applyFill="1" applyBorder="1" applyAlignment="1" applyProtection="1">
      <alignment vertical="center"/>
    </xf>
    <xf numFmtId="167" fontId="16" fillId="0" borderId="0" xfId="1" applyFont="1" applyFill="1" applyBorder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vertical="center"/>
    </xf>
    <xf numFmtId="0" fontId="15" fillId="0" borderId="0" xfId="1" applyNumberFormat="1" applyFont="1" applyAlignment="1" applyProtection="1">
      <alignment vertical="center"/>
    </xf>
    <xf numFmtId="0" fontId="16" fillId="0" borderId="0" xfId="1" applyNumberFormat="1" applyFont="1" applyAlignment="1" applyProtection="1">
      <alignment vertical="center"/>
    </xf>
    <xf numFmtId="0" fontId="17" fillId="0" borderId="0" xfId="1" applyNumberFormat="1" applyFont="1" applyAlignment="1" applyProtection="1">
      <alignment vertical="center"/>
    </xf>
    <xf numFmtId="167" fontId="17" fillId="0" borderId="0" xfId="1" applyFont="1" applyAlignment="1" applyProtection="1">
      <alignment vertical="center"/>
    </xf>
    <xf numFmtId="0" fontId="16" fillId="0" borderId="0" xfId="1" applyNumberFormat="1" applyFont="1" applyFill="1" applyBorder="1" applyAlignment="1" applyProtection="1">
      <alignment horizontal="right" vertical="center"/>
    </xf>
    <xf numFmtId="167" fontId="16" fillId="0" borderId="0" xfId="1" applyFont="1" applyAlignment="1" applyProtection="1">
      <alignment vertical="center"/>
    </xf>
    <xf numFmtId="0" fontId="15" fillId="5" borderId="0" xfId="1" applyNumberFormat="1" applyFont="1" applyFill="1" applyAlignment="1" applyProtection="1">
      <alignment horizontal="center" vertical="center"/>
    </xf>
    <xf numFmtId="0" fontId="16" fillId="0" borderId="0" xfId="1" quotePrefix="1" applyNumberFormat="1" applyFont="1" applyFill="1" applyBorder="1" applyAlignment="1" applyProtection="1">
      <alignment horizontal="right" vertical="center"/>
    </xf>
    <xf numFmtId="167" fontId="20" fillId="0" borderId="0" xfId="1" applyFont="1" applyFill="1" applyBorder="1" applyAlignment="1" applyProtection="1">
      <alignment vertical="center"/>
    </xf>
    <xf numFmtId="167" fontId="21" fillId="0" borderId="0" xfId="1" applyFont="1" applyFill="1" applyBorder="1" applyAlignment="1" applyProtection="1">
      <alignment vertical="center"/>
    </xf>
    <xf numFmtId="167" fontId="22" fillId="0" borderId="0" xfId="1" applyFont="1" applyFill="1" applyBorder="1" applyAlignment="1" applyProtection="1">
      <alignment vertical="center"/>
    </xf>
    <xf numFmtId="167" fontId="21" fillId="0" borderId="0" xfId="1" applyFont="1" applyFill="1" applyBorder="1" applyAlignment="1" applyProtection="1">
      <alignment horizontal="center" vertical="center"/>
    </xf>
    <xf numFmtId="0" fontId="22" fillId="0" borderId="0" xfId="1" applyNumberFormat="1" applyFont="1" applyFill="1" applyBorder="1" applyAlignment="1" applyProtection="1">
      <alignment vertical="center"/>
    </xf>
    <xf numFmtId="0" fontId="15" fillId="5" borderId="0" xfId="1" applyNumberFormat="1" applyFont="1" applyFill="1" applyAlignment="1" applyProtection="1">
      <alignment vertical="center"/>
    </xf>
    <xf numFmtId="167" fontId="23" fillId="0" borderId="0" xfId="1" applyFont="1" applyFill="1" applyBorder="1" applyAlignment="1" applyProtection="1">
      <alignment vertical="center"/>
    </xf>
    <xf numFmtId="167" fontId="23" fillId="0" borderId="0" xfId="1" applyFont="1" applyFill="1" applyBorder="1" applyAlignment="1" applyProtection="1">
      <alignment horizontal="center" vertical="center"/>
    </xf>
    <xf numFmtId="167" fontId="24" fillId="6" borderId="0" xfId="1" applyFont="1" applyFill="1" applyProtection="1">
      <protection hidden="1"/>
    </xf>
    <xf numFmtId="167" fontId="17" fillId="0" borderId="0" xfId="1" applyFont="1"/>
    <xf numFmtId="167" fontId="15" fillId="0" borderId="0" xfId="1" applyFont="1" applyProtection="1"/>
    <xf numFmtId="167" fontId="15" fillId="0" borderId="0" xfId="1" applyFont="1" applyBorder="1" applyProtection="1"/>
    <xf numFmtId="167" fontId="16" fillId="0" borderId="0" xfId="1" applyFont="1" applyProtection="1"/>
    <xf numFmtId="167" fontId="23" fillId="0" borderId="0" xfId="1" applyFont="1" applyProtection="1"/>
    <xf numFmtId="167" fontId="27" fillId="0" borderId="0" xfId="1" applyFont="1"/>
    <xf numFmtId="167" fontId="16" fillId="0" borderId="0" xfId="1" quotePrefix="1" applyFont="1" applyProtection="1"/>
    <xf numFmtId="167" fontId="28" fillId="6" borderId="0" xfId="1" applyFont="1" applyFill="1" applyProtection="1">
      <protection hidden="1"/>
    </xf>
    <xf numFmtId="167" fontId="17" fillId="6" borderId="0" xfId="1" applyFont="1" applyFill="1" applyAlignment="1" applyProtection="1">
      <protection hidden="1"/>
    </xf>
    <xf numFmtId="167" fontId="30" fillId="0" borderId="0" xfId="1" applyFont="1"/>
    <xf numFmtId="167" fontId="16" fillId="0" borderId="0" xfId="1" applyFont="1" applyBorder="1" applyProtection="1"/>
    <xf numFmtId="167" fontId="17" fillId="0" borderId="0" xfId="1" quotePrefix="1" applyFont="1"/>
    <xf numFmtId="167" fontId="17" fillId="0" borderId="0" xfId="1" applyFont="1" applyAlignment="1">
      <alignment horizontal="center" vertical="center"/>
    </xf>
    <xf numFmtId="167" fontId="33" fillId="0" borderId="0" xfId="1" applyFont="1" applyFill="1"/>
    <xf numFmtId="167" fontId="17" fillId="0" borderId="0" xfId="1" applyFont="1" applyAlignment="1">
      <alignment horizontal="right"/>
    </xf>
    <xf numFmtId="167" fontId="17" fillId="0" borderId="0" xfId="1" applyNumberFormat="1" applyFont="1" applyAlignment="1">
      <alignment horizontal="left"/>
    </xf>
    <xf numFmtId="168" fontId="17" fillId="0" borderId="0" xfId="1" applyNumberFormat="1" applyFont="1" applyAlignment="1">
      <alignment horizontal="left"/>
    </xf>
    <xf numFmtId="167" fontId="17" fillId="6" borderId="0" xfId="1" applyFont="1" applyFill="1" applyProtection="1">
      <protection hidden="1"/>
    </xf>
    <xf numFmtId="167" fontId="17" fillId="0" borderId="0" xfId="1" applyFont="1" applyAlignment="1">
      <alignment horizontal="left"/>
    </xf>
    <xf numFmtId="167" fontId="34" fillId="0" borderId="0" xfId="1" applyFont="1"/>
    <xf numFmtId="167" fontId="20" fillId="0" borderId="0" xfId="1" applyFont="1" applyBorder="1" applyProtection="1"/>
    <xf numFmtId="167" fontId="20" fillId="0" borderId="0" xfId="1" applyFont="1" applyProtection="1"/>
    <xf numFmtId="167" fontId="35" fillId="0" borderId="0" xfId="1" applyFont="1" applyBorder="1" applyProtection="1"/>
    <xf numFmtId="167" fontId="35" fillId="0" borderId="0" xfId="1" applyFont="1" applyProtection="1"/>
    <xf numFmtId="169" fontId="17" fillId="0" borderId="0" xfId="1" applyNumberFormat="1" applyFont="1" applyAlignment="1">
      <alignment horizontal="left"/>
    </xf>
    <xf numFmtId="169" fontId="17" fillId="0" borderId="0" xfId="1" applyNumberFormat="1" applyFont="1"/>
    <xf numFmtId="167" fontId="17" fillId="6" borderId="0" xfId="1" applyFont="1" applyFill="1" applyAlignment="1" applyProtection="1">
      <alignment horizontal="center"/>
      <protection hidden="1"/>
    </xf>
    <xf numFmtId="167" fontId="18" fillId="0" borderId="0" xfId="1" applyFont="1" applyBorder="1" applyProtection="1"/>
    <xf numFmtId="167" fontId="27" fillId="0" borderId="0" xfId="1" applyFont="1" applyAlignment="1">
      <alignment horizontal="right"/>
    </xf>
    <xf numFmtId="0" fontId="32" fillId="0" borderId="0" xfId="0" applyFont="1"/>
    <xf numFmtId="0" fontId="35" fillId="0" borderId="0" xfId="1" applyNumberFormat="1" applyFont="1" applyBorder="1" applyAlignment="1">
      <alignment horizontal="center"/>
    </xf>
    <xf numFmtId="0" fontId="35" fillId="0" borderId="0" xfId="1" applyNumberFormat="1" applyFont="1" applyFill="1" applyBorder="1" applyAlignment="1">
      <alignment horizontal="left"/>
    </xf>
    <xf numFmtId="0" fontId="35" fillId="0" borderId="0" xfId="1" applyNumberFormat="1" applyFont="1" applyBorder="1"/>
    <xf numFmtId="167" fontId="18" fillId="0" borderId="0" xfId="1" applyFont="1" applyProtection="1"/>
    <xf numFmtId="167" fontId="19" fillId="0" borderId="0" xfId="1" applyFont="1" applyAlignment="1" applyProtection="1">
      <alignment vertical="center"/>
    </xf>
    <xf numFmtId="167" fontId="16" fillId="0" borderId="0" xfId="1" applyFont="1" applyFill="1" applyProtection="1"/>
    <xf numFmtId="170" fontId="23" fillId="0" borderId="0" xfId="1" applyNumberFormat="1" applyFont="1" applyProtection="1"/>
    <xf numFmtId="167" fontId="16" fillId="7" borderId="0" xfId="1" applyFont="1" applyFill="1" applyProtection="1"/>
    <xf numFmtId="167" fontId="16" fillId="6" borderId="0" xfId="1" applyFont="1" applyFill="1" applyProtection="1"/>
    <xf numFmtId="167" fontId="16" fillId="0" borderId="0" xfId="1" applyFont="1" applyBorder="1"/>
    <xf numFmtId="167" fontId="16" fillId="0" borderId="0" xfId="1" applyFont="1"/>
    <xf numFmtId="167" fontId="36" fillId="0" borderId="0" xfId="1" applyFont="1" applyFill="1" applyProtection="1"/>
    <xf numFmtId="170" fontId="16" fillId="0" borderId="0" xfId="1" applyNumberFormat="1" applyFont="1" applyProtection="1"/>
    <xf numFmtId="167" fontId="37" fillId="7" borderId="0" xfId="1" applyFont="1" applyFill="1" applyProtection="1"/>
    <xf numFmtId="167" fontId="16" fillId="0" borderId="0" xfId="1" applyFont="1" applyFill="1" applyBorder="1" applyAlignment="1" applyProtection="1">
      <alignment horizontal="left"/>
    </xf>
    <xf numFmtId="167" fontId="38" fillId="0" borderId="0" xfId="1" applyFont="1" applyFill="1" applyBorder="1" applyProtection="1"/>
    <xf numFmtId="167" fontId="16" fillId="0" borderId="0" xfId="1" applyFont="1" applyFill="1" applyBorder="1" applyProtection="1"/>
    <xf numFmtId="167" fontId="16" fillId="0" borderId="0" xfId="1" applyFont="1" applyFill="1" applyBorder="1" applyAlignment="1" applyProtection="1">
      <alignment horizontal="center"/>
    </xf>
    <xf numFmtId="0" fontId="16" fillId="0" borderId="0" xfId="1" applyNumberFormat="1" applyFont="1" applyFill="1" applyBorder="1" applyProtection="1"/>
    <xf numFmtId="167" fontId="16" fillId="0" borderId="0" xfId="1" applyFont="1" applyFill="1" applyBorder="1" applyAlignment="1" applyProtection="1">
      <alignment horizontal="right"/>
    </xf>
    <xf numFmtId="167" fontId="17" fillId="0" borderId="0" xfId="1" applyFont="1" applyProtection="1"/>
    <xf numFmtId="167" fontId="17" fillId="0" borderId="0" xfId="1" applyFont="1" applyFill="1" applyBorder="1" applyAlignment="1" applyProtection="1">
      <alignment horizontal="left"/>
    </xf>
    <xf numFmtId="167" fontId="17" fillId="0" borderId="0" xfId="1" applyFont="1" applyFill="1" applyBorder="1" applyProtection="1"/>
    <xf numFmtId="167" fontId="17" fillId="0" borderId="0" xfId="1" applyFont="1" applyFill="1" applyBorder="1" applyAlignment="1" applyProtection="1">
      <alignment horizontal="center"/>
    </xf>
    <xf numFmtId="0" fontId="17" fillId="0" borderId="0" xfId="1" applyNumberFormat="1" applyFont="1" applyFill="1" applyBorder="1" applyProtection="1"/>
    <xf numFmtId="0" fontId="32" fillId="0" borderId="0" xfId="0" applyFont="1" applyBorder="1"/>
    <xf numFmtId="0" fontId="32" fillId="0" borderId="0" xfId="0" applyFont="1" applyBorder="1" applyAlignment="1">
      <alignment horizontal="center"/>
    </xf>
    <xf numFmtId="0" fontId="15" fillId="0" borderId="0" xfId="0" applyFont="1"/>
    <xf numFmtId="0" fontId="39" fillId="0" borderId="0" xfId="0" applyFont="1"/>
    <xf numFmtId="0" fontId="22" fillId="2" borderId="9" xfId="0" applyFont="1" applyFill="1" applyBorder="1" applyProtection="1">
      <protection locked="0"/>
    </xf>
    <xf numFmtId="0" fontId="40" fillId="0" borderId="9" xfId="0" applyFont="1" applyFill="1" applyBorder="1"/>
    <xf numFmtId="0" fontId="15" fillId="0" borderId="9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wrapText="1"/>
    </xf>
    <xf numFmtId="0" fontId="32" fillId="0" borderId="9" xfId="0" applyFont="1" applyFill="1" applyBorder="1"/>
    <xf numFmtId="0" fontId="15" fillId="0" borderId="9" xfId="0" applyFont="1" applyFill="1" applyBorder="1"/>
    <xf numFmtId="0" fontId="16" fillId="0" borderId="9" xfId="0" applyFont="1" applyFill="1" applyBorder="1"/>
    <xf numFmtId="1" fontId="16" fillId="0" borderId="9" xfId="0" applyNumberFormat="1" applyFont="1" applyFill="1" applyBorder="1" applyAlignment="1">
      <alignment horizontal="center"/>
    </xf>
    <xf numFmtId="1" fontId="16" fillId="0" borderId="9" xfId="0" applyNumberFormat="1" applyFont="1" applyBorder="1" applyAlignment="1">
      <alignment horizontal="center"/>
    </xf>
    <xf numFmtId="0" fontId="32" fillId="0" borderId="0" xfId="0" applyFont="1" applyFill="1" applyBorder="1"/>
    <xf numFmtId="2" fontId="32" fillId="0" borderId="9" xfId="0" applyNumberFormat="1" applyFont="1" applyBorder="1"/>
    <xf numFmtId="0" fontId="32" fillId="0" borderId="4" xfId="0" applyFont="1" applyBorder="1"/>
    <xf numFmtId="2" fontId="28" fillId="0" borderId="0" xfId="0" applyNumberFormat="1" applyFont="1"/>
    <xf numFmtId="2" fontId="32" fillId="0" borderId="0" xfId="0" applyNumberFormat="1" applyFont="1" applyFill="1"/>
    <xf numFmtId="0" fontId="32" fillId="0" borderId="0" xfId="0" applyFont="1" applyFill="1"/>
    <xf numFmtId="0" fontId="0" fillId="0" borderId="0" xfId="0" applyFill="1" applyBorder="1" applyAlignment="1" applyProtection="1">
      <alignment horizontal="right"/>
    </xf>
    <xf numFmtId="0" fontId="28" fillId="0" borderId="0" xfId="0" applyFont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0" borderId="0" xfId="0" applyNumberFormat="1" applyBorder="1"/>
    <xf numFmtId="2" fontId="4" fillId="0" borderId="0" xfId="0" applyNumberFormat="1" applyFont="1" applyBorder="1" applyAlignment="1">
      <alignment horizontal="left"/>
    </xf>
    <xf numFmtId="0" fontId="0" fillId="0" borderId="0" xfId="0" quotePrefix="1" applyBorder="1"/>
    <xf numFmtId="2" fontId="0" fillId="0" borderId="0" xfId="0" applyNumberFormat="1" applyBorder="1" applyAlignment="1">
      <alignment horizontal="left"/>
    </xf>
    <xf numFmtId="2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166" fontId="4" fillId="0" borderId="0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64" fontId="0" fillId="0" borderId="0" xfId="0" applyNumberFormat="1" applyBorder="1" applyAlignment="1"/>
    <xf numFmtId="0" fontId="42" fillId="2" borderId="9" xfId="0" applyFont="1" applyFill="1" applyBorder="1" applyProtection="1">
      <protection locked="0"/>
    </xf>
    <xf numFmtId="0" fontId="32" fillId="0" borderId="3" xfId="0" applyFont="1" applyBorder="1"/>
    <xf numFmtId="0" fontId="32" fillId="0" borderId="8" xfId="0" applyFont="1" applyBorder="1"/>
    <xf numFmtId="0" fontId="32" fillId="0" borderId="6" xfId="0" applyFont="1" applyBorder="1"/>
    <xf numFmtId="0" fontId="32" fillId="0" borderId="5" xfId="0" applyFont="1" applyBorder="1"/>
    <xf numFmtId="0" fontId="43" fillId="0" borderId="0" xfId="238" applyFont="1" applyFill="1" applyBorder="1" applyAlignment="1" applyProtection="1">
      <alignment horizontal="center" vertical="top"/>
      <protection hidden="1"/>
    </xf>
    <xf numFmtId="0" fontId="8" fillId="0" borderId="0" xfId="238" applyFont="1" applyBorder="1" applyAlignment="1" applyProtection="1">
      <alignment vertical="center"/>
      <protection hidden="1"/>
    </xf>
    <xf numFmtId="0" fontId="8" fillId="0" borderId="0" xfId="238" applyFont="1" applyAlignment="1" applyProtection="1">
      <alignment vertical="center"/>
      <protection hidden="1"/>
    </xf>
    <xf numFmtId="0" fontId="8" fillId="0" borderId="0" xfId="238" applyFont="1" applyAlignment="1" applyProtection="1">
      <alignment horizontal="center" vertical="center"/>
      <protection hidden="1"/>
    </xf>
    <xf numFmtId="0" fontId="43" fillId="0" borderId="0" xfId="238" applyNumberFormat="1" applyFont="1" applyFill="1" applyAlignment="1" applyProtection="1">
      <alignment vertical="center"/>
      <protection hidden="1"/>
    </xf>
    <xf numFmtId="0" fontId="43" fillId="0" borderId="0" xfId="238" applyNumberFormat="1" applyFont="1" applyAlignment="1" applyProtection="1">
      <alignment vertical="center"/>
      <protection hidden="1"/>
    </xf>
    <xf numFmtId="0" fontId="44" fillId="0" borderId="0" xfId="238" applyNumberFormat="1" applyFont="1" applyAlignment="1" applyProtection="1">
      <alignment vertical="center"/>
      <protection hidden="1"/>
    </xf>
    <xf numFmtId="0" fontId="45" fillId="0" borderId="0" xfId="238" applyNumberFormat="1" applyFont="1" applyAlignment="1" applyProtection="1">
      <alignment vertical="center"/>
      <protection hidden="1"/>
    </xf>
    <xf numFmtId="0" fontId="14" fillId="0" borderId="0" xfId="238" applyNumberFormat="1" applyFont="1" applyAlignment="1" applyProtection="1">
      <alignment vertical="center"/>
      <protection hidden="1"/>
    </xf>
    <xf numFmtId="0" fontId="14" fillId="0" borderId="0" xfId="238" applyFont="1" applyAlignment="1" applyProtection="1">
      <alignment vertical="center"/>
      <protection hidden="1"/>
    </xf>
    <xf numFmtId="0" fontId="14" fillId="0" borderId="0" xfId="238" applyAlignment="1" applyProtection="1">
      <alignment vertical="center"/>
      <protection hidden="1"/>
    </xf>
    <xf numFmtId="0" fontId="8" fillId="0" borderId="0" xfId="238" applyFont="1" applyFill="1" applyAlignment="1" applyProtection="1">
      <alignment horizontal="left" vertical="top"/>
      <protection hidden="1"/>
    </xf>
    <xf numFmtId="0" fontId="8" fillId="0" borderId="0" xfId="238" quotePrefix="1" applyFont="1" applyAlignment="1" applyProtection="1">
      <alignment horizontal="left" vertical="center"/>
      <protection hidden="1"/>
    </xf>
    <xf numFmtId="0" fontId="8" fillId="0" borderId="0" xfId="238" applyFont="1" applyAlignment="1" applyProtection="1">
      <alignment horizontal="right" vertical="center"/>
      <protection hidden="1"/>
    </xf>
    <xf numFmtId="0" fontId="8" fillId="0" borderId="0" xfId="238" applyNumberFormat="1" applyFont="1" applyAlignment="1" applyProtection="1">
      <alignment vertical="center"/>
      <protection hidden="1"/>
    </xf>
    <xf numFmtId="0" fontId="43" fillId="0" borderId="0" xfId="238" applyNumberFormat="1" applyFont="1" applyFill="1" applyAlignment="1" applyProtection="1">
      <alignment horizontal="center" vertical="center"/>
      <protection hidden="1"/>
    </xf>
    <xf numFmtId="0" fontId="8" fillId="0" borderId="0" xfId="238" quotePrefix="1" applyFont="1" applyAlignment="1" applyProtection="1">
      <alignment horizontal="right" vertical="center"/>
      <protection hidden="1"/>
    </xf>
    <xf numFmtId="0" fontId="8" fillId="0" borderId="2" xfId="238" applyFont="1" applyFill="1" applyBorder="1" applyAlignment="1" applyProtection="1">
      <alignment horizontal="center" vertical="top"/>
      <protection hidden="1"/>
    </xf>
    <xf numFmtId="0" fontId="48" fillId="0" borderId="2" xfId="238" applyFont="1" applyBorder="1" applyAlignment="1" applyProtection="1">
      <alignment vertical="center"/>
      <protection hidden="1"/>
    </xf>
    <xf numFmtId="0" fontId="49" fillId="0" borderId="2" xfId="238" applyFont="1" applyBorder="1" applyAlignment="1" applyProtection="1">
      <alignment vertical="center"/>
      <protection hidden="1"/>
    </xf>
    <xf numFmtId="0" fontId="47" fillId="0" borderId="2" xfId="238" applyFont="1" applyBorder="1" applyAlignment="1" applyProtection="1">
      <protection hidden="1"/>
    </xf>
    <xf numFmtId="0" fontId="49" fillId="0" borderId="2" xfId="238" applyFont="1" applyBorder="1" applyAlignment="1" applyProtection="1">
      <alignment horizontal="center" vertical="center"/>
      <protection hidden="1"/>
    </xf>
    <xf numFmtId="0" fontId="48" fillId="5" borderId="2" xfId="238" applyFont="1" applyFill="1" applyBorder="1" applyAlignment="1" applyProtection="1">
      <alignment vertical="center"/>
      <protection hidden="1"/>
    </xf>
    <xf numFmtId="0" fontId="8" fillId="0" borderId="0" xfId="238" applyFont="1" applyFill="1" applyAlignment="1" applyProtection="1">
      <alignment horizontal="center" vertical="top"/>
      <protection hidden="1"/>
    </xf>
    <xf numFmtId="0" fontId="43" fillId="0" borderId="0" xfId="238" applyNumberFormat="1" applyFont="1" applyFill="1" applyBorder="1" applyAlignment="1" applyProtection="1">
      <alignment vertical="center"/>
      <protection hidden="1"/>
    </xf>
    <xf numFmtId="0" fontId="50" fillId="0" borderId="0" xfId="238" applyNumberFormat="1" applyFont="1" applyBorder="1" applyAlignment="1" applyProtection="1">
      <alignment vertical="center"/>
      <protection hidden="1"/>
    </xf>
    <xf numFmtId="0" fontId="51" fillId="0" borderId="0" xfId="238" applyNumberFormat="1" applyFont="1" applyBorder="1" applyAlignment="1" applyProtection="1">
      <alignment vertical="center"/>
      <protection hidden="1"/>
    </xf>
    <xf numFmtId="0" fontId="49" fillId="0" borderId="0" xfId="238" applyFont="1" applyBorder="1" applyAlignment="1" applyProtection="1">
      <alignment horizontal="center"/>
      <protection hidden="1"/>
    </xf>
    <xf numFmtId="0" fontId="52" fillId="5" borderId="0" xfId="238" applyFont="1" applyFill="1" applyBorder="1" applyProtection="1">
      <protection hidden="1"/>
    </xf>
    <xf numFmtId="0" fontId="43" fillId="0" borderId="0" xfId="238" applyFont="1" applyBorder="1" applyProtection="1">
      <protection hidden="1"/>
    </xf>
    <xf numFmtId="0" fontId="8" fillId="0" borderId="0" xfId="238" applyFont="1" applyBorder="1" applyProtection="1">
      <protection hidden="1"/>
    </xf>
    <xf numFmtId="0" fontId="8" fillId="0" borderId="0" xfId="238" applyFont="1" applyBorder="1" applyAlignment="1" applyProtection="1">
      <alignment horizontal="center"/>
      <protection hidden="1"/>
    </xf>
    <xf numFmtId="0" fontId="8" fillId="0" borderId="0" xfId="238" applyFont="1" applyFill="1" applyProtection="1">
      <protection hidden="1"/>
    </xf>
    <xf numFmtId="0" fontId="43" fillId="0" borderId="0" xfId="238" applyNumberFormat="1" applyFont="1" applyBorder="1" applyAlignment="1" applyProtection="1">
      <alignment horizontal="left" vertical="center"/>
      <protection hidden="1"/>
    </xf>
    <xf numFmtId="0" fontId="8" fillId="6" borderId="13" xfId="238" applyFont="1" applyFill="1" applyBorder="1" applyAlignment="1" applyProtection="1">
      <alignment horizontal="left" vertical="center"/>
      <protection hidden="1"/>
    </xf>
    <xf numFmtId="0" fontId="8" fillId="0" borderId="14" xfId="238" applyFont="1" applyBorder="1" applyProtection="1">
      <protection hidden="1"/>
    </xf>
    <xf numFmtId="0" fontId="8" fillId="0" borderId="14" xfId="238" applyFont="1" applyBorder="1" applyAlignment="1" applyProtection="1">
      <alignment horizontal="center"/>
      <protection hidden="1"/>
    </xf>
    <xf numFmtId="49" fontId="8" fillId="0" borderId="9" xfId="238" applyNumberFormat="1" applyFont="1" applyFill="1" applyBorder="1" applyAlignment="1" applyProtection="1">
      <alignment horizontal="center" vertical="center"/>
      <protection locked="0"/>
    </xf>
    <xf numFmtId="0" fontId="43" fillId="0" borderId="0" xfId="238" applyNumberFormat="1" applyFont="1" applyFill="1" applyBorder="1" applyAlignment="1" applyProtection="1">
      <alignment horizontal="left" vertical="center"/>
      <protection hidden="1"/>
    </xf>
    <xf numFmtId="171" fontId="43" fillId="0" borderId="0" xfId="238" applyNumberFormat="1" applyFont="1" applyFill="1" applyBorder="1" applyAlignment="1" applyProtection="1">
      <alignment horizontal="left" vertical="center"/>
      <protection hidden="1"/>
    </xf>
    <xf numFmtId="0" fontId="8" fillId="0" borderId="0" xfId="238" applyFont="1" applyProtection="1">
      <protection hidden="1"/>
    </xf>
    <xf numFmtId="167" fontId="54" fillId="6" borderId="0" xfId="476" applyFont="1" applyFill="1" applyBorder="1" applyAlignment="1" applyProtection="1">
      <alignment horizontal="left"/>
      <protection hidden="1"/>
    </xf>
    <xf numFmtId="0" fontId="8" fillId="0" borderId="0" xfId="238" applyFont="1" applyAlignment="1" applyProtection="1">
      <alignment horizontal="center"/>
      <protection hidden="1"/>
    </xf>
    <xf numFmtId="0" fontId="53" fillId="0" borderId="0" xfId="238" applyFont="1" applyAlignment="1" applyProtection="1">
      <alignment horizontal="left"/>
      <protection hidden="1"/>
    </xf>
    <xf numFmtId="0" fontId="14" fillId="0" borderId="0" xfId="238"/>
    <xf numFmtId="0" fontId="14" fillId="0" borderId="0" xfId="238" applyFill="1"/>
    <xf numFmtId="0" fontId="8" fillId="0" borderId="0" xfId="238" applyFont="1" applyFill="1" applyAlignment="1" applyProtection="1">
      <alignment horizontal="center"/>
      <protection hidden="1"/>
    </xf>
    <xf numFmtId="0" fontId="8" fillId="0" borderId="9" xfId="238" applyNumberFormat="1" applyFont="1" applyFill="1" applyBorder="1" applyAlignment="1" applyProtection="1">
      <alignment horizontal="center" vertical="center"/>
      <protection locked="0"/>
    </xf>
    <xf numFmtId="0" fontId="8" fillId="0" borderId="0" xfId="238" applyFont="1" applyAlignment="1" applyProtection="1">
      <alignment vertical="top"/>
      <protection hidden="1"/>
    </xf>
    <xf numFmtId="0" fontId="47" fillId="0" borderId="0" xfId="238" applyFont="1" applyAlignment="1" applyProtection="1">
      <alignment vertical="top"/>
      <protection hidden="1"/>
    </xf>
    <xf numFmtId="0" fontId="8" fillId="0" borderId="0" xfId="238" applyFont="1" applyAlignment="1" applyProtection="1">
      <alignment horizontal="center" vertical="top"/>
      <protection hidden="1"/>
    </xf>
    <xf numFmtId="0" fontId="56" fillId="0" borderId="0" xfId="238" applyFont="1" applyAlignment="1" applyProtection="1">
      <alignment horizontal="right" vertical="center"/>
      <protection hidden="1"/>
    </xf>
    <xf numFmtId="0" fontId="56" fillId="0" borderId="0" xfId="238" applyFont="1" applyAlignment="1" applyProtection="1">
      <alignment vertical="center"/>
      <protection hidden="1"/>
    </xf>
    <xf numFmtId="0" fontId="56" fillId="0" borderId="0" xfId="238" applyFont="1" applyAlignment="1" applyProtection="1">
      <alignment horizontal="right" vertical="top"/>
      <protection hidden="1"/>
    </xf>
    <xf numFmtId="0" fontId="57" fillId="0" borderId="0" xfId="238" applyFont="1" applyProtection="1">
      <protection hidden="1"/>
    </xf>
    <xf numFmtId="1" fontId="8" fillId="0" borderId="0" xfId="238" applyNumberFormat="1" applyFont="1" applyFill="1" applyAlignment="1" applyProtection="1">
      <alignment horizontal="center" vertical="top"/>
      <protection hidden="1"/>
    </xf>
    <xf numFmtId="172" fontId="58" fillId="0" borderId="0" xfId="238" applyNumberFormat="1" applyFont="1" applyFill="1" applyAlignment="1" applyProtection="1">
      <alignment horizontal="left"/>
      <protection hidden="1"/>
    </xf>
    <xf numFmtId="14" fontId="8" fillId="0" borderId="0" xfId="238" applyNumberFormat="1" applyFont="1" applyFill="1" applyProtection="1">
      <protection hidden="1"/>
    </xf>
    <xf numFmtId="0" fontId="59" fillId="0" borderId="0" xfId="238" applyFont="1" applyAlignment="1" applyProtection="1">
      <alignment vertical="top"/>
      <protection hidden="1"/>
    </xf>
    <xf numFmtId="0" fontId="9" fillId="0" borderId="0" xfId="238" applyFont="1" applyFill="1" applyAlignment="1" applyProtection="1">
      <alignment vertical="center"/>
      <protection hidden="1"/>
    </xf>
    <xf numFmtId="0" fontId="47" fillId="0" borderId="0" xfId="238" applyFont="1" applyFill="1" applyProtection="1">
      <protection hidden="1"/>
    </xf>
    <xf numFmtId="0" fontId="57" fillId="0" borderId="0" xfId="238" applyFont="1" applyFill="1" applyProtection="1">
      <protection hidden="1"/>
    </xf>
    <xf numFmtId="0" fontId="47" fillId="0" borderId="0" xfId="238" applyFont="1" applyProtection="1">
      <protection hidden="1"/>
    </xf>
    <xf numFmtId="0" fontId="9" fillId="0" borderId="0" xfId="238" applyFont="1" applyFill="1" applyAlignment="1" applyProtection="1">
      <alignment vertical="top"/>
      <protection hidden="1"/>
    </xf>
    <xf numFmtId="0" fontId="56" fillId="0" borderId="0" xfId="238" applyFont="1" applyFill="1" applyAlignment="1" applyProtection="1">
      <alignment horizontal="center" vertical="top"/>
      <protection hidden="1"/>
    </xf>
    <xf numFmtId="0" fontId="8" fillId="0" borderId="0" xfId="238" applyFont="1" applyFill="1" applyAlignment="1" applyProtection="1">
      <alignment vertical="top"/>
      <protection hidden="1"/>
    </xf>
    <xf numFmtId="0" fontId="8" fillId="0" borderId="0" xfId="238" quotePrefix="1" applyFont="1" applyFill="1" applyProtection="1">
      <protection hidden="1"/>
    </xf>
    <xf numFmtId="166" fontId="8" fillId="0" borderId="9" xfId="238" applyNumberFormat="1" applyFont="1" applyFill="1" applyBorder="1" applyAlignment="1" applyProtection="1">
      <alignment horizontal="center" vertical="center"/>
      <protection locked="0"/>
    </xf>
    <xf numFmtId="0" fontId="54" fillId="0" borderId="0" xfId="238" applyFont="1" applyFill="1" applyAlignment="1" applyProtection="1">
      <alignment vertical="center"/>
      <protection hidden="1"/>
    </xf>
    <xf numFmtId="1" fontId="8" fillId="0" borderId="0" xfId="238" applyNumberFormat="1" applyFont="1" applyFill="1" applyAlignment="1" applyProtection="1">
      <alignment vertical="center"/>
      <protection hidden="1"/>
    </xf>
    <xf numFmtId="173" fontId="8" fillId="8" borderId="0" xfId="238" applyNumberFormat="1" applyFont="1" applyFill="1" applyAlignment="1" applyProtection="1">
      <alignment horizontal="right" vertical="center"/>
      <protection locked="0"/>
    </xf>
    <xf numFmtId="0" fontId="57" fillId="0" borderId="0" xfId="238" applyFont="1" applyAlignment="1" applyProtection="1">
      <alignment horizontal="left"/>
      <protection hidden="1"/>
    </xf>
    <xf numFmtId="0" fontId="56" fillId="0" borderId="0" xfId="238" applyFont="1" applyProtection="1">
      <protection hidden="1"/>
    </xf>
    <xf numFmtId="0" fontId="57" fillId="0" borderId="0" xfId="238" applyFont="1" applyAlignment="1" applyProtection="1">
      <protection hidden="1"/>
    </xf>
    <xf numFmtId="0" fontId="63" fillId="0" borderId="0" xfId="238" applyFont="1" applyAlignment="1" applyProtection="1">
      <alignment vertical="center"/>
      <protection hidden="1"/>
    </xf>
    <xf numFmtId="0" fontId="64" fillId="0" borderId="0" xfId="238" quotePrefix="1" applyFont="1" applyAlignment="1" applyProtection="1">
      <alignment horizontal="left" vertical="top"/>
      <protection hidden="1"/>
    </xf>
    <xf numFmtId="173" fontId="8" fillId="0" borderId="9" xfId="238" applyNumberFormat="1" applyFont="1" applyFill="1" applyBorder="1" applyAlignment="1" applyProtection="1">
      <alignment horizontal="right" vertical="top"/>
      <protection locked="0"/>
    </xf>
    <xf numFmtId="0" fontId="66" fillId="0" borderId="0" xfId="238" applyFont="1" applyAlignment="1" applyProtection="1">
      <alignment vertical="top"/>
      <protection hidden="1"/>
    </xf>
    <xf numFmtId="0" fontId="8" fillId="0" borderId="0" xfId="238" quotePrefix="1" applyFont="1" applyAlignment="1" applyProtection="1">
      <alignment horizontal="left" vertical="top"/>
      <protection hidden="1"/>
    </xf>
    <xf numFmtId="173" fontId="57" fillId="6" borderId="0" xfId="238" applyNumberFormat="1" applyFont="1" applyFill="1" applyAlignment="1" applyProtection="1">
      <alignment horizontal="left" vertical="top"/>
      <protection hidden="1"/>
    </xf>
    <xf numFmtId="167" fontId="54" fillId="6" borderId="0" xfId="476" applyFont="1" applyFill="1" applyBorder="1" applyAlignment="1" applyProtection="1">
      <alignment horizontal="left" vertical="top"/>
      <protection hidden="1"/>
    </xf>
    <xf numFmtId="173" fontId="67" fillId="0" borderId="0" xfId="238" applyNumberFormat="1" applyFont="1" applyFill="1" applyAlignment="1" applyProtection="1">
      <alignment horizontal="left" vertical="top"/>
      <protection hidden="1"/>
    </xf>
    <xf numFmtId="174" fontId="8" fillId="0" borderId="0" xfId="238" applyNumberFormat="1" applyFont="1" applyFill="1" applyAlignment="1" applyProtection="1">
      <alignment horizontal="center" vertical="top"/>
      <protection hidden="1"/>
    </xf>
    <xf numFmtId="0" fontId="58" fillId="0" borderId="0" xfId="238" applyFont="1" applyAlignment="1" applyProtection="1">
      <alignment horizontal="left" vertical="top"/>
      <protection hidden="1"/>
    </xf>
    <xf numFmtId="0" fontId="66" fillId="0" borderId="0" xfId="238" applyFont="1" applyAlignment="1" applyProtection="1">
      <alignment horizontal="right" vertical="top"/>
      <protection hidden="1"/>
    </xf>
    <xf numFmtId="0" fontId="55" fillId="0" borderId="0" xfId="238" quotePrefix="1" applyFont="1" applyFill="1" applyAlignment="1" applyProtection="1">
      <alignment horizontal="left" vertical="top"/>
      <protection hidden="1"/>
    </xf>
    <xf numFmtId="170" fontId="56" fillId="0" borderId="0" xfId="238" applyNumberFormat="1" applyFont="1" applyFill="1" applyAlignment="1" applyProtection="1">
      <alignment horizontal="right" vertical="top"/>
      <protection hidden="1"/>
    </xf>
    <xf numFmtId="0" fontId="56" fillId="0" borderId="0" xfId="238" applyFont="1" applyAlignment="1" applyProtection="1">
      <alignment horizontal="left" vertical="top"/>
      <protection hidden="1"/>
    </xf>
    <xf numFmtId="0" fontId="64" fillId="0" borderId="0" xfId="238" quotePrefix="1" applyFont="1" applyAlignment="1" applyProtection="1">
      <alignment horizontal="left"/>
      <protection hidden="1"/>
    </xf>
    <xf numFmtId="170" fontId="56" fillId="0" borderId="0" xfId="238" applyNumberFormat="1" applyFont="1" applyFill="1" applyAlignment="1" applyProtection="1">
      <alignment horizontal="right"/>
      <protection hidden="1"/>
    </xf>
    <xf numFmtId="0" fontId="56" fillId="0" borderId="0" xfId="238" applyFont="1" applyAlignment="1" applyProtection="1">
      <alignment horizontal="left"/>
      <protection hidden="1"/>
    </xf>
    <xf numFmtId="1" fontId="8" fillId="0" borderId="9" xfId="238" applyNumberFormat="1" applyFont="1" applyBorder="1" applyAlignment="1" applyProtection="1">
      <alignment vertical="top"/>
      <protection hidden="1"/>
    </xf>
    <xf numFmtId="0" fontId="8" fillId="0" borderId="0" xfId="238" applyFont="1" applyAlignment="1" applyProtection="1">
      <alignment horizontal="left" vertical="top"/>
      <protection hidden="1"/>
    </xf>
    <xf numFmtId="11" fontId="8" fillId="0" borderId="9" xfId="238" applyNumberFormat="1" applyFont="1" applyBorder="1" applyAlignment="1" applyProtection="1">
      <alignment horizontal="right" vertical="top" shrinkToFit="1"/>
      <protection hidden="1"/>
    </xf>
    <xf numFmtId="170" fontId="9" fillId="0" borderId="0" xfId="238" applyNumberFormat="1" applyFont="1" applyFill="1" applyAlignment="1" applyProtection="1">
      <alignment horizontal="left" vertical="top"/>
      <protection hidden="1"/>
    </xf>
    <xf numFmtId="11" fontId="8" fillId="0" borderId="9" xfId="238" applyNumberFormat="1" applyFont="1" applyFill="1" applyBorder="1" applyAlignment="1" applyProtection="1">
      <alignment horizontal="right" vertical="top" shrinkToFit="1"/>
      <protection locked="0"/>
    </xf>
    <xf numFmtId="170" fontId="9" fillId="0" borderId="0" xfId="238" applyNumberFormat="1" applyFont="1" applyFill="1" applyAlignment="1" applyProtection="1">
      <alignment horizontal="left"/>
      <protection hidden="1"/>
    </xf>
    <xf numFmtId="0" fontId="8" fillId="0" borderId="0" xfId="238" applyFont="1" applyAlignment="1" applyProtection="1">
      <alignment horizontal="left"/>
      <protection hidden="1"/>
    </xf>
    <xf numFmtId="0" fontId="71" fillId="0" borderId="0" xfId="238" applyFont="1" applyProtection="1">
      <protection hidden="1"/>
    </xf>
    <xf numFmtId="170" fontId="8" fillId="0" borderId="0" xfId="238" applyNumberFormat="1" applyFont="1" applyAlignment="1" applyProtection="1">
      <alignment horizontal="center" shrinkToFit="1"/>
      <protection hidden="1"/>
    </xf>
    <xf numFmtId="170" fontId="9" fillId="0" borderId="0" xfId="238" applyNumberFormat="1" applyFont="1" applyFill="1" applyAlignment="1" applyProtection="1">
      <alignment horizontal="right"/>
      <protection hidden="1"/>
    </xf>
    <xf numFmtId="0" fontId="74" fillId="0" borderId="0" xfId="238" applyFont="1" applyFill="1" applyBorder="1" applyProtection="1">
      <protection hidden="1"/>
    </xf>
    <xf numFmtId="0" fontId="8" fillId="0" borderId="0" xfId="238" applyFont="1" applyFill="1" applyBorder="1" applyProtection="1">
      <protection hidden="1"/>
    </xf>
    <xf numFmtId="0" fontId="8" fillId="0" borderId="0" xfId="238" applyFont="1" applyFill="1" applyBorder="1" applyAlignment="1" applyProtection="1">
      <alignment horizontal="center"/>
      <protection hidden="1"/>
    </xf>
    <xf numFmtId="0" fontId="75" fillId="0" borderId="0" xfId="238" applyFont="1" applyFill="1" applyBorder="1" applyProtection="1">
      <protection hidden="1"/>
    </xf>
    <xf numFmtId="0" fontId="76" fillId="0" borderId="0" xfId="238" applyFont="1" applyFill="1" applyBorder="1" applyProtection="1">
      <protection hidden="1"/>
    </xf>
    <xf numFmtId="0" fontId="63" fillId="0" borderId="0" xfId="238" applyFont="1" applyFill="1" applyBorder="1" applyProtection="1">
      <protection hidden="1"/>
    </xf>
    <xf numFmtId="0" fontId="8" fillId="0" borderId="0" xfId="238" applyFont="1" applyFill="1" applyAlignment="1" applyProtection="1">
      <alignment horizontal="left"/>
      <protection hidden="1"/>
    </xf>
    <xf numFmtId="0" fontId="9" fillId="0" borderId="0" xfId="238" applyFont="1" applyFill="1" applyProtection="1">
      <protection hidden="1"/>
    </xf>
    <xf numFmtId="0" fontId="14" fillId="0" borderId="0" xfId="238" applyFill="1" applyProtection="1">
      <protection hidden="1"/>
    </xf>
    <xf numFmtId="0" fontId="14" fillId="0" borderId="0" xfId="238" applyFill="1" applyAlignment="1" applyProtection="1">
      <alignment horizontal="center"/>
      <protection hidden="1"/>
    </xf>
    <xf numFmtId="0" fontId="8" fillId="0" borderId="2" xfId="238" applyFont="1" applyFill="1" applyBorder="1" applyAlignment="1" applyProtection="1">
      <alignment horizontal="center"/>
      <protection hidden="1"/>
    </xf>
    <xf numFmtId="0" fontId="14" fillId="0" borderId="0" xfId="238" applyFill="1" applyBorder="1" applyProtection="1">
      <protection hidden="1"/>
    </xf>
    <xf numFmtId="167" fontId="55" fillId="0" borderId="0" xfId="476" applyFont="1" applyFill="1" applyBorder="1" applyAlignment="1" applyProtection="1">
      <alignment horizontal="right"/>
      <protection hidden="1"/>
    </xf>
    <xf numFmtId="0" fontId="14" fillId="0" borderId="6" xfId="238" applyFill="1" applyBorder="1" applyAlignment="1" applyProtection="1">
      <alignment horizontal="center"/>
      <protection hidden="1"/>
    </xf>
    <xf numFmtId="0" fontId="8" fillId="0" borderId="0" xfId="238" applyFont="1" applyFill="1" applyBorder="1" applyAlignment="1" applyProtection="1">
      <alignment horizontal="left"/>
      <protection hidden="1"/>
    </xf>
    <xf numFmtId="0" fontId="14" fillId="0" borderId="16" xfId="238" applyBorder="1" applyProtection="1">
      <protection hidden="1"/>
    </xf>
    <xf numFmtId="0" fontId="14" fillId="0" borderId="0" xfId="238" applyAlignment="1" applyProtection="1">
      <alignment horizontal="center" vertical="top"/>
      <protection hidden="1"/>
    </xf>
    <xf numFmtId="0" fontId="14" fillId="0" borderId="0" xfId="238" applyProtection="1">
      <protection hidden="1"/>
    </xf>
    <xf numFmtId="0" fontId="8" fillId="0" borderId="0" xfId="238" applyFont="1" applyFill="1" applyAlignment="1" applyProtection="1">
      <alignment horizontal="center" vertical="top" shrinkToFit="1"/>
      <protection hidden="1"/>
    </xf>
    <xf numFmtId="0" fontId="43" fillId="0" borderId="0" xfId="238" applyFont="1" applyFill="1" applyAlignment="1" applyProtection="1">
      <alignment horizontal="center" vertical="top" shrinkToFit="1"/>
      <protection hidden="1"/>
    </xf>
    <xf numFmtId="0" fontId="78" fillId="0" borderId="0" xfId="238" applyFont="1" applyAlignment="1" applyProtection="1">
      <alignment vertical="center"/>
      <protection hidden="1"/>
    </xf>
    <xf numFmtId="0" fontId="79" fillId="0" borderId="0" xfId="238" applyFont="1" applyAlignment="1" applyProtection="1">
      <alignment vertical="center"/>
      <protection hidden="1"/>
    </xf>
    <xf numFmtId="0" fontId="8" fillId="0" borderId="0" xfId="238" applyFont="1" applyFill="1" applyAlignment="1" applyProtection="1">
      <alignment vertical="center"/>
      <protection hidden="1"/>
    </xf>
    <xf numFmtId="170" fontId="43" fillId="0" borderId="0" xfId="238" applyNumberFormat="1" applyFont="1" applyFill="1" applyAlignment="1" applyProtection="1">
      <alignment horizontal="center" vertical="top" shrinkToFit="1"/>
      <protection hidden="1"/>
    </xf>
    <xf numFmtId="0" fontId="75" fillId="2" borderId="0" xfId="238" quotePrefix="1" applyFont="1" applyFill="1" applyBorder="1" applyAlignment="1" applyProtection="1">
      <alignment horizontal="center"/>
      <protection locked="0"/>
    </xf>
    <xf numFmtId="0" fontId="57" fillId="0" borderId="0" xfId="238" applyFont="1" applyAlignment="1" applyProtection="1">
      <alignment vertical="center"/>
      <protection hidden="1"/>
    </xf>
    <xf numFmtId="0" fontId="8" fillId="0" borderId="0" xfId="238" applyFont="1" applyFill="1" applyAlignment="1" applyProtection="1">
      <alignment horizontal="center" vertical="center"/>
      <protection hidden="1"/>
    </xf>
    <xf numFmtId="170" fontId="8" fillId="2" borderId="0" xfId="238" applyNumberFormat="1" applyFont="1" applyFill="1" applyAlignment="1" applyProtection="1">
      <alignment horizontal="center" vertical="center"/>
      <protection locked="0"/>
    </xf>
    <xf numFmtId="0" fontId="43" fillId="0" borderId="0" xfId="238" applyFont="1" applyFill="1" applyAlignment="1" applyProtection="1">
      <alignment vertical="center"/>
      <protection hidden="1"/>
    </xf>
    <xf numFmtId="0" fontId="46" fillId="0" borderId="0" xfId="238" applyFont="1" applyAlignment="1" applyProtection="1">
      <alignment horizontal="right"/>
      <protection hidden="1"/>
    </xf>
    <xf numFmtId="175" fontId="8" fillId="2" borderId="0" xfId="238" applyNumberFormat="1" applyFont="1" applyFill="1" applyAlignment="1" applyProtection="1">
      <alignment horizontal="center" vertical="center"/>
      <protection locked="0"/>
    </xf>
    <xf numFmtId="170" fontId="8" fillId="0" borderId="0" xfId="238" applyNumberFormat="1" applyFont="1" applyFill="1" applyAlignment="1" applyProtection="1">
      <alignment horizontal="center" vertical="center"/>
      <protection locked="0"/>
    </xf>
    <xf numFmtId="0" fontId="8" fillId="2" borderId="0" xfId="238" applyFont="1" applyFill="1" applyAlignment="1" applyProtection="1">
      <alignment horizontal="center" vertical="center"/>
      <protection locked="0"/>
    </xf>
    <xf numFmtId="0" fontId="47" fillId="0" borderId="0" xfId="238" applyFont="1" applyAlignment="1" applyProtection="1">
      <alignment vertical="center"/>
      <protection hidden="1"/>
    </xf>
    <xf numFmtId="0" fontId="75" fillId="0" borderId="0" xfId="238" applyFont="1" applyAlignment="1" applyProtection="1">
      <alignment vertical="center"/>
      <protection hidden="1"/>
    </xf>
    <xf numFmtId="170" fontId="8" fillId="2" borderId="0" xfId="238" applyNumberFormat="1" applyFont="1" applyFill="1" applyProtection="1">
      <protection locked="0"/>
    </xf>
    <xf numFmtId="0" fontId="8" fillId="0" borderId="0" xfId="238" applyFont="1" applyBorder="1" applyAlignment="1" applyProtection="1">
      <alignment horizontal="center" vertical="center"/>
      <protection hidden="1"/>
    </xf>
    <xf numFmtId="0" fontId="80" fillId="0" borderId="0" xfId="238" applyFont="1" applyFill="1" applyAlignment="1" applyProtection="1">
      <alignment vertical="center"/>
      <protection hidden="1"/>
    </xf>
    <xf numFmtId="0" fontId="8" fillId="0" borderId="0" xfId="238" applyFont="1" applyAlignment="1" applyProtection="1">
      <alignment horizontal="right"/>
      <protection hidden="1"/>
    </xf>
    <xf numFmtId="168" fontId="8" fillId="2" borderId="0" xfId="238" applyNumberFormat="1" applyFont="1" applyFill="1" applyAlignment="1" applyProtection="1">
      <alignment vertical="center"/>
      <protection locked="0"/>
    </xf>
    <xf numFmtId="170" fontId="8" fillId="0" borderId="0" xfId="238" applyNumberFormat="1" applyFont="1" applyFill="1" applyAlignment="1" applyProtection="1">
      <alignment vertical="center"/>
      <protection locked="0"/>
    </xf>
    <xf numFmtId="0" fontId="81" fillId="0" borderId="0" xfId="238" applyFont="1" applyFill="1" applyAlignment="1" applyProtection="1">
      <alignment vertical="center"/>
      <protection hidden="1"/>
    </xf>
    <xf numFmtId="174" fontId="8" fillId="0" borderId="0" xfId="238" quotePrefix="1" applyNumberFormat="1" applyFont="1" applyFill="1" applyAlignment="1" applyProtection="1">
      <alignment horizontal="center" vertical="top" shrinkToFit="1"/>
      <protection hidden="1"/>
    </xf>
    <xf numFmtId="176" fontId="8" fillId="0" borderId="0" xfId="238" applyNumberFormat="1" applyFont="1" applyProtection="1">
      <protection hidden="1"/>
    </xf>
    <xf numFmtId="0" fontId="82" fillId="0" borderId="0" xfId="238" applyFont="1" applyAlignment="1" applyProtection="1">
      <alignment horizontal="left"/>
      <protection hidden="1"/>
    </xf>
    <xf numFmtId="0" fontId="8" fillId="0" borderId="4" xfId="238" applyFont="1" applyBorder="1" applyAlignment="1" applyProtection="1">
      <alignment vertical="center"/>
      <protection hidden="1"/>
    </xf>
    <xf numFmtId="0" fontId="8" fillId="0" borderId="0" xfId="238" applyFont="1" applyBorder="1" applyAlignment="1" applyProtection="1">
      <alignment horizontal="right" vertical="center"/>
      <protection hidden="1"/>
    </xf>
    <xf numFmtId="0" fontId="14" fillId="0" borderId="0" xfId="238" applyAlignment="1">
      <alignment horizontal="center"/>
    </xf>
    <xf numFmtId="177" fontId="14" fillId="0" borderId="0" xfId="238" applyNumberFormat="1" applyAlignment="1">
      <alignment horizontal="center"/>
    </xf>
    <xf numFmtId="0" fontId="53" fillId="0" borderId="0" xfId="238" applyFont="1" applyFill="1" applyAlignment="1" applyProtection="1">
      <alignment horizontal="center" vertical="center"/>
      <protection locked="0"/>
    </xf>
    <xf numFmtId="0" fontId="75" fillId="0" borderId="0" xfId="238" applyFont="1" applyFill="1" applyBorder="1" applyAlignment="1" applyProtection="1">
      <alignment horizontal="center"/>
      <protection locked="0"/>
    </xf>
    <xf numFmtId="0" fontId="32" fillId="0" borderId="0" xfId="0" applyFont="1" applyBorder="1" applyAlignment="1">
      <alignment horizontal="center"/>
    </xf>
    <xf numFmtId="167" fontId="55" fillId="6" borderId="0" xfId="476" applyFont="1" applyFill="1" applyBorder="1" applyAlignment="1" applyProtection="1">
      <alignment vertical="center" wrapText="1"/>
      <protection hidden="1"/>
    </xf>
    <xf numFmtId="2" fontId="32" fillId="3" borderId="0" xfId="0" applyNumberFormat="1" applyFont="1" applyFill="1"/>
    <xf numFmtId="0" fontId="43" fillId="0" borderId="1" xfId="238" applyFont="1" applyFill="1" applyBorder="1" applyAlignment="1" applyProtection="1">
      <alignment horizontal="center" vertical="top"/>
      <protection hidden="1"/>
    </xf>
    <xf numFmtId="0" fontId="8" fillId="0" borderId="2" xfId="238" applyFont="1" applyBorder="1" applyAlignment="1" applyProtection="1">
      <alignment vertical="center"/>
      <protection hidden="1"/>
    </xf>
    <xf numFmtId="0" fontId="8" fillId="0" borderId="2" xfId="238" applyFont="1" applyBorder="1" applyAlignment="1" applyProtection="1">
      <alignment horizontal="center" vertical="center"/>
      <protection hidden="1"/>
    </xf>
    <xf numFmtId="0" fontId="8" fillId="0" borderId="7" xfId="238" applyFont="1" applyBorder="1" applyAlignment="1" applyProtection="1">
      <alignment vertical="center"/>
      <protection hidden="1"/>
    </xf>
    <xf numFmtId="0" fontId="8" fillId="0" borderId="23" xfId="238" applyFont="1" applyFill="1" applyBorder="1" applyAlignment="1" applyProtection="1">
      <alignment horizontal="left" vertical="top"/>
      <protection hidden="1"/>
    </xf>
    <xf numFmtId="0" fontId="8" fillId="0" borderId="0" xfId="238" quotePrefix="1" applyFont="1" applyBorder="1" applyAlignment="1" applyProtection="1">
      <alignment horizontal="left" vertical="center"/>
      <protection hidden="1"/>
    </xf>
    <xf numFmtId="0" fontId="8" fillId="0" borderId="0" xfId="238" quotePrefix="1" applyFont="1" applyBorder="1" applyAlignment="1" applyProtection="1">
      <alignment horizontal="right" vertical="center"/>
      <protection hidden="1"/>
    </xf>
    <xf numFmtId="0" fontId="42" fillId="2" borderId="9" xfId="0" applyFont="1" applyFill="1" applyBorder="1" applyAlignment="1" applyProtection="1">
      <alignment horizontal="center"/>
      <protection locked="0"/>
    </xf>
    <xf numFmtId="0" fontId="32" fillId="0" borderId="9" xfId="0" applyFont="1" applyBorder="1" applyAlignment="1">
      <alignment horizontal="center"/>
    </xf>
    <xf numFmtId="0" fontId="32" fillId="0" borderId="1" xfId="0" applyFont="1" applyBorder="1"/>
    <xf numFmtId="0" fontId="32" fillId="0" borderId="2" xfId="0" applyFont="1" applyBorder="1"/>
    <xf numFmtId="0" fontId="41" fillId="0" borderId="0" xfId="0" applyFont="1" applyBorder="1"/>
    <xf numFmtId="0" fontId="32" fillId="0" borderId="7" xfId="0" applyFont="1" applyBorder="1"/>
    <xf numFmtId="2" fontId="41" fillId="0" borderId="0" xfId="0" applyNumberFormat="1" applyFont="1" applyBorder="1"/>
    <xf numFmtId="0" fontId="48" fillId="5" borderId="7" xfId="238" applyFont="1" applyFill="1" applyBorder="1" applyAlignment="1" applyProtection="1">
      <alignment vertical="center"/>
      <protection hidden="1"/>
    </xf>
    <xf numFmtId="0" fontId="41" fillId="0" borderId="11" xfId="0" applyFont="1" applyBorder="1"/>
    <xf numFmtId="0" fontId="41" fillId="0" borderId="10" xfId="0" quotePrefix="1" applyFont="1" applyBorder="1"/>
    <xf numFmtId="164" fontId="0" fillId="3" borderId="0" xfId="0" quotePrefix="1" applyNumberFormat="1" applyFill="1" applyBorder="1" applyAlignment="1">
      <alignment horizontal="center"/>
    </xf>
    <xf numFmtId="0" fontId="84" fillId="0" borderId="0" xfId="0" applyFont="1" applyBorder="1"/>
    <xf numFmtId="0" fontId="32" fillId="0" borderId="0" xfId="0" applyFont="1" applyBorder="1" applyAlignment="1">
      <alignment wrapText="1"/>
    </xf>
    <xf numFmtId="2" fontId="0" fillId="0" borderId="18" xfId="0" applyNumberFormat="1" applyBorder="1"/>
    <xf numFmtId="0" fontId="0" fillId="0" borderId="21" xfId="0" applyBorder="1"/>
    <xf numFmtId="2" fontId="0" fillId="0" borderId="16" xfId="0" applyNumberFormat="1" applyBorder="1"/>
    <xf numFmtId="0" fontId="0" fillId="0" borderId="16" xfId="0" applyBorder="1"/>
    <xf numFmtId="0" fontId="0" fillId="0" borderId="20" xfId="0" applyBorder="1"/>
    <xf numFmtId="0" fontId="0" fillId="0" borderId="19" xfId="0" applyBorder="1"/>
    <xf numFmtId="0" fontId="0" fillId="0" borderId="18" xfId="0" applyBorder="1"/>
    <xf numFmtId="0" fontId="0" fillId="0" borderId="17" xfId="0" applyBorder="1"/>
    <xf numFmtId="2" fontId="32" fillId="0" borderId="12" xfId="0" applyNumberFormat="1" applyFont="1" applyBorder="1" applyAlignment="1">
      <alignment horizontal="center"/>
    </xf>
    <xf numFmtId="0" fontId="32" fillId="0" borderId="10" xfId="0" applyFont="1" applyBorder="1"/>
    <xf numFmtId="0" fontId="32" fillId="0" borderId="12" xfId="0" applyFont="1" applyBorder="1"/>
    <xf numFmtId="0" fontId="32" fillId="0" borderId="11" xfId="0" applyFont="1" applyBorder="1"/>
    <xf numFmtId="0" fontId="32" fillId="0" borderId="9" xfId="0" applyFont="1" applyBorder="1" applyAlignment="1">
      <alignment horizontal="left"/>
    </xf>
    <xf numFmtId="0" fontId="42" fillId="2" borderId="9" xfId="0" applyFont="1" applyFill="1" applyBorder="1" applyAlignment="1" applyProtection="1">
      <alignment horizontal="right"/>
      <protection locked="0"/>
    </xf>
    <xf numFmtId="2" fontId="32" fillId="0" borderId="0" xfId="0" applyNumberFormat="1" applyFont="1" applyBorder="1"/>
    <xf numFmtId="0" fontId="40" fillId="0" borderId="9" xfId="0" applyFont="1" applyFill="1" applyBorder="1" applyAlignment="1" applyProtection="1">
      <alignment horizontal="right"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32" fillId="0" borderId="0" xfId="0" applyFont="1" applyBorder="1"/>
    <xf numFmtId="0" fontId="42" fillId="2" borderId="9" xfId="0" applyFont="1" applyFill="1" applyBorder="1" applyProtection="1">
      <protection locked="0"/>
    </xf>
    <xf numFmtId="0" fontId="0" fillId="0" borderId="9" xfId="0" applyBorder="1" applyAlignment="1">
      <alignment horizontal="center"/>
    </xf>
    <xf numFmtId="0" fontId="40" fillId="0" borderId="0" xfId="0" applyFont="1" applyBorder="1"/>
    <xf numFmtId="0" fontId="40" fillId="0" borderId="4" xfId="0" applyFont="1" applyBorder="1"/>
    <xf numFmtId="178" fontId="0" fillId="0" borderId="26" xfId="0" applyNumberFormat="1" applyBorder="1" applyAlignment="1" applyProtection="1">
      <alignment horizontal="center"/>
    </xf>
    <xf numFmtId="178" fontId="0" fillId="0" borderId="27" xfId="0" applyNumberFormat="1" applyBorder="1" applyAlignment="1" applyProtection="1">
      <alignment horizontal="center"/>
    </xf>
    <xf numFmtId="4" fontId="0" fillId="0" borderId="28" xfId="0" applyNumberFormat="1" applyBorder="1" applyAlignment="1" applyProtection="1">
      <alignment horizontal="center"/>
    </xf>
    <xf numFmtId="4" fontId="0" fillId="0" borderId="29" xfId="0" applyNumberFormat="1" applyBorder="1" applyAlignment="1" applyProtection="1">
      <alignment horizontal="center"/>
    </xf>
    <xf numFmtId="0" fontId="86" fillId="0" borderId="0" xfId="0" applyFont="1" applyBorder="1" applyAlignment="1">
      <alignment horizontal="center" vertical="top"/>
    </xf>
    <xf numFmtId="0" fontId="86" fillId="0" borderId="0" xfId="0" applyFont="1" applyBorder="1" applyAlignment="1">
      <alignment vertical="top"/>
    </xf>
    <xf numFmtId="0" fontId="1" fillId="0" borderId="34" xfId="0" applyFont="1" applyBorder="1" applyAlignment="1" applyProtection="1">
      <alignment horizontal="center" vertical="top" wrapText="1"/>
    </xf>
    <xf numFmtId="0" fontId="86" fillId="0" borderId="0" xfId="0" applyFont="1" applyBorder="1"/>
    <xf numFmtId="164" fontId="7" fillId="0" borderId="34" xfId="0" applyNumberFormat="1" applyFont="1" applyBorder="1" applyAlignment="1" applyProtection="1">
      <alignment horizontal="right"/>
    </xf>
    <xf numFmtId="0" fontId="87" fillId="0" borderId="0" xfId="0" applyFont="1"/>
    <xf numFmtId="0" fontId="88" fillId="0" borderId="0" xfId="0" applyFont="1"/>
    <xf numFmtId="3" fontId="85" fillId="9" borderId="30" xfId="0" applyNumberFormat="1" applyFont="1" applyFill="1" applyBorder="1" applyProtection="1"/>
    <xf numFmtId="3" fontId="85" fillId="9" borderId="31" xfId="0" applyNumberFormat="1" applyFont="1" applyFill="1" applyBorder="1" applyProtection="1"/>
    <xf numFmtId="178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Alignment="1" applyProtection="1">
      <alignment horizontal="center"/>
    </xf>
    <xf numFmtId="3" fontId="0" fillId="0" borderId="0" xfId="0" applyNumberFormat="1" applyBorder="1" applyProtection="1"/>
    <xf numFmtId="3" fontId="0" fillId="0" borderId="0" xfId="0" applyNumberFormat="1" applyFill="1" applyBorder="1" applyProtection="1"/>
    <xf numFmtId="3" fontId="85" fillId="9" borderId="28" xfId="0" applyNumberFormat="1" applyFont="1" applyFill="1" applyBorder="1" applyProtection="1"/>
    <xf numFmtId="3" fontId="85" fillId="9" borderId="29" xfId="0" applyNumberFormat="1" applyFont="1" applyFill="1" applyBorder="1" applyProtection="1"/>
    <xf numFmtId="0" fontId="85" fillId="0" borderId="0" xfId="0" applyFont="1" applyProtection="1"/>
    <xf numFmtId="0" fontId="1" fillId="0" borderId="32" xfId="0" applyFont="1" applyBorder="1" applyAlignment="1" applyProtection="1">
      <alignment horizontal="center" vertical="top" wrapText="1"/>
    </xf>
    <xf numFmtId="0" fontId="1" fillId="0" borderId="33" xfId="0" applyFont="1" applyBorder="1" applyAlignment="1" applyProtection="1">
      <alignment horizontal="center" vertical="top" wrapText="1"/>
    </xf>
    <xf numFmtId="164" fontId="7" fillId="0" borderId="18" xfId="0" applyNumberFormat="1" applyFont="1" applyBorder="1" applyAlignment="1" applyProtection="1">
      <alignment horizontal="right"/>
    </xf>
    <xf numFmtId="164" fontId="7" fillId="0" borderId="0" xfId="0" applyNumberFormat="1" applyFont="1" applyBorder="1" applyAlignment="1" applyProtection="1">
      <alignment horizontal="right"/>
    </xf>
    <xf numFmtId="2" fontId="32" fillId="0" borderId="0" xfId="0" applyNumberFormat="1" applyFont="1"/>
    <xf numFmtId="0" fontId="32" fillId="0" borderId="23" xfId="0" applyFont="1" applyBorder="1"/>
    <xf numFmtId="0" fontId="32" fillId="0" borderId="0" xfId="0" applyFont="1" applyBorder="1" applyAlignment="1">
      <alignment horizontal="center"/>
    </xf>
    <xf numFmtId="167" fontId="17" fillId="0" borderId="0" xfId="1" applyFont="1" applyFill="1"/>
    <xf numFmtId="0" fontId="89" fillId="0" borderId="0" xfId="0" applyFont="1"/>
    <xf numFmtId="167" fontId="91" fillId="0" borderId="0" xfId="1" applyFont="1" applyProtection="1"/>
    <xf numFmtId="0" fontId="9" fillId="0" borderId="0" xfId="0" applyFont="1" applyFill="1" applyBorder="1" applyAlignment="1">
      <alignment horizontal="left"/>
    </xf>
    <xf numFmtId="0" fontId="9" fillId="0" borderId="23" xfId="0" applyFont="1" applyBorder="1"/>
    <xf numFmtId="1" fontId="9" fillId="0" borderId="0" xfId="0" applyNumberFormat="1" applyFont="1" applyFill="1" applyBorder="1"/>
    <xf numFmtId="0" fontId="0" fillId="0" borderId="23" xfId="0" applyBorder="1"/>
    <xf numFmtId="0" fontId="9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93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2" fillId="0" borderId="0" xfId="0" applyFont="1" applyBorder="1" applyAlignment="1">
      <alignment vertical="center"/>
    </xf>
    <xf numFmtId="0" fontId="32" fillId="0" borderId="0" xfId="0" quotePrefix="1" applyFont="1" applyBorder="1"/>
    <xf numFmtId="0" fontId="32" fillId="10" borderId="0" xfId="0" applyFont="1" applyFill="1" applyBorder="1"/>
    <xf numFmtId="0" fontId="32" fillId="0" borderId="0" xfId="0" applyFont="1" applyBorder="1" applyAlignment="1"/>
    <xf numFmtId="1" fontId="32" fillId="0" borderId="0" xfId="0" applyNumberFormat="1" applyFont="1" applyBorder="1"/>
    <xf numFmtId="164" fontId="32" fillId="0" borderId="0" xfId="0" applyNumberFormat="1" applyFont="1" applyBorder="1"/>
    <xf numFmtId="0" fontId="32" fillId="0" borderId="9" xfId="0" applyFont="1" applyFill="1" applyBorder="1" applyAlignment="1">
      <alignment vertical="center"/>
    </xf>
    <xf numFmtId="1" fontId="32" fillId="0" borderId="9" xfId="0" applyNumberFormat="1" applyFont="1" applyFill="1" applyBorder="1" applyAlignment="1">
      <alignment vertical="center"/>
    </xf>
    <xf numFmtId="164" fontId="32" fillId="0" borderId="9" xfId="0" applyNumberFormat="1" applyFont="1" applyFill="1" applyBorder="1" applyAlignment="1">
      <alignment vertical="center"/>
    </xf>
    <xf numFmtId="0" fontId="32" fillId="0" borderId="9" xfId="0" applyFont="1" applyFill="1" applyBorder="1" applyAlignment="1">
      <alignment horizontal="center" vertical="center"/>
    </xf>
    <xf numFmtId="166" fontId="32" fillId="0" borderId="9" xfId="0" applyNumberFormat="1" applyFont="1" applyFill="1" applyBorder="1" applyAlignment="1">
      <alignment vertical="center"/>
    </xf>
    <xf numFmtId="1" fontId="32" fillId="0" borderId="0" xfId="0" applyNumberFormat="1" applyFont="1" applyFill="1" applyBorder="1" applyAlignment="1">
      <alignment vertical="center"/>
    </xf>
    <xf numFmtId="1" fontId="32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97" fillId="0" borderId="0" xfId="0" applyFont="1"/>
    <xf numFmtId="0" fontId="32" fillId="0" borderId="0" xfId="0" applyFont="1" applyBorder="1" applyAlignment="1">
      <alignment horizontal="right"/>
    </xf>
    <xf numFmtId="0" fontId="32" fillId="0" borderId="0" xfId="0" applyFont="1" applyFill="1" applyBorder="1" applyAlignment="1">
      <alignment horizontal="right" vertical="center"/>
    </xf>
    <xf numFmtId="1" fontId="0" fillId="0" borderId="0" xfId="0" applyNumberFormat="1"/>
    <xf numFmtId="43" fontId="32" fillId="0" borderId="9" xfId="479" applyFont="1" applyFill="1" applyBorder="1" applyAlignment="1">
      <alignment vertical="center"/>
    </xf>
    <xf numFmtId="2" fontId="32" fillId="0" borderId="0" xfId="0" applyNumberFormat="1" applyFont="1" applyBorder="1" applyAlignment="1">
      <alignment horizontal="left"/>
    </xf>
    <xf numFmtId="179" fontId="32" fillId="0" borderId="0" xfId="0" applyNumberFormat="1" applyFont="1" applyBorder="1"/>
    <xf numFmtId="1" fontId="0" fillId="0" borderId="9" xfId="0" applyNumberFormat="1" applyBorder="1"/>
    <xf numFmtId="0" fontId="0" fillId="0" borderId="9" xfId="0" applyBorder="1"/>
    <xf numFmtId="0" fontId="100" fillId="0" borderId="0" xfId="0" applyFont="1"/>
    <xf numFmtId="0" fontId="0" fillId="0" borderId="0" xfId="0" applyFont="1"/>
    <xf numFmtId="0" fontId="10" fillId="0" borderId="9" xfId="0" applyFont="1" applyBorder="1"/>
    <xf numFmtId="167" fontId="1" fillId="0" borderId="11" xfId="478" applyFont="1" applyBorder="1"/>
    <xf numFmtId="167" fontId="1" fillId="0" borderId="12" xfId="478" applyFont="1" applyBorder="1"/>
    <xf numFmtId="167" fontId="14" fillId="0" borderId="12" xfId="478" applyBorder="1"/>
    <xf numFmtId="167" fontId="1" fillId="0" borderId="6" xfId="478" applyFont="1" applyBorder="1"/>
    <xf numFmtId="167" fontId="14" fillId="0" borderId="6" xfId="478" applyBorder="1"/>
    <xf numFmtId="167" fontId="1" fillId="0" borderId="25" xfId="478" applyFont="1" applyBorder="1"/>
    <xf numFmtId="167" fontId="101" fillId="0" borderId="9" xfId="478" applyFont="1" applyBorder="1" applyAlignment="1">
      <alignment vertical="center"/>
    </xf>
    <xf numFmtId="167" fontId="101" fillId="0" borderId="9" xfId="478" applyFont="1" applyBorder="1"/>
    <xf numFmtId="0" fontId="0" fillId="0" borderId="9" xfId="0" applyNumberFormat="1" applyBorder="1"/>
    <xf numFmtId="0" fontId="0" fillId="0" borderId="25" xfId="0" applyBorder="1"/>
    <xf numFmtId="0" fontId="0" fillId="0" borderId="9" xfId="0" applyFill="1" applyBorder="1"/>
    <xf numFmtId="0" fontId="0" fillId="0" borderId="9" xfId="0" applyNumberFormat="1" applyFill="1" applyBorder="1"/>
    <xf numFmtId="0" fontId="0" fillId="6" borderId="9" xfId="0" applyFill="1" applyBorder="1" applyProtection="1">
      <protection hidden="1"/>
    </xf>
    <xf numFmtId="169" fontId="0" fillId="6" borderId="9" xfId="0" applyNumberFormat="1" applyFill="1" applyBorder="1" applyProtection="1">
      <protection hidden="1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70" fontId="8" fillId="8" borderId="0" xfId="238" applyNumberFormat="1" applyFont="1" applyFill="1" applyAlignment="1" applyProtection="1">
      <alignment horizontal="right" vertical="center"/>
      <protection locked="0"/>
    </xf>
    <xf numFmtId="0" fontId="0" fillId="0" borderId="2" xfId="0" applyFill="1" applyBorder="1"/>
    <xf numFmtId="0" fontId="6" fillId="0" borderId="0" xfId="0" applyFont="1" applyBorder="1" applyAlignment="1">
      <alignment horizontal="left" vertical="center"/>
    </xf>
    <xf numFmtId="1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70" fontId="8" fillId="2" borderId="9" xfId="238" applyNumberFormat="1" applyFont="1" applyFill="1" applyBorder="1" applyAlignment="1" applyProtection="1">
      <alignment horizontal="right" vertical="center"/>
      <protection locked="0"/>
    </xf>
    <xf numFmtId="167" fontId="104" fillId="0" borderId="0" xfId="1" applyFont="1"/>
    <xf numFmtId="167" fontId="105" fillId="0" borderId="0" xfId="1" applyFont="1"/>
    <xf numFmtId="2" fontId="32" fillId="0" borderId="0" xfId="0" applyNumberFormat="1" applyFont="1" applyFill="1" applyBorder="1" applyAlignment="1">
      <alignment vertical="center"/>
    </xf>
    <xf numFmtId="0" fontId="46" fillId="2" borderId="0" xfId="238" applyFont="1" applyFill="1" applyBorder="1" applyAlignment="1" applyProtection="1">
      <alignment horizontal="center" vertical="center"/>
      <protection locked="0"/>
    </xf>
    <xf numFmtId="0" fontId="46" fillId="2" borderId="0" xfId="238" applyNumberFormat="1" applyFont="1" applyFill="1" applyAlignment="1" applyProtection="1">
      <alignment horizontal="center" vertical="center"/>
      <protection locked="0"/>
    </xf>
    <xf numFmtId="171" fontId="46" fillId="2" borderId="0" xfId="238" applyNumberFormat="1" applyFont="1" applyFill="1" applyAlignment="1" applyProtection="1">
      <alignment horizontal="center" vertical="center"/>
      <protection locked="0"/>
    </xf>
    <xf numFmtId="0" fontId="46" fillId="2" borderId="0" xfId="238" applyFont="1" applyFill="1" applyAlignment="1" applyProtection="1">
      <alignment horizontal="center" vertical="center"/>
      <protection locked="0"/>
    </xf>
    <xf numFmtId="0" fontId="47" fillId="2" borderId="0" xfId="238" applyNumberFormat="1" applyFont="1" applyFill="1" applyAlignment="1" applyProtection="1">
      <alignment horizontal="center" vertical="center"/>
      <protection locked="0"/>
    </xf>
    <xf numFmtId="167" fontId="55" fillId="6" borderId="0" xfId="476" applyFont="1" applyFill="1" applyBorder="1" applyAlignment="1" applyProtection="1">
      <alignment horizontal="left" vertical="top" wrapText="1"/>
      <protection hidden="1"/>
    </xf>
    <xf numFmtId="0" fontId="43" fillId="0" borderId="6" xfId="238" applyFont="1" applyFill="1" applyBorder="1" applyAlignment="1" applyProtection="1">
      <alignment horizontal="center" vertical="center" wrapText="1"/>
      <protection hidden="1"/>
    </xf>
    <xf numFmtId="0" fontId="43" fillId="0" borderId="6" xfId="238" applyFont="1" applyFill="1" applyBorder="1" applyAlignment="1" applyProtection="1">
      <alignment horizontal="center" vertical="center"/>
      <protection hidden="1"/>
    </xf>
    <xf numFmtId="0" fontId="53" fillId="0" borderId="14" xfId="238" applyFont="1" applyBorder="1" applyAlignment="1" applyProtection="1">
      <alignment vertical="center" wrapText="1"/>
      <protection hidden="1"/>
    </xf>
    <xf numFmtId="0" fontId="53" fillId="0" borderId="15" xfId="238" applyFont="1" applyBorder="1" applyAlignment="1" applyProtection="1">
      <alignment vertical="center" wrapText="1"/>
      <protection hidden="1"/>
    </xf>
    <xf numFmtId="167" fontId="55" fillId="6" borderId="0" xfId="476" applyFont="1" applyFill="1" applyBorder="1" applyAlignment="1" applyProtection="1">
      <alignment horizontal="right" vertical="top" wrapText="1"/>
      <protection hidden="1"/>
    </xf>
    <xf numFmtId="0" fontId="58" fillId="0" borderId="0" xfId="238" applyFont="1" applyAlignment="1" applyProtection="1">
      <alignment horizontal="right"/>
      <protection hidden="1"/>
    </xf>
    <xf numFmtId="167" fontId="55" fillId="6" borderId="0" xfId="476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167" fontId="55" fillId="6" borderId="0" xfId="476" applyFont="1" applyFill="1" applyBorder="1" applyAlignment="1" applyProtection="1">
      <alignment horizontal="right" vertical="center" wrapText="1"/>
      <protection hidden="1"/>
    </xf>
    <xf numFmtId="167" fontId="55" fillId="6" borderId="0" xfId="476" applyFont="1" applyFill="1" applyBorder="1" applyAlignment="1" applyProtection="1">
      <alignment horizontal="right" wrapText="1"/>
      <protection hidden="1"/>
    </xf>
    <xf numFmtId="0" fontId="43" fillId="0" borderId="0" xfId="238" applyFont="1" applyFill="1" applyBorder="1" applyAlignment="1" applyProtection="1">
      <alignment horizontal="left" vertical="top" wrapText="1"/>
      <protection hidden="1"/>
    </xf>
    <xf numFmtId="0" fontId="43" fillId="0" borderId="16" xfId="238" applyFont="1" applyFill="1" applyBorder="1" applyAlignment="1" applyProtection="1">
      <alignment horizontal="left" vertical="top" wrapText="1"/>
      <protection hidden="1"/>
    </xf>
    <xf numFmtId="0" fontId="75" fillId="0" borderId="0" xfId="238" applyFont="1" applyFill="1" applyBorder="1" applyAlignment="1" applyProtection="1">
      <alignment horizontal="center"/>
      <protection locked="0"/>
    </xf>
    <xf numFmtId="0" fontId="75" fillId="0" borderId="0" xfId="238" quotePrefix="1" applyFont="1" applyFill="1" applyBorder="1" applyAlignment="1" applyProtection="1">
      <alignment horizontal="center"/>
      <protection locked="0"/>
    </xf>
    <xf numFmtId="167" fontId="55" fillId="6" borderId="0" xfId="476" applyFont="1" applyFill="1" applyBorder="1" applyAlignment="1" applyProtection="1">
      <alignment horizontal="center" vertical="center"/>
      <protection hidden="1"/>
    </xf>
    <xf numFmtId="167" fontId="40" fillId="0" borderId="1" xfId="1" applyFont="1" applyFill="1" applyBorder="1" applyAlignment="1" applyProtection="1">
      <alignment horizontal="left" wrapText="1"/>
      <protection hidden="1"/>
    </xf>
    <xf numFmtId="167" fontId="40" fillId="0" borderId="2" xfId="1" applyFont="1" applyFill="1" applyBorder="1" applyAlignment="1" applyProtection="1">
      <alignment horizontal="left" wrapText="1"/>
      <protection hidden="1"/>
    </xf>
    <xf numFmtId="167" fontId="40" fillId="0" borderId="8" xfId="1" applyFont="1" applyFill="1" applyBorder="1" applyAlignment="1" applyProtection="1">
      <alignment horizontal="left" wrapText="1"/>
      <protection hidden="1"/>
    </xf>
    <xf numFmtId="167" fontId="40" fillId="0" borderId="6" xfId="1" applyFont="1" applyFill="1" applyBorder="1" applyAlignment="1" applyProtection="1">
      <alignment horizontal="left" wrapText="1"/>
      <protection hidden="1"/>
    </xf>
    <xf numFmtId="174" fontId="8" fillId="8" borderId="0" xfId="238" applyNumberFormat="1" applyFont="1" applyFill="1" applyAlignment="1" applyProtection="1">
      <alignment horizontal="center" vertical="center"/>
      <protection locked="0"/>
    </xf>
    <xf numFmtId="0" fontId="43" fillId="0" borderId="8" xfId="238" applyFont="1" applyFill="1" applyBorder="1" applyAlignment="1" applyProtection="1">
      <alignment horizontal="center" vertical="center" wrapText="1"/>
      <protection hidden="1"/>
    </xf>
    <xf numFmtId="0" fontId="43" fillId="0" borderId="5" xfId="238" applyFont="1" applyFill="1" applyBorder="1" applyAlignment="1" applyProtection="1">
      <alignment horizontal="center" vertical="center"/>
      <protection hidden="1"/>
    </xf>
    <xf numFmtId="171" fontId="46" fillId="2" borderId="0" xfId="238" applyNumberFormat="1" applyFont="1" applyFill="1" applyBorder="1" applyAlignment="1" applyProtection="1">
      <alignment horizontal="center" vertical="center"/>
      <protection locked="0"/>
    </xf>
    <xf numFmtId="171" fontId="46" fillId="2" borderId="4" xfId="238" applyNumberFormat="1" applyFont="1" applyFill="1" applyBorder="1" applyAlignment="1" applyProtection="1">
      <alignment horizontal="center" vertical="center"/>
      <protection locked="0"/>
    </xf>
    <xf numFmtId="0" fontId="47" fillId="2" borderId="0" xfId="238" applyNumberFormat="1" applyFont="1" applyFill="1" applyBorder="1" applyAlignment="1" applyProtection="1">
      <alignment horizontal="center" vertical="center"/>
      <protection locked="0"/>
    </xf>
    <xf numFmtId="0" fontId="47" fillId="2" borderId="4" xfId="238" applyNumberFormat="1" applyFont="1" applyFill="1" applyBorder="1" applyAlignment="1" applyProtection="1">
      <alignment horizontal="center" vertical="center"/>
      <protection locked="0"/>
    </xf>
    <xf numFmtId="0" fontId="46" fillId="2" borderId="0" xfId="238" applyNumberFormat="1" applyFont="1" applyFill="1" applyBorder="1" applyAlignment="1" applyProtection="1">
      <alignment horizontal="center" vertical="center"/>
      <protection locked="0"/>
    </xf>
    <xf numFmtId="0" fontId="46" fillId="2" borderId="4" xfId="238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167" fontId="23" fillId="0" borderId="1" xfId="1" applyFont="1" applyFill="1" applyBorder="1" applyAlignment="1" applyProtection="1">
      <alignment horizontal="center" vertical="center"/>
    </xf>
    <xf numFmtId="167" fontId="23" fillId="0" borderId="2" xfId="1" applyFont="1" applyFill="1" applyBorder="1" applyAlignment="1" applyProtection="1">
      <alignment horizontal="center" vertical="center"/>
    </xf>
    <xf numFmtId="167" fontId="23" fillId="0" borderId="7" xfId="1" applyFont="1" applyFill="1" applyBorder="1" applyAlignment="1" applyProtection="1">
      <alignment horizontal="center" vertical="center"/>
    </xf>
    <xf numFmtId="167" fontId="23" fillId="0" borderId="8" xfId="1" applyFont="1" applyFill="1" applyBorder="1" applyAlignment="1" applyProtection="1">
      <alignment horizontal="center" vertical="center"/>
    </xf>
    <xf numFmtId="167" fontId="23" fillId="0" borderId="6" xfId="1" applyFont="1" applyFill="1" applyBorder="1" applyAlignment="1" applyProtection="1">
      <alignment horizontal="center" vertical="center"/>
    </xf>
    <xf numFmtId="167" fontId="23" fillId="0" borderId="5" xfId="1" applyFont="1" applyFill="1" applyBorder="1" applyAlignment="1" applyProtection="1">
      <alignment horizontal="center" vertical="center"/>
    </xf>
    <xf numFmtId="167" fontId="17" fillId="0" borderId="0" xfId="1" applyFont="1" applyAlignment="1">
      <alignment vertical="top" wrapText="1"/>
    </xf>
    <xf numFmtId="167" fontId="17" fillId="0" borderId="0" xfId="1" applyFont="1" applyAlignment="1">
      <alignment horizontal="left" wrapText="1"/>
    </xf>
    <xf numFmtId="167" fontId="16" fillId="0" borderId="0" xfId="1" applyFont="1" applyFill="1" applyBorder="1" applyAlignment="1" applyProtection="1">
      <alignment horizontal="left" vertical="center"/>
    </xf>
    <xf numFmtId="167" fontId="18" fillId="4" borderId="0" xfId="1" applyFont="1" applyFill="1" applyBorder="1" applyAlignment="1" applyProtection="1">
      <alignment horizontal="left" vertical="center"/>
    </xf>
    <xf numFmtId="0" fontId="19" fillId="4" borderId="0" xfId="1" applyNumberFormat="1" applyFont="1" applyFill="1" applyBorder="1" applyAlignment="1" applyProtection="1">
      <alignment horizontal="center" vertical="center"/>
    </xf>
    <xf numFmtId="0" fontId="18" fillId="4" borderId="0" xfId="1" applyNumberFormat="1" applyFont="1" applyFill="1" applyBorder="1" applyAlignment="1" applyProtection="1">
      <alignment horizontal="center" vertical="center"/>
    </xf>
    <xf numFmtId="167" fontId="16" fillId="4" borderId="0" xfId="1" quotePrefix="1" applyFont="1" applyFill="1" applyBorder="1" applyAlignment="1" applyProtection="1">
      <alignment horizontal="left" vertical="center"/>
    </xf>
    <xf numFmtId="14" fontId="18" fillId="4" borderId="0" xfId="1" applyNumberFormat="1" applyFont="1" applyFill="1" applyBorder="1" applyAlignment="1" applyProtection="1">
      <alignment horizontal="center" vertical="center"/>
    </xf>
    <xf numFmtId="179" fontId="32" fillId="0" borderId="0" xfId="0" applyNumberFormat="1" applyFont="1" applyBorder="1" applyAlignment="1">
      <alignment horizontal="center"/>
    </xf>
    <xf numFmtId="0" fontId="32" fillId="0" borderId="9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32" fillId="0" borderId="22" xfId="0" applyFont="1" applyFill="1" applyBorder="1" applyAlignment="1">
      <alignment horizontal="center" vertical="center" wrapText="1"/>
    </xf>
    <xf numFmtId="0" fontId="32" fillId="0" borderId="25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7" fontId="1" fillId="0" borderId="22" xfId="478" applyFont="1" applyBorder="1" applyAlignment="1">
      <alignment horizontal="center" wrapText="1"/>
    </xf>
    <xf numFmtId="167" fontId="1" fillId="0" borderId="24" xfId="478" applyFont="1" applyBorder="1" applyAlignment="1">
      <alignment horizontal="center" wrapText="1"/>
    </xf>
    <xf numFmtId="167" fontId="1" fillId="0" borderId="25" xfId="478" applyFont="1" applyBorder="1" applyAlignment="1">
      <alignment horizontal="center" wrapText="1"/>
    </xf>
  </cellXfs>
  <cellStyles count="480">
    <cellStyle name="Comma" xfId="479" builtinId="3"/>
    <cellStyle name="Normal" xfId="0" builtinId="0"/>
    <cellStyle name="Normal 2" xfId="1"/>
    <cellStyle name="Normal 2 2" xfId="2"/>
    <cellStyle name="Normal 2 2 10" xfId="3"/>
    <cellStyle name="Normal 2 2 11" xfId="4"/>
    <cellStyle name="Normal 2 2 2" xfId="5"/>
    <cellStyle name="Normal 2 2 2 2" xfId="6"/>
    <cellStyle name="Normal 2 2 2 2 2" xfId="7"/>
    <cellStyle name="Normal 2 2 2 2 2 2" xfId="8"/>
    <cellStyle name="Normal 2 2 2 2 2 2 2" xfId="9"/>
    <cellStyle name="Normal 2 2 2 2 2 2 3" xfId="10"/>
    <cellStyle name="Normal 2 2 2 2 2 2 4" xfId="11"/>
    <cellStyle name="Normal 2 2 2 2 2 2 5" xfId="12"/>
    <cellStyle name="Normal 2 2 2 2 2 3" xfId="13"/>
    <cellStyle name="Normal 2 2 2 2 2 3 2" xfId="14"/>
    <cellStyle name="Normal 2 2 2 2 2 3 3" xfId="15"/>
    <cellStyle name="Normal 2 2 2 2 2 3 4" xfId="16"/>
    <cellStyle name="Normal 2 2 2 2 2 4" xfId="17"/>
    <cellStyle name="Normal 2 2 2 2 2 5" xfId="18"/>
    <cellStyle name="Normal 2 2 2 2 2 6" xfId="19"/>
    <cellStyle name="Normal 2 2 2 2 3" xfId="20"/>
    <cellStyle name="Normal 2 2 2 2 3 2" xfId="21"/>
    <cellStyle name="Normal 2 2 2 2 3 3" xfId="22"/>
    <cellStyle name="Normal 2 2 2 2 3 4" xfId="23"/>
    <cellStyle name="Normal 2 2 2 2 3 5" xfId="24"/>
    <cellStyle name="Normal 2 2 2 2 4" xfId="25"/>
    <cellStyle name="Normal 2 2 2 2 4 2" xfId="26"/>
    <cellStyle name="Normal 2 2 2 2 4 3" xfId="27"/>
    <cellStyle name="Normal 2 2 2 2 4 4" xfId="28"/>
    <cellStyle name="Normal 2 2 2 2 5" xfId="29"/>
    <cellStyle name="Normal 2 2 2 2 6" xfId="30"/>
    <cellStyle name="Normal 2 2 2 2 7" xfId="31"/>
    <cellStyle name="Normal 2 2 2 3" xfId="32"/>
    <cellStyle name="Normal 2 2 2 3 2" xfId="33"/>
    <cellStyle name="Normal 2 2 2 3 2 2" xfId="34"/>
    <cellStyle name="Normal 2 2 2 3 2 2 2" xfId="35"/>
    <cellStyle name="Normal 2 2 2 3 2 2 3" xfId="36"/>
    <cellStyle name="Normal 2 2 2 3 2 2 4" xfId="37"/>
    <cellStyle name="Normal 2 2 2 3 2 2 5" xfId="38"/>
    <cellStyle name="Normal 2 2 2 3 2 3" xfId="39"/>
    <cellStyle name="Normal 2 2 2 3 2 3 2" xfId="40"/>
    <cellStyle name="Normal 2 2 2 3 2 3 3" xfId="41"/>
    <cellStyle name="Normal 2 2 2 3 2 3 4" xfId="42"/>
    <cellStyle name="Normal 2 2 2 3 2 4" xfId="43"/>
    <cellStyle name="Normal 2 2 2 3 2 5" xfId="44"/>
    <cellStyle name="Normal 2 2 2 3 2 6" xfId="45"/>
    <cellStyle name="Normal 2 2 2 3 3" xfId="46"/>
    <cellStyle name="Normal 2 2 2 3 3 2" xfId="47"/>
    <cellStyle name="Normal 2 2 2 3 3 3" xfId="48"/>
    <cellStyle name="Normal 2 2 2 3 3 4" xfId="49"/>
    <cellStyle name="Normal 2 2 2 3 3 5" xfId="50"/>
    <cellStyle name="Normal 2 2 2 3 4" xfId="51"/>
    <cellStyle name="Normal 2 2 2 3 4 2" xfId="52"/>
    <cellStyle name="Normal 2 2 2 3 4 3" xfId="53"/>
    <cellStyle name="Normal 2 2 2 3 4 4" xfId="54"/>
    <cellStyle name="Normal 2 2 2 3 5" xfId="55"/>
    <cellStyle name="Normal 2 2 2 3 6" xfId="56"/>
    <cellStyle name="Normal 2 2 2 3 7" xfId="57"/>
    <cellStyle name="Normal 2 2 2 4" xfId="58"/>
    <cellStyle name="Normal 2 2 2 4 2" xfId="59"/>
    <cellStyle name="Normal 2 2 2 4 2 2" xfId="60"/>
    <cellStyle name="Normal 2 2 2 4 2 3" xfId="61"/>
    <cellStyle name="Normal 2 2 2 4 2 4" xfId="62"/>
    <cellStyle name="Normal 2 2 2 4 2 5" xfId="63"/>
    <cellStyle name="Normal 2 2 2 4 3" xfId="64"/>
    <cellStyle name="Normal 2 2 2 4 3 2" xfId="65"/>
    <cellStyle name="Normal 2 2 2 4 3 3" xfId="66"/>
    <cellStyle name="Normal 2 2 2 4 3 4" xfId="67"/>
    <cellStyle name="Normal 2 2 2 4 4" xfId="68"/>
    <cellStyle name="Normal 2 2 2 4 5" xfId="69"/>
    <cellStyle name="Normal 2 2 2 4 6" xfId="70"/>
    <cellStyle name="Normal 2 2 2 5" xfId="71"/>
    <cellStyle name="Normal 2 2 2 5 2" xfId="72"/>
    <cellStyle name="Normal 2 2 2 5 3" xfId="73"/>
    <cellStyle name="Normal 2 2 2 5 4" xfId="74"/>
    <cellStyle name="Normal 2 2 2 5 5" xfId="75"/>
    <cellStyle name="Normal 2 2 2 6" xfId="76"/>
    <cellStyle name="Normal 2 2 2 6 2" xfId="77"/>
    <cellStyle name="Normal 2 2 2 6 3" xfId="78"/>
    <cellStyle name="Normal 2 2 2 6 4" xfId="79"/>
    <cellStyle name="Normal 2 2 2 7" xfId="80"/>
    <cellStyle name="Normal 2 2 2 8" xfId="81"/>
    <cellStyle name="Normal 2 2 2 9" xfId="82"/>
    <cellStyle name="Normal 2 2 3" xfId="83"/>
    <cellStyle name="Normal 2 2 3 2" xfId="84"/>
    <cellStyle name="Normal 2 2 3 2 2" xfId="85"/>
    <cellStyle name="Normal 2 2 3 2 2 2" xfId="86"/>
    <cellStyle name="Normal 2 2 3 2 2 2 2" xfId="87"/>
    <cellStyle name="Normal 2 2 3 2 2 2 3" xfId="88"/>
    <cellStyle name="Normal 2 2 3 2 2 2 4" xfId="89"/>
    <cellStyle name="Normal 2 2 3 2 2 2 5" xfId="90"/>
    <cellStyle name="Normal 2 2 3 2 2 3" xfId="91"/>
    <cellStyle name="Normal 2 2 3 2 2 3 2" xfId="92"/>
    <cellStyle name="Normal 2 2 3 2 2 3 3" xfId="93"/>
    <cellStyle name="Normal 2 2 3 2 2 3 4" xfId="94"/>
    <cellStyle name="Normal 2 2 3 2 2 4" xfId="95"/>
    <cellStyle name="Normal 2 2 3 2 2 5" xfId="96"/>
    <cellStyle name="Normal 2 2 3 2 2 6" xfId="97"/>
    <cellStyle name="Normal 2 2 3 2 3" xfId="98"/>
    <cellStyle name="Normal 2 2 3 2 3 2" xfId="99"/>
    <cellStyle name="Normal 2 2 3 2 3 3" xfId="100"/>
    <cellStyle name="Normal 2 2 3 2 3 4" xfId="101"/>
    <cellStyle name="Normal 2 2 3 2 3 5" xfId="102"/>
    <cellStyle name="Normal 2 2 3 2 4" xfId="103"/>
    <cellStyle name="Normal 2 2 3 2 4 2" xfId="104"/>
    <cellStyle name="Normal 2 2 3 2 4 3" xfId="105"/>
    <cellStyle name="Normal 2 2 3 2 4 4" xfId="106"/>
    <cellStyle name="Normal 2 2 3 2 5" xfId="107"/>
    <cellStyle name="Normal 2 2 3 2 6" xfId="108"/>
    <cellStyle name="Normal 2 2 3 2 7" xfId="109"/>
    <cellStyle name="Normal 2 2 3 3" xfId="110"/>
    <cellStyle name="Normal 2 2 3 3 2" xfId="111"/>
    <cellStyle name="Normal 2 2 3 3 2 2" xfId="112"/>
    <cellStyle name="Normal 2 2 3 3 2 2 2" xfId="113"/>
    <cellStyle name="Normal 2 2 3 3 2 2 3" xfId="114"/>
    <cellStyle name="Normal 2 2 3 3 2 2 4" xfId="115"/>
    <cellStyle name="Normal 2 2 3 3 2 2 5" xfId="116"/>
    <cellStyle name="Normal 2 2 3 3 2 3" xfId="117"/>
    <cellStyle name="Normal 2 2 3 3 2 3 2" xfId="118"/>
    <cellStyle name="Normal 2 2 3 3 2 3 3" xfId="119"/>
    <cellStyle name="Normal 2 2 3 3 2 3 4" xfId="120"/>
    <cellStyle name="Normal 2 2 3 3 2 4" xfId="121"/>
    <cellStyle name="Normal 2 2 3 3 2 5" xfId="122"/>
    <cellStyle name="Normal 2 2 3 3 2 6" xfId="123"/>
    <cellStyle name="Normal 2 2 3 3 3" xfId="124"/>
    <cellStyle name="Normal 2 2 3 3 3 2" xfId="125"/>
    <cellStyle name="Normal 2 2 3 3 3 3" xfId="126"/>
    <cellStyle name="Normal 2 2 3 3 3 4" xfId="127"/>
    <cellStyle name="Normal 2 2 3 3 3 5" xfId="128"/>
    <cellStyle name="Normal 2 2 3 3 4" xfId="129"/>
    <cellStyle name="Normal 2 2 3 3 4 2" xfId="130"/>
    <cellStyle name="Normal 2 2 3 3 4 3" xfId="131"/>
    <cellStyle name="Normal 2 2 3 3 4 4" xfId="132"/>
    <cellStyle name="Normal 2 2 3 3 5" xfId="133"/>
    <cellStyle name="Normal 2 2 3 3 6" xfId="134"/>
    <cellStyle name="Normal 2 2 3 3 7" xfId="135"/>
    <cellStyle name="Normal 2 2 3 4" xfId="136"/>
    <cellStyle name="Normal 2 2 3 4 2" xfId="137"/>
    <cellStyle name="Normal 2 2 3 4 2 2" xfId="138"/>
    <cellStyle name="Normal 2 2 3 4 2 3" xfId="139"/>
    <cellStyle name="Normal 2 2 3 4 2 4" xfId="140"/>
    <cellStyle name="Normal 2 2 3 4 2 5" xfId="141"/>
    <cellStyle name="Normal 2 2 3 4 3" xfId="142"/>
    <cellStyle name="Normal 2 2 3 4 3 2" xfId="143"/>
    <cellStyle name="Normal 2 2 3 4 3 3" xfId="144"/>
    <cellStyle name="Normal 2 2 3 4 3 4" xfId="145"/>
    <cellStyle name="Normal 2 2 3 4 4" xfId="146"/>
    <cellStyle name="Normal 2 2 3 4 5" xfId="147"/>
    <cellStyle name="Normal 2 2 3 4 6" xfId="148"/>
    <cellStyle name="Normal 2 2 3 5" xfId="149"/>
    <cellStyle name="Normal 2 2 3 5 2" xfId="150"/>
    <cellStyle name="Normal 2 2 3 5 3" xfId="151"/>
    <cellStyle name="Normal 2 2 3 5 4" xfId="152"/>
    <cellStyle name="Normal 2 2 3 5 5" xfId="153"/>
    <cellStyle name="Normal 2 2 3 6" xfId="154"/>
    <cellStyle name="Normal 2 2 3 6 2" xfId="155"/>
    <cellStyle name="Normal 2 2 3 6 3" xfId="156"/>
    <cellStyle name="Normal 2 2 3 6 4" xfId="157"/>
    <cellStyle name="Normal 2 2 3 7" xfId="158"/>
    <cellStyle name="Normal 2 2 3 8" xfId="159"/>
    <cellStyle name="Normal 2 2 3 9" xfId="160"/>
    <cellStyle name="Normal 2 2 4" xfId="161"/>
    <cellStyle name="Normal 2 2 4 2" xfId="162"/>
    <cellStyle name="Normal 2 2 4 2 2" xfId="163"/>
    <cellStyle name="Normal 2 2 4 2 2 2" xfId="164"/>
    <cellStyle name="Normal 2 2 4 2 2 3" xfId="165"/>
    <cellStyle name="Normal 2 2 4 2 2 4" xfId="166"/>
    <cellStyle name="Normal 2 2 4 2 2 5" xfId="167"/>
    <cellStyle name="Normal 2 2 4 2 3" xfId="168"/>
    <cellStyle name="Normal 2 2 4 2 3 2" xfId="169"/>
    <cellStyle name="Normal 2 2 4 2 3 3" xfId="170"/>
    <cellStyle name="Normal 2 2 4 2 3 4" xfId="171"/>
    <cellStyle name="Normal 2 2 4 2 4" xfId="172"/>
    <cellStyle name="Normal 2 2 4 2 5" xfId="173"/>
    <cellStyle name="Normal 2 2 4 2 6" xfId="174"/>
    <cellStyle name="Normal 2 2 4 3" xfId="175"/>
    <cellStyle name="Normal 2 2 4 3 2" xfId="176"/>
    <cellStyle name="Normal 2 2 4 3 3" xfId="177"/>
    <cellStyle name="Normal 2 2 4 3 4" xfId="178"/>
    <cellStyle name="Normal 2 2 4 3 5" xfId="179"/>
    <cellStyle name="Normal 2 2 4 4" xfId="180"/>
    <cellStyle name="Normal 2 2 4 4 2" xfId="181"/>
    <cellStyle name="Normal 2 2 4 4 3" xfId="182"/>
    <cellStyle name="Normal 2 2 4 4 4" xfId="183"/>
    <cellStyle name="Normal 2 2 4 5" xfId="184"/>
    <cellStyle name="Normal 2 2 4 6" xfId="185"/>
    <cellStyle name="Normal 2 2 4 7" xfId="186"/>
    <cellStyle name="Normal 2 2 5" xfId="187"/>
    <cellStyle name="Normal 2 2 5 2" xfId="188"/>
    <cellStyle name="Normal 2 2 5 2 2" xfId="189"/>
    <cellStyle name="Normal 2 2 5 2 2 2" xfId="190"/>
    <cellStyle name="Normal 2 2 5 2 2 3" xfId="191"/>
    <cellStyle name="Normal 2 2 5 2 2 4" xfId="192"/>
    <cellStyle name="Normal 2 2 5 2 2 5" xfId="193"/>
    <cellStyle name="Normal 2 2 5 2 3" xfId="194"/>
    <cellStyle name="Normal 2 2 5 2 3 2" xfId="195"/>
    <cellStyle name="Normal 2 2 5 2 3 3" xfId="196"/>
    <cellStyle name="Normal 2 2 5 2 3 4" xfId="197"/>
    <cellStyle name="Normal 2 2 5 2 4" xfId="198"/>
    <cellStyle name="Normal 2 2 5 2 5" xfId="199"/>
    <cellStyle name="Normal 2 2 5 2 6" xfId="200"/>
    <cellStyle name="Normal 2 2 5 3" xfId="201"/>
    <cellStyle name="Normal 2 2 5 3 2" xfId="202"/>
    <cellStyle name="Normal 2 2 5 3 3" xfId="203"/>
    <cellStyle name="Normal 2 2 5 3 4" xfId="204"/>
    <cellStyle name="Normal 2 2 5 3 5" xfId="205"/>
    <cellStyle name="Normal 2 2 5 4" xfId="206"/>
    <cellStyle name="Normal 2 2 5 4 2" xfId="207"/>
    <cellStyle name="Normal 2 2 5 4 3" xfId="208"/>
    <cellStyle name="Normal 2 2 5 4 4" xfId="209"/>
    <cellStyle name="Normal 2 2 5 5" xfId="210"/>
    <cellStyle name="Normal 2 2 5 6" xfId="211"/>
    <cellStyle name="Normal 2 2 5 7" xfId="212"/>
    <cellStyle name="Normal 2 2 6" xfId="213"/>
    <cellStyle name="Normal 2 2 6 2" xfId="214"/>
    <cellStyle name="Normal 2 2 6 2 2" xfId="215"/>
    <cellStyle name="Normal 2 2 6 2 3" xfId="216"/>
    <cellStyle name="Normal 2 2 6 2 4" xfId="217"/>
    <cellStyle name="Normal 2 2 6 2 5" xfId="218"/>
    <cellStyle name="Normal 2 2 6 3" xfId="219"/>
    <cellStyle name="Normal 2 2 6 3 2" xfId="220"/>
    <cellStyle name="Normal 2 2 6 3 3" xfId="221"/>
    <cellStyle name="Normal 2 2 6 3 4" xfId="222"/>
    <cellStyle name="Normal 2 2 6 4" xfId="223"/>
    <cellStyle name="Normal 2 2 6 5" xfId="224"/>
    <cellStyle name="Normal 2 2 6 6" xfId="225"/>
    <cellStyle name="Normal 2 2 7" xfId="226"/>
    <cellStyle name="Normal 2 2 7 2" xfId="227"/>
    <cellStyle name="Normal 2 2 7 3" xfId="228"/>
    <cellStyle name="Normal 2 2 7 4" xfId="229"/>
    <cellStyle name="Normal 2 2 7 5" xfId="230"/>
    <cellStyle name="Normal 2 2 8" xfId="231"/>
    <cellStyle name="Normal 2 2 8 2" xfId="232"/>
    <cellStyle name="Normal 2 2 8 3" xfId="233"/>
    <cellStyle name="Normal 2 2 8 4" xfId="234"/>
    <cellStyle name="Normal 2 2 9" xfId="235"/>
    <cellStyle name="Normal 2 2 9 2" xfId="236"/>
    <cellStyle name="Normal 2 3" xfId="237"/>
    <cellStyle name="Normal 3" xfId="238"/>
    <cellStyle name="Normal 4" xfId="239"/>
    <cellStyle name="Normal 4 2" xfId="240"/>
    <cellStyle name="Normal 4 3" xfId="241"/>
    <cellStyle name="Normal 5" xfId="242"/>
    <cellStyle name="Normal 5 10" xfId="243"/>
    <cellStyle name="Normal 5 11" xfId="244"/>
    <cellStyle name="Normal 5 2" xfId="245"/>
    <cellStyle name="Normal 5 2 2" xfId="246"/>
    <cellStyle name="Normal 5 2 2 2" xfId="247"/>
    <cellStyle name="Normal 5 2 2 2 2" xfId="248"/>
    <cellStyle name="Normal 5 2 2 2 2 2" xfId="249"/>
    <cellStyle name="Normal 5 2 2 2 2 3" xfId="250"/>
    <cellStyle name="Normal 5 2 2 2 2 4" xfId="251"/>
    <cellStyle name="Normal 5 2 2 2 2 5" xfId="252"/>
    <cellStyle name="Normal 5 2 2 2 3" xfId="253"/>
    <cellStyle name="Normal 5 2 2 2 3 2" xfId="254"/>
    <cellStyle name="Normal 5 2 2 2 3 3" xfId="255"/>
    <cellStyle name="Normal 5 2 2 2 3 4" xfId="256"/>
    <cellStyle name="Normal 5 2 2 2 4" xfId="257"/>
    <cellStyle name="Normal 5 2 2 2 5" xfId="258"/>
    <cellStyle name="Normal 5 2 2 2 6" xfId="259"/>
    <cellStyle name="Normal 5 2 2 3" xfId="260"/>
    <cellStyle name="Normal 5 2 2 3 2" xfId="261"/>
    <cellStyle name="Normal 5 2 2 3 3" xfId="262"/>
    <cellStyle name="Normal 5 2 2 3 4" xfId="263"/>
    <cellStyle name="Normal 5 2 2 3 5" xfId="264"/>
    <cellStyle name="Normal 5 2 2 4" xfId="265"/>
    <cellStyle name="Normal 5 2 2 4 2" xfId="266"/>
    <cellStyle name="Normal 5 2 2 4 3" xfId="267"/>
    <cellStyle name="Normal 5 2 2 4 4" xfId="268"/>
    <cellStyle name="Normal 5 2 2 5" xfId="269"/>
    <cellStyle name="Normal 5 2 2 6" xfId="270"/>
    <cellStyle name="Normal 5 2 2 7" xfId="271"/>
    <cellStyle name="Normal 5 2 3" xfId="272"/>
    <cellStyle name="Normal 5 2 3 2" xfId="273"/>
    <cellStyle name="Normal 5 2 3 2 2" xfId="274"/>
    <cellStyle name="Normal 5 2 3 2 2 2" xfId="275"/>
    <cellStyle name="Normal 5 2 3 2 2 3" xfId="276"/>
    <cellStyle name="Normal 5 2 3 2 2 4" xfId="277"/>
    <cellStyle name="Normal 5 2 3 2 2 5" xfId="278"/>
    <cellStyle name="Normal 5 2 3 2 3" xfId="279"/>
    <cellStyle name="Normal 5 2 3 2 3 2" xfId="280"/>
    <cellStyle name="Normal 5 2 3 2 3 3" xfId="281"/>
    <cellStyle name="Normal 5 2 3 2 3 4" xfId="282"/>
    <cellStyle name="Normal 5 2 3 2 4" xfId="283"/>
    <cellStyle name="Normal 5 2 3 2 5" xfId="284"/>
    <cellStyle name="Normal 5 2 3 2 6" xfId="285"/>
    <cellStyle name="Normal 5 2 3 3" xfId="286"/>
    <cellStyle name="Normal 5 2 3 3 2" xfId="287"/>
    <cellStyle name="Normal 5 2 3 3 3" xfId="288"/>
    <cellStyle name="Normal 5 2 3 3 4" xfId="289"/>
    <cellStyle name="Normal 5 2 3 3 5" xfId="290"/>
    <cellStyle name="Normal 5 2 3 4" xfId="291"/>
    <cellStyle name="Normal 5 2 3 4 2" xfId="292"/>
    <cellStyle name="Normal 5 2 3 4 3" xfId="293"/>
    <cellStyle name="Normal 5 2 3 4 4" xfId="294"/>
    <cellStyle name="Normal 5 2 3 5" xfId="295"/>
    <cellStyle name="Normal 5 2 3 6" xfId="296"/>
    <cellStyle name="Normal 5 2 3 7" xfId="297"/>
    <cellStyle name="Normal 5 2 4" xfId="298"/>
    <cellStyle name="Normal 5 2 4 2" xfId="299"/>
    <cellStyle name="Normal 5 2 4 2 2" xfId="300"/>
    <cellStyle name="Normal 5 2 4 2 3" xfId="301"/>
    <cellStyle name="Normal 5 2 4 2 4" xfId="302"/>
    <cellStyle name="Normal 5 2 4 2 5" xfId="303"/>
    <cellStyle name="Normal 5 2 4 3" xfId="304"/>
    <cellStyle name="Normal 5 2 4 3 2" xfId="305"/>
    <cellStyle name="Normal 5 2 4 3 3" xfId="306"/>
    <cellStyle name="Normal 5 2 4 3 4" xfId="307"/>
    <cellStyle name="Normal 5 2 4 4" xfId="308"/>
    <cellStyle name="Normal 5 2 4 5" xfId="309"/>
    <cellStyle name="Normal 5 2 4 6" xfId="310"/>
    <cellStyle name="Normal 5 2 5" xfId="311"/>
    <cellStyle name="Normal 5 2 5 2" xfId="312"/>
    <cellStyle name="Normal 5 2 5 3" xfId="313"/>
    <cellStyle name="Normal 5 2 5 4" xfId="314"/>
    <cellStyle name="Normal 5 2 5 5" xfId="315"/>
    <cellStyle name="Normal 5 2 6" xfId="316"/>
    <cellStyle name="Normal 5 2 6 2" xfId="317"/>
    <cellStyle name="Normal 5 2 6 3" xfId="318"/>
    <cellStyle name="Normal 5 2 6 4" xfId="319"/>
    <cellStyle name="Normal 5 2 7" xfId="320"/>
    <cellStyle name="Normal 5 2 8" xfId="321"/>
    <cellStyle name="Normal 5 2 9" xfId="322"/>
    <cellStyle name="Normal 5 3" xfId="323"/>
    <cellStyle name="Normal 5 3 2" xfId="324"/>
    <cellStyle name="Normal 5 3 2 2" xfId="325"/>
    <cellStyle name="Normal 5 3 2 2 2" xfId="326"/>
    <cellStyle name="Normal 5 3 2 2 2 2" xfId="327"/>
    <cellStyle name="Normal 5 3 2 2 2 3" xfId="328"/>
    <cellStyle name="Normal 5 3 2 2 2 4" xfId="329"/>
    <cellStyle name="Normal 5 3 2 2 2 5" xfId="330"/>
    <cellStyle name="Normal 5 3 2 2 3" xfId="331"/>
    <cellStyle name="Normal 5 3 2 2 3 2" xfId="332"/>
    <cellStyle name="Normal 5 3 2 2 3 3" xfId="333"/>
    <cellStyle name="Normal 5 3 2 2 3 4" xfId="334"/>
    <cellStyle name="Normal 5 3 2 2 4" xfId="335"/>
    <cellStyle name="Normal 5 3 2 2 5" xfId="336"/>
    <cellStyle name="Normal 5 3 2 2 6" xfId="337"/>
    <cellStyle name="Normal 5 3 2 3" xfId="338"/>
    <cellStyle name="Normal 5 3 2 3 2" xfId="339"/>
    <cellStyle name="Normal 5 3 2 3 3" xfId="340"/>
    <cellStyle name="Normal 5 3 2 3 4" xfId="341"/>
    <cellStyle name="Normal 5 3 2 3 5" xfId="342"/>
    <cellStyle name="Normal 5 3 2 4" xfId="343"/>
    <cellStyle name="Normal 5 3 2 4 2" xfId="344"/>
    <cellStyle name="Normal 5 3 2 4 3" xfId="345"/>
    <cellStyle name="Normal 5 3 2 4 4" xfId="346"/>
    <cellStyle name="Normal 5 3 2 5" xfId="347"/>
    <cellStyle name="Normal 5 3 2 6" xfId="348"/>
    <cellStyle name="Normal 5 3 2 7" xfId="349"/>
    <cellStyle name="Normal 5 3 3" xfId="350"/>
    <cellStyle name="Normal 5 3 3 2" xfId="351"/>
    <cellStyle name="Normal 5 3 3 2 2" xfId="352"/>
    <cellStyle name="Normal 5 3 3 2 2 2" xfId="353"/>
    <cellStyle name="Normal 5 3 3 2 2 3" xfId="354"/>
    <cellStyle name="Normal 5 3 3 2 2 4" xfId="355"/>
    <cellStyle name="Normal 5 3 3 2 2 5" xfId="356"/>
    <cellStyle name="Normal 5 3 3 2 3" xfId="357"/>
    <cellStyle name="Normal 5 3 3 2 3 2" xfId="358"/>
    <cellStyle name="Normal 5 3 3 2 3 3" xfId="359"/>
    <cellStyle name="Normal 5 3 3 2 3 4" xfId="360"/>
    <cellStyle name="Normal 5 3 3 2 4" xfId="361"/>
    <cellStyle name="Normal 5 3 3 2 5" xfId="362"/>
    <cellStyle name="Normal 5 3 3 2 6" xfId="363"/>
    <cellStyle name="Normal 5 3 3 3" xfId="364"/>
    <cellStyle name="Normal 5 3 3 3 2" xfId="365"/>
    <cellStyle name="Normal 5 3 3 3 3" xfId="366"/>
    <cellStyle name="Normal 5 3 3 3 4" xfId="367"/>
    <cellStyle name="Normal 5 3 3 3 5" xfId="368"/>
    <cellStyle name="Normal 5 3 3 4" xfId="369"/>
    <cellStyle name="Normal 5 3 3 4 2" xfId="370"/>
    <cellStyle name="Normal 5 3 3 4 3" xfId="371"/>
    <cellStyle name="Normal 5 3 3 4 4" xfId="372"/>
    <cellStyle name="Normal 5 3 3 5" xfId="373"/>
    <cellStyle name="Normal 5 3 3 6" xfId="374"/>
    <cellStyle name="Normal 5 3 3 7" xfId="375"/>
    <cellStyle name="Normal 5 3 4" xfId="376"/>
    <cellStyle name="Normal 5 3 4 2" xfId="377"/>
    <cellStyle name="Normal 5 3 4 2 2" xfId="378"/>
    <cellStyle name="Normal 5 3 4 2 3" xfId="379"/>
    <cellStyle name="Normal 5 3 4 2 4" xfId="380"/>
    <cellStyle name="Normal 5 3 4 2 5" xfId="381"/>
    <cellStyle name="Normal 5 3 4 3" xfId="382"/>
    <cellStyle name="Normal 5 3 4 3 2" xfId="383"/>
    <cellStyle name="Normal 5 3 4 3 3" xfId="384"/>
    <cellStyle name="Normal 5 3 4 3 4" xfId="385"/>
    <cellStyle name="Normal 5 3 4 4" xfId="386"/>
    <cellStyle name="Normal 5 3 4 5" xfId="387"/>
    <cellStyle name="Normal 5 3 4 6" xfId="388"/>
    <cellStyle name="Normal 5 3 5" xfId="389"/>
    <cellStyle name="Normal 5 3 5 2" xfId="390"/>
    <cellStyle name="Normal 5 3 5 3" xfId="391"/>
    <cellStyle name="Normal 5 3 5 4" xfId="392"/>
    <cellStyle name="Normal 5 3 5 5" xfId="393"/>
    <cellStyle name="Normal 5 3 6" xfId="394"/>
    <cellStyle name="Normal 5 3 6 2" xfId="395"/>
    <cellStyle name="Normal 5 3 6 3" xfId="396"/>
    <cellStyle name="Normal 5 3 6 4" xfId="397"/>
    <cellStyle name="Normal 5 3 7" xfId="398"/>
    <cellStyle name="Normal 5 3 8" xfId="399"/>
    <cellStyle name="Normal 5 3 9" xfId="400"/>
    <cellStyle name="Normal 5 4" xfId="401"/>
    <cellStyle name="Normal 5 4 2" xfId="402"/>
    <cellStyle name="Normal 5 4 2 2" xfId="403"/>
    <cellStyle name="Normal 5 4 2 2 2" xfId="404"/>
    <cellStyle name="Normal 5 4 2 2 3" xfId="405"/>
    <cellStyle name="Normal 5 4 2 2 4" xfId="406"/>
    <cellStyle name="Normal 5 4 2 2 5" xfId="407"/>
    <cellStyle name="Normal 5 4 2 3" xfId="408"/>
    <cellStyle name="Normal 5 4 2 3 2" xfId="409"/>
    <cellStyle name="Normal 5 4 2 3 3" xfId="410"/>
    <cellStyle name="Normal 5 4 2 3 4" xfId="411"/>
    <cellStyle name="Normal 5 4 2 4" xfId="412"/>
    <cellStyle name="Normal 5 4 2 5" xfId="413"/>
    <cellStyle name="Normal 5 4 2 6" xfId="414"/>
    <cellStyle name="Normal 5 4 3" xfId="415"/>
    <cellStyle name="Normal 5 4 3 2" xfId="416"/>
    <cellStyle name="Normal 5 4 3 3" xfId="417"/>
    <cellStyle name="Normal 5 4 3 4" xfId="418"/>
    <cellStyle name="Normal 5 4 3 5" xfId="419"/>
    <cellStyle name="Normal 5 4 4" xfId="420"/>
    <cellStyle name="Normal 5 4 4 2" xfId="421"/>
    <cellStyle name="Normal 5 4 4 3" xfId="422"/>
    <cellStyle name="Normal 5 4 4 4" xfId="423"/>
    <cellStyle name="Normal 5 4 5" xfId="424"/>
    <cellStyle name="Normal 5 4 6" xfId="425"/>
    <cellStyle name="Normal 5 4 7" xfId="426"/>
    <cellStyle name="Normal 5 5" xfId="427"/>
    <cellStyle name="Normal 5 5 2" xfId="428"/>
    <cellStyle name="Normal 5 5 2 2" xfId="429"/>
    <cellStyle name="Normal 5 5 2 2 2" xfId="430"/>
    <cellStyle name="Normal 5 5 2 2 3" xfId="431"/>
    <cellStyle name="Normal 5 5 2 2 4" xfId="432"/>
    <cellStyle name="Normal 5 5 2 2 5" xfId="433"/>
    <cellStyle name="Normal 5 5 2 3" xfId="434"/>
    <cellStyle name="Normal 5 5 2 3 2" xfId="435"/>
    <cellStyle name="Normal 5 5 2 3 3" xfId="436"/>
    <cellStyle name="Normal 5 5 2 3 4" xfId="437"/>
    <cellStyle name="Normal 5 5 2 4" xfId="438"/>
    <cellStyle name="Normal 5 5 2 5" xfId="439"/>
    <cellStyle name="Normal 5 5 2 6" xfId="440"/>
    <cellStyle name="Normal 5 5 3" xfId="441"/>
    <cellStyle name="Normal 5 5 3 2" xfId="442"/>
    <cellStyle name="Normal 5 5 3 3" xfId="443"/>
    <cellStyle name="Normal 5 5 3 4" xfId="444"/>
    <cellStyle name="Normal 5 5 3 5" xfId="445"/>
    <cellStyle name="Normal 5 5 4" xfId="446"/>
    <cellStyle name="Normal 5 5 4 2" xfId="447"/>
    <cellStyle name="Normal 5 5 4 3" xfId="448"/>
    <cellStyle name="Normal 5 5 4 4" xfId="449"/>
    <cellStyle name="Normal 5 5 5" xfId="450"/>
    <cellStyle name="Normal 5 5 6" xfId="451"/>
    <cellStyle name="Normal 5 5 7" xfId="452"/>
    <cellStyle name="Normal 5 6" xfId="453"/>
    <cellStyle name="Normal 5 6 2" xfId="454"/>
    <cellStyle name="Normal 5 6 2 2" xfId="455"/>
    <cellStyle name="Normal 5 6 2 3" xfId="456"/>
    <cellStyle name="Normal 5 6 2 4" xfId="457"/>
    <cellStyle name="Normal 5 6 2 5" xfId="458"/>
    <cellStyle name="Normal 5 6 3" xfId="459"/>
    <cellStyle name="Normal 5 6 3 2" xfId="460"/>
    <cellStyle name="Normal 5 6 3 3" xfId="461"/>
    <cellStyle name="Normal 5 6 3 4" xfId="462"/>
    <cellStyle name="Normal 5 6 4" xfId="463"/>
    <cellStyle name="Normal 5 6 5" xfId="464"/>
    <cellStyle name="Normal 5 6 6" xfId="465"/>
    <cellStyle name="Normal 5 7" xfId="466"/>
    <cellStyle name="Normal 5 7 2" xfId="467"/>
    <cellStyle name="Normal 5 7 3" xfId="468"/>
    <cellStyle name="Normal 5 7 4" xfId="469"/>
    <cellStyle name="Normal 5 7 5" xfId="470"/>
    <cellStyle name="Normal 5 8" xfId="471"/>
    <cellStyle name="Normal 5 8 2" xfId="472"/>
    <cellStyle name="Normal 5 8 3" xfId="473"/>
    <cellStyle name="Normal 5 8 4" xfId="474"/>
    <cellStyle name="Normal 5 9" xfId="475"/>
    <cellStyle name="Normal 6" xfId="478"/>
    <cellStyle name="Normal_Sheet1" xfId="476"/>
    <cellStyle name="Percent 2" xfId="477"/>
  </cellStyles>
  <dxfs count="21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png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png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png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jpeg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jpeg"/><Relationship Id="rId1" Type="http://schemas.openxmlformats.org/officeDocument/2006/relationships/image" Target="../media/image3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185681</xdr:colOff>
      <xdr:row>170</xdr:row>
      <xdr:rowOff>114300</xdr:rowOff>
    </xdr:from>
    <xdr:to>
      <xdr:col>4</xdr:col>
      <xdr:colOff>606031</xdr:colOff>
      <xdr:row>179</xdr:row>
      <xdr:rowOff>76536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206" y="20545425"/>
          <a:ext cx="1715750" cy="16767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170442</xdr:colOff>
      <xdr:row>169</xdr:row>
      <xdr:rowOff>28575</xdr:rowOff>
    </xdr:from>
    <xdr:to>
      <xdr:col>5</xdr:col>
      <xdr:colOff>453641</xdr:colOff>
      <xdr:row>178</xdr:row>
      <xdr:rowOff>125507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967" y="20269200"/>
          <a:ext cx="2331074" cy="18114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165</xdr:row>
      <xdr:rowOff>180975</xdr:rowOff>
    </xdr:from>
    <xdr:to>
      <xdr:col>3</xdr:col>
      <xdr:colOff>137458</xdr:colOff>
      <xdr:row>175</xdr:row>
      <xdr:rowOff>50881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659600"/>
          <a:ext cx="1842433" cy="1774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527957</xdr:colOff>
      <xdr:row>170</xdr:row>
      <xdr:rowOff>133350</xdr:rowOff>
    </xdr:from>
    <xdr:to>
      <xdr:col>8</xdr:col>
      <xdr:colOff>530678</xdr:colOff>
      <xdr:row>180</xdr:row>
      <xdr:rowOff>27393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9357" y="20564475"/>
          <a:ext cx="1764846" cy="1799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304800</xdr:colOff>
      <xdr:row>171</xdr:row>
      <xdr:rowOff>85725</xdr:rowOff>
    </xdr:from>
    <xdr:to>
      <xdr:col>4</xdr:col>
      <xdr:colOff>30175</xdr:colOff>
      <xdr:row>174</xdr:row>
      <xdr:rowOff>123826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0707350"/>
          <a:ext cx="1963750" cy="609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323850</xdr:colOff>
      <xdr:row>175</xdr:row>
      <xdr:rowOff>0</xdr:rowOff>
    </xdr:from>
    <xdr:to>
      <xdr:col>8</xdr:col>
      <xdr:colOff>561975</xdr:colOff>
      <xdr:row>178</xdr:row>
      <xdr:rowOff>19051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0" y="21383625"/>
          <a:ext cx="20002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180974</xdr:colOff>
      <xdr:row>179</xdr:row>
      <xdr:rowOff>114300</xdr:rowOff>
    </xdr:from>
    <xdr:to>
      <xdr:col>3</xdr:col>
      <xdr:colOff>122703</xdr:colOff>
      <xdr:row>190</xdr:row>
      <xdr:rowOff>123352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4" y="22259925"/>
          <a:ext cx="2065804" cy="2104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371476</xdr:colOff>
      <xdr:row>172</xdr:row>
      <xdr:rowOff>171450</xdr:rowOff>
    </xdr:from>
    <xdr:to>
      <xdr:col>9</xdr:col>
      <xdr:colOff>39733</xdr:colOff>
      <xdr:row>184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6" y="20983575"/>
          <a:ext cx="2030457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314326</xdr:colOff>
      <xdr:row>178</xdr:row>
      <xdr:rowOff>180975</xdr:rowOff>
    </xdr:from>
    <xdr:to>
      <xdr:col>4</xdr:col>
      <xdr:colOff>125425</xdr:colOff>
      <xdr:row>190</xdr:row>
      <xdr:rowOff>70755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6" y="22136100"/>
          <a:ext cx="2049474" cy="217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542925</xdr:colOff>
      <xdr:row>170</xdr:row>
      <xdr:rowOff>95250</xdr:rowOff>
    </xdr:from>
    <xdr:to>
      <xdr:col>9</xdr:col>
      <xdr:colOff>326844</xdr:colOff>
      <xdr:row>181</xdr:row>
      <xdr:rowOff>77014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20526375"/>
          <a:ext cx="2146119" cy="20772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361950</xdr:colOff>
      <xdr:row>174</xdr:row>
      <xdr:rowOff>76200</xdr:rowOff>
    </xdr:from>
    <xdr:ext cx="1971675" cy="609600"/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21269325"/>
          <a:ext cx="197167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695325</xdr:colOff>
      <xdr:row>176</xdr:row>
      <xdr:rowOff>142875</xdr:rowOff>
    </xdr:from>
    <xdr:ext cx="2009775" cy="590550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21717000"/>
          <a:ext cx="2009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95251</xdr:colOff>
      <xdr:row>181</xdr:row>
      <xdr:rowOff>114300</xdr:rowOff>
    </xdr:from>
    <xdr:to>
      <xdr:col>2</xdr:col>
      <xdr:colOff>190383</xdr:colOff>
      <xdr:row>190</xdr:row>
      <xdr:rowOff>114303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22640925"/>
          <a:ext cx="1628657" cy="1714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619125</xdr:colOff>
      <xdr:row>170</xdr:row>
      <xdr:rowOff>28575</xdr:rowOff>
    </xdr:from>
    <xdr:to>
      <xdr:col>7</xdr:col>
      <xdr:colOff>559844</xdr:colOff>
      <xdr:row>180</xdr:row>
      <xdr:rowOff>1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8050" y="20459700"/>
          <a:ext cx="1712369" cy="1876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161925</xdr:rowOff>
    </xdr:from>
    <xdr:to>
      <xdr:col>2</xdr:col>
      <xdr:colOff>377190</xdr:colOff>
      <xdr:row>188</xdr:row>
      <xdr:rowOff>66844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26550"/>
          <a:ext cx="1910715" cy="2000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169</xdr:row>
      <xdr:rowOff>95250</xdr:rowOff>
    </xdr:from>
    <xdr:to>
      <xdr:col>8</xdr:col>
      <xdr:colOff>196216</xdr:colOff>
      <xdr:row>180</xdr:row>
      <xdr:rowOff>47629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0" y="20335875"/>
          <a:ext cx="1863091" cy="2047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28576</xdr:colOff>
      <xdr:row>176</xdr:row>
      <xdr:rowOff>104775</xdr:rowOff>
    </xdr:from>
    <xdr:to>
      <xdr:col>2</xdr:col>
      <xdr:colOff>328057</xdr:colOff>
      <xdr:row>186</xdr:row>
      <xdr:rowOff>114298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21678900"/>
          <a:ext cx="1833006" cy="1914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514350</xdr:colOff>
      <xdr:row>171</xdr:row>
      <xdr:rowOff>152400</xdr:rowOff>
    </xdr:from>
    <xdr:to>
      <xdr:col>8</xdr:col>
      <xdr:colOff>129541</xdr:colOff>
      <xdr:row>182</xdr:row>
      <xdr:rowOff>114298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20774025"/>
          <a:ext cx="2129791" cy="2057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10</xdr:col>
      <xdr:colOff>352425</xdr:colOff>
      <xdr:row>108</xdr:row>
      <xdr:rowOff>151310</xdr:rowOff>
    </xdr:to>
    <xdr:pic>
      <xdr:nvPicPr>
        <xdr:cNvPr id="21" name="BLOCK" hidden="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1011"/>
          <a:ext cx="7019925" cy="2437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171450</xdr:rowOff>
    </xdr:from>
    <xdr:to>
      <xdr:col>2</xdr:col>
      <xdr:colOff>190052</xdr:colOff>
      <xdr:row>190</xdr:row>
      <xdr:rowOff>121743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07575"/>
          <a:ext cx="1723577" cy="1855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318919</xdr:colOff>
      <xdr:row>168</xdr:row>
      <xdr:rowOff>133350</xdr:rowOff>
    </xdr:from>
    <xdr:to>
      <xdr:col>8</xdr:col>
      <xdr:colOff>308610</xdr:colOff>
      <xdr:row>178</xdr:row>
      <xdr:rowOff>75082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0319" y="20183475"/>
          <a:ext cx="1751816" cy="1846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789216</xdr:colOff>
      <xdr:row>175</xdr:row>
      <xdr:rowOff>19050</xdr:rowOff>
    </xdr:from>
    <xdr:to>
      <xdr:col>9</xdr:col>
      <xdr:colOff>413658</xdr:colOff>
      <xdr:row>186</xdr:row>
      <xdr:rowOff>20954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0616" y="21402675"/>
          <a:ext cx="1986642" cy="2097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107498</xdr:colOff>
      <xdr:row>181</xdr:row>
      <xdr:rowOff>76200</xdr:rowOff>
    </xdr:from>
    <xdr:to>
      <xdr:col>3</xdr:col>
      <xdr:colOff>511869</xdr:colOff>
      <xdr:row>192</xdr:row>
      <xdr:rowOff>42412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048" y="22602825"/>
          <a:ext cx="1937896" cy="2061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327146</xdr:colOff>
      <xdr:row>172</xdr:row>
      <xdr:rowOff>161925</xdr:rowOff>
    </xdr:from>
    <xdr:ext cx="1206379" cy="464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9" name="TextBox 378"/>
            <xdr:cNvSpPr txBox="1"/>
          </xdr:nvSpPr>
          <xdr:spPr>
            <a:xfrm>
              <a:off x="327146" y="20402550"/>
              <a:ext cx="1206379" cy="464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IN" sz="1200" b="0" i="0">
                        <a:latin typeface="Cambria Math"/>
                      </a:rPr>
                      <m:t>N</m:t>
                    </m:r>
                    <m:r>
                      <m:rPr>
                        <m:sty m:val="p"/>
                      </m:rPr>
                      <a:rPr lang="en-IN" sz="1200" b="0" i="0" baseline="-25000">
                        <a:latin typeface="Cambria Math"/>
                      </a:rPr>
                      <m:t>b</m:t>
                    </m:r>
                    <m:r>
                      <a:rPr lang="en-IN" sz="1200" b="0" i="0"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IN" sz="1200" b="0" i="1">
                            <a:latin typeface="Cambria Math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n-IN" sz="1200" b="0" i="0">
                            <a:latin typeface="Cambria Math"/>
                            <a:ea typeface="Cambria Math"/>
                          </a:rPr>
                          <m:t>π</m:t>
                        </m:r>
                        <m:r>
                          <a:rPr lang="en-IN" sz="1200" b="0" i="0" baseline="30000">
                            <a:latin typeface="Cambria Math"/>
                            <a:ea typeface="Cambria Math"/>
                          </a:rPr>
                          <m:t>2</m:t>
                        </m:r>
                        <m:sSub>
                          <m:sSubPr>
                            <m:ctrlPr>
                              <a:rPr lang="en-IN" sz="12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IN" sz="1200" b="0" i="1">
                                <a:latin typeface="Cambria Math"/>
                                <a:ea typeface="Cambria Math"/>
                              </a:rPr>
                              <m:t>𝐸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IN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cm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en-IN" sz="1200" b="0" i="0">
                            <a:latin typeface="Cambria Math"/>
                            <a:ea typeface="Cambria Math"/>
                          </a:rPr>
                          <m:t>I</m:t>
                        </m:r>
                        <m:r>
                          <m:rPr>
                            <m:sty m:val="p"/>
                          </m:rPr>
                          <a:rPr lang="en-IN" sz="1200" b="0" i="0" baseline="-25000">
                            <a:latin typeface="Cambria Math"/>
                            <a:ea typeface="Cambria Math"/>
                          </a:rPr>
                          <m:t>z</m:t>
                        </m:r>
                      </m:num>
                      <m:den>
                        <m:d>
                          <m:dPr>
                            <m:ctrlPr>
                              <a:rPr lang="en-IN" sz="12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n-IN" sz="1200" b="0" i="0">
                                <a:latin typeface="Cambria Math"/>
                              </a:rPr>
                              <m:t>kl</m:t>
                            </m:r>
                            <m:r>
                              <m:rPr>
                                <m:sty m:val="p"/>
                              </m:rPr>
                              <a:rPr lang="en-IN" sz="1200" b="0" i="0" baseline="-25000">
                                <a:latin typeface="Cambria Math"/>
                              </a:rPr>
                              <m:t>u</m:t>
                            </m:r>
                          </m:e>
                        </m:d>
                        <m:r>
                          <a:rPr lang="en-IN" sz="1200" b="0" i="0" baseline="30000">
                            <a:latin typeface="Cambria Math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IN" sz="1200" i="0"/>
            </a:p>
          </xdr:txBody>
        </xdr:sp>
      </mc:Choice>
      <mc:Fallback xmlns="">
        <xdr:sp macro="" textlink="">
          <xdr:nvSpPr>
            <xdr:cNvPr id="379" name="TextBox 378"/>
            <xdr:cNvSpPr txBox="1"/>
          </xdr:nvSpPr>
          <xdr:spPr>
            <a:xfrm>
              <a:off x="327146" y="20402550"/>
              <a:ext cx="1206379" cy="464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IN" sz="1200" b="0" i="0">
                  <a:latin typeface="Cambria Math"/>
                </a:rPr>
                <a:t>N</a:t>
              </a:r>
              <a:r>
                <a:rPr lang="en-IN" sz="1200" b="0" i="0" baseline="-25000">
                  <a:latin typeface="Cambria Math"/>
                </a:rPr>
                <a:t>b</a:t>
              </a:r>
              <a:r>
                <a:rPr lang="en-IN" sz="1200" b="0" i="0">
                  <a:latin typeface="Cambria Math"/>
                </a:rPr>
                <a:t>= </a:t>
              </a:r>
              <a:r>
                <a:rPr lang="en-IN" sz="1200" b="0" i="0">
                  <a:latin typeface="Cambria Math"/>
                  <a:ea typeface="Cambria Math"/>
                </a:rPr>
                <a:t> (π</a:t>
              </a:r>
              <a:r>
                <a:rPr lang="en-IN" sz="1200" b="0" i="0" baseline="30000">
                  <a:latin typeface="Cambria Math"/>
                  <a:ea typeface="Cambria Math"/>
                </a:rPr>
                <a:t>2</a:t>
              </a:r>
              <a:r>
                <a:rPr lang="en-IN" sz="1200" b="0" i="0">
                  <a:latin typeface="Cambria Math"/>
                  <a:ea typeface="Cambria Math"/>
                </a:rPr>
                <a:t>𝐸_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cm</a:t>
              </a:r>
              <a:r>
                <a:rPr lang="en-IN" sz="1200" b="0" i="0">
                  <a:solidFill>
                    <a:schemeClr val="tx1"/>
                  </a:solidFill>
                  <a:effectLst/>
                  <a:latin typeface="Cambria Math"/>
                  <a:ea typeface="Cambria Math"/>
                  <a:cs typeface="+mn-cs"/>
                </a:rPr>
                <a:t> </a:t>
              </a:r>
              <a:r>
                <a:rPr lang="en-IN" sz="1200" b="0" i="0">
                  <a:latin typeface="Cambria Math"/>
                  <a:ea typeface="Cambria Math"/>
                </a:rPr>
                <a:t>I</a:t>
              </a:r>
              <a:r>
                <a:rPr lang="en-IN" sz="1200" b="0" i="0" baseline="-25000">
                  <a:latin typeface="Cambria Math"/>
                  <a:ea typeface="Cambria Math"/>
                </a:rPr>
                <a:t>z)/(</a:t>
              </a:r>
              <a:r>
                <a:rPr lang="en-IN" sz="1200" b="0" i="0">
                  <a:latin typeface="Cambria Math"/>
                </a:rPr>
                <a:t>kl</a:t>
              </a:r>
              <a:r>
                <a:rPr lang="en-IN" sz="1200" b="0" i="0" baseline="-25000">
                  <a:latin typeface="Cambria Math"/>
                </a:rPr>
                <a:t>u)</a:t>
              </a:r>
              <a:r>
                <a:rPr lang="en-IN" sz="1200" b="0" i="0" baseline="30000">
                  <a:latin typeface="Cambria Math"/>
                </a:rPr>
                <a:t>2</a:t>
              </a:r>
              <a:endParaRPr lang="en-IN" sz="1200" i="0"/>
            </a:p>
          </xdr:txBody>
        </xdr:sp>
      </mc:Fallback>
    </mc:AlternateContent>
    <xdr:clientData/>
  </xdr:oneCellAnchor>
  <xdr:oneCellAnchor>
    <xdr:from>
      <xdr:col>3</xdr:col>
      <xdr:colOff>165444</xdr:colOff>
      <xdr:row>166</xdr:row>
      <xdr:rowOff>38100</xdr:rowOff>
    </xdr:from>
    <xdr:ext cx="1919288" cy="712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0" name="TextBox 379"/>
            <xdr:cNvSpPr txBox="1"/>
          </xdr:nvSpPr>
          <xdr:spPr>
            <a:xfrm>
              <a:off x="2289519" y="19135725"/>
              <a:ext cx="1919288" cy="712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IN" sz="1200" i="0">
                        <a:latin typeface="Cambria Math"/>
                        <a:ea typeface="Cambria Math"/>
                      </a:rPr>
                      <m:t>δ</m:t>
                    </m:r>
                    <m:r>
                      <m:rPr>
                        <m:sty m:val="p"/>
                      </m:rPr>
                      <a:rPr lang="en-IN" sz="1200" b="0" i="0">
                        <a:latin typeface="Cambria Math"/>
                        <a:ea typeface="Cambria Math"/>
                      </a:rPr>
                      <m:t>sz</m:t>
                    </m:r>
                    <m:r>
                      <a:rPr lang="en-IN" sz="1200" b="0" i="0">
                        <a:latin typeface="Cambria Math"/>
                        <a:ea typeface="Cambria Math"/>
                      </a:rPr>
                      <m:t>=</m:t>
                    </m:r>
                    <m:f>
                      <m:fPr>
                        <m:ctrlPr>
                          <a:rPr lang="en-IN" sz="12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IN" sz="1200" b="0" i="0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IN" sz="1200" b="0" i="0">
                            <a:latin typeface="Cambria Math"/>
                            <a:ea typeface="Cambria Math"/>
                          </a:rPr>
                          <m:t>1−</m:t>
                        </m:r>
                        <m:f>
                          <m:fPr>
                            <m:ctrlPr>
                              <a:rPr lang="en-IN" sz="1200" b="0" i="1"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  <m:t>𝑢𝑝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en-IN" sz="1200" b="0" i="1">
                                    <a:latin typeface="Cambria Math"/>
                                    <a:ea typeface="Cambria Math"/>
                                  </a:rPr>
                                  <m:t>𝑏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en-IN" sz="1200" i="0"/>
            </a:p>
          </xdr:txBody>
        </xdr:sp>
      </mc:Choice>
      <mc:Fallback xmlns="">
        <xdr:sp macro="" textlink="">
          <xdr:nvSpPr>
            <xdr:cNvPr id="380" name="TextBox 379"/>
            <xdr:cNvSpPr txBox="1"/>
          </xdr:nvSpPr>
          <xdr:spPr>
            <a:xfrm>
              <a:off x="2289519" y="19135725"/>
              <a:ext cx="1919288" cy="712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200" i="0">
                  <a:latin typeface="Cambria Math"/>
                  <a:ea typeface="Cambria Math"/>
                </a:rPr>
                <a:t>δ</a:t>
              </a:r>
              <a:r>
                <a:rPr lang="en-IN" sz="1200" b="0" i="0">
                  <a:latin typeface="Cambria Math"/>
                  <a:ea typeface="Cambria Math"/>
                </a:rPr>
                <a:t>sz=1/(1−𝑃_𝑢𝑝/𝑁_𝑏 )</a:t>
              </a:r>
              <a:endParaRPr lang="en-IN" sz="1200" i="0"/>
            </a:p>
          </xdr:txBody>
        </xdr:sp>
      </mc:Fallback>
    </mc:AlternateContent>
    <xdr:clientData/>
  </xdr:oneCellAnchor>
  <xdr:twoCellAnchor editAs="oneCell">
    <xdr:from>
      <xdr:col>2</xdr:col>
      <xdr:colOff>152400</xdr:colOff>
      <xdr:row>96</xdr:row>
      <xdr:rowOff>0</xdr:rowOff>
    </xdr:from>
    <xdr:to>
      <xdr:col>7</xdr:col>
      <xdr:colOff>611055</xdr:colOff>
      <xdr:row>112</xdr:row>
      <xdr:rowOff>37714</xdr:rowOff>
    </xdr:to>
    <xdr:pic>
      <xdr:nvPicPr>
        <xdr:cNvPr id="504" name="BLOCK_RE" hidden="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85925" y="140027025"/>
          <a:ext cx="3525705" cy="30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170</xdr:row>
      <xdr:rowOff>171450</xdr:rowOff>
    </xdr:from>
    <xdr:to>
      <xdr:col>7</xdr:col>
      <xdr:colOff>342357</xdr:colOff>
      <xdr:row>173</xdr:row>
      <xdr:rowOff>85664</xdr:rowOff>
    </xdr:to>
    <xdr:pic>
      <xdr:nvPicPr>
        <xdr:cNvPr id="514" name="Picture 51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0075" y="20602575"/>
          <a:ext cx="4342857" cy="4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170</xdr:row>
      <xdr:rowOff>114300</xdr:rowOff>
    </xdr:from>
    <xdr:to>
      <xdr:col>7</xdr:col>
      <xdr:colOff>295275</xdr:colOff>
      <xdr:row>183</xdr:row>
      <xdr:rowOff>44694</xdr:rowOff>
    </xdr:to>
    <xdr:pic>
      <xdr:nvPicPr>
        <xdr:cNvPr id="515" name="Picture 51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0545425"/>
          <a:ext cx="2495550" cy="2406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581025</xdr:colOff>
      <xdr:row>165</xdr:row>
      <xdr:rowOff>85725</xdr:rowOff>
    </xdr:from>
    <xdr:to>
      <xdr:col>7</xdr:col>
      <xdr:colOff>200025</xdr:colOff>
      <xdr:row>178</xdr:row>
      <xdr:rowOff>142875</xdr:rowOff>
    </xdr:to>
    <xdr:pic>
      <xdr:nvPicPr>
        <xdr:cNvPr id="516" name="Picture 515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19564350"/>
          <a:ext cx="268605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176</xdr:row>
      <xdr:rowOff>123825</xdr:rowOff>
    </xdr:from>
    <xdr:to>
      <xdr:col>2</xdr:col>
      <xdr:colOff>371475</xdr:colOff>
      <xdr:row>186</xdr:row>
      <xdr:rowOff>100504</xdr:rowOff>
    </xdr:to>
    <xdr:pic>
      <xdr:nvPicPr>
        <xdr:cNvPr id="517" name="Picture 51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95251" y="21697950"/>
          <a:ext cx="1809749" cy="18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179</xdr:row>
      <xdr:rowOff>57150</xdr:rowOff>
    </xdr:from>
    <xdr:to>
      <xdr:col>2</xdr:col>
      <xdr:colOff>581025</xdr:colOff>
      <xdr:row>190</xdr:row>
      <xdr:rowOff>9261</xdr:rowOff>
    </xdr:to>
    <xdr:pic>
      <xdr:nvPicPr>
        <xdr:cNvPr id="518" name="Picture 51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5725" y="22202775"/>
          <a:ext cx="2028825" cy="204761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170</xdr:row>
      <xdr:rowOff>123825</xdr:rowOff>
    </xdr:from>
    <xdr:to>
      <xdr:col>5</xdr:col>
      <xdr:colOff>485775</xdr:colOff>
      <xdr:row>181</xdr:row>
      <xdr:rowOff>37726</xdr:rowOff>
    </xdr:to>
    <xdr:pic>
      <xdr:nvPicPr>
        <xdr:cNvPr id="519" name="Picture 518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133600" y="20554950"/>
          <a:ext cx="1933575" cy="2009401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181</xdr:row>
      <xdr:rowOff>171450</xdr:rowOff>
    </xdr:from>
    <xdr:to>
      <xdr:col>2</xdr:col>
      <xdr:colOff>495300</xdr:colOff>
      <xdr:row>192</xdr:row>
      <xdr:rowOff>73302</xdr:rowOff>
    </xdr:to>
    <xdr:pic>
      <xdr:nvPicPr>
        <xdr:cNvPr id="520" name="Picture 51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95275" y="22698075"/>
          <a:ext cx="1733550" cy="1997352"/>
        </a:xfrm>
        <a:prstGeom prst="rect">
          <a:avLst/>
        </a:prstGeom>
      </xdr:spPr>
    </xdr:pic>
    <xdr:clientData/>
  </xdr:twoCellAnchor>
  <xdr:twoCellAnchor editAs="oneCell">
    <xdr:from>
      <xdr:col>5</xdr:col>
      <xdr:colOff>695325</xdr:colOff>
      <xdr:row>171</xdr:row>
      <xdr:rowOff>57150</xdr:rowOff>
    </xdr:from>
    <xdr:to>
      <xdr:col>9</xdr:col>
      <xdr:colOff>456935</xdr:colOff>
      <xdr:row>184</xdr:row>
      <xdr:rowOff>94936</xdr:rowOff>
    </xdr:to>
    <xdr:pic>
      <xdr:nvPicPr>
        <xdr:cNvPr id="521" name="Picture 52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76725" y="20678775"/>
          <a:ext cx="2123810" cy="2514286"/>
        </a:xfrm>
        <a:prstGeom prst="rect">
          <a:avLst/>
        </a:prstGeom>
      </xdr:spPr>
    </xdr:pic>
    <xdr:clientData/>
  </xdr:twoCellAnchor>
  <xdr:twoCellAnchor>
    <xdr:from>
      <xdr:col>0</xdr:col>
      <xdr:colOff>57151</xdr:colOff>
      <xdr:row>0</xdr:row>
      <xdr:rowOff>0</xdr:rowOff>
    </xdr:from>
    <xdr:to>
      <xdr:col>1</xdr:col>
      <xdr:colOff>57151</xdr:colOff>
      <xdr:row>1</xdr:row>
      <xdr:rowOff>189465</xdr:rowOff>
    </xdr:to>
    <xdr:pic>
      <xdr:nvPicPr>
        <xdr:cNvPr id="523" name="Grafik 10" descr="tk_Primary_Logo_RGB_black_300dpi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34" t="18079" r="16234" b="18079"/>
        <a:stretch>
          <a:fillRect/>
        </a:stretch>
      </xdr:blipFill>
      <xdr:spPr bwMode="auto">
        <a:xfrm>
          <a:off x="57151" y="0"/>
          <a:ext cx="590550" cy="494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0</xdr:row>
      <xdr:rowOff>57150</xdr:rowOff>
    </xdr:from>
    <xdr:to>
      <xdr:col>10</xdr:col>
      <xdr:colOff>361950</xdr:colOff>
      <xdr:row>1</xdr:row>
      <xdr:rowOff>161925</xdr:rowOff>
    </xdr:to>
    <xdr:pic>
      <xdr:nvPicPr>
        <xdr:cNvPr id="524" name="Picture 3" descr="\\AU\AU-Proposals\2014\11-90-24403_Brunei\ADA\ACAD\LASCL\DRG\Overall Plot Plan\10_Plot_Plan\BFI_Full Colour Logo_Large.jpg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57150"/>
          <a:ext cx="14192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0</xdr:colOff>
      <xdr:row>67</xdr:row>
      <xdr:rowOff>0</xdr:rowOff>
    </xdr:from>
    <xdr:to>
      <xdr:col>32</xdr:col>
      <xdr:colOff>371475</xdr:colOff>
      <xdr:row>81</xdr:row>
      <xdr:rowOff>100779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34350" y="13192125"/>
          <a:ext cx="4514850" cy="23867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0</xdr:rowOff>
    </xdr:from>
    <xdr:to>
      <xdr:col>1</xdr:col>
      <xdr:colOff>57151</xdr:colOff>
      <xdr:row>1</xdr:row>
      <xdr:rowOff>189465</xdr:rowOff>
    </xdr:to>
    <xdr:pic>
      <xdr:nvPicPr>
        <xdr:cNvPr id="3" name="Grafik 10" descr="tk_Primary_Logo_RGB_black_300dpi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234" t="18079" r="16234" b="18079"/>
        <a:stretch>
          <a:fillRect/>
        </a:stretch>
      </xdr:blipFill>
      <xdr:spPr bwMode="auto">
        <a:xfrm>
          <a:off x="57151" y="0"/>
          <a:ext cx="590550" cy="494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266700</xdr:colOff>
      <xdr:row>0</xdr:row>
      <xdr:rowOff>57150</xdr:rowOff>
    </xdr:from>
    <xdr:to>
      <xdr:col>10</xdr:col>
      <xdr:colOff>361950</xdr:colOff>
      <xdr:row>1</xdr:row>
      <xdr:rowOff>161925</xdr:rowOff>
    </xdr:to>
    <xdr:pic>
      <xdr:nvPicPr>
        <xdr:cNvPr id="4" name="Picture 3" descr="\\AU\AU-Proposals\2014\11-90-24403_Brunei\ADA\ACAD\LASCL\DRG\Overall Plot Plan\10_Plot_Plan\BFI_Full Colour Logo_Large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57150"/>
          <a:ext cx="141922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819149</xdr:colOff>
      <xdr:row>30</xdr:row>
      <xdr:rowOff>161924</xdr:rowOff>
    </xdr:from>
    <xdr:ext cx="2027145" cy="678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401855" y="6033806"/>
              <a:ext cx="2027145" cy="678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600" i="1">
                            <a:latin typeface="Cambria Math"/>
                          </a:rPr>
                        </m:ctrlPr>
                      </m:fPr>
                      <m:num>
                        <m:r>
                          <a:rPr lang="en-IN" sz="1600" b="0" i="1">
                            <a:latin typeface="Cambria Math"/>
                          </a:rPr>
                          <m:t>𝑥</m:t>
                        </m:r>
                      </m:num>
                      <m:den>
                        <m:r>
                          <a:rPr lang="en-IN" sz="1600" b="0" i="1">
                            <a:latin typeface="Cambria Math"/>
                          </a:rPr>
                          <m:t>𝑑</m:t>
                        </m:r>
                      </m:den>
                    </m:f>
                    <m:r>
                      <a:rPr lang="en-IN" sz="16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IN" sz="1600" b="0" i="1">
                            <a:latin typeface="Cambria Math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600" b="0" i="1">
                            <a:latin typeface="Cambria Math"/>
                          </a:rPr>
                          <m:t>ϵ</m:t>
                        </m:r>
                        <m:r>
                          <a:rPr lang="en-IN" sz="1600" b="0" i="1" baseline="-25000">
                            <a:latin typeface="Cambria Math"/>
                          </a:rPr>
                          <m:t>𝑐𝑢</m:t>
                        </m:r>
                        <m:r>
                          <a:rPr lang="en-IN" sz="1600" b="0" i="1" baseline="-25000">
                            <a:latin typeface="Cambria Math"/>
                          </a:rPr>
                          <m:t>3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ϵ</m:t>
                        </m:r>
                        <m:r>
                          <a:rPr lang="en-IN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𝑐𝑢</m:t>
                        </m:r>
                        <m:r>
                          <a:rPr lang="en-IN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3+</m:t>
                        </m:r>
                        <m:r>
                          <m:rPr>
                            <m:sty m:val="p"/>
                          </m:rPr>
                          <a:rPr lang="el-GR" sz="16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ϵ</m:t>
                        </m:r>
                        <m:r>
                          <a:rPr lang="en-IN" sz="1600" b="0" i="1" baseline="-250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𝑠</m:t>
                        </m:r>
                      </m:den>
                    </m:f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01855" y="6033806"/>
              <a:ext cx="2027145" cy="678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600" b="0" i="0">
                  <a:latin typeface="Cambria Math"/>
                </a:rPr>
                <a:t>𝑥/𝑑=</a:t>
              </a:r>
              <a:r>
                <a:rPr lang="el-GR" sz="1600" b="0" i="0">
                  <a:latin typeface="Cambria Math"/>
                </a:rPr>
                <a:t>ϵ</a:t>
              </a:r>
              <a:r>
                <a:rPr lang="en-IN" sz="1600" b="0" i="0" baseline="-25000">
                  <a:latin typeface="Cambria Math"/>
                </a:rPr>
                <a:t>𝑐𝑢3/(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ϵ</a:t>
              </a:r>
              <a:r>
                <a:rPr lang="en-IN" sz="16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𝑐𝑢3+</a:t>
              </a:r>
              <a:r>
                <a:rPr lang="el-GR" sz="16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ϵ</a:t>
              </a:r>
              <a:r>
                <a:rPr lang="en-IN" sz="16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𝑠)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</xdr:col>
      <xdr:colOff>957261</xdr:colOff>
      <xdr:row>37</xdr:row>
      <xdr:rowOff>19050</xdr:rowOff>
    </xdr:from>
    <xdr:ext cx="2319339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538286" y="760095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l-GR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𝜖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=0.002+</m:t>
                    </m:r>
                    <m:f>
                      <m:fPr>
                        <m:ctrlPr>
                          <a:rPr lang="en-IN" sz="140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𝑦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  <m:t>𝑘</m:t>
                            </m:r>
                          </m:sub>
                        </m:sSub>
                      </m:num>
                      <m:den>
                        <m:r>
                          <a:rPr lang="el-G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l-GR" sz="140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l-GR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ϒ</m:t>
                            </m:r>
                          </m:e>
                          <m:sub>
                            <m:r>
                              <a:rPr lang="en-IN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IN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IN" sz="140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en-IN" sz="14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𝑠</m:t>
                            </m:r>
                          </m:sub>
                        </m:sSub>
                        <m:r>
                          <a:rPr lang="en-IN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538286" y="760095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𝜖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=0.002+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𝑘/(</a:t>
              </a:r>
              <a:r>
                <a:rPr lang="el-G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ϒ</a:t>
              </a:r>
              <a:r>
                <a:rPr lang="el-GR" sz="140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𝐸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IN" sz="1400" i="0">
                  <a:latin typeface="Cambria Math"/>
                  <a:ea typeface="Cambria Math" panose="02040503050406030204" pitchFamily="18" charset="0"/>
                </a:rPr>
                <a:t>)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42</xdr:row>
      <xdr:rowOff>133350</xdr:rowOff>
    </xdr:from>
    <xdr:ext cx="1490663" cy="4731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723900" y="8667750"/>
              <a:ext cx="1490663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4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z</m:t>
                    </m:r>
                    <m:r>
                      <m:rPr>
                        <m:nor/>
                      </m:rPr>
                      <a:rPr lang="en-IN" sz="14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</m:t>
                    </m:r>
                    <m:r>
                      <m:rPr>
                        <m:nor/>
                      </m:rPr>
                      <a:rPr lang="en-IN" sz="14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m:rPr>
                        <m:nor/>
                      </m:rPr>
                      <a:rPr lang="en-IN" sz="1400" b="0" i="0" u="none" strike="noStrike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f>
                      <m:fPr>
                        <m:ctrlPr>
                          <a:rPr lang="en-IN" sz="14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𝜆</m:t>
                        </m:r>
                        <m:r>
                          <a:rPr lang="en-IN" sz="14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𝑥</m:t>
                        </m:r>
                      </m:num>
                      <m:den>
                        <m:r>
                          <a:rPr lang="en-IN" sz="14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m:rPr>
                        <m:nor/>
                      </m:rPr>
                      <a:rPr lang="en-IN" sz="14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723900" y="8667750"/>
              <a:ext cx="1490663" cy="4731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"z = d−</a:t>
              </a:r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𝜆</a:t>
              </a:r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𝑥</a:t>
              </a:r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 "</a:t>
              </a:r>
              <a:r>
                <a:rPr lang="en-IN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 "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19050</xdr:colOff>
      <xdr:row>98</xdr:row>
      <xdr:rowOff>152400</xdr:rowOff>
    </xdr:from>
    <xdr:ext cx="4476750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00075" y="20297775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𝑀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𝑏𝑎𝑙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𝑏</m:t>
                    </m:r>
                    <m:sSup>
                      <m:sSupPr>
                        <m:ctrlPr>
                          <a:rPr lang="en-IN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e>
                      <m:sup>
                        <m:r>
                          <a:rPr lang="en-IN" sz="1400" b="0" i="1">
                            <a:latin typeface="Cambria Math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IN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IN" sz="1400" b="0" i="1">
                            <a:latin typeface="Cambria Math"/>
                          </a:rPr>
                          <m:t>1−</m:t>
                        </m:r>
                        <m:f>
                          <m:fPr>
                            <m:ctrlPr>
                              <a:rPr lang="en-IN" sz="1400" b="0" i="1">
                                <a:latin typeface="Cambria Math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IN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en-IN" sz="1400" b="0" i="1">
                                    <a:latin typeface="Cambria Math"/>
                                  </a:rPr>
                                  <m:t>𝑧</m:t>
                                </m:r>
                              </m:e>
                              <m:sub>
                                <m:r>
                                  <a:rPr lang="en-IN" sz="1400" b="0" i="1">
                                    <a:latin typeface="Cambria Math"/>
                                  </a:rPr>
                                  <m:t>𝑏𝑎𝑙</m:t>
                                </m:r>
                              </m:sub>
                            </m:sSub>
                          </m:num>
                          <m:den>
                            <m:r>
                              <a:rPr lang="en-IN" sz="1400" b="0" i="1">
                                <a:latin typeface="Cambria Math"/>
                              </a:rPr>
                              <m:t>𝑑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en-IN" sz="14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/>
                              </a:rPr>
                              <m:t>𝑧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/>
                              </a:rPr>
                              <m:t>𝑏𝑎𝑙</m:t>
                            </m:r>
                          </m:sub>
                        </m:sSub>
                      </m:num>
                      <m:den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den>
                    </m:f>
                    <m:r>
                      <a:rPr lang="en-IN" sz="1400" b="0" i="1">
                        <a:latin typeface="Cambria Math"/>
                      </a:rPr>
                      <m:t>∗2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00075" y="20297775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𝑀_𝑏𝑎𝑙=𝑓_𝑐𝑑 𝑏𝑑^2 (1−𝑧_𝑏𝑎𝑙/𝑑)  𝑧_𝑏𝑎𝑙/𝑑∗2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1</xdr:col>
      <xdr:colOff>9525</xdr:colOff>
      <xdr:row>102</xdr:row>
      <xdr:rowOff>9526</xdr:rowOff>
    </xdr:from>
    <xdr:ext cx="44767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90550" y="18973801"/>
              <a:ext cx="4476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𝑏𝑎𝑙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𝑏𝑎𝑙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/</m:t>
                    </m:r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𝑏</m:t>
                    </m:r>
                    <m:sSup>
                      <m:sSupPr>
                        <m:ctrlPr>
                          <a:rPr lang="en-IN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e>
                      <m:sup>
                        <m:r>
                          <a:rPr lang="en-IN" sz="1400" b="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90550" y="18973801"/>
              <a:ext cx="44767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𝐾_𝑏𝑎𝑙=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𝑀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𝑏𝑎𝑙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>
                  <a:latin typeface="Cambria Math"/>
                </a:rPr>
                <a:t>𝑓_𝑐𝑑 𝑏𝑑^2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0</xdr:col>
      <xdr:colOff>495300</xdr:colOff>
      <xdr:row>108</xdr:row>
      <xdr:rowOff>0</xdr:rowOff>
    </xdr:from>
    <xdr:ext cx="4476750" cy="742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95300" y="21650325"/>
              <a:ext cx="4476750" cy="742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𝑟𝑒𝑞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IN" sz="1400" b="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IN" sz="1400" b="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latin typeface="Cambria Math"/>
                              </a:rPr>
                              <m:t>𝑀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n-IN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n-IN" sz="1400" b="0" i="1">
                                        <a:latin typeface="Cambria Math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IN" sz="1400" b="0" i="1">
                                        <a:latin typeface="Cambria Math"/>
                                      </a:rPr>
                                      <m:t>𝐾</m:t>
                                    </m:r>
                                  </m:e>
                                  <m:sub>
                                    <m:r>
                                      <a:rPr lang="en-IN" sz="1400" b="0" i="1">
                                        <a:latin typeface="Cambria Math"/>
                                      </a:rPr>
                                      <m:t>𝑏𝑎𝑙</m:t>
                                    </m:r>
                                  </m:sub>
                                </m:sSub>
                                <m:r>
                                  <a:rPr lang="en-IN" sz="1400" b="0" i="1">
                                    <a:latin typeface="Cambria Math"/>
                                  </a:rPr>
                                  <m:t> </m:t>
                                </m:r>
                                <m:r>
                                  <a:rPr lang="en-IN" sz="1400" b="0" i="1">
                                    <a:latin typeface="Cambria Math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IN" sz="1400" b="0" i="1">
                                    <a:latin typeface="Cambria Math"/>
                                  </a:rPr>
                                  <m:t>𝑐𝑑</m:t>
                                </m:r>
                              </m:sub>
                            </m:sSub>
                            <m:r>
                              <a:rPr lang="en-IN" sz="1400" b="0" i="1">
                                <a:latin typeface="Cambria Math"/>
                              </a:rPr>
                              <m:t>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495300" y="21650325"/>
              <a:ext cx="4476750" cy="742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𝑑_𝑟𝑒𝑞=√(𝑀/(〖𝐾_𝑏𝑎𝑙  𝑓〗_𝑐𝑑 𝑏))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0</xdr:col>
      <xdr:colOff>552450</xdr:colOff>
      <xdr:row>129</xdr:row>
      <xdr:rowOff>142876</xdr:rowOff>
    </xdr:from>
    <xdr:ext cx="1476375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52450" y="26193751"/>
              <a:ext cx="1476375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0.87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sub>
                    </m:sSub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</m:t>
                        </m:r>
                      </m:sub>
                    </m:sSub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52450" y="26193751"/>
              <a:ext cx="1476375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</a:t>
              </a:r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_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𝑠=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0.87𝑓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𝑘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𝑠𝑡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504825</xdr:colOff>
      <xdr:row>133</xdr:row>
      <xdr:rowOff>180975</xdr:rowOff>
    </xdr:from>
    <xdr:ext cx="4476750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04825" y="26993850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=0.87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𝑦</m:t>
                        </m:r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𝑘</m:t>
                        </m:r>
                      </m:sub>
                    </m:sSub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𝑠𝑡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04825" y="26993850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𝑀=0.87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𝑦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𝑘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𝐴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𝑠𝑡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∗𝑧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485775</xdr:colOff>
      <xdr:row>137</xdr:row>
      <xdr:rowOff>161925</xdr:rowOff>
    </xdr:from>
    <xdr:ext cx="4476750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485775" y="27736800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𝑠𝑡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0.87</m:t>
                        </m:r>
                        <m:sSub>
                          <m:sSubPr>
                            <m:ctrlP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𝑦𝑘</m:t>
                            </m:r>
                          </m:sub>
                        </m:s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 ∗</m:t>
                        </m:r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𝑧</m:t>
                        </m:r>
                      </m:den>
                    </m:f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485775" y="27736800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𝐴_𝑠𝑡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𝑀/(0.87𝑓_𝑦𝑘  ∗𝑧)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30987</xdr:colOff>
      <xdr:row>11</xdr:row>
      <xdr:rowOff>144795</xdr:rowOff>
    </xdr:from>
    <xdr:to>
      <xdr:col>8</xdr:col>
      <xdr:colOff>274882</xdr:colOff>
      <xdr:row>22</xdr:row>
      <xdr:rowOff>179917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47"/>
        <a:stretch/>
      </xdr:blipFill>
      <xdr:spPr>
        <a:xfrm>
          <a:off x="612012" y="2468895"/>
          <a:ext cx="5395239" cy="23507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oneCellAnchor>
    <xdr:from>
      <xdr:col>2</xdr:col>
      <xdr:colOff>71436</xdr:colOff>
      <xdr:row>34</xdr:row>
      <xdr:rowOff>114300</xdr:rowOff>
    </xdr:from>
    <xdr:ext cx="1281113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747836" y="7124700"/>
              <a:ext cx="12811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l-GR" sz="1400" i="1">
                            <a:latin typeface="Cambria Math"/>
                          </a:rPr>
                          <m:t>𝜖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𝑐𝑢</m:t>
                        </m:r>
                        <m:r>
                          <a:rPr lang="en-IN" sz="1400" b="0" i="1">
                            <a:latin typeface="Cambria Math"/>
                          </a:rPr>
                          <m:t>3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=0.0035</m:t>
                    </m:r>
                  </m:oMath>
                </m:oMathPara>
              </a14:m>
              <a:endParaRPr lang="en-IN" sz="1400" b="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747836" y="7124700"/>
              <a:ext cx="1281113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l-GR" sz="1400" i="0">
                  <a:latin typeface="Cambria Math"/>
                </a:rPr>
                <a:t>𝜖</a:t>
              </a:r>
              <a:r>
                <a:rPr lang="en-IN" sz="1400" i="0">
                  <a:latin typeface="Cambria Math"/>
                </a:rPr>
                <a:t>_</a:t>
              </a:r>
              <a:r>
                <a:rPr lang="en-IN" sz="1400" b="0" i="0">
                  <a:latin typeface="Cambria Math"/>
                </a:rPr>
                <a:t>𝑐𝑢3=0.0035</a:t>
              </a:r>
              <a:endParaRPr lang="en-IN" sz="1400" b="0"/>
            </a:p>
          </xdr:txBody>
        </xdr:sp>
      </mc:Fallback>
    </mc:AlternateContent>
    <xdr:clientData/>
  </xdr:oneCellAnchor>
  <xdr:oneCellAnchor>
    <xdr:from>
      <xdr:col>1</xdr:col>
      <xdr:colOff>171450</xdr:colOff>
      <xdr:row>50</xdr:row>
      <xdr:rowOff>180975</xdr:rowOff>
    </xdr:from>
    <xdr:ext cx="2476500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752475" y="10963275"/>
              <a:ext cx="2476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𝐸𝑑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𝑧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𝑠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𝑧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752475" y="10963275"/>
              <a:ext cx="2476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𝑀_𝐸𝑑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𝐹_𝑐 𝑧=𝐹_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𝑧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180975</xdr:colOff>
      <xdr:row>53</xdr:row>
      <xdr:rowOff>180975</xdr:rowOff>
    </xdr:from>
    <xdr:ext cx="2476500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762000" y="11534775"/>
              <a:ext cx="2476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𝑏𝑥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762000" y="11534775"/>
              <a:ext cx="2476500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𝐹_𝑐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𝑓_𝑐𝑑 𝑏𝑥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133350</xdr:colOff>
      <xdr:row>56</xdr:row>
      <xdr:rowOff>76200</xdr:rowOff>
    </xdr:from>
    <xdr:ext cx="2319339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714375" y="1200150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𝐸𝑑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sSup>
                      <m:sSup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𝑧</m:t>
                        </m:r>
                      </m:num>
                      <m:den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∗2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714375" y="1200150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𝑀_𝐸𝑑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𝑓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𝑐𝑑 𝑏𝑑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 (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1−𝑧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𝑧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𝑑∗2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142875</xdr:colOff>
      <xdr:row>61</xdr:row>
      <xdr:rowOff>57150</xdr:rowOff>
    </xdr:from>
    <xdr:ext cx="2319339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723900" y="1293495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𝐸𝑑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𝑐𝑑</m:t>
                            </m:r>
                          </m:sub>
                        </m:s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𝑏</m:t>
                        </m:r>
                        <m:sSup>
                          <m:sSupPr>
                            <m:ctrlP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n-IN" sz="14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IN" sz="1400" b="0" i="1">
                        <a:latin typeface="Cambria Math"/>
                        <a:ea typeface="Cambria Math" panose="02040503050406030204" pitchFamily="18" charset="0"/>
                      </a:rPr>
                      <m:t>𝐾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723900" y="12934950"/>
              <a:ext cx="2319339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𝑀_𝐸𝑑/(𝑓_𝑐𝑑 𝑏𝑑^2 )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𝐾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152400</xdr:colOff>
      <xdr:row>66</xdr:row>
      <xdr:rowOff>85725</xdr:rowOff>
    </xdr:from>
    <xdr:ext cx="1819275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733425" y="13916025"/>
              <a:ext cx="1819275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/>
                        <a:ea typeface="Cambria Math" panose="02040503050406030204" pitchFamily="18" charset="0"/>
                      </a:rPr>
                      <m:t>𝐾</m:t>
                    </m:r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𝑑</m:t>
                            </m:r>
                          </m:den>
                        </m:f>
                      </m:e>
                    </m:d>
                    <m:f>
                      <m:f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𝑧</m:t>
                        </m:r>
                      </m:num>
                      <m:den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den>
                    </m:f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∗2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733425" y="13916025"/>
              <a:ext cx="1819275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𝐾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1−𝑧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)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𝑧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𝑑∗2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571499</xdr:colOff>
      <xdr:row>71</xdr:row>
      <xdr:rowOff>171450</xdr:rowOff>
    </xdr:from>
    <xdr:ext cx="2238375" cy="459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571499" y="14954250"/>
              <a:ext cx="2238375" cy="459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latin typeface="Cambria Math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/>
                          </a:rPr>
                          <m:t>𝑧</m:t>
                        </m:r>
                      </m:num>
                      <m:den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den>
                    </m:f>
                    <m:r>
                      <a:rPr lang="en-IN" sz="1400" b="0" i="1">
                        <a:latin typeface="Cambria Math"/>
                      </a:rPr>
                      <m:t>=0.5+</m:t>
                    </m:r>
                    <m:rad>
                      <m:radPr>
                        <m:degHide m:val="on"/>
                        <m:ctrlPr>
                          <a:rPr lang="en-IN" sz="1400" b="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en-IN" sz="1400" b="0" i="1">
                            <a:latin typeface="Cambria Math"/>
                          </a:rPr>
                          <m:t>0.25−0.5</m:t>
                        </m:r>
                        <m:r>
                          <a:rPr lang="en-IN" sz="1400" b="0" i="1">
                            <a:latin typeface="Cambria Math"/>
                          </a:rPr>
                          <m:t>𝐾</m:t>
                        </m:r>
                      </m:e>
                    </m:ra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571499" y="14954250"/>
              <a:ext cx="2238375" cy="459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𝑧/𝑑=0.5+√(0.25−0.5𝐾)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0</xdr:col>
      <xdr:colOff>542925</xdr:colOff>
      <xdr:row>77</xdr:row>
      <xdr:rowOff>9525</xdr:rowOff>
    </xdr:from>
    <xdr:ext cx="2238375" cy="4598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542925" y="15935325"/>
              <a:ext cx="2238375" cy="459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400" i="1">
                            <a:latin typeface="Cambria Math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/>
                          </a:rPr>
                          <m:t>𝑧</m:t>
                        </m:r>
                      </m:num>
                      <m:den>
                        <m:r>
                          <a:rPr lang="en-IN" sz="1400" b="0" i="1">
                            <a:latin typeface="Cambria Math"/>
                          </a:rPr>
                          <m:t>𝑑</m:t>
                        </m:r>
                      </m:den>
                    </m:f>
                    <m:r>
                      <a:rPr lang="en-IN" sz="1400" b="0" i="1">
                        <a:latin typeface="Cambria Math"/>
                      </a:rPr>
                      <m:t>=0.5</m:t>
                    </m:r>
                    <m:d>
                      <m:dPr>
                        <m:ctrlPr>
                          <a:rPr lang="en-IN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IN" sz="1400" b="0" i="1">
                            <a:latin typeface="Cambria Math"/>
                          </a:rPr>
                          <m:t>1+</m:t>
                        </m:r>
                        <m:rad>
                          <m:radPr>
                            <m:degHide m:val="on"/>
                            <m:ctrlPr>
                              <a:rPr lang="en-IN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IN" sz="1400" b="0" i="1">
                                <a:latin typeface="Cambria Math"/>
                              </a:rPr>
                              <m:t>1−2</m:t>
                            </m:r>
                            <m:r>
                              <a:rPr lang="en-IN" sz="1400" b="0" i="1">
                                <a:latin typeface="Cambria Math"/>
                              </a:rPr>
                              <m:t>𝐾</m:t>
                            </m:r>
                          </m:e>
                        </m:rad>
                      </m:e>
                    </m:d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542925" y="15935325"/>
              <a:ext cx="2238375" cy="459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𝑧/𝑑=0.5(1+√(1−2𝐾))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0</xdr:col>
      <xdr:colOff>581024</xdr:colOff>
      <xdr:row>83</xdr:row>
      <xdr:rowOff>114300</xdr:rowOff>
    </xdr:from>
    <xdr:ext cx="2981325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581024" y="17402175"/>
              <a:ext cx="2981325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𝑐</m:t>
                        </m:r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,</m:t>
                        </m:r>
                        <m:r>
                          <a:rPr lang="en-IN" sz="1400" b="0" i="1">
                            <a:latin typeface="Cambria Math"/>
                            <a:ea typeface="Cambria Math" panose="02040503050406030204" pitchFamily="18" charset="0"/>
                          </a:rPr>
                          <m:t>𝑏𝑎𝑙</m:t>
                        </m:r>
                      </m:sub>
                    </m:sSub>
                    <m:r>
                      <a:rPr lang="en-IN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𝑏𝑥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anose="02040503050406030204" pitchFamily="18" charset="0"/>
                            <a:cs typeface="+mn-cs"/>
                          </a:rPr>
                          <m:t>𝑐𝑑</m:t>
                        </m:r>
                      </m:sub>
                    </m:sSub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𝑏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∗0.8∗0.45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/>
                        <a:ea typeface="Cambria Math" panose="02040503050406030204" pitchFamily="18" charset="0"/>
                        <a:cs typeface="+mn-cs"/>
                      </a:rPr>
                      <m:t>𝑑</m:t>
                    </m:r>
                  </m:oMath>
                </m:oMathPara>
              </a14:m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581024" y="17402175"/>
              <a:ext cx="2981325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  <a:ea typeface="Cambria Math" panose="02040503050406030204" pitchFamily="18" charset="0"/>
                </a:rPr>
                <a:t>𝐹_(𝑐,𝑏𝑎𝑙)</a:t>
              </a:r>
              <a:r>
                <a:rPr lang="en-IN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/>
                  <a:ea typeface="Cambria Math" panose="02040503050406030204" pitchFamily="18" charset="0"/>
                  <a:cs typeface="+mn-cs"/>
                </a:rPr>
                <a:t>𝑓_𝑐𝑑 𝑏𝑥=𝑓_𝑐𝑑 𝑏∗0.8∗0.45𝑑</a:t>
              </a:r>
              <a:endParaRPr lang="en-IN" sz="140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552450</xdr:colOff>
      <xdr:row>88</xdr:row>
      <xdr:rowOff>152400</xdr:rowOff>
    </xdr:from>
    <xdr:ext cx="4476750" cy="638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552450" y="18392775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𝑏𝑎𝑙</m:t>
                        </m:r>
                      </m:sub>
                    </m:sSub>
                    <m:r>
                      <a:rPr lang="en-IN" sz="1400" b="0" i="1">
                        <a:latin typeface="Cambria Math"/>
                      </a:rPr>
                      <m:t>=</m:t>
                    </m:r>
                    <m:r>
                      <a:rPr lang="en-IN" sz="1400" b="0" i="1">
                        <a:latin typeface="Cambria Math"/>
                      </a:rPr>
                      <m:t>𝑑</m:t>
                    </m:r>
                    <m:r>
                      <a:rPr lang="en-IN" sz="1400" b="0" i="1">
                        <a:latin typeface="Cambria Math"/>
                      </a:rPr>
                      <m:t>−</m:t>
                    </m:r>
                    <m:f>
                      <m:fPr>
                        <m:ctrlPr>
                          <a:rPr lang="en-IN" sz="1400" b="0" i="1">
                            <a:latin typeface="Cambria Math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IN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IN" sz="1400" b="0" i="1">
                                <a:latin typeface="Cambria Math"/>
                              </a:rPr>
                              <m:t>0.8∗0.45</m:t>
                            </m:r>
                            <m:r>
                              <a:rPr lang="en-IN" sz="1400" b="0" i="1">
                                <a:latin typeface="Cambria Math"/>
                              </a:rPr>
                              <m:t>𝑑</m:t>
                            </m:r>
                          </m:e>
                        </m:d>
                      </m:num>
                      <m:den>
                        <m:r>
                          <a:rPr lang="en-IN" sz="1400" b="0" i="1">
                            <a:latin typeface="Cambria Math"/>
                          </a:rPr>
                          <m:t>2</m:t>
                        </m:r>
                      </m:den>
                    </m:f>
                    <m:r>
                      <a:rPr lang="en-IN" sz="1400" b="0" i="1">
                        <a:latin typeface="Cambria Math"/>
                      </a:rPr>
                      <m:t>=0.82</m:t>
                    </m:r>
                    <m:r>
                      <a:rPr lang="en-IN" sz="1400" b="0" i="1">
                        <a:latin typeface="Cambria Math"/>
                      </a:rPr>
                      <m:t>𝑑</m:t>
                    </m:r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552450" y="18392775"/>
              <a:ext cx="4476750" cy="638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𝑧_𝑏𝑎𝑙=𝑑−((0.8∗0.45𝑑))/2=0.82𝑑</a:t>
              </a:r>
              <a:endParaRPr lang="en-IN" sz="1400"/>
            </a:p>
          </xdr:txBody>
        </xdr:sp>
      </mc:Fallback>
    </mc:AlternateContent>
    <xdr:clientData/>
  </xdr:oneCellAnchor>
  <xdr:oneCellAnchor>
    <xdr:from>
      <xdr:col>0</xdr:col>
      <xdr:colOff>485775</xdr:colOff>
      <xdr:row>118</xdr:row>
      <xdr:rowOff>104776</xdr:rowOff>
    </xdr:from>
    <xdr:ext cx="99060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85775" y="24060151"/>
              <a:ext cx="9906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/>
                      </a:rPr>
                      <m:t>𝐾</m:t>
                    </m:r>
                    <m:r>
                      <a:rPr lang="en-IN" sz="1400" b="0" i="1">
                        <a:latin typeface="Cambria Math"/>
                        <a:ea typeface="Cambria Math"/>
                      </a:rPr>
                      <m:t>&lt;</m:t>
                    </m:r>
                    <m:sSub>
                      <m:sSubPr>
                        <m:ctrlPr>
                          <a:rPr lang="en-IN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IN" sz="1400" b="0" i="1">
                            <a:latin typeface="Cambria Math"/>
                          </a:rPr>
                          <m:t>𝐾</m:t>
                        </m:r>
                      </m:e>
                      <m:sub>
                        <m:r>
                          <a:rPr lang="en-IN" sz="1400" b="0" i="1">
                            <a:latin typeface="Cambria Math"/>
                          </a:rPr>
                          <m:t>𝑏𝑎𝑙</m:t>
                        </m:r>
                      </m:sub>
                    </m:sSub>
                  </m:oMath>
                </m:oMathPara>
              </a14:m>
              <a:endParaRPr lang="en-IN" sz="14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85775" y="24060151"/>
              <a:ext cx="99060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:r>
                <a:rPr lang="en-IN" sz="1400" b="0" i="0">
                  <a:latin typeface="Cambria Math"/>
                </a:rPr>
                <a:t>𝐾</a:t>
              </a:r>
              <a:r>
                <a:rPr lang="en-IN" sz="1400" b="0" i="0">
                  <a:latin typeface="Cambria Math"/>
                  <a:ea typeface="Cambria Math"/>
                </a:rPr>
                <a:t>&lt;</a:t>
              </a:r>
              <a:r>
                <a:rPr lang="en-IN" sz="1400" b="0" i="0">
                  <a:latin typeface="Cambria Math"/>
                </a:rPr>
                <a:t>𝐾_𝑏𝑎𝑙</a:t>
              </a:r>
              <a:endParaRPr lang="en-IN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47625</xdr:rowOff>
    </xdr:from>
    <xdr:to>
      <xdr:col>6</xdr:col>
      <xdr:colOff>47625</xdr:colOff>
      <xdr:row>7</xdr:row>
      <xdr:rowOff>164582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90625"/>
          <a:ext cx="3114675" cy="3074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4</xdr:col>
      <xdr:colOff>323574</xdr:colOff>
      <xdr:row>16</xdr:row>
      <xdr:rowOff>171405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895600"/>
          <a:ext cx="2209524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76031</xdr:colOff>
      <xdr:row>27</xdr:row>
      <xdr:rowOff>2022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3375" y="4962525"/>
          <a:ext cx="1352381" cy="3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138828</xdr:colOff>
      <xdr:row>6</xdr:row>
      <xdr:rowOff>75616</xdr:rowOff>
    </xdr:from>
    <xdr:to>
      <xdr:col>20</xdr:col>
      <xdr:colOff>379024</xdr:colOff>
      <xdr:row>18</xdr:row>
      <xdr:rowOff>138295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6502" y="1218616"/>
          <a:ext cx="4530587" cy="239009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39</xdr:row>
      <xdr:rowOff>95250</xdr:rowOff>
    </xdr:from>
    <xdr:to>
      <xdr:col>3</xdr:col>
      <xdr:colOff>485533</xdr:colOff>
      <xdr:row>41</xdr:row>
      <xdr:rowOff>190441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6915150"/>
          <a:ext cx="1685683" cy="476191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123824</xdr:colOff>
      <xdr:row>19</xdr:row>
      <xdr:rowOff>78641</xdr:rowOff>
    </xdr:from>
    <xdr:to>
      <xdr:col>20</xdr:col>
      <xdr:colOff>381000</xdr:colOff>
      <xdr:row>33</xdr:row>
      <xdr:rowOff>243470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9549" y="3736241"/>
          <a:ext cx="4524376" cy="32223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5</xdr:row>
      <xdr:rowOff>28575</xdr:rowOff>
    </xdr:from>
    <xdr:to>
      <xdr:col>8</xdr:col>
      <xdr:colOff>733840</xdr:colOff>
      <xdr:row>14</xdr:row>
      <xdr:rowOff>9525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9" y="981075"/>
          <a:ext cx="5067301" cy="1695450"/>
        </a:xfrm>
        <a:prstGeom prst="rect">
          <a:avLst/>
        </a:prstGeom>
      </xdr:spPr>
    </xdr:pic>
    <xdr:clientData/>
  </xdr:twoCellAnchor>
  <xdr:twoCellAnchor editAs="oneCell">
    <xdr:from>
      <xdr:col>0</xdr:col>
      <xdr:colOff>610843</xdr:colOff>
      <xdr:row>15</xdr:row>
      <xdr:rowOff>14494</xdr:rowOff>
    </xdr:from>
    <xdr:to>
      <xdr:col>8</xdr:col>
      <xdr:colOff>439670</xdr:colOff>
      <xdr:row>16</xdr:row>
      <xdr:rowOff>93869</xdr:rowOff>
    </xdr:to>
    <xdr:pic>
      <xdr:nvPicPr>
        <xdr:cNvPr id="7" name="Picture 6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843" y="2871994"/>
          <a:ext cx="4856370" cy="2698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34</xdr:row>
      <xdr:rowOff>133350</xdr:rowOff>
    </xdr:from>
    <xdr:to>
      <xdr:col>8</xdr:col>
      <xdr:colOff>505240</xdr:colOff>
      <xdr:row>44</xdr:row>
      <xdr:rowOff>111125</xdr:rowOff>
    </xdr:to>
    <xdr:pic>
      <xdr:nvPicPr>
        <xdr:cNvPr id="8" name="Picture 7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" y="6626225"/>
          <a:ext cx="4772025" cy="18827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14</xdr:row>
      <xdr:rowOff>85725</xdr:rowOff>
    </xdr:from>
    <xdr:to>
      <xdr:col>4</xdr:col>
      <xdr:colOff>352149</xdr:colOff>
      <xdr:row>16</xdr:row>
      <xdr:rowOff>123780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057400"/>
          <a:ext cx="2209524" cy="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19</xdr:row>
      <xdr:rowOff>66675</xdr:rowOff>
    </xdr:from>
    <xdr:to>
      <xdr:col>3</xdr:col>
      <xdr:colOff>180806</xdr:colOff>
      <xdr:row>21</xdr:row>
      <xdr:rowOff>123777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0" y="2886075"/>
          <a:ext cx="1352381" cy="3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41</xdr:row>
      <xdr:rowOff>95250</xdr:rowOff>
    </xdr:from>
    <xdr:to>
      <xdr:col>4</xdr:col>
      <xdr:colOff>152158</xdr:colOff>
      <xdr:row>44</xdr:row>
      <xdr:rowOff>85666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5" y="5524500"/>
          <a:ext cx="1933333" cy="4761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27</xdr:row>
      <xdr:rowOff>171450</xdr:rowOff>
    </xdr:from>
    <xdr:to>
      <xdr:col>3</xdr:col>
      <xdr:colOff>571500</xdr:colOff>
      <xdr:row>32</xdr:row>
      <xdr:rowOff>19050</xdr:rowOff>
    </xdr:to>
    <xdr:cxnSp macro="">
      <xdr:nvCxnSpPr>
        <xdr:cNvPr id="3" name="Straight Connector 2"/>
        <xdr:cNvCxnSpPr/>
      </xdr:nvCxnSpPr>
      <xdr:spPr>
        <a:xfrm>
          <a:off x="19050" y="5314950"/>
          <a:ext cx="2800350" cy="8001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16</xdr:row>
      <xdr:rowOff>38100</xdr:rowOff>
    </xdr:from>
    <xdr:to>
      <xdr:col>1</xdr:col>
      <xdr:colOff>0</xdr:colOff>
      <xdr:row>32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3238500"/>
          <a:ext cx="52387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209550</xdr:colOff>
      <xdr:row>18</xdr:row>
      <xdr:rowOff>47624</xdr:rowOff>
    </xdr:from>
    <xdr:to>
      <xdr:col>1</xdr:col>
      <xdr:colOff>574531</xdr:colOff>
      <xdr:row>31</xdr:row>
      <xdr:rowOff>123824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3648074"/>
          <a:ext cx="364981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t/3_leggend_equipment_support/PIN-LEP-CVC-0328%20F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353348/Desktop/trals/PIN-LEP-CVC-0325-cov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666705\666705-MPE\AP_0_XX.XX_0_Civil_Eng\Documents\Latest\BE\Ammonia\Concrete%20design%20sheets\punching%20shear%20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DESIGN"/>
      <sheetName val="DETAIL DESIGN"/>
      <sheetName val="REF TABLE"/>
      <sheetName val="Ml"/>
      <sheetName val="M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DESIGN METRIC"/>
      <sheetName val="LOAD DATA INPUT"/>
      <sheetName val="Mz"/>
      <sheetName val="Mx"/>
      <sheetName val="REF TABLE"/>
      <sheetName val="Exposure"/>
      <sheetName val="Material"/>
      <sheetName val="Flexure"/>
      <sheetName val="Seismic"/>
      <sheetName val="Quantities"/>
      <sheetName val="Column_Pedestaldesign all cases"/>
      <sheetName val="Expo"/>
      <sheetName val="Sheet1"/>
    </sheetNames>
    <sheetDataSet>
      <sheetData sheetId="0"/>
      <sheetData sheetId="1">
        <row r="11">
          <cell r="H11" t="str">
            <v>X0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6">
          <cell r="A26" t="str">
            <v>X0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ching ftg or pcap"/>
      <sheetName val="punching for pil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96"/>
  <sheetViews>
    <sheetView showGridLines="0" view="pageBreakPreview" topLeftCell="A57" zoomScaleNormal="100" zoomScaleSheetLayoutView="100" workbookViewId="0">
      <selection activeCell="H79" sqref="H79"/>
    </sheetView>
  </sheetViews>
  <sheetFormatPr defaultColWidth="12.42578125" defaultRowHeight="15" customHeight="1"/>
  <cols>
    <col min="1" max="1" width="8.85546875" style="180" customWidth="1"/>
    <col min="2" max="2" width="14.140625" style="159" customWidth="1"/>
    <col min="3" max="3" width="8.85546875" style="159" customWidth="1"/>
    <col min="4" max="4" width="10.5703125" style="159" customWidth="1"/>
    <col min="5" max="5" width="11.28515625" style="159" customWidth="1"/>
    <col min="6" max="6" width="12.140625" style="159" customWidth="1"/>
    <col min="7" max="7" width="3.140625" style="160" customWidth="1"/>
    <col min="8" max="8" width="11.140625" style="159" customWidth="1"/>
    <col min="9" max="9" width="9" style="159" customWidth="1"/>
    <col min="10" max="10" width="10.85546875" style="159" customWidth="1"/>
    <col min="11" max="11" width="9.5703125" style="159" customWidth="1"/>
    <col min="12" max="12" width="15.5703125" style="280" hidden="1" customWidth="1"/>
    <col min="13" max="14" width="12.42578125" style="159" hidden="1" customWidth="1"/>
    <col min="15" max="15" width="16.85546875" style="159" hidden="1" customWidth="1"/>
    <col min="16" max="16" width="14.7109375" style="159" hidden="1" customWidth="1"/>
    <col min="17" max="26" width="12.42578125" style="159" hidden="1" customWidth="1"/>
    <col min="27" max="16384" width="12.42578125" style="159"/>
  </cols>
  <sheetData>
    <row r="1" spans="1:37" s="167" customFormat="1" ht="24" customHeight="1">
      <c r="A1" s="157"/>
      <c r="B1" s="158"/>
      <c r="C1" s="159"/>
      <c r="D1" s="159"/>
      <c r="E1" s="159"/>
      <c r="F1" s="159"/>
      <c r="G1" s="160"/>
      <c r="H1" s="159"/>
      <c r="I1" s="159"/>
      <c r="J1" s="159"/>
      <c r="K1" s="159"/>
      <c r="L1" s="161"/>
      <c r="M1" s="162"/>
      <c r="N1" s="162"/>
      <c r="O1" s="163"/>
      <c r="P1" s="163"/>
      <c r="Q1" s="163"/>
      <c r="R1" s="164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6"/>
      <c r="AK1" s="166"/>
    </row>
    <row r="2" spans="1:37" ht="15" customHeight="1">
      <c r="A2" s="168"/>
      <c r="C2" s="169"/>
      <c r="L2" s="161"/>
      <c r="M2" s="162"/>
      <c r="N2" s="162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</row>
    <row r="3" spans="1:37" ht="15" customHeight="1">
      <c r="A3" s="168" t="s">
        <v>126</v>
      </c>
      <c r="C3" s="159" t="s">
        <v>339</v>
      </c>
      <c r="I3" s="170" t="s">
        <v>125</v>
      </c>
      <c r="J3" s="450">
        <v>43196</v>
      </c>
      <c r="K3" s="450"/>
      <c r="L3" s="172"/>
      <c r="M3" s="171"/>
      <c r="N3" s="162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</row>
    <row r="4" spans="1:37" ht="15" customHeight="1">
      <c r="A4" s="168" t="s">
        <v>337</v>
      </c>
      <c r="C4" s="451" t="s">
        <v>34</v>
      </c>
      <c r="D4" s="451"/>
      <c r="I4" s="170" t="s">
        <v>338</v>
      </c>
      <c r="J4" s="452" t="s">
        <v>34</v>
      </c>
      <c r="K4" s="452"/>
      <c r="L4" s="172"/>
      <c r="M4" s="171"/>
      <c r="N4" s="162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C4" s="171"/>
      <c r="AD4" s="171"/>
      <c r="AE4" s="171"/>
      <c r="AF4" s="171"/>
      <c r="AG4" s="171"/>
      <c r="AH4" s="171"/>
      <c r="AI4" s="171"/>
    </row>
    <row r="5" spans="1:37" ht="15" customHeight="1">
      <c r="A5" s="168" t="s">
        <v>130</v>
      </c>
      <c r="C5" s="448" t="s">
        <v>34</v>
      </c>
      <c r="D5" s="448"/>
      <c r="I5" s="173" t="s">
        <v>131</v>
      </c>
      <c r="J5" s="449" t="s">
        <v>34</v>
      </c>
      <c r="K5" s="449"/>
      <c r="L5" s="172"/>
      <c r="M5" s="171"/>
      <c r="N5" s="162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  <c r="AA5" s="171"/>
      <c r="AC5" s="171"/>
      <c r="AD5" s="171"/>
      <c r="AE5" s="171"/>
      <c r="AF5" s="171"/>
      <c r="AG5" s="171"/>
      <c r="AH5" s="171"/>
      <c r="AI5" s="171"/>
    </row>
    <row r="6" spans="1:37" ht="27" customHeight="1">
      <c r="A6" s="454" t="s">
        <v>348</v>
      </c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161"/>
      <c r="M6" s="171"/>
      <c r="N6" s="162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C6" s="171"/>
      <c r="AD6" s="171"/>
      <c r="AE6" s="171"/>
      <c r="AF6" s="171"/>
      <c r="AG6" s="171"/>
      <c r="AH6" s="171"/>
      <c r="AI6" s="171"/>
    </row>
    <row r="7" spans="1:37" ht="15" customHeight="1">
      <c r="A7" s="174"/>
      <c r="B7" s="175"/>
      <c r="C7" s="176"/>
      <c r="D7" s="177"/>
      <c r="E7" s="175"/>
      <c r="G7" s="178"/>
      <c r="H7" s="175"/>
      <c r="I7" s="179"/>
      <c r="J7" s="179"/>
      <c r="K7" s="179" t="s">
        <v>349</v>
      </c>
      <c r="L7" s="161"/>
      <c r="M7" s="171"/>
      <c r="N7" s="162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C7" s="171"/>
      <c r="AD7" s="171"/>
      <c r="AE7" s="171"/>
      <c r="AF7" s="171"/>
      <c r="AG7" s="171"/>
      <c r="AH7" s="171"/>
      <c r="AI7" s="171"/>
    </row>
    <row r="8" spans="1:37" ht="23.25" customHeight="1">
      <c r="A8" s="184" t="s">
        <v>235</v>
      </c>
      <c r="B8" s="185" t="s">
        <v>236</v>
      </c>
      <c r="C8" s="186"/>
      <c r="D8" s="185" t="s">
        <v>237</v>
      </c>
      <c r="E8" s="187"/>
      <c r="F8" s="187"/>
      <c r="G8" s="188"/>
      <c r="H8" s="187"/>
      <c r="I8" s="187"/>
      <c r="J8" s="187"/>
      <c r="K8" s="189"/>
      <c r="L8" s="181"/>
      <c r="M8" s="190"/>
      <c r="N8" s="182"/>
      <c r="O8" s="183"/>
      <c r="P8" s="171"/>
      <c r="Q8" s="171"/>
      <c r="R8" s="171"/>
    </row>
    <row r="9" spans="1:37" ht="23.25" customHeight="1">
      <c r="A9" s="180" t="s">
        <v>238</v>
      </c>
      <c r="B9" s="191" t="s">
        <v>239</v>
      </c>
      <c r="C9" s="192"/>
      <c r="D9" s="192"/>
      <c r="E9" s="192"/>
      <c r="F9" s="192"/>
      <c r="G9" s="193"/>
      <c r="H9" s="194" t="s">
        <v>240</v>
      </c>
      <c r="I9" s="456" t="s">
        <v>495</v>
      </c>
      <c r="J9" s="456"/>
      <c r="K9" s="457"/>
      <c r="L9" s="181"/>
      <c r="M9" s="195"/>
      <c r="N9" s="182"/>
      <c r="O9" s="183"/>
      <c r="P9" s="171"/>
      <c r="Q9" s="171"/>
      <c r="R9" s="171"/>
    </row>
    <row r="10" spans="1:37" ht="23.25" customHeight="1">
      <c r="B10" s="191" t="s">
        <v>241</v>
      </c>
      <c r="C10" s="192"/>
      <c r="D10" s="192"/>
      <c r="E10" s="192"/>
      <c r="F10" s="192"/>
      <c r="G10" s="193"/>
      <c r="H10" s="194" t="s">
        <v>242</v>
      </c>
      <c r="I10" s="456" t="s">
        <v>243</v>
      </c>
      <c r="J10" s="456"/>
      <c r="K10" s="457"/>
      <c r="L10" s="181"/>
      <c r="M10" s="196"/>
      <c r="N10" s="182"/>
      <c r="O10" s="183"/>
      <c r="P10" s="171"/>
      <c r="Q10" s="171"/>
      <c r="R10" s="171"/>
    </row>
    <row r="11" spans="1:37" ht="23.25" customHeight="1">
      <c r="B11" s="191" t="s">
        <v>244</v>
      </c>
      <c r="C11" s="192"/>
      <c r="D11" s="192"/>
      <c r="E11" s="192"/>
      <c r="F11" s="192"/>
      <c r="G11" s="193"/>
      <c r="H11" s="194" t="s">
        <v>245</v>
      </c>
      <c r="I11" s="456" t="s">
        <v>246</v>
      </c>
      <c r="J11" s="456"/>
      <c r="K11" s="457"/>
      <c r="L11" s="181"/>
      <c r="M11" s="195"/>
      <c r="N11" s="182"/>
      <c r="O11" s="183"/>
      <c r="P11" s="171"/>
      <c r="Q11" s="171"/>
      <c r="R11" s="171"/>
    </row>
    <row r="12" spans="1:37" ht="23.25" customHeight="1">
      <c r="B12" s="191" t="s">
        <v>247</v>
      </c>
      <c r="C12" s="192"/>
      <c r="D12" s="192"/>
      <c r="E12" s="192"/>
      <c r="F12" s="192"/>
      <c r="G12" s="193"/>
      <c r="H12" s="194" t="s">
        <v>248</v>
      </c>
      <c r="I12" s="456" t="s">
        <v>249</v>
      </c>
      <c r="J12" s="456"/>
      <c r="K12" s="457"/>
      <c r="L12" s="181"/>
      <c r="M12" s="195"/>
      <c r="N12" s="182"/>
      <c r="O12" s="183"/>
      <c r="P12" s="171"/>
      <c r="Q12" s="171"/>
      <c r="R12" s="171"/>
    </row>
    <row r="13" spans="1:37" s="197" customFormat="1" ht="21" customHeight="1">
      <c r="A13" s="180"/>
      <c r="B13" s="191" t="s">
        <v>250</v>
      </c>
      <c r="C13" s="192"/>
      <c r="D13" s="192"/>
      <c r="E13" s="192"/>
      <c r="F13" s="192"/>
      <c r="G13" s="193"/>
      <c r="H13" s="194" t="s">
        <v>251</v>
      </c>
      <c r="I13" s="456" t="s">
        <v>252</v>
      </c>
      <c r="J13" s="456"/>
      <c r="K13" s="457"/>
      <c r="L13" s="189"/>
      <c r="M13" s="189"/>
    </row>
    <row r="14" spans="1:37" s="197" customFormat="1" ht="21.75" customHeight="1">
      <c r="A14" s="180"/>
      <c r="B14" s="191" t="s">
        <v>253</v>
      </c>
      <c r="C14" s="192"/>
      <c r="D14" s="192"/>
      <c r="E14" s="192"/>
      <c r="F14" s="192"/>
      <c r="G14" s="193"/>
      <c r="H14" s="194" t="s">
        <v>254</v>
      </c>
      <c r="I14" s="456" t="s">
        <v>255</v>
      </c>
      <c r="J14" s="456"/>
      <c r="K14" s="457"/>
      <c r="L14" s="189"/>
      <c r="M14" s="189"/>
    </row>
    <row r="15" spans="1:37" s="197" customFormat="1" ht="17.25" customHeight="1">
      <c r="A15" s="180"/>
      <c r="B15" s="198" t="s">
        <v>256</v>
      </c>
      <c r="G15" s="199"/>
      <c r="H15" s="159"/>
      <c r="I15" s="200"/>
      <c r="J15" s="159"/>
      <c r="K15" s="159"/>
      <c r="L15" s="189"/>
      <c r="M15" s="189"/>
    </row>
    <row r="16" spans="1:37" s="197" customFormat="1" ht="17.25" customHeight="1">
      <c r="A16" s="180"/>
      <c r="B16" s="191" t="s">
        <v>257</v>
      </c>
      <c r="C16" s="192"/>
      <c r="D16" s="192"/>
      <c r="E16" s="192"/>
      <c r="F16" s="192"/>
      <c r="G16" s="192"/>
      <c r="H16" s="194">
        <v>100</v>
      </c>
      <c r="I16" s="201" t="s">
        <v>258</v>
      </c>
      <c r="J16" s="159"/>
      <c r="K16" s="159"/>
      <c r="L16" s="189"/>
      <c r="M16" s="189"/>
    </row>
    <row r="17" spans="1:27" s="197" customFormat="1" ht="17.25" customHeight="1">
      <c r="A17" s="180"/>
      <c r="B17" s="191" t="s">
        <v>259</v>
      </c>
      <c r="C17" s="187"/>
      <c r="D17" s="187"/>
      <c r="E17" s="187"/>
      <c r="F17" s="187"/>
      <c r="G17" s="187"/>
      <c r="H17" s="194" t="s">
        <v>260</v>
      </c>
      <c r="I17" s="202"/>
      <c r="J17" s="159"/>
      <c r="K17" s="159"/>
      <c r="L17" s="189"/>
      <c r="M17" s="189"/>
    </row>
    <row r="18" spans="1:27" s="197" customFormat="1" ht="17.25" customHeight="1">
      <c r="A18" s="180"/>
      <c r="B18" s="198" t="s">
        <v>261</v>
      </c>
      <c r="G18" s="199"/>
      <c r="H18" s="203"/>
      <c r="I18" s="159"/>
      <c r="J18" s="159"/>
      <c r="K18" s="159"/>
      <c r="L18" s="189"/>
      <c r="M18" s="189"/>
    </row>
    <row r="19" spans="1:27" s="197" customFormat="1" ht="17.25" customHeight="1">
      <c r="A19" s="180"/>
      <c r="B19" s="159" t="s">
        <v>262</v>
      </c>
      <c r="F19" s="189"/>
      <c r="G19" s="199"/>
      <c r="H19" s="204">
        <v>0.3</v>
      </c>
      <c r="I19" s="159" t="s">
        <v>0</v>
      </c>
      <c r="J19" s="458" t="s">
        <v>263</v>
      </c>
      <c r="K19" s="458"/>
      <c r="L19" s="189"/>
      <c r="M19" s="189"/>
    </row>
    <row r="20" spans="1:27" s="197" customFormat="1" ht="17.25" customHeight="1">
      <c r="A20" s="180"/>
      <c r="B20" s="159"/>
      <c r="G20" s="199"/>
      <c r="I20" s="159"/>
      <c r="J20" s="458"/>
      <c r="K20" s="458"/>
      <c r="L20" s="189"/>
      <c r="M20" s="189"/>
    </row>
    <row r="21" spans="1:27" s="197" customFormat="1" ht="17.25" customHeight="1">
      <c r="A21" s="180" t="s">
        <v>264</v>
      </c>
      <c r="B21" s="159" t="s">
        <v>265</v>
      </c>
      <c r="C21" s="205"/>
      <c r="D21" s="205"/>
      <c r="E21" s="206"/>
      <c r="F21" s="205"/>
      <c r="G21" s="207"/>
      <c r="H21" s="204" t="s">
        <v>266</v>
      </c>
      <c r="I21" s="208"/>
      <c r="J21" s="209"/>
      <c r="K21" s="210" t="s">
        <v>267</v>
      </c>
      <c r="L21" s="189"/>
      <c r="M21" s="189"/>
      <c r="AA21" s="211"/>
    </row>
    <row r="22" spans="1:27" s="197" customFormat="1" ht="16.5" customHeight="1">
      <c r="A22" s="180"/>
      <c r="B22" s="180"/>
      <c r="C22" s="205"/>
      <c r="D22" s="205"/>
      <c r="E22" s="206"/>
      <c r="F22" s="205"/>
      <c r="G22" s="207"/>
      <c r="H22" s="212"/>
      <c r="I22" s="459"/>
      <c r="J22" s="459"/>
      <c r="K22" s="213"/>
      <c r="L22" s="214"/>
      <c r="M22" s="189"/>
    </row>
    <row r="23" spans="1:27" s="197" customFormat="1" ht="16.5" customHeight="1">
      <c r="A23" s="180"/>
      <c r="B23" s="215" t="s">
        <v>268</v>
      </c>
      <c r="C23" s="205"/>
      <c r="D23" s="205"/>
      <c r="E23" s="206"/>
      <c r="F23" s="205"/>
      <c r="G23" s="207"/>
      <c r="H23" s="204">
        <f>VLOOKUP(H21,Sheet1!A47:B59,2,FALSE)</f>
        <v>30</v>
      </c>
      <c r="I23" s="216" t="s">
        <v>269</v>
      </c>
      <c r="J23" s="460" t="s">
        <v>270</v>
      </c>
      <c r="K23" s="460"/>
      <c r="L23" s="214"/>
      <c r="M23" s="189"/>
    </row>
    <row r="24" spans="1:27" s="197" customFormat="1" ht="16.5" customHeight="1">
      <c r="A24" s="180"/>
      <c r="B24" s="215" t="s">
        <v>271</v>
      </c>
      <c r="C24" s="205"/>
      <c r="D24" s="205"/>
      <c r="E24" s="206"/>
      <c r="F24" s="205"/>
      <c r="G24" s="207"/>
      <c r="H24" s="204">
        <f>VLOOKUP(H23,Sheet1!A63:C76,3,FALSE)</f>
        <v>2.9</v>
      </c>
      <c r="I24" s="216" t="s">
        <v>269</v>
      </c>
      <c r="J24" s="460"/>
      <c r="K24" s="460"/>
      <c r="L24" s="214"/>
      <c r="M24" s="189"/>
    </row>
    <row r="25" spans="1:27" s="197" customFormat="1" ht="15" customHeight="1">
      <c r="A25" s="180"/>
      <c r="B25" s="159" t="s">
        <v>272</v>
      </c>
      <c r="E25" s="217"/>
      <c r="G25" s="199" t="s">
        <v>30</v>
      </c>
      <c r="H25" s="204" t="s">
        <v>273</v>
      </c>
      <c r="J25" s="199"/>
      <c r="K25" s="189"/>
      <c r="L25" s="218"/>
      <c r="M25" s="189"/>
    </row>
    <row r="26" spans="1:27" s="197" customFormat="1" ht="18.600000000000001" customHeight="1">
      <c r="A26" s="180"/>
      <c r="B26" s="205" t="s">
        <v>274</v>
      </c>
      <c r="D26" s="219"/>
      <c r="E26" s="189"/>
      <c r="G26" s="160" t="s">
        <v>30</v>
      </c>
      <c r="H26" s="204">
        <v>500</v>
      </c>
      <c r="I26" s="220" t="s">
        <v>275</v>
      </c>
      <c r="J26" s="221"/>
      <c r="K26" s="222"/>
      <c r="L26" s="223"/>
      <c r="M26" s="189"/>
    </row>
    <row r="27" spans="1:27" s="197" customFormat="1" ht="15.75" customHeight="1">
      <c r="A27" s="180"/>
      <c r="B27" s="205"/>
      <c r="D27" s="219"/>
      <c r="G27" s="160" t="s">
        <v>30</v>
      </c>
      <c r="H27" s="224">
        <f>+H26/H45</f>
        <v>434.78260869565219</v>
      </c>
      <c r="I27" s="220" t="s">
        <v>269</v>
      </c>
      <c r="J27" s="221"/>
      <c r="K27" s="222"/>
      <c r="L27" s="223"/>
      <c r="M27" s="189"/>
    </row>
    <row r="28" spans="1:27" s="197" customFormat="1" ht="18.600000000000001" customHeight="1">
      <c r="A28" s="180"/>
      <c r="B28" s="225" t="s">
        <v>276</v>
      </c>
      <c r="D28" s="219"/>
      <c r="G28" s="160"/>
      <c r="H28" s="226"/>
      <c r="I28" s="220"/>
      <c r="J28" s="221"/>
      <c r="K28" s="222"/>
      <c r="L28" s="223"/>
      <c r="M28" s="189"/>
    </row>
    <row r="29" spans="1:27" s="197" customFormat="1" ht="15" customHeight="1">
      <c r="A29" s="180"/>
      <c r="B29" s="159" t="s">
        <v>277</v>
      </c>
      <c r="D29" s="219"/>
      <c r="G29" s="199" t="s">
        <v>30</v>
      </c>
      <c r="H29" s="439">
        <v>25</v>
      </c>
      <c r="I29" s="222" t="s">
        <v>278</v>
      </c>
      <c r="J29" s="211" t="str">
        <f>IF(ISBLANK(H29),"TYPE INPUT VALUE",IF(ISNUMBER(H29),"","TYPE NUMBER"))</f>
        <v/>
      </c>
      <c r="K29" s="217"/>
      <c r="L29" s="189"/>
      <c r="M29" s="189"/>
    </row>
    <row r="30" spans="1:27" s="197" customFormat="1" ht="15" customHeight="1">
      <c r="A30" s="180"/>
      <c r="B30" s="159" t="s">
        <v>279</v>
      </c>
      <c r="C30" s="159"/>
      <c r="D30" s="159"/>
      <c r="E30" s="159"/>
      <c r="F30" s="159"/>
      <c r="G30" s="199" t="s">
        <v>30</v>
      </c>
      <c r="H30" s="227">
        <v>50</v>
      </c>
      <c r="I30" s="228" t="str">
        <f>IF(ISBLANK(H30),"TYPE INPUT VALUE",IF(ISNUMBER(H30),"","TYPE NUMBER"))</f>
        <v/>
      </c>
      <c r="J30" s="229"/>
      <c r="K30" s="189"/>
      <c r="L30" s="189"/>
      <c r="M30" s="189"/>
    </row>
    <row r="31" spans="1:27" s="197" customFormat="1" ht="15" customHeight="1">
      <c r="A31" s="180"/>
      <c r="B31" s="159" t="s">
        <v>280</v>
      </c>
      <c r="C31" s="159"/>
      <c r="D31" s="159"/>
      <c r="E31" s="159"/>
      <c r="F31" s="159"/>
      <c r="G31" s="199" t="s">
        <v>30</v>
      </c>
      <c r="H31" s="227">
        <v>0</v>
      </c>
      <c r="I31" s="230"/>
      <c r="J31" s="231"/>
      <c r="K31" s="189"/>
      <c r="L31" s="189"/>
      <c r="M31" s="189"/>
    </row>
    <row r="32" spans="1:27" s="197" customFormat="1" ht="15" customHeight="1">
      <c r="A32" s="180"/>
      <c r="B32" s="159"/>
      <c r="C32" s="159"/>
      <c r="D32" s="159"/>
      <c r="E32" s="159"/>
      <c r="F32" s="159"/>
      <c r="G32" s="199"/>
      <c r="H32" s="230"/>
      <c r="I32" s="230"/>
      <c r="J32" s="231"/>
      <c r="K32" s="189"/>
      <c r="L32" s="189"/>
      <c r="M32" s="189"/>
    </row>
    <row r="33" spans="1:27" s="197" customFormat="1" ht="22.5" customHeight="1">
      <c r="A33" s="180"/>
      <c r="B33" s="232" t="s">
        <v>281</v>
      </c>
      <c r="C33" s="205"/>
      <c r="D33" s="205"/>
      <c r="E33" s="205"/>
      <c r="F33" s="205"/>
      <c r="G33" s="207" t="s">
        <v>30</v>
      </c>
      <c r="H33" s="233">
        <f>+MAX(VLOOKUP(H17,Sheet1!A39:F44,2,0),VLOOKUP(H17,Sheet1!A39:F44,3,0),VLOOKUP(H17,Sheet1!A39:F44,4,0),VLOOKUP(H17,Sheet1!A39:F44,5,0),VLOOKUP(H17,Sheet1!A39:F44,6,0))</f>
        <v>35</v>
      </c>
      <c r="I33" s="234"/>
      <c r="J33" s="453" t="s">
        <v>282</v>
      </c>
      <c r="K33" s="453"/>
      <c r="L33" s="189"/>
      <c r="M33" s="189"/>
    </row>
    <row r="34" spans="1:27" s="197" customFormat="1" ht="12" customHeight="1">
      <c r="A34" s="180"/>
      <c r="B34" s="235"/>
      <c r="C34" s="205"/>
      <c r="D34" s="205"/>
      <c r="E34" s="205"/>
      <c r="F34" s="205"/>
      <c r="G34" s="207"/>
      <c r="H34" s="236"/>
      <c r="I34" s="234"/>
      <c r="J34" s="237"/>
      <c r="K34" s="238"/>
      <c r="L34" s="189"/>
      <c r="M34" s="189"/>
    </row>
    <row r="35" spans="1:27" s="197" customFormat="1" ht="15" customHeight="1">
      <c r="A35" s="239"/>
      <c r="B35" s="205" t="s">
        <v>283</v>
      </c>
      <c r="C35" s="205"/>
      <c r="D35" s="205"/>
      <c r="E35" s="205"/>
      <c r="F35" s="205"/>
      <c r="G35" s="207" t="s">
        <v>30</v>
      </c>
      <c r="H35" s="233">
        <v>50</v>
      </c>
      <c r="I35" s="205"/>
      <c r="J35" s="205"/>
      <c r="K35" s="208" t="s">
        <v>284</v>
      </c>
      <c r="L35" s="189"/>
      <c r="M35" s="189"/>
    </row>
    <row r="36" spans="1:27" s="197" customFormat="1" ht="11.25" customHeight="1">
      <c r="A36" s="239"/>
      <c r="B36" s="205"/>
      <c r="C36" s="222"/>
      <c r="D36" s="222"/>
      <c r="E36" s="222"/>
      <c r="F36" s="222"/>
      <c r="G36" s="207"/>
      <c r="H36" s="240" t="str">
        <f>IF(ISBLANK(H35),"TYPE INPUT VALUE",IF(ISNUMBER(H35),"","TYPE NUMBER"))</f>
        <v/>
      </c>
      <c r="I36" s="207"/>
      <c r="J36" s="207"/>
      <c r="K36" s="222"/>
      <c r="L36" s="189"/>
      <c r="M36" s="189"/>
    </row>
    <row r="37" spans="1:27" s="197" customFormat="1" ht="26.25" customHeight="1">
      <c r="A37" s="180"/>
      <c r="B37" s="235" t="s">
        <v>285</v>
      </c>
      <c r="C37" s="205"/>
      <c r="D37" s="205"/>
      <c r="E37" s="205"/>
      <c r="F37" s="222"/>
      <c r="G37" s="207"/>
      <c r="H37" s="233">
        <f>H35</f>
        <v>50</v>
      </c>
      <c r="J37" s="453" t="s">
        <v>286</v>
      </c>
      <c r="K37" s="453"/>
      <c r="L37" s="189"/>
      <c r="M37" s="189"/>
      <c r="AA37" s="241" t="str">
        <f>IF(H37&lt;$H$33,"Increase","OK")</f>
        <v>OK</v>
      </c>
    </row>
    <row r="38" spans="1:27" s="197" customFormat="1" ht="15" customHeight="1">
      <c r="A38" s="180"/>
      <c r="B38" s="242" t="s">
        <v>287</v>
      </c>
      <c r="C38" s="205"/>
      <c r="D38" s="205"/>
      <c r="E38" s="205"/>
      <c r="F38" s="205"/>
      <c r="G38" s="207"/>
      <c r="H38" s="207"/>
      <c r="I38" s="243"/>
      <c r="J38" s="244"/>
      <c r="K38" s="222"/>
      <c r="L38" s="189"/>
      <c r="M38" s="189"/>
    </row>
    <row r="39" spans="1:27" s="197" customFormat="1" ht="15" customHeight="1">
      <c r="A39" s="180"/>
      <c r="B39" s="245"/>
      <c r="G39" s="199"/>
      <c r="H39" s="199"/>
      <c r="I39" s="246"/>
      <c r="J39" s="247"/>
      <c r="K39" s="189"/>
      <c r="L39" s="189"/>
      <c r="M39" s="189"/>
    </row>
    <row r="40" spans="1:27" s="197" customFormat="1" ht="15" customHeight="1">
      <c r="A40" s="180" t="s">
        <v>288</v>
      </c>
      <c r="B40" s="205" t="s">
        <v>289</v>
      </c>
      <c r="C40" s="205"/>
      <c r="D40" s="205"/>
      <c r="E40" s="205"/>
      <c r="F40" s="205"/>
      <c r="G40" s="207" t="s">
        <v>30</v>
      </c>
      <c r="H40" s="248">
        <f>H23+8</f>
        <v>38</v>
      </c>
      <c r="I40" s="220" t="s">
        <v>269</v>
      </c>
      <c r="J40" s="463" t="s">
        <v>270</v>
      </c>
      <c r="K40" s="463"/>
      <c r="L40" s="189"/>
      <c r="M40" s="189"/>
    </row>
    <row r="41" spans="1:27" s="197" customFormat="1" ht="24.75" customHeight="1">
      <c r="A41" s="249"/>
      <c r="B41" s="235" t="s">
        <v>290</v>
      </c>
      <c r="C41" s="205"/>
      <c r="D41" s="205"/>
      <c r="E41" s="205"/>
      <c r="F41" s="205"/>
      <c r="G41" s="207" t="s">
        <v>30</v>
      </c>
      <c r="H41" s="250">
        <f>22*(H40/10)^0.3</f>
        <v>32.836568031330792</v>
      </c>
      <c r="I41" s="251" t="s">
        <v>269</v>
      </c>
      <c r="J41" s="463"/>
      <c r="K41" s="463"/>
      <c r="L41" s="189"/>
      <c r="M41" s="189"/>
    </row>
    <row r="42" spans="1:27" s="197" customFormat="1" ht="24" customHeight="1">
      <c r="A42" s="249"/>
      <c r="B42" s="235" t="s">
        <v>291</v>
      </c>
      <c r="C42" s="205"/>
      <c r="D42" s="205"/>
      <c r="E42" s="205"/>
      <c r="F42" s="205"/>
      <c r="G42" s="207" t="s">
        <v>30</v>
      </c>
      <c r="H42" s="252">
        <v>200000</v>
      </c>
      <c r="I42" s="251" t="s">
        <v>269</v>
      </c>
      <c r="J42" s="464" t="s">
        <v>292</v>
      </c>
      <c r="K42" s="464"/>
      <c r="L42" s="189"/>
      <c r="M42" s="189"/>
    </row>
    <row r="43" spans="1:27" s="197" customFormat="1" ht="12.75">
      <c r="A43" s="160" t="s">
        <v>293</v>
      </c>
      <c r="B43" s="197" t="s">
        <v>294</v>
      </c>
      <c r="I43" s="253"/>
      <c r="J43" s="247"/>
      <c r="K43" s="189"/>
      <c r="L43" s="189"/>
      <c r="M43" s="189"/>
    </row>
    <row r="44" spans="1:27" s="197" customFormat="1" ht="19.5">
      <c r="A44" s="254"/>
      <c r="B44" s="197" t="s">
        <v>295</v>
      </c>
      <c r="F44" s="255" t="s">
        <v>296</v>
      </c>
      <c r="G44" s="207" t="s">
        <v>30</v>
      </c>
      <c r="H44" s="204">
        <v>1.5</v>
      </c>
      <c r="I44" s="463" t="s">
        <v>297</v>
      </c>
      <c r="J44" s="463"/>
      <c r="K44" s="463"/>
      <c r="L44" s="189"/>
      <c r="M44" s="189"/>
    </row>
    <row r="45" spans="1:27" s="197" customFormat="1" ht="19.5">
      <c r="A45" s="254"/>
      <c r="B45" s="197" t="s">
        <v>298</v>
      </c>
      <c r="F45" s="255" t="s">
        <v>299</v>
      </c>
      <c r="G45" s="207" t="s">
        <v>30</v>
      </c>
      <c r="H45" s="204">
        <v>1.1499999999999999</v>
      </c>
      <c r="I45" s="463"/>
      <c r="J45" s="463"/>
      <c r="K45" s="463"/>
      <c r="L45" s="189"/>
      <c r="M45" s="189"/>
    </row>
    <row r="46" spans="1:27" s="197" customFormat="1" ht="14.25" customHeight="1">
      <c r="A46" s="207"/>
      <c r="G46" s="199"/>
      <c r="H46" s="256"/>
      <c r="I46" s="257"/>
      <c r="J46" s="247"/>
      <c r="K46" s="189"/>
      <c r="L46" s="189"/>
      <c r="M46" s="189"/>
    </row>
    <row r="47" spans="1:27" s="197" customFormat="1" ht="15" hidden="1" customHeight="1">
      <c r="A47" s="203" t="s">
        <v>300</v>
      </c>
      <c r="B47" s="258" t="s">
        <v>301</v>
      </c>
      <c r="C47" s="259"/>
      <c r="D47" s="259"/>
      <c r="E47" s="259"/>
      <c r="F47" s="259"/>
      <c r="G47" s="260"/>
      <c r="H47" s="261"/>
      <c r="I47" s="261"/>
      <c r="J47" s="261"/>
      <c r="K47" s="259"/>
      <c r="L47" s="259"/>
      <c r="M47" s="189"/>
    </row>
    <row r="48" spans="1:27" s="197" customFormat="1" ht="15" hidden="1" customHeight="1">
      <c r="A48" s="203"/>
      <c r="B48" s="262" t="s">
        <v>302</v>
      </c>
      <c r="C48" s="263"/>
      <c r="D48" s="263"/>
      <c r="E48" s="263"/>
      <c r="F48" s="263"/>
      <c r="G48" s="260"/>
      <c r="H48" s="261"/>
      <c r="I48" s="261"/>
      <c r="J48" s="261"/>
      <c r="K48" s="259"/>
      <c r="L48" s="259"/>
      <c r="M48" s="189"/>
    </row>
    <row r="49" spans="1:18" s="197" customFormat="1" ht="15" hidden="1" customHeight="1">
      <c r="A49" s="264"/>
      <c r="B49" s="265"/>
      <c r="C49" s="266"/>
      <c r="D49" s="266"/>
      <c r="E49" s="266"/>
      <c r="F49" s="266"/>
      <c r="G49" s="267"/>
      <c r="H49" s="266"/>
      <c r="I49" s="266"/>
      <c r="J49" s="266"/>
      <c r="K49" s="266"/>
      <c r="L49" s="259"/>
      <c r="M49" s="189"/>
    </row>
    <row r="50" spans="1:18" s="197" customFormat="1" ht="15" hidden="1" customHeight="1">
      <c r="A50" s="264"/>
      <c r="B50" s="470" t="s">
        <v>303</v>
      </c>
      <c r="C50" s="471"/>
      <c r="D50" s="471"/>
      <c r="E50" s="471"/>
      <c r="F50" s="471"/>
      <c r="G50" s="268" t="s">
        <v>30</v>
      </c>
      <c r="H50" s="474">
        <v>0.1</v>
      </c>
      <c r="I50" s="269"/>
      <c r="J50" s="189"/>
      <c r="K50" s="270"/>
      <c r="L50" s="259"/>
      <c r="M50" s="189"/>
    </row>
    <row r="51" spans="1:18" s="197" customFormat="1" ht="15" hidden="1" customHeight="1">
      <c r="A51" s="264"/>
      <c r="B51" s="472"/>
      <c r="C51" s="473"/>
      <c r="D51" s="473"/>
      <c r="E51" s="473"/>
      <c r="F51" s="473"/>
      <c r="G51" s="271"/>
      <c r="H51" s="474"/>
      <c r="I51" s="266"/>
      <c r="J51" s="266"/>
      <c r="K51" s="266"/>
      <c r="L51" s="259"/>
      <c r="M51" s="189"/>
    </row>
    <row r="52" spans="1:18" s="197" customFormat="1" ht="15" hidden="1" customHeight="1">
      <c r="A52" s="272"/>
      <c r="B52" s="465" t="s">
        <v>304</v>
      </c>
      <c r="C52" s="465"/>
      <c r="D52" s="465"/>
      <c r="E52" s="465"/>
      <c r="F52" s="465"/>
      <c r="G52" s="465"/>
      <c r="H52" s="465"/>
      <c r="I52" s="465"/>
      <c r="J52" s="465"/>
      <c r="K52" s="465"/>
      <c r="L52" s="259"/>
      <c r="M52" s="189"/>
    </row>
    <row r="53" spans="1:18" s="197" customFormat="1" ht="15" hidden="1" customHeight="1" thickBot="1">
      <c r="A53" s="273"/>
      <c r="B53" s="466"/>
      <c r="C53" s="466"/>
      <c r="D53" s="466"/>
      <c r="E53" s="466"/>
      <c r="F53" s="466"/>
      <c r="G53" s="466"/>
      <c r="H53" s="466"/>
      <c r="I53" s="466"/>
      <c r="J53" s="466"/>
      <c r="K53" s="466"/>
      <c r="L53" s="259"/>
      <c r="M53" s="189"/>
    </row>
    <row r="54" spans="1:18" s="197" customFormat="1" ht="15" customHeight="1">
      <c r="A54" s="274"/>
      <c r="B54" s="275"/>
      <c r="G54" s="199"/>
      <c r="H54" s="199"/>
      <c r="I54" s="246"/>
      <c r="J54" s="247"/>
      <c r="K54" s="259"/>
      <c r="L54" s="259"/>
      <c r="M54" s="189"/>
    </row>
    <row r="55" spans="1:18" ht="15" customHeight="1">
      <c r="A55" s="276"/>
      <c r="L55" s="181"/>
      <c r="M55" s="181"/>
      <c r="N55" s="182"/>
      <c r="O55" s="183"/>
      <c r="P55" s="171"/>
      <c r="Q55" s="171"/>
      <c r="R55" s="171"/>
    </row>
    <row r="56" spans="1:18" ht="15" customHeight="1">
      <c r="A56" s="277" t="s">
        <v>305</v>
      </c>
      <c r="B56" s="278" t="s">
        <v>330</v>
      </c>
      <c r="C56" s="279"/>
      <c r="M56" s="280"/>
    </row>
    <row r="57" spans="1:18" ht="15" customHeight="1">
      <c r="A57" s="281"/>
      <c r="B57" s="136" t="s">
        <v>172</v>
      </c>
      <c r="H57" s="311">
        <f>MAX('Staad Stress Resulsts'!L21:M22)</f>
        <v>2199.7050000000004</v>
      </c>
      <c r="I57" s="91" t="s">
        <v>33</v>
      </c>
      <c r="J57" s="469" t="s">
        <v>341</v>
      </c>
      <c r="K57" s="469"/>
      <c r="M57" s="280"/>
    </row>
    <row r="58" spans="1:18" ht="15" customHeight="1">
      <c r="A58" s="276"/>
      <c r="B58" s="136" t="s">
        <v>173</v>
      </c>
      <c r="H58" s="311">
        <f>MIN('Staad Stress Resulsts'!L21:M22)</f>
        <v>-1030.1310000000001</v>
      </c>
      <c r="I58" s="135" t="s">
        <v>33</v>
      </c>
      <c r="J58" s="469"/>
      <c r="K58" s="469"/>
      <c r="M58" s="280"/>
    </row>
    <row r="59" spans="1:18" ht="15" customHeight="1">
      <c r="A59" s="276"/>
      <c r="B59" s="136" t="s">
        <v>174</v>
      </c>
      <c r="H59" s="311">
        <f>MAX('Staad Stress Resulsts'!N21:O22)</f>
        <v>2518.2460000000001</v>
      </c>
      <c r="I59" s="135" t="s">
        <v>33</v>
      </c>
      <c r="J59" s="469"/>
      <c r="K59" s="469"/>
      <c r="M59" s="280"/>
    </row>
    <row r="60" spans="1:18" ht="15" customHeight="1">
      <c r="A60" s="276"/>
      <c r="B60" s="136" t="s">
        <v>175</v>
      </c>
      <c r="H60" s="311">
        <f>MIN('Staad Stress Resulsts'!N21:O22)</f>
        <v>-2414.616</v>
      </c>
      <c r="I60" s="135" t="s">
        <v>33</v>
      </c>
      <c r="J60" s="469"/>
      <c r="K60" s="469"/>
      <c r="M60" s="280"/>
    </row>
    <row r="61" spans="1:18" ht="15" customHeight="1">
      <c r="A61" s="276"/>
      <c r="B61" s="136"/>
      <c r="H61" s="134"/>
      <c r="I61" s="135"/>
      <c r="J61" s="308"/>
      <c r="K61" s="307"/>
      <c r="M61" s="280"/>
    </row>
    <row r="62" spans="1:18" ht="15" customHeight="1">
      <c r="A62" s="276"/>
      <c r="B62" s="136"/>
      <c r="H62" s="134"/>
      <c r="I62" s="135"/>
      <c r="J62" s="308"/>
      <c r="K62" s="307"/>
      <c r="M62" s="280"/>
    </row>
    <row r="63" spans="1:18" ht="15" customHeight="1">
      <c r="A63" s="277" t="s">
        <v>321</v>
      </c>
      <c r="B63" s="278" t="s">
        <v>331</v>
      </c>
      <c r="C63" s="279"/>
      <c r="H63" s="134"/>
      <c r="I63" s="135"/>
      <c r="J63" s="308"/>
      <c r="K63" s="307"/>
      <c r="M63" s="280"/>
    </row>
    <row r="64" spans="1:18" ht="15" customHeight="1">
      <c r="A64" s="276"/>
      <c r="B64" s="136"/>
      <c r="H64" s="134"/>
      <c r="I64" s="135"/>
      <c r="J64" s="308"/>
      <c r="K64" s="307"/>
      <c r="M64" s="280"/>
    </row>
    <row r="65" spans="1:18" ht="15" customHeight="1">
      <c r="A65" s="276"/>
      <c r="B65" s="280" t="s">
        <v>311</v>
      </c>
      <c r="C65" s="280"/>
      <c r="D65" s="280"/>
      <c r="E65" s="280"/>
      <c r="F65" s="280"/>
      <c r="G65" s="284" t="s">
        <v>30</v>
      </c>
      <c r="H65" s="285" t="s">
        <v>235</v>
      </c>
      <c r="I65" s="286"/>
      <c r="J65" s="283" t="str">
        <f>IF(ISBLANK(H65),"TYPE INPUT VALUE","")</f>
        <v/>
      </c>
      <c r="K65" s="280"/>
      <c r="M65" s="280"/>
    </row>
    <row r="66" spans="1:18" ht="15" customHeight="1">
      <c r="A66" s="276"/>
      <c r="B66" s="159" t="s">
        <v>312</v>
      </c>
      <c r="F66" s="287"/>
      <c r="G66" s="160" t="s">
        <v>30</v>
      </c>
      <c r="H66" s="288">
        <v>100</v>
      </c>
      <c r="J66" s="283" t="str">
        <f>IF(ISBLANK(H66),"TYPE INPUT VALUE",IF(ISNUMBER(H66),IF(H66&gt;100,"NOT VALID DIA",""),"TYPE NUMBER"))</f>
        <v/>
      </c>
      <c r="M66" s="280"/>
    </row>
    <row r="67" spans="1:18" ht="15" customHeight="1">
      <c r="A67" s="276"/>
      <c r="B67" s="159" t="s">
        <v>313</v>
      </c>
      <c r="G67" s="160" t="s">
        <v>30</v>
      </c>
      <c r="H67" s="285">
        <v>36</v>
      </c>
      <c r="J67" s="283" t="str">
        <f>IF(ISBLANK(H67),"TYPE INPUT VALUE",IF(ISNUMBER(H67),"","TYPE NUMBER"))</f>
        <v/>
      </c>
      <c r="M67" s="280"/>
    </row>
    <row r="68" spans="1:18" ht="15" customHeight="1">
      <c r="A68" s="276"/>
      <c r="B68" s="159" t="s">
        <v>314</v>
      </c>
      <c r="G68" s="160" t="s">
        <v>30</v>
      </c>
      <c r="H68" s="289">
        <f>+IF($H$65="A",IF($H$75&lt;25,VLOOKUP($H$66,Sheet1!$A$3:$C$15,2,0),VLOOKUP($H$66,Sheet1!$A$3:$C$15,2,0)*2),IF($H$75&lt;25,(VLOOKUP($H$66,Sheet1!$A$3:$C$15,3,0)),2*(VLOOKUP($H$66,Sheet1!$A$3:$C$15,3,0))))</f>
        <v>970</v>
      </c>
      <c r="I68" s="159" t="s">
        <v>0</v>
      </c>
      <c r="J68" s="460" t="s">
        <v>340</v>
      </c>
      <c r="K68" s="460"/>
      <c r="M68" s="280"/>
    </row>
    <row r="69" spans="1:18" ht="15" customHeight="1">
      <c r="A69" s="276"/>
      <c r="B69" s="159" t="s">
        <v>315</v>
      </c>
      <c r="G69" s="160" t="s">
        <v>30</v>
      </c>
      <c r="H69" s="285">
        <v>30</v>
      </c>
      <c r="I69" s="159" t="s">
        <v>0</v>
      </c>
      <c r="J69" s="310" t="str">
        <f>IF(ISBLANK(H69),"TYPE INPUT VALUE",IF(ISNUMBER(H69),"","TYPE NUMBER"))</f>
        <v/>
      </c>
      <c r="K69" s="310"/>
      <c r="M69" s="280"/>
    </row>
    <row r="70" spans="1:18" ht="15" customHeight="1">
      <c r="A70" s="276"/>
      <c r="B70" s="159" t="s">
        <v>316</v>
      </c>
      <c r="G70" s="160" t="s">
        <v>30</v>
      </c>
      <c r="H70" s="290">
        <v>240</v>
      </c>
      <c r="I70" s="280" t="s">
        <v>317</v>
      </c>
      <c r="J70" s="283" t="str">
        <f>IF(ISBLANK(H70),"TYPE INPUT VALUE",IF(ISNUMBER(H70),"","TYPE NUMBER"))</f>
        <v/>
      </c>
      <c r="M70" s="280"/>
      <c r="P70" s="158"/>
      <c r="Q70" s="158"/>
      <c r="R70" s="158"/>
    </row>
    <row r="71" spans="1:18" ht="15" customHeight="1">
      <c r="A71" s="276"/>
      <c r="B71" s="136"/>
      <c r="H71" s="134"/>
      <c r="I71" s="135"/>
      <c r="J71" s="308"/>
      <c r="K71" s="307"/>
      <c r="M71" s="280"/>
    </row>
    <row r="72" spans="1:18" ht="15" hidden="1" customHeight="1">
      <c r="A72" s="276"/>
      <c r="B72" s="187" t="s">
        <v>306</v>
      </c>
      <c r="H72" s="467" t="s">
        <v>307</v>
      </c>
      <c r="I72" s="467"/>
      <c r="J72" s="467"/>
      <c r="K72" s="307"/>
      <c r="M72" s="280"/>
    </row>
    <row r="73" spans="1:18" ht="15" hidden="1" customHeight="1">
      <c r="A73" s="276"/>
      <c r="B73" s="187" t="s">
        <v>308</v>
      </c>
      <c r="H73" s="468" t="s">
        <v>309</v>
      </c>
      <c r="I73" s="468"/>
      <c r="J73" s="468"/>
      <c r="K73" s="307"/>
      <c r="M73" s="280"/>
    </row>
    <row r="74" spans="1:18" ht="15" customHeight="1">
      <c r="A74" s="276"/>
      <c r="B74" s="187"/>
      <c r="M74" s="280"/>
    </row>
    <row r="75" spans="1:18" ht="15" customHeight="1">
      <c r="A75" s="276"/>
      <c r="B75" s="187" t="s">
        <v>310</v>
      </c>
      <c r="H75" s="282">
        <v>20</v>
      </c>
      <c r="I75" s="159" t="s">
        <v>234</v>
      </c>
      <c r="M75" s="280"/>
    </row>
    <row r="76" spans="1:18" ht="15" customHeight="1">
      <c r="A76" s="276"/>
      <c r="B76" s="187"/>
      <c r="L76" s="159"/>
    </row>
    <row r="77" spans="1:18" ht="15" customHeight="1">
      <c r="A77" s="277" t="s">
        <v>324</v>
      </c>
      <c r="B77" s="278" t="s">
        <v>332</v>
      </c>
      <c r="D77" s="159" t="s">
        <v>342</v>
      </c>
      <c r="J77" s="292"/>
      <c r="M77" s="280"/>
    </row>
    <row r="78" spans="1:18" ht="15" customHeight="1">
      <c r="A78" s="276"/>
      <c r="B78" s="159" t="s">
        <v>318</v>
      </c>
      <c r="F78" s="170" t="s">
        <v>319</v>
      </c>
      <c r="G78" s="160" t="s">
        <v>30</v>
      </c>
      <c r="H78" s="297">
        <v>100.2</v>
      </c>
      <c r="I78" s="159" t="s">
        <v>234</v>
      </c>
      <c r="J78" s="291" t="str">
        <f>IF(ISBLANK(H78),"TYPE INPUT VALUE",IF(ISNUMBER(H78),"","TYPE NUMBER"))</f>
        <v/>
      </c>
      <c r="M78" s="280"/>
    </row>
    <row r="79" spans="1:18" ht="15" customHeight="1">
      <c r="A79" s="276"/>
      <c r="B79" s="159" t="s">
        <v>320</v>
      </c>
      <c r="F79" s="170" t="s">
        <v>319</v>
      </c>
      <c r="G79" s="160" t="s">
        <v>30</v>
      </c>
      <c r="H79" s="297">
        <v>100</v>
      </c>
      <c r="I79" s="159" t="s">
        <v>234</v>
      </c>
      <c r="J79" s="291" t="str">
        <f>IF(ISBLANK(H79),"TYPE INPUT VALUE",IF(ISNUMBER(H79),"","TYPE NUMBER"))</f>
        <v/>
      </c>
      <c r="M79" s="280"/>
    </row>
    <row r="80" spans="1:18" ht="15" customHeight="1">
      <c r="A80" s="276"/>
      <c r="B80" s="280" t="s">
        <v>334</v>
      </c>
      <c r="G80" s="160" t="s">
        <v>30</v>
      </c>
      <c r="H80" s="298">
        <f>+(H78-H82)*1000-H69</f>
        <v>2170.0000000000027</v>
      </c>
      <c r="I80" s="159" t="s">
        <v>0</v>
      </c>
      <c r="J80" s="291" t="str">
        <f>IF(ISBLANK(H80),"TYPE INPUT VALUE",IF(ISNUMBER(H80),"","TYPE NUMBER"))</f>
        <v/>
      </c>
      <c r="K80" s="299"/>
      <c r="L80" s="295"/>
      <c r="M80" s="280"/>
    </row>
    <row r="81" spans="1:13" ht="15" customHeight="1">
      <c r="A81" s="276"/>
      <c r="B81" s="280" t="s">
        <v>501</v>
      </c>
      <c r="G81" s="160" t="s">
        <v>30</v>
      </c>
      <c r="H81" s="298">
        <f>((H80-H37-Flexure!G160/2)+(H80-H37-Flexure!G160-Flexure!G174/2))/2</f>
        <v>2100.0000000000027</v>
      </c>
      <c r="I81" s="159" t="s">
        <v>0</v>
      </c>
      <c r="J81" s="291" t="str">
        <f>+IF(H80&lt;(H68+50+25),"REVISE HEIGHT OF PILECAP"," ")</f>
        <v xml:space="preserve"> </v>
      </c>
      <c r="K81" s="299"/>
      <c r="L81" s="295"/>
      <c r="M81" s="280"/>
    </row>
    <row r="82" spans="1:13" ht="15" customHeight="1">
      <c r="A82" s="300"/>
      <c r="B82" s="254" t="s">
        <v>333</v>
      </c>
      <c r="C82" s="301"/>
      <c r="D82" s="302"/>
      <c r="E82" s="197"/>
      <c r="F82" s="296" t="s">
        <v>319</v>
      </c>
      <c r="G82" s="199" t="s">
        <v>30</v>
      </c>
      <c r="H82" s="297">
        <v>98</v>
      </c>
      <c r="I82" s="197" t="s">
        <v>234</v>
      </c>
      <c r="J82" s="197"/>
      <c r="K82" s="264"/>
      <c r="M82" s="280"/>
    </row>
    <row r="83" spans="1:13" ht="15" customHeight="1">
      <c r="A83" s="276"/>
      <c r="B83" s="280" t="s">
        <v>335</v>
      </c>
      <c r="G83" s="160" t="s">
        <v>30</v>
      </c>
      <c r="H83" s="297">
        <v>20.5</v>
      </c>
      <c r="I83" s="159" t="s">
        <v>234</v>
      </c>
      <c r="J83" s="291"/>
      <c r="K83" s="299"/>
      <c r="L83" s="295"/>
      <c r="M83" s="280"/>
    </row>
    <row r="84" spans="1:13" ht="15" customHeight="1">
      <c r="A84" s="276"/>
      <c r="B84" s="187" t="s">
        <v>336</v>
      </c>
      <c r="G84" s="160" t="s">
        <v>30</v>
      </c>
      <c r="H84" s="297">
        <v>12</v>
      </c>
      <c r="I84" s="159" t="s">
        <v>234</v>
      </c>
      <c r="L84" s="159"/>
    </row>
    <row r="85" spans="1:13" ht="15" customHeight="1">
      <c r="A85" s="276"/>
      <c r="B85" s="187"/>
      <c r="H85" s="297"/>
      <c r="L85" s="159"/>
    </row>
    <row r="86" spans="1:13" ht="15" customHeight="1">
      <c r="A86" s="277" t="s">
        <v>343</v>
      </c>
      <c r="B86" s="278" t="s">
        <v>344</v>
      </c>
      <c r="L86" s="159"/>
    </row>
    <row r="87" spans="1:13" ht="15" customHeight="1">
      <c r="A87" s="277"/>
      <c r="B87" s="159" t="s">
        <v>518</v>
      </c>
      <c r="H87" s="444" t="s">
        <v>510</v>
      </c>
      <c r="L87" s="159"/>
    </row>
    <row r="88" spans="1:13" ht="15" customHeight="1">
      <c r="A88" s="277"/>
      <c r="B88" s="159" t="s">
        <v>378</v>
      </c>
      <c r="H88" s="444" t="s">
        <v>497</v>
      </c>
      <c r="L88" s="159"/>
    </row>
    <row r="89" spans="1:13" ht="15" customHeight="1">
      <c r="A89" s="276"/>
      <c r="B89" s="117" t="s">
        <v>229</v>
      </c>
      <c r="C89" s="117"/>
      <c r="D89" s="117"/>
      <c r="E89" s="117"/>
      <c r="F89" s="117"/>
      <c r="H89" s="444">
        <v>500</v>
      </c>
      <c r="I89" s="117" t="s">
        <v>0</v>
      </c>
      <c r="J89" s="461"/>
      <c r="K89" s="462"/>
      <c r="L89" s="159"/>
    </row>
    <row r="90" spans="1:13" ht="15" customHeight="1">
      <c r="A90" s="276"/>
      <c r="B90" s="117" t="s">
        <v>230</v>
      </c>
      <c r="C90" s="117"/>
      <c r="D90" s="117"/>
      <c r="E90" s="117"/>
      <c r="F90" s="117"/>
      <c r="H90" s="347">
        <f>VLOOKUP(H87,'Pile Capacities'!M10:V16,2,FALSE)</f>
        <v>19.100000000000001</v>
      </c>
      <c r="I90" s="117" t="s">
        <v>234</v>
      </c>
      <c r="J90" s="461"/>
      <c r="K90" s="462"/>
      <c r="L90" s="159"/>
    </row>
    <row r="91" spans="1:13" ht="15" customHeight="1">
      <c r="A91" s="276"/>
      <c r="B91" s="117" t="s">
        <v>346</v>
      </c>
      <c r="C91" s="117"/>
      <c r="D91" s="117"/>
      <c r="E91" s="117"/>
      <c r="F91" s="117"/>
      <c r="H91" s="444" t="s">
        <v>376</v>
      </c>
      <c r="I91" s="117"/>
      <c r="J91" s="461"/>
      <c r="K91" s="462"/>
      <c r="L91" s="159"/>
    </row>
    <row r="92" spans="1:13" ht="15" customHeight="1">
      <c r="A92" s="276"/>
      <c r="B92" s="117" t="s">
        <v>345</v>
      </c>
      <c r="C92" s="117"/>
      <c r="D92" s="117"/>
      <c r="E92" s="117"/>
      <c r="F92" s="117"/>
      <c r="H92" s="347">
        <f>IF(H89=500,VLOOKUP(H90,'Pile Capacities'!N10:O16,2,FALSE),'Pile Capacities'!P10)</f>
        <v>1950</v>
      </c>
      <c r="I92" s="117" t="s">
        <v>102</v>
      </c>
      <c r="J92" s="461"/>
      <c r="K92" s="462"/>
      <c r="L92" s="159"/>
    </row>
    <row r="93" spans="1:13" ht="15" customHeight="1">
      <c r="A93" s="276"/>
      <c r="B93" s="117" t="s">
        <v>347</v>
      </c>
      <c r="C93" s="117"/>
      <c r="D93" s="117"/>
      <c r="E93" s="117"/>
      <c r="F93" s="117"/>
      <c r="H93" s="347">
        <f>IF(H89=500,IF(Input!H88="3d",VLOOKUP(Input!H90,'Pile Capacities'!N10:V16,4,FALSE),IF(H88="4d",VLOOKUP(H90,'Pile Capacities'!N10:V16,5,FALSE),VLOOKUP(Input!H90,'Pile Capacities'!N10:V16,6,FALSE))),IF(Input!H88="3d",VLOOKUP(Input!H90,'Pile Capacities'!N10:V16,7,FALSE),IF(H88="4d",VLOOKUP(H90,'Pile Capacities'!N10:V16,8,FALSE),VLOOKUP(Input!H90,'Pile Capacities'!N10:V16,9,FALSE))))</f>
        <v>374.36</v>
      </c>
      <c r="I93" s="117" t="s">
        <v>102</v>
      </c>
      <c r="J93" s="461"/>
      <c r="K93" s="462"/>
      <c r="L93" s="159"/>
    </row>
    <row r="94" spans="1:13" ht="15" customHeight="1">
      <c r="A94" s="276"/>
      <c r="B94" s="117"/>
      <c r="C94" s="117"/>
      <c r="D94" s="117"/>
      <c r="E94" s="117"/>
      <c r="F94" s="117"/>
      <c r="H94" s="117"/>
      <c r="I94" s="117"/>
      <c r="J94" s="117"/>
      <c r="K94" s="132"/>
      <c r="L94" s="159"/>
    </row>
    <row r="95" spans="1:13" ht="15" customHeight="1">
      <c r="A95" s="276"/>
      <c r="B95" s="117" t="s">
        <v>233</v>
      </c>
      <c r="C95" s="117"/>
      <c r="D95" s="117"/>
      <c r="E95" s="117"/>
      <c r="F95" s="117"/>
      <c r="H95" s="152">
        <v>75</v>
      </c>
      <c r="I95" s="117"/>
      <c r="J95" s="117"/>
      <c r="K95" s="132"/>
      <c r="L95" s="159"/>
    </row>
    <row r="96" spans="1:13" ht="15" customHeight="1">
      <c r="A96" s="276"/>
      <c r="B96" s="187"/>
      <c r="L96" s="159"/>
    </row>
  </sheetData>
  <protectedRanges>
    <protectedRange password="C78C" sqref="J59:J64 J71:J76 H72:I76 H86:I86 J84:J96 H96:I96 I87:I95" name="Range1"/>
  </protectedRanges>
  <dataConsolidate/>
  <mergeCells count="28">
    <mergeCell ref="J89:K93"/>
    <mergeCell ref="J37:K37"/>
    <mergeCell ref="J40:K41"/>
    <mergeCell ref="J42:K42"/>
    <mergeCell ref="I44:K45"/>
    <mergeCell ref="B52:K53"/>
    <mergeCell ref="H72:J72"/>
    <mergeCell ref="H73:J73"/>
    <mergeCell ref="J68:K68"/>
    <mergeCell ref="J57:K60"/>
    <mergeCell ref="B50:F51"/>
    <mergeCell ref="H50:H51"/>
    <mergeCell ref="J33:K33"/>
    <mergeCell ref="A6:K6"/>
    <mergeCell ref="I9:K9"/>
    <mergeCell ref="I10:K10"/>
    <mergeCell ref="I11:K11"/>
    <mergeCell ref="I12:K12"/>
    <mergeCell ref="I13:K13"/>
    <mergeCell ref="I14:K14"/>
    <mergeCell ref="J19:K20"/>
    <mergeCell ref="I22:J22"/>
    <mergeCell ref="J23:K24"/>
    <mergeCell ref="C5:D5"/>
    <mergeCell ref="J5:K5"/>
    <mergeCell ref="J3:K3"/>
    <mergeCell ref="C4:D4"/>
    <mergeCell ref="J4:K4"/>
  </mergeCells>
  <dataValidations count="6">
    <dataValidation type="list" allowBlank="1" showInputMessage="1" showErrorMessage="1" sqref="H50:H51">
      <formula1>"0,0.1"</formula1>
    </dataValidation>
    <dataValidation type="list" allowBlank="1" showInputMessage="1" showErrorMessage="1" sqref="H65">
      <formula1>"A,B"</formula1>
    </dataValidation>
    <dataValidation type="list" allowBlank="1" showInputMessage="1" showErrorMessage="1" sqref="H89">
      <formula1>"500,800"</formula1>
    </dataValidation>
    <dataValidation type="list" allowBlank="1" showInputMessage="1" showErrorMessage="1" sqref="H91">
      <formula1>"Type I,Type II,TypeIII"</formula1>
    </dataValidation>
    <dataValidation type="list" allowBlank="1" showInputMessage="1" showErrorMessage="1" sqref="H87">
      <formula1>"I,II,IIIa,IIIb,IV,V,VI"</formula1>
    </dataValidation>
    <dataValidation type="list" allowBlank="1" showInputMessage="1" showErrorMessage="1" sqref="H88">
      <formula1>"3d,4d,&gt;=6d"</formula1>
    </dataValidation>
  </dataValidations>
  <pageMargins left="0.23622047244094491" right="0" top="0.15748031496062992" bottom="0.15748031496062992" header="0.11811023622047245" footer="0.11811023622047245"/>
  <pageSetup paperSize="9" scale="79" orientation="portrait" r:id="rId1"/>
  <headerFooter alignWithMargins="0">
    <oddHeader>&amp;L                                                                                                                                                                                               &amp;R&amp;"Arial,Regular"&amp;10Page &amp;P of &amp;N</oddHeader>
  </headerFooter>
  <rowBreaks count="1" manualBreakCount="1">
    <brk id="53" max="16383" man="1"/>
  </rowBreaks>
  <colBreaks count="1" manualBreakCount="1">
    <brk id="11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Sheet1!$A$3:$A$15</xm:f>
          </x14:formula1>
          <xm:sqref>H66</xm:sqref>
        </x14:dataValidation>
        <x14:dataValidation type="list" allowBlank="1" showInputMessage="1" showErrorMessage="1">
          <x14:formula1>
            <xm:f>Sheet1!$A$47:$A$59</xm:f>
          </x14:formula1>
          <xm:sqref>H21</xm:sqref>
        </x14:dataValidation>
        <x14:dataValidation type="list" allowBlank="1" showInputMessage="1" showErrorMessage="1">
          <x14:formula1>
            <xm:f>[2]Exposure!#REF!</xm:f>
          </x14:formula1>
          <xm:sqref>H15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F76"/>
  <sheetViews>
    <sheetView topLeftCell="A46" workbookViewId="0">
      <selection activeCell="AB40" sqref="AB40"/>
    </sheetView>
  </sheetViews>
  <sheetFormatPr defaultRowHeight="15.75"/>
  <cols>
    <col min="1" max="16384" width="9.140625" style="201"/>
  </cols>
  <sheetData>
    <row r="2" spans="1:3">
      <c r="A2" s="305" t="s">
        <v>326</v>
      </c>
      <c r="B2" s="201" t="s">
        <v>327</v>
      </c>
      <c r="C2" s="201" t="s">
        <v>328</v>
      </c>
    </row>
    <row r="3" spans="1:3">
      <c r="A3" s="306">
        <v>16</v>
      </c>
      <c r="B3" s="305">
        <v>337</v>
      </c>
      <c r="C3" s="201">
        <v>340</v>
      </c>
    </row>
    <row r="4" spans="1:3">
      <c r="A4" s="306">
        <v>20</v>
      </c>
      <c r="B4" s="305">
        <v>440</v>
      </c>
      <c r="C4" s="201">
        <v>443</v>
      </c>
    </row>
    <row r="5" spans="1:3">
      <c r="A5" s="306">
        <v>24</v>
      </c>
      <c r="B5" s="305">
        <v>450</v>
      </c>
      <c r="C5" s="201">
        <v>450</v>
      </c>
    </row>
    <row r="6" spans="1:3">
      <c r="A6" s="306">
        <v>30</v>
      </c>
      <c r="B6" s="305">
        <v>457</v>
      </c>
      <c r="C6" s="201">
        <v>461</v>
      </c>
    </row>
    <row r="7" spans="1:3">
      <c r="A7" s="306">
        <v>36</v>
      </c>
      <c r="B7" s="305">
        <v>566</v>
      </c>
      <c r="C7" s="201">
        <v>570</v>
      </c>
    </row>
    <row r="8" spans="1:3">
      <c r="A8" s="306">
        <v>42</v>
      </c>
      <c r="B8" s="305">
        <v>575</v>
      </c>
      <c r="C8" s="201">
        <v>580</v>
      </c>
    </row>
    <row r="9" spans="1:3">
      <c r="A9" s="306">
        <v>48</v>
      </c>
      <c r="B9" s="305">
        <v>585</v>
      </c>
      <c r="C9" s="201">
        <v>590</v>
      </c>
    </row>
    <row r="10" spans="1:3">
      <c r="A10" s="306">
        <v>56</v>
      </c>
      <c r="B10" s="305">
        <v>700</v>
      </c>
      <c r="C10" s="201">
        <v>805</v>
      </c>
    </row>
    <row r="11" spans="1:3">
      <c r="A11" s="306">
        <v>64</v>
      </c>
      <c r="B11" s="305">
        <v>810</v>
      </c>
      <c r="C11" s="201">
        <v>815</v>
      </c>
    </row>
    <row r="12" spans="1:3">
      <c r="A12" s="306">
        <v>72</v>
      </c>
      <c r="B12" s="305">
        <v>820</v>
      </c>
      <c r="C12" s="201">
        <v>825</v>
      </c>
    </row>
    <row r="13" spans="1:3">
      <c r="A13" s="306">
        <v>80</v>
      </c>
      <c r="B13" s="305">
        <v>845</v>
      </c>
      <c r="C13" s="201">
        <v>845</v>
      </c>
    </row>
    <row r="14" spans="1:3">
      <c r="A14" s="306">
        <v>90</v>
      </c>
      <c r="B14" s="305">
        <v>950</v>
      </c>
      <c r="C14" s="201">
        <v>960</v>
      </c>
    </row>
    <row r="15" spans="1:3">
      <c r="A15" s="306">
        <v>100</v>
      </c>
      <c r="B15" s="305">
        <v>970</v>
      </c>
      <c r="C15" s="201">
        <v>980</v>
      </c>
    </row>
    <row r="36" spans="1:6">
      <c r="A36" s="509" t="s">
        <v>475</v>
      </c>
      <c r="B36" s="420" t="s">
        <v>476</v>
      </c>
      <c r="C36" s="421"/>
      <c r="D36" s="422"/>
      <c r="E36" s="422"/>
      <c r="F36" s="422"/>
    </row>
    <row r="37" spans="1:6">
      <c r="A37" s="510"/>
      <c r="B37" s="423"/>
      <c r="C37" s="423"/>
      <c r="D37" s="424"/>
      <c r="E37" s="424"/>
      <c r="F37" s="424"/>
    </row>
    <row r="38" spans="1:6">
      <c r="A38" s="511"/>
      <c r="B38" s="425" t="s">
        <v>242</v>
      </c>
      <c r="C38" s="425" t="s">
        <v>245</v>
      </c>
      <c r="D38" s="425" t="s">
        <v>248</v>
      </c>
      <c r="E38" s="425" t="s">
        <v>251</v>
      </c>
      <c r="F38" s="425" t="s">
        <v>254</v>
      </c>
    </row>
    <row r="39" spans="1:6">
      <c r="A39" s="426" t="s">
        <v>477</v>
      </c>
      <c r="B39" s="426">
        <v>15</v>
      </c>
      <c r="C39" s="426">
        <v>20</v>
      </c>
      <c r="D39" s="426">
        <v>20</v>
      </c>
      <c r="E39" s="426">
        <v>10</v>
      </c>
      <c r="F39" s="426">
        <v>10</v>
      </c>
    </row>
    <row r="40" spans="1:6">
      <c r="A40" s="426" t="s">
        <v>478</v>
      </c>
      <c r="B40" s="426">
        <v>20</v>
      </c>
      <c r="C40" s="426">
        <v>25</v>
      </c>
      <c r="D40" s="426">
        <v>25</v>
      </c>
      <c r="E40" s="426">
        <v>10</v>
      </c>
      <c r="F40" s="426">
        <v>10</v>
      </c>
    </row>
    <row r="41" spans="1:6">
      <c r="A41" s="426" t="s">
        <v>479</v>
      </c>
      <c r="B41" s="426">
        <v>25</v>
      </c>
      <c r="C41" s="426">
        <v>30</v>
      </c>
      <c r="D41" s="426">
        <v>30</v>
      </c>
      <c r="E41" s="426">
        <v>10</v>
      </c>
      <c r="F41" s="426">
        <v>10</v>
      </c>
    </row>
    <row r="42" spans="1:6">
      <c r="A42" s="426" t="s">
        <v>260</v>
      </c>
      <c r="B42" s="426">
        <v>30</v>
      </c>
      <c r="C42" s="426">
        <v>35</v>
      </c>
      <c r="D42" s="426">
        <v>35</v>
      </c>
      <c r="E42" s="426">
        <v>10</v>
      </c>
      <c r="F42" s="426">
        <v>10</v>
      </c>
    </row>
    <row r="43" spans="1:6">
      <c r="A43" s="426" t="s">
        <v>480</v>
      </c>
      <c r="B43" s="426">
        <v>35</v>
      </c>
      <c r="C43" s="426">
        <v>40</v>
      </c>
      <c r="D43" s="426">
        <v>40</v>
      </c>
      <c r="E43" s="426">
        <v>15</v>
      </c>
      <c r="F43" s="426">
        <v>15</v>
      </c>
    </row>
    <row r="44" spans="1:6">
      <c r="A44" s="427" t="s">
        <v>481</v>
      </c>
      <c r="B44" s="427">
        <v>40</v>
      </c>
      <c r="C44" s="427">
        <v>45</v>
      </c>
      <c r="D44" s="427">
        <v>45</v>
      </c>
      <c r="E44" s="427">
        <v>20</v>
      </c>
      <c r="F44" s="427">
        <v>20</v>
      </c>
    </row>
    <row r="47" spans="1:6">
      <c r="A47" s="416" t="s">
        <v>273</v>
      </c>
      <c r="B47" s="428">
        <v>12</v>
      </c>
    </row>
    <row r="48" spans="1:6">
      <c r="A48" s="416" t="s">
        <v>482</v>
      </c>
      <c r="B48" s="428">
        <v>20</v>
      </c>
    </row>
    <row r="49" spans="1:3">
      <c r="A49" s="429" t="s">
        <v>483</v>
      </c>
      <c r="B49" s="428">
        <v>25</v>
      </c>
    </row>
    <row r="50" spans="1:3">
      <c r="A50" s="416" t="s">
        <v>266</v>
      </c>
      <c r="B50" s="428">
        <v>30</v>
      </c>
    </row>
    <row r="51" spans="1:3">
      <c r="A51" s="416" t="s">
        <v>484</v>
      </c>
      <c r="B51" s="428">
        <v>35</v>
      </c>
    </row>
    <row r="52" spans="1:3">
      <c r="A52" s="430" t="s">
        <v>485</v>
      </c>
      <c r="B52" s="428">
        <v>40</v>
      </c>
    </row>
    <row r="53" spans="1:3">
      <c r="A53" s="430" t="s">
        <v>486</v>
      </c>
      <c r="B53" s="428">
        <v>45</v>
      </c>
    </row>
    <row r="54" spans="1:3">
      <c r="A54" s="430" t="s">
        <v>487</v>
      </c>
      <c r="B54" s="431">
        <v>50</v>
      </c>
    </row>
    <row r="55" spans="1:3">
      <c r="A55" s="430" t="s">
        <v>488</v>
      </c>
      <c r="B55" s="431">
        <v>55</v>
      </c>
    </row>
    <row r="56" spans="1:3">
      <c r="A56" s="430" t="s">
        <v>489</v>
      </c>
      <c r="B56" s="431">
        <v>60</v>
      </c>
    </row>
    <row r="57" spans="1:3">
      <c r="A57" s="430" t="s">
        <v>490</v>
      </c>
      <c r="B57" s="431">
        <v>70</v>
      </c>
    </row>
    <row r="58" spans="1:3">
      <c r="A58" s="430" t="s">
        <v>491</v>
      </c>
      <c r="B58" s="431">
        <v>80</v>
      </c>
    </row>
    <row r="59" spans="1:3">
      <c r="A59" s="430" t="s">
        <v>492</v>
      </c>
      <c r="B59" s="431">
        <v>90</v>
      </c>
    </row>
    <row r="62" spans="1:3" ht="17.25">
      <c r="A62" s="432" t="s">
        <v>5</v>
      </c>
      <c r="B62" s="432" t="s">
        <v>493</v>
      </c>
      <c r="C62" s="432" t="s">
        <v>494</v>
      </c>
    </row>
    <row r="63" spans="1:3">
      <c r="A63" s="432">
        <v>12</v>
      </c>
      <c r="B63" s="433">
        <v>3.5000000000000001E-3</v>
      </c>
      <c r="C63" s="432">
        <v>1.6</v>
      </c>
    </row>
    <row r="64" spans="1:3">
      <c r="A64" s="432">
        <v>16</v>
      </c>
      <c r="B64" s="433">
        <v>3.5000000000000001E-3</v>
      </c>
      <c r="C64" s="432">
        <v>1.9</v>
      </c>
    </row>
    <row r="65" spans="1:3">
      <c r="A65" s="432">
        <v>20</v>
      </c>
      <c r="B65" s="433">
        <v>3.5000000000000001E-3</v>
      </c>
      <c r="C65" s="432">
        <v>2.2000000000000002</v>
      </c>
    </row>
    <row r="66" spans="1:3">
      <c r="A66" s="432">
        <v>25</v>
      </c>
      <c r="B66" s="433">
        <v>3.5000000000000001E-3</v>
      </c>
      <c r="C66" s="432">
        <v>2.6</v>
      </c>
    </row>
    <row r="67" spans="1:3">
      <c r="A67" s="432">
        <v>30</v>
      </c>
      <c r="B67" s="433">
        <v>3.5000000000000001E-3</v>
      </c>
      <c r="C67" s="432">
        <v>2.9</v>
      </c>
    </row>
    <row r="68" spans="1:3">
      <c r="A68" s="432">
        <v>35</v>
      </c>
      <c r="B68" s="433">
        <v>3.5000000000000001E-3</v>
      </c>
      <c r="C68" s="432">
        <v>3.2</v>
      </c>
    </row>
    <row r="69" spans="1:3">
      <c r="A69" s="432">
        <v>40</v>
      </c>
      <c r="B69" s="433">
        <v>3.5000000000000001E-3</v>
      </c>
      <c r="C69" s="432">
        <v>3.5</v>
      </c>
    </row>
    <row r="70" spans="1:3">
      <c r="A70" s="432">
        <v>45</v>
      </c>
      <c r="B70" s="433">
        <v>3.5000000000000001E-3</v>
      </c>
      <c r="C70" s="432">
        <v>3.8</v>
      </c>
    </row>
    <row r="71" spans="1:3">
      <c r="A71" s="432">
        <v>50</v>
      </c>
      <c r="B71" s="433">
        <v>3.5000000000000001E-3</v>
      </c>
      <c r="C71" s="432">
        <v>4.0999999999999996</v>
      </c>
    </row>
    <row r="72" spans="1:3">
      <c r="A72" s="432">
        <v>55</v>
      </c>
      <c r="B72" s="433">
        <v>3.0999999999999999E-3</v>
      </c>
      <c r="C72" s="432">
        <v>4.2</v>
      </c>
    </row>
    <row r="73" spans="1:3">
      <c r="A73" s="432">
        <v>60</v>
      </c>
      <c r="B73" s="433">
        <v>2.8999999999999998E-3</v>
      </c>
      <c r="C73" s="432">
        <v>4.4000000000000004</v>
      </c>
    </row>
    <row r="74" spans="1:3">
      <c r="A74" s="432">
        <v>70</v>
      </c>
      <c r="B74" s="433">
        <v>2.7000000000000001E-3</v>
      </c>
      <c r="C74" s="432">
        <v>4.5999999999999996</v>
      </c>
    </row>
    <row r="75" spans="1:3">
      <c r="A75" s="432">
        <v>80</v>
      </c>
      <c r="B75" s="433">
        <v>2.5999999999999999E-3</v>
      </c>
      <c r="C75" s="432">
        <v>4.8</v>
      </c>
    </row>
    <row r="76" spans="1:3">
      <c r="A76" s="432">
        <v>90</v>
      </c>
      <c r="B76" s="433">
        <v>2.5999999999999999E-3</v>
      </c>
      <c r="C76" s="432">
        <v>5</v>
      </c>
    </row>
  </sheetData>
  <mergeCells count="1">
    <mergeCell ref="A36:A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75"/>
  <sheetViews>
    <sheetView view="pageBreakPreview" zoomScaleNormal="90" zoomScaleSheetLayoutView="100" workbookViewId="0">
      <selection activeCell="H27" sqref="H27"/>
    </sheetView>
  </sheetViews>
  <sheetFormatPr defaultRowHeight="14.25"/>
  <cols>
    <col min="1" max="2" width="9.140625" style="91"/>
    <col min="3" max="3" width="52.85546875" style="91" bestFit="1" customWidth="1"/>
    <col min="4" max="5" width="9.140625" style="91"/>
    <col min="6" max="6" width="9.7109375" style="91" bestFit="1" customWidth="1"/>
    <col min="7" max="10" width="9.140625" style="91"/>
    <col min="11" max="11" width="11.7109375" style="91" customWidth="1"/>
    <col min="12" max="16384" width="9.140625" style="91"/>
  </cols>
  <sheetData>
    <row r="1" spans="1:34" s="167" customFormat="1" ht="24" customHeight="1">
      <c r="A1" s="312"/>
      <c r="B1" s="313"/>
      <c r="C1" s="313"/>
      <c r="D1" s="313"/>
      <c r="E1" s="313"/>
      <c r="F1" s="313"/>
      <c r="G1" s="314"/>
      <c r="H1" s="313"/>
      <c r="I1" s="313"/>
      <c r="J1" s="313"/>
      <c r="K1" s="315"/>
      <c r="L1" s="161"/>
      <c r="M1" s="163"/>
      <c r="N1" s="163"/>
      <c r="O1" s="164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6"/>
      <c r="AH1" s="166"/>
    </row>
    <row r="2" spans="1:34" s="159" customFormat="1" ht="15" customHeight="1">
      <c r="A2" s="316"/>
      <c r="B2" s="158"/>
      <c r="C2" s="317"/>
      <c r="D2" s="158"/>
      <c r="E2" s="158"/>
      <c r="F2" s="158"/>
      <c r="G2" s="294"/>
      <c r="H2" s="158"/>
      <c r="I2" s="158"/>
      <c r="J2" s="158"/>
      <c r="K2" s="303"/>
      <c r="L2" s="16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</row>
    <row r="3" spans="1:34" s="159" customFormat="1" ht="15" customHeight="1">
      <c r="A3" s="316" t="s">
        <v>126</v>
      </c>
      <c r="B3" s="158"/>
      <c r="C3" s="158" t="s">
        <v>339</v>
      </c>
      <c r="D3" s="158"/>
      <c r="E3" s="158"/>
      <c r="F3" s="158"/>
      <c r="G3" s="294"/>
      <c r="H3" s="158"/>
      <c r="I3" s="304" t="s">
        <v>125</v>
      </c>
      <c r="J3" s="477">
        <v>43196</v>
      </c>
      <c r="K3" s="478"/>
      <c r="L3" s="172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</row>
    <row r="4" spans="1:34" s="159" customFormat="1" ht="15" customHeight="1">
      <c r="A4" s="316" t="s">
        <v>337</v>
      </c>
      <c r="B4" s="158"/>
      <c r="C4" s="448" t="s">
        <v>34</v>
      </c>
      <c r="D4" s="448"/>
      <c r="E4" s="158"/>
      <c r="F4" s="158"/>
      <c r="G4" s="294"/>
      <c r="H4" s="158"/>
      <c r="I4" s="304" t="s">
        <v>338</v>
      </c>
      <c r="J4" s="479" t="s">
        <v>34</v>
      </c>
      <c r="K4" s="480"/>
      <c r="L4" s="172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Z4" s="171"/>
      <c r="AA4" s="171"/>
      <c r="AB4" s="171"/>
      <c r="AC4" s="171"/>
      <c r="AD4" s="171"/>
      <c r="AE4" s="171"/>
      <c r="AF4" s="171"/>
    </row>
    <row r="5" spans="1:34" s="159" customFormat="1" ht="15" customHeight="1">
      <c r="A5" s="316" t="s">
        <v>130</v>
      </c>
      <c r="B5" s="158"/>
      <c r="C5" s="448" t="s">
        <v>34</v>
      </c>
      <c r="D5" s="448"/>
      <c r="E5" s="158"/>
      <c r="F5" s="158"/>
      <c r="G5" s="294"/>
      <c r="H5" s="158"/>
      <c r="I5" s="318" t="s">
        <v>131</v>
      </c>
      <c r="J5" s="481" t="s">
        <v>34</v>
      </c>
      <c r="K5" s="482"/>
      <c r="L5" s="172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Z5" s="171"/>
      <c r="AA5" s="171"/>
      <c r="AB5" s="171"/>
      <c r="AC5" s="171"/>
      <c r="AD5" s="171"/>
      <c r="AE5" s="171"/>
      <c r="AF5" s="171"/>
    </row>
    <row r="6" spans="1:34" s="159" customFormat="1" ht="27" customHeight="1">
      <c r="A6" s="475" t="s">
        <v>329</v>
      </c>
      <c r="B6" s="455"/>
      <c r="C6" s="455"/>
      <c r="D6" s="455"/>
      <c r="E6" s="455"/>
      <c r="F6" s="455"/>
      <c r="G6" s="455"/>
      <c r="H6" s="455"/>
      <c r="I6" s="455"/>
      <c r="J6" s="455"/>
      <c r="K6" s="476"/>
      <c r="L6" s="16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Z6" s="171"/>
      <c r="AA6" s="171"/>
      <c r="AB6" s="171"/>
      <c r="AC6" s="171"/>
      <c r="AD6" s="171"/>
      <c r="AE6" s="171"/>
      <c r="AF6" s="171"/>
    </row>
    <row r="7" spans="1:34">
      <c r="A7" s="153"/>
      <c r="B7" s="117"/>
      <c r="C7" s="117"/>
      <c r="D7" s="117"/>
      <c r="E7" s="117"/>
      <c r="F7" s="117"/>
      <c r="G7" s="117"/>
      <c r="H7" s="117"/>
      <c r="I7" s="117"/>
      <c r="J7" s="117"/>
      <c r="K7" s="326" t="s">
        <v>350</v>
      </c>
    </row>
    <row r="8" spans="1:34">
      <c r="A8" s="153" t="s">
        <v>231</v>
      </c>
      <c r="B8" s="117"/>
      <c r="C8" s="117"/>
      <c r="D8" s="117"/>
      <c r="E8" s="117"/>
      <c r="F8" s="117"/>
      <c r="G8" s="117"/>
      <c r="H8" s="117"/>
      <c r="I8" s="117"/>
      <c r="J8" s="117"/>
      <c r="K8" s="132"/>
    </row>
    <row r="9" spans="1:34">
      <c r="A9" s="153"/>
      <c r="B9" s="117"/>
      <c r="C9" s="117"/>
      <c r="D9" s="117"/>
      <c r="E9" s="117"/>
      <c r="F9" s="117"/>
      <c r="G9" s="117"/>
      <c r="H9" s="117"/>
      <c r="I9" s="117"/>
      <c r="J9" s="117"/>
      <c r="K9" s="132"/>
    </row>
    <row r="10" spans="1:34">
      <c r="A10" s="319" t="s">
        <v>34</v>
      </c>
      <c r="B10" s="320"/>
      <c r="C10" s="320"/>
      <c r="D10" s="320" t="s">
        <v>64</v>
      </c>
      <c r="E10" s="320" t="s">
        <v>65</v>
      </c>
      <c r="F10" s="320" t="s">
        <v>64</v>
      </c>
      <c r="G10" s="320" t="s">
        <v>217</v>
      </c>
      <c r="H10" s="320"/>
      <c r="I10" s="320"/>
      <c r="J10" s="117"/>
      <c r="K10" s="132"/>
    </row>
    <row r="11" spans="1:34">
      <c r="A11" s="320" t="s">
        <v>34</v>
      </c>
      <c r="B11" s="320" t="s">
        <v>66</v>
      </c>
      <c r="C11" s="320" t="s">
        <v>39</v>
      </c>
      <c r="D11" s="320" t="s">
        <v>67</v>
      </c>
      <c r="E11" s="320" t="s">
        <v>68</v>
      </c>
      <c r="F11" s="320" t="s">
        <v>69</v>
      </c>
      <c r="G11" s="320" t="s">
        <v>218</v>
      </c>
      <c r="H11" s="320" t="s">
        <v>219</v>
      </c>
      <c r="I11" s="320" t="s">
        <v>220</v>
      </c>
      <c r="J11" s="117"/>
      <c r="K11" s="132"/>
    </row>
    <row r="12" spans="1:34">
      <c r="A12" s="320" t="s">
        <v>221</v>
      </c>
      <c r="B12" s="320">
        <v>129</v>
      </c>
      <c r="C12" s="344" t="s">
        <v>397</v>
      </c>
      <c r="D12" s="320">
        <v>17.695</v>
      </c>
      <c r="E12" s="320">
        <v>321.23099999999999</v>
      </c>
      <c r="F12" s="320">
        <v>-5.343</v>
      </c>
      <c r="G12" s="320">
        <v>0</v>
      </c>
      <c r="H12" s="320">
        <v>-0.02</v>
      </c>
      <c r="I12" s="320">
        <v>0</v>
      </c>
      <c r="K12" s="132"/>
      <c r="M12" s="309">
        <f>E12</f>
        <v>321.23099999999999</v>
      </c>
      <c r="N12" s="91">
        <f t="shared" ref="N12:N23" si="0">ABS(D12)</f>
        <v>17.695</v>
      </c>
      <c r="O12" s="91">
        <f t="shared" ref="O12:O23" si="1">ABS(F12)</f>
        <v>5.343</v>
      </c>
      <c r="Q12" s="353">
        <f>ROUND(SQRT(D12^2+F12^2),3)</f>
        <v>18.484000000000002</v>
      </c>
      <c r="R12" s="354">
        <f>E12</f>
        <v>321.23099999999999</v>
      </c>
    </row>
    <row r="13" spans="1:34">
      <c r="A13" s="320" t="s">
        <v>222</v>
      </c>
      <c r="B13" s="320">
        <v>64</v>
      </c>
      <c r="C13" s="344" t="s">
        <v>396</v>
      </c>
      <c r="D13" s="320">
        <v>-29.962</v>
      </c>
      <c r="E13" s="320">
        <v>294.93299999999999</v>
      </c>
      <c r="F13" s="320">
        <v>-25.948</v>
      </c>
      <c r="G13" s="320">
        <v>0</v>
      </c>
      <c r="H13" s="320">
        <v>-6.5000000000000002E-2</v>
      </c>
      <c r="I13" s="320">
        <v>0</v>
      </c>
      <c r="K13" s="132"/>
      <c r="M13" s="309">
        <f t="shared" ref="M13:M23" si="2">E13</f>
        <v>294.93299999999999</v>
      </c>
      <c r="N13" s="91">
        <f t="shared" si="0"/>
        <v>29.962</v>
      </c>
      <c r="O13" s="91">
        <f t="shared" si="1"/>
        <v>25.948</v>
      </c>
      <c r="Q13" s="353">
        <f>ROUND(SQRT(D13^2+F13^2),3)</f>
        <v>39.636000000000003</v>
      </c>
      <c r="R13" s="354">
        <f>E13</f>
        <v>294.93299999999999</v>
      </c>
    </row>
    <row r="14" spans="1:34">
      <c r="A14" s="320" t="s">
        <v>223</v>
      </c>
      <c r="B14" s="320">
        <v>206</v>
      </c>
      <c r="C14" s="344" t="s">
        <v>395</v>
      </c>
      <c r="D14" s="320">
        <v>-10.568</v>
      </c>
      <c r="E14" s="320">
        <v>760.69399999999996</v>
      </c>
      <c r="F14" s="320">
        <v>-7.9329999999999998</v>
      </c>
      <c r="G14" s="320">
        <v>0</v>
      </c>
      <c r="H14" s="320">
        <v>0.193</v>
      </c>
      <c r="I14" s="320">
        <v>0</v>
      </c>
      <c r="K14" s="132"/>
      <c r="M14" s="309">
        <f t="shared" si="2"/>
        <v>760.69399999999996</v>
      </c>
      <c r="N14" s="91">
        <f t="shared" si="0"/>
        <v>10.568</v>
      </c>
      <c r="O14" s="91">
        <f t="shared" si="1"/>
        <v>7.9329999999999998</v>
      </c>
      <c r="Q14" s="353"/>
      <c r="R14" s="354"/>
    </row>
    <row r="15" spans="1:34">
      <c r="A15" s="320" t="s">
        <v>224</v>
      </c>
      <c r="B15" s="320">
        <v>216</v>
      </c>
      <c r="C15" s="344" t="s">
        <v>525</v>
      </c>
      <c r="D15" s="320">
        <v>-10.355</v>
      </c>
      <c r="E15" s="320">
        <v>-143.017</v>
      </c>
      <c r="F15" s="320">
        <v>-4.3150000000000004</v>
      </c>
      <c r="G15" s="320">
        <v>0</v>
      </c>
      <c r="H15" s="320">
        <v>-0.16900000000000001</v>
      </c>
      <c r="I15" s="320">
        <v>0</v>
      </c>
      <c r="K15" s="132"/>
      <c r="M15" s="309">
        <f t="shared" si="2"/>
        <v>-143.017</v>
      </c>
      <c r="N15" s="91">
        <f t="shared" si="0"/>
        <v>10.355</v>
      </c>
      <c r="O15" s="91">
        <f t="shared" si="1"/>
        <v>4.3150000000000004</v>
      </c>
      <c r="Q15" s="353"/>
      <c r="R15" s="354"/>
    </row>
    <row r="16" spans="1:34">
      <c r="A16" s="320" t="s">
        <v>225</v>
      </c>
      <c r="B16" s="320">
        <v>176</v>
      </c>
      <c r="C16" s="344" t="s">
        <v>526</v>
      </c>
      <c r="D16" s="320">
        <v>-1.0509999999999999</v>
      </c>
      <c r="E16" s="320">
        <v>35.302</v>
      </c>
      <c r="F16" s="320">
        <v>13.454000000000001</v>
      </c>
      <c r="G16" s="320">
        <v>0</v>
      </c>
      <c r="H16" s="320">
        <v>-3.6999999999999998E-2</v>
      </c>
      <c r="I16" s="320">
        <v>0</v>
      </c>
      <c r="K16" s="132"/>
      <c r="M16" s="309">
        <f t="shared" si="2"/>
        <v>35.302</v>
      </c>
      <c r="N16" s="91">
        <f t="shared" si="0"/>
        <v>1.0509999999999999</v>
      </c>
      <c r="O16" s="91">
        <f t="shared" si="1"/>
        <v>13.454000000000001</v>
      </c>
      <c r="Q16" s="353">
        <f>ROUND(SQRT(D16^2+F16^2),3)</f>
        <v>13.494999999999999</v>
      </c>
      <c r="R16" s="354">
        <f>E16</f>
        <v>35.302</v>
      </c>
    </row>
    <row r="17" spans="1:18">
      <c r="A17" s="320" t="s">
        <v>226</v>
      </c>
      <c r="B17" s="320">
        <v>161</v>
      </c>
      <c r="C17" s="344" t="s">
        <v>398</v>
      </c>
      <c r="D17" s="320">
        <v>-10.955</v>
      </c>
      <c r="E17" s="320">
        <v>399.30799999999999</v>
      </c>
      <c r="F17" s="320">
        <v>-44.941000000000003</v>
      </c>
      <c r="G17" s="320">
        <v>0</v>
      </c>
      <c r="H17" s="320">
        <v>-8.4000000000000005E-2</v>
      </c>
      <c r="I17" s="320">
        <v>0</v>
      </c>
      <c r="K17" s="132"/>
      <c r="M17" s="309">
        <f t="shared" si="2"/>
        <v>399.30799999999999</v>
      </c>
      <c r="N17" s="91">
        <f t="shared" si="0"/>
        <v>10.955</v>
      </c>
      <c r="O17" s="91">
        <f t="shared" si="1"/>
        <v>44.941000000000003</v>
      </c>
      <c r="Q17" s="353">
        <f>ROUND(SQRT(D17^2+F17^2),3)</f>
        <v>46.256999999999998</v>
      </c>
      <c r="R17" s="354">
        <f>E17</f>
        <v>399.30799999999999</v>
      </c>
    </row>
    <row r="18" spans="1:18">
      <c r="A18" s="320" t="s">
        <v>58</v>
      </c>
      <c r="B18" s="320">
        <v>35</v>
      </c>
      <c r="C18" s="344" t="s">
        <v>394</v>
      </c>
      <c r="D18" s="320">
        <v>-19.449000000000002</v>
      </c>
      <c r="E18" s="320">
        <v>167.27600000000001</v>
      </c>
      <c r="F18" s="320">
        <v>-5.34</v>
      </c>
      <c r="G18" s="320">
        <v>0</v>
      </c>
      <c r="H18" s="320">
        <v>2.1999999999999999E-2</v>
      </c>
      <c r="I18" s="320">
        <v>0</v>
      </c>
      <c r="J18" s="353"/>
      <c r="K18" s="354"/>
      <c r="M18" s="309">
        <f t="shared" si="2"/>
        <v>167.27600000000001</v>
      </c>
      <c r="N18" s="91">
        <f t="shared" si="0"/>
        <v>19.449000000000002</v>
      </c>
      <c r="O18" s="91">
        <f t="shared" si="1"/>
        <v>5.34</v>
      </c>
    </row>
    <row r="19" spans="1:18">
      <c r="A19" s="320" t="s">
        <v>59</v>
      </c>
      <c r="B19" s="320">
        <v>35</v>
      </c>
      <c r="C19" s="344" t="s">
        <v>394</v>
      </c>
      <c r="D19" s="320">
        <v>-19.449000000000002</v>
      </c>
      <c r="E19" s="320">
        <v>167.27600000000001</v>
      </c>
      <c r="F19" s="320">
        <v>-5.34</v>
      </c>
      <c r="G19" s="320">
        <v>0</v>
      </c>
      <c r="H19" s="320">
        <v>2.1999999999999999E-2</v>
      </c>
      <c r="I19" s="320">
        <v>0</v>
      </c>
      <c r="J19" s="117"/>
      <c r="K19" s="132"/>
      <c r="M19" s="309">
        <f t="shared" si="2"/>
        <v>167.27600000000001</v>
      </c>
      <c r="N19" s="91">
        <f t="shared" si="0"/>
        <v>19.449000000000002</v>
      </c>
      <c r="O19" s="91">
        <f t="shared" si="1"/>
        <v>5.34</v>
      </c>
    </row>
    <row r="20" spans="1:18">
      <c r="A20" s="320" t="s">
        <v>60</v>
      </c>
      <c r="B20" s="320">
        <v>226</v>
      </c>
      <c r="C20" s="344" t="s">
        <v>396</v>
      </c>
      <c r="D20" s="320">
        <v>-28.963999999999999</v>
      </c>
      <c r="E20" s="320">
        <v>173.11799999999999</v>
      </c>
      <c r="F20" s="320">
        <v>-25.553999999999998</v>
      </c>
      <c r="G20" s="320">
        <v>0</v>
      </c>
      <c r="H20" s="320">
        <v>0.80900000000000005</v>
      </c>
      <c r="I20" s="320">
        <v>0</v>
      </c>
      <c r="J20" s="117"/>
      <c r="K20" s="132"/>
      <c r="M20" s="309">
        <f t="shared" si="2"/>
        <v>173.11799999999999</v>
      </c>
      <c r="N20" s="91">
        <f t="shared" si="0"/>
        <v>28.963999999999999</v>
      </c>
      <c r="O20" s="91">
        <f t="shared" si="1"/>
        <v>25.553999999999998</v>
      </c>
    </row>
    <row r="21" spans="1:18">
      <c r="A21" s="320" t="s">
        <v>61</v>
      </c>
      <c r="B21" s="320">
        <v>196</v>
      </c>
      <c r="C21" s="344" t="s">
        <v>396</v>
      </c>
      <c r="D21" s="320">
        <v>-29.760999999999999</v>
      </c>
      <c r="E21" s="320">
        <v>555.471</v>
      </c>
      <c r="F21" s="320">
        <v>-26.349</v>
      </c>
      <c r="G21" s="320">
        <v>0</v>
      </c>
      <c r="H21" s="320">
        <v>-0.99099999999999999</v>
      </c>
      <c r="I21" s="320">
        <v>0</v>
      </c>
      <c r="J21" s="117"/>
      <c r="K21" s="132"/>
      <c r="M21" s="309">
        <f t="shared" si="2"/>
        <v>555.471</v>
      </c>
      <c r="N21" s="91">
        <f t="shared" si="0"/>
        <v>29.760999999999999</v>
      </c>
      <c r="O21" s="91">
        <f t="shared" si="1"/>
        <v>26.349</v>
      </c>
    </row>
    <row r="22" spans="1:18">
      <c r="A22" s="320" t="s">
        <v>227</v>
      </c>
      <c r="B22" s="320">
        <v>35</v>
      </c>
      <c r="C22" s="344" t="s">
        <v>394</v>
      </c>
      <c r="D22" s="320">
        <v>-19.449000000000002</v>
      </c>
      <c r="E22" s="320">
        <v>167.27600000000001</v>
      </c>
      <c r="F22" s="320">
        <v>-5.34</v>
      </c>
      <c r="G22" s="320">
        <v>0</v>
      </c>
      <c r="H22" s="320">
        <v>2.1999999999999999E-2</v>
      </c>
      <c r="I22" s="320">
        <v>0</v>
      </c>
      <c r="J22" s="117"/>
      <c r="K22" s="132"/>
      <c r="M22" s="309">
        <f t="shared" si="2"/>
        <v>167.27600000000001</v>
      </c>
      <c r="N22" s="91">
        <f t="shared" si="0"/>
        <v>19.449000000000002</v>
      </c>
      <c r="O22" s="91">
        <f t="shared" si="1"/>
        <v>5.34</v>
      </c>
    </row>
    <row r="23" spans="1:18">
      <c r="A23" s="320" t="s">
        <v>228</v>
      </c>
      <c r="B23" s="320">
        <v>35</v>
      </c>
      <c r="C23" s="344" t="s">
        <v>394</v>
      </c>
      <c r="D23" s="320">
        <v>-19.449000000000002</v>
      </c>
      <c r="E23" s="320">
        <v>167.27600000000001</v>
      </c>
      <c r="F23" s="320">
        <v>-5.34</v>
      </c>
      <c r="G23" s="320">
        <v>0</v>
      </c>
      <c r="H23" s="320">
        <v>2.1999999999999999E-2</v>
      </c>
      <c r="I23" s="320">
        <v>0</v>
      </c>
      <c r="J23" s="117"/>
      <c r="K23" s="132"/>
      <c r="M23" s="309">
        <f t="shared" si="2"/>
        <v>167.27600000000001</v>
      </c>
      <c r="N23" s="91">
        <f t="shared" si="0"/>
        <v>19.449000000000002</v>
      </c>
      <c r="O23" s="91">
        <f t="shared" si="1"/>
        <v>5.34</v>
      </c>
    </row>
    <row r="24" spans="1:18">
      <c r="A24" s="153"/>
      <c r="B24" s="350"/>
      <c r="C24" s="350"/>
      <c r="D24" s="350"/>
      <c r="E24" s="350"/>
      <c r="F24" s="350"/>
      <c r="G24" s="350"/>
      <c r="H24" s="117"/>
      <c r="I24" s="117"/>
      <c r="J24" s="117"/>
      <c r="K24" s="132"/>
    </row>
    <row r="25" spans="1:18">
      <c r="A25" s="153"/>
      <c r="B25" s="350"/>
      <c r="C25" s="350"/>
      <c r="D25" s="350"/>
      <c r="E25" s="350"/>
      <c r="F25" s="350"/>
      <c r="G25" s="350"/>
      <c r="H25" s="117"/>
      <c r="I25" s="117"/>
      <c r="J25" s="117"/>
      <c r="K25" s="132"/>
      <c r="M25" s="91">
        <f>MIN(M12:M23)</f>
        <v>-143.017</v>
      </c>
      <c r="N25" s="91">
        <f>VLOOKUP(M25,M12:O23,2,FALSE)</f>
        <v>10.355</v>
      </c>
      <c r="O25" s="91">
        <f>VLOOKUP(M25,M12:O23,3,FALSE)</f>
        <v>4.3150000000000004</v>
      </c>
      <c r="P25" s="353">
        <f>ROUND(SQRT(N25^2+O25^2),3)</f>
        <v>11.218</v>
      </c>
    </row>
    <row r="26" spans="1:18">
      <c r="A26" s="153"/>
      <c r="B26" s="321" t="s">
        <v>380</v>
      </c>
      <c r="C26" s="322"/>
      <c r="D26" s="322"/>
      <c r="E26" s="322"/>
      <c r="F26" s="324"/>
      <c r="G26" s="350"/>
      <c r="H26" s="350"/>
      <c r="I26" s="350"/>
      <c r="J26" s="350"/>
      <c r="K26" s="132"/>
    </row>
    <row r="27" spans="1:18">
      <c r="A27" s="153"/>
      <c r="B27" s="153"/>
      <c r="C27" s="350"/>
      <c r="D27" s="350"/>
      <c r="E27" s="350"/>
      <c r="F27" s="132"/>
      <c r="G27" s="350"/>
      <c r="H27" s="350"/>
      <c r="I27" s="350"/>
      <c r="J27" s="350"/>
      <c r="K27" s="132"/>
    </row>
    <row r="28" spans="1:18">
      <c r="A28" s="153"/>
      <c r="B28" s="153"/>
      <c r="C28" s="350" t="s">
        <v>232</v>
      </c>
      <c r="D28" s="350"/>
      <c r="E28" s="350">
        <f>MAX(E12:E23)</f>
        <v>760.69399999999996</v>
      </c>
      <c r="F28" s="132" t="s">
        <v>102</v>
      </c>
      <c r="G28" s="350"/>
      <c r="H28" s="350"/>
      <c r="I28" s="350"/>
      <c r="J28" s="350"/>
      <c r="K28" s="132"/>
    </row>
    <row r="29" spans="1:18" ht="14.25" hidden="1" customHeight="1">
      <c r="A29" s="153"/>
      <c r="B29" s="153"/>
      <c r="C29" s="350" t="s">
        <v>381</v>
      </c>
      <c r="D29" s="350"/>
      <c r="E29" s="350">
        <f>VLOOKUP(E28,M12:O23,2,FALSE)</f>
        <v>10.568</v>
      </c>
      <c r="F29" s="132" t="s">
        <v>102</v>
      </c>
      <c r="G29" s="350"/>
      <c r="H29" s="350"/>
      <c r="I29" s="350"/>
      <c r="J29" s="350"/>
      <c r="K29" s="132"/>
    </row>
    <row r="30" spans="1:18" ht="14.25" hidden="1" customHeight="1">
      <c r="A30" s="153"/>
      <c r="B30" s="153"/>
      <c r="C30" s="350" t="s">
        <v>382</v>
      </c>
      <c r="D30" s="350"/>
      <c r="E30" s="350">
        <f>VLOOKUP(E28,M12:O23,3,FALSE)</f>
        <v>7.9329999999999998</v>
      </c>
      <c r="F30" s="132" t="s">
        <v>102</v>
      </c>
      <c r="G30" s="350"/>
      <c r="H30" s="350"/>
      <c r="I30" s="350"/>
      <c r="J30" s="350"/>
      <c r="K30" s="132"/>
    </row>
    <row r="31" spans="1:18" ht="14.25" hidden="1" customHeight="1">
      <c r="A31" s="153"/>
      <c r="B31" s="380"/>
      <c r="C31" s="350" t="s">
        <v>412</v>
      </c>
      <c r="D31" s="350"/>
      <c r="E31" s="350">
        <f>ROUND(SQRT(E29^2+E30^2),3)</f>
        <v>13.214</v>
      </c>
      <c r="F31" s="132" t="s">
        <v>102</v>
      </c>
      <c r="G31" s="350"/>
      <c r="H31" s="350"/>
      <c r="I31" s="350"/>
      <c r="J31" s="350"/>
      <c r="K31" s="132"/>
    </row>
    <row r="32" spans="1:18">
      <c r="A32" s="380"/>
      <c r="B32" s="154"/>
      <c r="C32" s="155"/>
      <c r="D32" s="155"/>
      <c r="E32" s="155"/>
      <c r="F32" s="132"/>
      <c r="G32" s="350"/>
      <c r="H32" s="350"/>
      <c r="I32" s="350"/>
      <c r="J32" s="350"/>
      <c r="K32" s="132"/>
    </row>
    <row r="33" spans="1:14">
      <c r="A33" s="153"/>
      <c r="B33" s="321" t="s">
        <v>383</v>
      </c>
      <c r="C33" s="322"/>
      <c r="D33" s="322"/>
      <c r="E33" s="322"/>
      <c r="F33" s="324"/>
      <c r="G33" s="350"/>
      <c r="H33" s="350"/>
      <c r="I33" s="350"/>
      <c r="J33" s="350"/>
      <c r="K33" s="132"/>
    </row>
    <row r="34" spans="1:14">
      <c r="A34" s="153"/>
      <c r="B34" s="153"/>
      <c r="C34" s="350"/>
      <c r="D34" s="350"/>
      <c r="E34" s="350"/>
      <c r="F34" s="132"/>
      <c r="G34" s="350"/>
      <c r="H34" s="350"/>
      <c r="I34" s="350"/>
      <c r="J34" s="350"/>
      <c r="K34" s="132"/>
    </row>
    <row r="35" spans="1:14">
      <c r="A35" s="153"/>
      <c r="B35" s="153"/>
      <c r="C35" s="350" t="s">
        <v>384</v>
      </c>
      <c r="D35" s="350"/>
      <c r="E35" s="350">
        <f>IF(MIN(M12:M23)&gt;0,0,MIN(M12:M23))</f>
        <v>-143.017</v>
      </c>
      <c r="F35" s="132" t="s">
        <v>102</v>
      </c>
      <c r="G35" s="350"/>
      <c r="H35" s="350"/>
      <c r="I35" s="350"/>
      <c r="J35" s="350"/>
      <c r="K35" s="132"/>
      <c r="M35" s="350">
        <f>VLOOKUP(E35,M12:O23,2,FALSE)</f>
        <v>10.355</v>
      </c>
    </row>
    <row r="36" spans="1:14" ht="14.25" hidden="1" customHeight="1">
      <c r="A36" s="153"/>
      <c r="B36" s="153"/>
      <c r="C36" s="350" t="s">
        <v>381</v>
      </c>
      <c r="D36" s="350"/>
      <c r="E36" s="350">
        <f>IF(E35=0,0,VLOOKUP(E35,M12:O23,2,FALSE))</f>
        <v>10.355</v>
      </c>
      <c r="F36" s="132" t="s">
        <v>102</v>
      </c>
      <c r="G36" s="350"/>
      <c r="H36" s="350"/>
      <c r="I36" s="350"/>
      <c r="J36" s="350"/>
      <c r="K36" s="132"/>
      <c r="M36" s="155">
        <f>VLOOKUP(E35,M12:O23,3,FALSE)</f>
        <v>4.3150000000000004</v>
      </c>
    </row>
    <row r="37" spans="1:14" ht="14.25" hidden="1" customHeight="1">
      <c r="A37" s="153"/>
      <c r="B37" s="153"/>
      <c r="C37" s="350" t="s">
        <v>382</v>
      </c>
      <c r="D37" s="350"/>
      <c r="E37" s="350">
        <f>IF(E35=0,0,VLOOKUP(E35,M12:O23,3,FALSE))</f>
        <v>4.3150000000000004</v>
      </c>
      <c r="F37" s="132" t="s">
        <v>102</v>
      </c>
      <c r="G37" s="350"/>
      <c r="H37" s="350"/>
      <c r="I37" s="350"/>
      <c r="J37" s="350"/>
      <c r="K37" s="132"/>
    </row>
    <row r="38" spans="1:14" ht="14.25" hidden="1" customHeight="1">
      <c r="A38" s="153"/>
      <c r="B38" s="380"/>
      <c r="C38" s="350" t="s">
        <v>399</v>
      </c>
      <c r="D38" s="350"/>
      <c r="E38" s="350">
        <f>ROUND(SQRT(E36^2+E37^2),3)</f>
        <v>11.218</v>
      </c>
      <c r="F38" s="132" t="s">
        <v>102</v>
      </c>
      <c r="G38" s="350"/>
      <c r="H38" s="350"/>
      <c r="I38" s="350"/>
      <c r="J38" s="350"/>
      <c r="K38" s="132"/>
      <c r="M38" s="91">
        <f t="shared" ref="M38" si="3">ABS(D12)</f>
        <v>17.695</v>
      </c>
      <c r="N38" s="91">
        <f t="shared" ref="N38" si="4">E12</f>
        <v>321.23099999999999</v>
      </c>
    </row>
    <row r="39" spans="1:14">
      <c r="A39" s="380"/>
      <c r="B39" s="154"/>
      <c r="C39" s="155"/>
      <c r="D39" s="155"/>
      <c r="E39" s="155"/>
      <c r="F39" s="132"/>
      <c r="G39" s="350"/>
      <c r="H39" s="350"/>
      <c r="I39" s="350"/>
      <c r="J39" s="350"/>
      <c r="K39" s="132"/>
    </row>
    <row r="40" spans="1:14" ht="14.25" hidden="1" customHeight="1">
      <c r="A40" s="153"/>
      <c r="B40" s="321" t="s">
        <v>385</v>
      </c>
      <c r="C40" s="322"/>
      <c r="D40" s="322"/>
      <c r="E40" s="322"/>
      <c r="F40" s="324"/>
      <c r="G40" s="350"/>
      <c r="H40" s="350"/>
      <c r="I40" s="350"/>
      <c r="J40" s="350"/>
      <c r="K40" s="132"/>
      <c r="M40" s="91">
        <f t="shared" ref="M40:M50" si="5">ABS(D13)</f>
        <v>29.962</v>
      </c>
      <c r="N40" s="91">
        <f t="shared" ref="N40:N50" si="6">E13</f>
        <v>294.93299999999999</v>
      </c>
    </row>
    <row r="41" spans="1:14" ht="14.25" hidden="1" customHeight="1">
      <c r="A41" s="153"/>
      <c r="B41" s="153"/>
      <c r="C41" s="350" t="s">
        <v>401</v>
      </c>
      <c r="D41" s="350"/>
      <c r="E41" s="350">
        <f>MAX(Q12:Q13)</f>
        <v>39.636000000000003</v>
      </c>
      <c r="F41" s="132" t="s">
        <v>102</v>
      </c>
      <c r="G41" s="350"/>
      <c r="H41" s="350"/>
      <c r="I41" s="350"/>
      <c r="J41" s="350"/>
      <c r="K41" s="132"/>
      <c r="M41" s="91">
        <f t="shared" si="5"/>
        <v>10.568</v>
      </c>
      <c r="N41" s="91">
        <f t="shared" si="6"/>
        <v>760.69399999999996</v>
      </c>
    </row>
    <row r="42" spans="1:14" ht="14.25" hidden="1" customHeight="1">
      <c r="A42" s="153"/>
      <c r="B42" s="153"/>
      <c r="C42" s="350" t="s">
        <v>392</v>
      </c>
      <c r="D42" s="350"/>
      <c r="E42" s="350">
        <f>VLOOKUP(E41,Q12:R13,2,)</f>
        <v>294.93299999999999</v>
      </c>
      <c r="F42" s="132" t="s">
        <v>102</v>
      </c>
      <c r="G42" s="350"/>
      <c r="H42" s="350"/>
      <c r="I42" s="350"/>
      <c r="J42" s="350"/>
      <c r="K42" s="132"/>
      <c r="M42" s="91">
        <f t="shared" si="5"/>
        <v>10.355</v>
      </c>
      <c r="N42" s="91">
        <f t="shared" si="6"/>
        <v>-143.017</v>
      </c>
    </row>
    <row r="43" spans="1:14" ht="14.25" hidden="1" customHeight="1">
      <c r="A43" s="153"/>
      <c r="B43" s="153"/>
      <c r="C43" s="350" t="s">
        <v>402</v>
      </c>
      <c r="D43" s="350"/>
      <c r="E43" s="350">
        <f>MAX(Q16:Q17)</f>
        <v>46.256999999999998</v>
      </c>
      <c r="F43" s="132" t="s">
        <v>102</v>
      </c>
      <c r="G43" s="350"/>
      <c r="H43" s="350"/>
      <c r="I43" s="350"/>
      <c r="J43" s="350"/>
      <c r="K43" s="132"/>
      <c r="M43" s="91">
        <f t="shared" si="5"/>
        <v>1.0509999999999999</v>
      </c>
      <c r="N43" s="91">
        <f t="shared" si="6"/>
        <v>35.302</v>
      </c>
    </row>
    <row r="44" spans="1:14" ht="14.25" hidden="1" customHeight="1">
      <c r="A44" s="153"/>
      <c r="B44" s="153"/>
      <c r="C44" s="350" t="s">
        <v>392</v>
      </c>
      <c r="D44" s="350"/>
      <c r="E44" s="350">
        <f>VLOOKUP(E43,Q16:R17,2,)</f>
        <v>399.30799999999999</v>
      </c>
      <c r="F44" s="132" t="s">
        <v>102</v>
      </c>
      <c r="G44" s="350"/>
      <c r="H44" s="350"/>
      <c r="I44" s="350"/>
      <c r="J44" s="350"/>
      <c r="K44" s="132"/>
      <c r="M44" s="91">
        <f t="shared" si="5"/>
        <v>10.955</v>
      </c>
      <c r="N44" s="91">
        <f t="shared" si="6"/>
        <v>399.30799999999999</v>
      </c>
    </row>
    <row r="45" spans="1:14" ht="14.25" hidden="1" customHeight="1">
      <c r="A45" s="153"/>
      <c r="B45" s="154"/>
      <c r="C45" s="155"/>
      <c r="D45" s="155"/>
      <c r="E45" s="155"/>
      <c r="F45" s="132"/>
      <c r="G45" s="350"/>
      <c r="H45" s="350"/>
      <c r="I45" s="350"/>
      <c r="J45" s="350"/>
      <c r="K45" s="132"/>
      <c r="M45" s="91">
        <f t="shared" si="5"/>
        <v>19.449000000000002</v>
      </c>
      <c r="N45" s="91">
        <f t="shared" si="6"/>
        <v>167.27600000000001</v>
      </c>
    </row>
    <row r="46" spans="1:14">
      <c r="A46" s="153"/>
      <c r="B46" s="343" t="s">
        <v>354</v>
      </c>
      <c r="C46" s="342"/>
      <c r="D46" s="342"/>
      <c r="E46" s="340">
        <f>-(Input!H83*Input!H84*Input!H80/1000*10/Input!H95)</f>
        <v>-71.176000000000101</v>
      </c>
      <c r="F46" s="341" t="s">
        <v>102</v>
      </c>
      <c r="H46" s="350"/>
      <c r="I46" s="350"/>
      <c r="J46" s="350"/>
      <c r="K46" s="132"/>
      <c r="M46" s="91">
        <f t="shared" si="5"/>
        <v>19.449000000000002</v>
      </c>
      <c r="N46" s="91">
        <f t="shared" si="6"/>
        <v>167.27600000000001</v>
      </c>
    </row>
    <row r="47" spans="1:14">
      <c r="A47" s="153"/>
      <c r="B47" s="350"/>
      <c r="C47" s="350"/>
      <c r="D47" s="350"/>
      <c r="E47" s="350"/>
      <c r="F47" s="350"/>
      <c r="G47" s="350"/>
      <c r="H47" s="350"/>
      <c r="I47" s="350"/>
      <c r="J47" s="350"/>
      <c r="K47" s="132"/>
      <c r="M47" s="91">
        <f t="shared" si="5"/>
        <v>28.963999999999999</v>
      </c>
      <c r="N47" s="91">
        <f t="shared" si="6"/>
        <v>173.11799999999999</v>
      </c>
    </row>
    <row r="48" spans="1:14">
      <c r="A48" s="153"/>
      <c r="B48" s="350"/>
      <c r="C48" s="350"/>
      <c r="D48" s="350"/>
      <c r="E48" s="350"/>
      <c r="F48" s="350"/>
      <c r="G48" s="350"/>
      <c r="H48" s="350"/>
      <c r="I48" s="350"/>
      <c r="J48" s="350"/>
      <c r="K48" s="132"/>
      <c r="M48" s="91">
        <f t="shared" si="5"/>
        <v>29.760999999999999</v>
      </c>
      <c r="N48" s="91">
        <f t="shared" si="6"/>
        <v>555.471</v>
      </c>
    </row>
    <row r="49" spans="1:14">
      <c r="A49" s="153"/>
      <c r="B49" s="323" t="s">
        <v>386</v>
      </c>
      <c r="C49" s="350"/>
      <c r="D49" s="350"/>
      <c r="E49" s="350"/>
      <c r="F49" s="350"/>
      <c r="G49" s="350"/>
      <c r="H49" s="350"/>
      <c r="I49" s="350"/>
      <c r="J49" s="350"/>
      <c r="K49" s="132"/>
      <c r="M49" s="91">
        <f t="shared" si="5"/>
        <v>19.449000000000002</v>
      </c>
      <c r="N49" s="91">
        <f t="shared" si="6"/>
        <v>167.27600000000001</v>
      </c>
    </row>
    <row r="50" spans="1:14">
      <c r="A50" s="153"/>
      <c r="B50" s="350"/>
      <c r="C50" s="91" t="s">
        <v>413</v>
      </c>
      <c r="E50" s="379">
        <f>E28-ABS(E46)</f>
        <v>689.5179999999998</v>
      </c>
      <c r="F50" s="91" t="s">
        <v>102</v>
      </c>
      <c r="G50" s="350"/>
      <c r="H50" s="350"/>
      <c r="I50" s="350"/>
      <c r="J50" s="350"/>
      <c r="K50" s="132"/>
      <c r="M50" s="91">
        <f t="shared" si="5"/>
        <v>19.449000000000002</v>
      </c>
      <c r="N50" s="91">
        <f t="shared" si="6"/>
        <v>167.27600000000001</v>
      </c>
    </row>
    <row r="51" spans="1:14" ht="14.25" hidden="1" customHeight="1">
      <c r="A51" s="153"/>
      <c r="B51" s="350"/>
      <c r="C51" s="350" t="s">
        <v>387</v>
      </c>
      <c r="D51" s="350"/>
      <c r="E51" s="346">
        <f ca="1">'Pile Capacities'!G58</f>
        <v>82.370881118881101</v>
      </c>
      <c r="F51" s="350" t="s">
        <v>102</v>
      </c>
      <c r="G51" s="350"/>
      <c r="H51" s="350"/>
      <c r="I51" s="350"/>
      <c r="J51" s="350"/>
      <c r="K51" s="132"/>
    </row>
    <row r="52" spans="1:14">
      <c r="A52" s="153"/>
      <c r="B52" s="350"/>
      <c r="C52" s="350"/>
      <c r="D52" s="350"/>
      <c r="E52" s="350"/>
      <c r="F52" s="350"/>
      <c r="G52" s="350"/>
      <c r="H52" s="350"/>
      <c r="I52" s="350"/>
      <c r="J52" s="350"/>
      <c r="K52" s="132"/>
      <c r="M52" s="91">
        <f t="shared" ref="M52:M63" si="7">ABS(F12)</f>
        <v>5.343</v>
      </c>
      <c r="N52" s="91">
        <f t="shared" ref="N52:N63" si="8">E12</f>
        <v>321.23099999999999</v>
      </c>
    </row>
    <row r="53" spans="1:14">
      <c r="A53" s="153"/>
      <c r="B53" s="350"/>
      <c r="C53" s="350" t="s">
        <v>351</v>
      </c>
      <c r="D53" s="350"/>
      <c r="E53" s="325">
        <f>E28/Input!H92</f>
        <v>0.39009948717948717</v>
      </c>
      <c r="F53" s="323" t="str">
        <f>IF(E53&lt;1," &lt; 1 ,OK "," FAIL")</f>
        <v xml:space="preserve"> &lt; 1 ,OK </v>
      </c>
      <c r="G53" s="350"/>
      <c r="H53" s="350"/>
      <c r="I53" s="350"/>
      <c r="J53" s="350"/>
      <c r="K53" s="132"/>
      <c r="M53" s="91">
        <f t="shared" si="7"/>
        <v>25.948</v>
      </c>
      <c r="N53" s="91">
        <f t="shared" si="8"/>
        <v>294.93299999999999</v>
      </c>
    </row>
    <row r="54" spans="1:14" ht="14.25" hidden="1" customHeight="1">
      <c r="A54" s="153"/>
      <c r="B54" s="350"/>
      <c r="C54" s="350" t="s">
        <v>400</v>
      </c>
      <c r="D54" s="350"/>
      <c r="E54" s="325">
        <f ca="1">E31/E51</f>
        <v>0.16042076787947676</v>
      </c>
      <c r="F54" s="323" t="str">
        <f ca="1">IF(E54&lt;1," &lt; 1 ,OK "," FAIL")</f>
        <v xml:space="preserve"> &lt; 1 ,OK </v>
      </c>
      <c r="G54" s="350"/>
      <c r="H54" s="350"/>
      <c r="I54" s="350"/>
      <c r="J54" s="350"/>
      <c r="K54" s="132"/>
      <c r="M54" s="91">
        <f t="shared" si="7"/>
        <v>7.9329999999999998</v>
      </c>
      <c r="N54" s="91">
        <f t="shared" si="8"/>
        <v>760.69399999999996</v>
      </c>
    </row>
    <row r="55" spans="1:14">
      <c r="A55" s="153"/>
      <c r="B55" s="350"/>
      <c r="C55" s="350"/>
      <c r="D55" s="350"/>
      <c r="E55" s="350"/>
      <c r="F55" s="350"/>
      <c r="G55" s="350"/>
      <c r="H55" s="350"/>
      <c r="I55" s="350"/>
      <c r="J55" s="350"/>
      <c r="K55" s="132"/>
      <c r="M55" s="91">
        <f t="shared" si="7"/>
        <v>4.3150000000000004</v>
      </c>
      <c r="N55" s="91">
        <f t="shared" si="8"/>
        <v>-143.017</v>
      </c>
    </row>
    <row r="56" spans="1:14">
      <c r="A56" s="153"/>
      <c r="B56" s="350"/>
      <c r="C56" s="350"/>
      <c r="D56" s="350"/>
      <c r="E56" s="350"/>
      <c r="F56" s="350"/>
      <c r="G56" s="350"/>
      <c r="H56" s="350"/>
      <c r="I56" s="350"/>
      <c r="J56" s="350"/>
      <c r="K56" s="132"/>
      <c r="M56" s="91">
        <f t="shared" si="7"/>
        <v>13.454000000000001</v>
      </c>
      <c r="N56" s="91">
        <f t="shared" si="8"/>
        <v>35.302</v>
      </c>
    </row>
    <row r="57" spans="1:14">
      <c r="A57" s="153"/>
      <c r="B57" s="323" t="s">
        <v>389</v>
      </c>
      <c r="C57" s="350"/>
      <c r="D57" s="350"/>
      <c r="E57" s="350"/>
      <c r="F57" s="350"/>
      <c r="G57" s="350"/>
      <c r="H57" s="350"/>
      <c r="I57" s="350"/>
      <c r="J57" s="350"/>
      <c r="K57" s="132"/>
      <c r="M57" s="91">
        <f t="shared" si="7"/>
        <v>44.941000000000003</v>
      </c>
      <c r="N57" s="91">
        <f t="shared" si="8"/>
        <v>399.30799999999999</v>
      </c>
    </row>
    <row r="58" spans="1:14">
      <c r="A58" s="153"/>
      <c r="B58" s="350"/>
      <c r="C58" s="350"/>
      <c r="D58" s="350"/>
      <c r="E58" s="350"/>
      <c r="F58" s="350"/>
      <c r="G58" s="350"/>
      <c r="H58" s="350"/>
      <c r="I58" s="350"/>
      <c r="J58" s="350"/>
      <c r="K58" s="132"/>
      <c r="M58" s="91">
        <f t="shared" si="7"/>
        <v>5.34</v>
      </c>
      <c r="N58" s="91">
        <f t="shared" si="8"/>
        <v>167.27600000000001</v>
      </c>
    </row>
    <row r="59" spans="1:14">
      <c r="A59" s="153"/>
      <c r="B59" s="350"/>
      <c r="C59" s="350" t="s">
        <v>390</v>
      </c>
      <c r="D59" s="350"/>
      <c r="E59" s="346">
        <f>IF(E35=0,M25,E35)+E46</f>
        <v>-214.1930000000001</v>
      </c>
      <c r="F59" s="350" t="s">
        <v>102</v>
      </c>
      <c r="G59" s="350"/>
      <c r="H59" s="350"/>
      <c r="I59" s="350"/>
      <c r="J59" s="350"/>
      <c r="K59" s="132"/>
      <c r="M59" s="91">
        <f t="shared" si="7"/>
        <v>5.34</v>
      </c>
      <c r="N59" s="91">
        <f t="shared" si="8"/>
        <v>167.27600000000001</v>
      </c>
    </row>
    <row r="60" spans="1:14" ht="14.25" hidden="1" customHeight="1">
      <c r="A60" s="153"/>
      <c r="B60" s="350"/>
      <c r="C60" s="350" t="s">
        <v>375</v>
      </c>
      <c r="D60" s="350"/>
      <c r="E60" s="346">
        <f ca="1">'Pile Capacities'!G62</f>
        <v>27.006489999999992</v>
      </c>
      <c r="F60" s="350" t="s">
        <v>102</v>
      </c>
      <c r="G60" s="350"/>
      <c r="H60" s="350"/>
      <c r="I60" s="350"/>
      <c r="J60" s="350"/>
      <c r="K60" s="132"/>
      <c r="M60" s="91">
        <f t="shared" si="7"/>
        <v>25.553999999999998</v>
      </c>
      <c r="N60" s="91">
        <f t="shared" si="8"/>
        <v>173.11799999999999</v>
      </c>
    </row>
    <row r="61" spans="1:14">
      <c r="A61" s="153"/>
      <c r="B61" s="350"/>
      <c r="C61" s="350"/>
      <c r="D61" s="350"/>
      <c r="E61" s="346"/>
      <c r="F61" s="350"/>
      <c r="G61" s="350"/>
      <c r="H61" s="350"/>
      <c r="I61" s="350"/>
      <c r="J61" s="350"/>
      <c r="K61" s="132"/>
      <c r="M61" s="91">
        <f t="shared" si="7"/>
        <v>26.349</v>
      </c>
      <c r="N61" s="91">
        <f t="shared" si="8"/>
        <v>555.471</v>
      </c>
    </row>
    <row r="62" spans="1:14">
      <c r="A62" s="153"/>
      <c r="B62" s="350"/>
      <c r="C62" s="350" t="s">
        <v>352</v>
      </c>
      <c r="D62" s="350"/>
      <c r="E62" s="325">
        <f>ABS(E59)/Input!H93</f>
        <v>0.57215781600598381</v>
      </c>
      <c r="F62" s="323" t="str">
        <f>IF(E62&lt;1," &lt; 1 ,OK "," FAIL")</f>
        <v xml:space="preserve"> &lt; 1 ,OK </v>
      </c>
      <c r="G62" s="350"/>
      <c r="H62" s="350"/>
      <c r="I62" s="350"/>
      <c r="J62" s="350"/>
      <c r="K62" s="132"/>
      <c r="M62" s="91">
        <f t="shared" si="7"/>
        <v>5.34</v>
      </c>
      <c r="N62" s="91">
        <f t="shared" si="8"/>
        <v>167.27600000000001</v>
      </c>
    </row>
    <row r="63" spans="1:14" ht="14.25" hidden="1" customHeight="1">
      <c r="A63" s="153"/>
      <c r="B63" s="350"/>
      <c r="C63" s="350" t="s">
        <v>400</v>
      </c>
      <c r="D63" s="350"/>
      <c r="E63" s="325">
        <f ca="1">IF(E35=0,P25,E38)/E60</f>
        <v>0.4153816360437807</v>
      </c>
      <c r="F63" s="323" t="str">
        <f ca="1">IF(E63&lt;1," &lt; 1 ,OK "," FAIL")</f>
        <v xml:space="preserve"> &lt; 1 ,OK </v>
      </c>
      <c r="G63" s="350"/>
      <c r="H63" s="350"/>
      <c r="I63" s="350"/>
      <c r="J63" s="350"/>
      <c r="K63" s="132"/>
      <c r="M63" s="91">
        <f t="shared" si="7"/>
        <v>5.34</v>
      </c>
      <c r="N63" s="91">
        <f t="shared" si="8"/>
        <v>167.27600000000001</v>
      </c>
    </row>
    <row r="64" spans="1:14">
      <c r="A64" s="153"/>
      <c r="B64" s="350"/>
      <c r="C64" s="350"/>
      <c r="D64" s="350"/>
      <c r="E64" s="325"/>
      <c r="F64" s="323"/>
      <c r="G64" s="350"/>
      <c r="H64" s="350"/>
      <c r="I64" s="350"/>
      <c r="J64" s="350"/>
      <c r="K64" s="132"/>
    </row>
    <row r="65" spans="1:11">
      <c r="A65" s="153"/>
      <c r="B65" s="350"/>
      <c r="C65" s="350"/>
      <c r="D65" s="350"/>
      <c r="E65" s="350"/>
      <c r="F65" s="350"/>
      <c r="G65" s="350"/>
      <c r="H65" s="350"/>
      <c r="I65" s="350"/>
      <c r="J65" s="350"/>
      <c r="K65" s="132"/>
    </row>
    <row r="66" spans="1:11" hidden="1">
      <c r="A66" s="153"/>
      <c r="B66" s="350"/>
      <c r="C66" s="350"/>
      <c r="D66" s="350"/>
      <c r="E66" s="350"/>
      <c r="F66" s="350"/>
      <c r="G66" s="350"/>
      <c r="H66" s="350"/>
      <c r="I66" s="350"/>
      <c r="J66" s="350"/>
      <c r="K66" s="132"/>
    </row>
    <row r="67" spans="1:11" hidden="1">
      <c r="A67" s="153"/>
      <c r="B67" s="323" t="s">
        <v>391</v>
      </c>
      <c r="C67" s="350"/>
      <c r="D67" s="350"/>
      <c r="E67" s="350"/>
      <c r="F67" s="350"/>
      <c r="G67" s="350"/>
      <c r="H67" s="350"/>
      <c r="I67" s="350"/>
      <c r="J67" s="350"/>
      <c r="K67" s="132"/>
    </row>
    <row r="68" spans="1:11" hidden="1">
      <c r="A68" s="153"/>
      <c r="B68" s="350"/>
      <c r="C68" s="350"/>
      <c r="D68" s="350"/>
      <c r="E68" s="350"/>
      <c r="F68" s="350"/>
      <c r="G68" s="350"/>
      <c r="H68" s="350"/>
      <c r="I68" s="350"/>
      <c r="J68" s="350"/>
      <c r="K68" s="132"/>
    </row>
    <row r="69" spans="1:11" ht="28.5" hidden="1">
      <c r="A69" s="153"/>
      <c r="B69" s="350"/>
      <c r="C69" s="331" t="s">
        <v>403</v>
      </c>
      <c r="D69" s="350"/>
      <c r="E69" s="346">
        <f ca="1">'Pile Capacities'!G66</f>
        <v>63.328370370370365</v>
      </c>
      <c r="F69" s="350" t="s">
        <v>102</v>
      </c>
      <c r="G69" s="350"/>
      <c r="H69" s="350"/>
      <c r="I69" s="350"/>
      <c r="J69" s="350"/>
      <c r="K69" s="132"/>
    </row>
    <row r="70" spans="1:11" hidden="1">
      <c r="A70" s="153"/>
      <c r="B70" s="350"/>
      <c r="C70" s="350" t="s">
        <v>404</v>
      </c>
      <c r="D70" s="350"/>
      <c r="E70" s="325">
        <f ca="1">E41/E69</f>
        <v>0.62588062456356242</v>
      </c>
      <c r="F70" s="323" t="str">
        <f ca="1">IF(E70&lt;1," &lt; 1 ,OK "," FAIL")</f>
        <v xml:space="preserve"> &lt; 1 ,OK </v>
      </c>
      <c r="G70" s="350"/>
      <c r="H70" s="350"/>
      <c r="I70" s="350"/>
      <c r="J70" s="350"/>
      <c r="K70" s="132"/>
    </row>
    <row r="71" spans="1:11" hidden="1">
      <c r="A71" s="153"/>
      <c r="B71" s="350"/>
      <c r="C71" s="350"/>
      <c r="D71" s="350"/>
      <c r="E71" s="350"/>
      <c r="F71" s="350"/>
      <c r="G71" s="350"/>
      <c r="H71" s="350"/>
      <c r="I71" s="350"/>
      <c r="J71" s="350"/>
      <c r="K71" s="132"/>
    </row>
    <row r="72" spans="1:11" ht="28.5" hidden="1">
      <c r="A72" s="153"/>
      <c r="B72" s="350"/>
      <c r="C72" s="331" t="s">
        <v>405</v>
      </c>
      <c r="D72" s="350"/>
      <c r="E72" s="346">
        <f ca="1">'Pile Capacities'!G70</f>
        <v>71.059851851851846</v>
      </c>
      <c r="F72" s="350" t="s">
        <v>102</v>
      </c>
      <c r="G72" s="350"/>
      <c r="H72" s="350"/>
      <c r="I72" s="350"/>
      <c r="J72" s="350"/>
      <c r="K72" s="132"/>
    </row>
    <row r="73" spans="1:11" hidden="1">
      <c r="A73" s="153"/>
      <c r="B73" s="350"/>
      <c r="C73" s="350" t="s">
        <v>404</v>
      </c>
      <c r="D73" s="350"/>
      <c r="E73" s="325">
        <f ca="1">E43/E72</f>
        <v>0.65095829493760082</v>
      </c>
      <c r="F73" s="323" t="str">
        <f ca="1">IF(E73&lt;1," &lt; 1 ,OK "," FAIL")</f>
        <v xml:space="preserve"> &lt; 1 ,OK </v>
      </c>
      <c r="G73" s="350"/>
      <c r="H73" s="350"/>
      <c r="I73" s="350"/>
      <c r="J73" s="350"/>
      <c r="K73" s="132"/>
    </row>
    <row r="74" spans="1:11">
      <c r="A74" s="153"/>
      <c r="B74" s="350"/>
      <c r="C74" s="350"/>
      <c r="D74" s="350"/>
      <c r="E74" s="350"/>
      <c r="F74" s="350"/>
      <c r="G74" s="350"/>
      <c r="H74" s="350"/>
      <c r="I74" s="350"/>
      <c r="J74" s="350"/>
      <c r="K74" s="132"/>
    </row>
    <row r="75" spans="1:11">
      <c r="A75" s="154"/>
      <c r="B75" s="155"/>
      <c r="C75" s="155"/>
      <c r="D75" s="155"/>
      <c r="E75" s="155"/>
      <c r="F75" s="155"/>
      <c r="G75" s="155"/>
      <c r="H75" s="155"/>
      <c r="I75" s="155"/>
      <c r="J75" s="155"/>
      <c r="K75" s="156"/>
    </row>
  </sheetData>
  <mergeCells count="6">
    <mergeCell ref="A6:K6"/>
    <mergeCell ref="J3:K3"/>
    <mergeCell ref="C4:D4"/>
    <mergeCell ref="J4:K4"/>
    <mergeCell ref="C5:D5"/>
    <mergeCell ref="J5:K5"/>
  </mergeCells>
  <pageMargins left="1.299212598425197" right="0.70866141732283472" top="0.74803149606299213" bottom="0.74803149606299213" header="0.31496062992125984" footer="0.31496062992125984"/>
  <pageSetup paperSize="9" scale="6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R66"/>
  <sheetViews>
    <sheetView view="pageBreakPreview" topLeftCell="A19" zoomScale="70" zoomScaleNormal="80" zoomScaleSheetLayoutView="70" workbookViewId="0">
      <selection activeCell="A47" sqref="A47:K64"/>
    </sheetView>
  </sheetViews>
  <sheetFormatPr defaultRowHeight="14.25"/>
  <cols>
    <col min="1" max="2" width="9.140625" style="91"/>
    <col min="3" max="3" width="47.42578125" style="91" bestFit="1" customWidth="1"/>
    <col min="4" max="4" width="18" style="91" bestFit="1" customWidth="1"/>
    <col min="5" max="5" width="17.85546875" style="91" bestFit="1" customWidth="1"/>
    <col min="6" max="7" width="20.140625" style="91" bestFit="1" customWidth="1"/>
    <col min="8" max="8" width="21.7109375" style="91" bestFit="1" customWidth="1"/>
    <col min="9" max="9" width="19.5703125" style="91" bestFit="1" customWidth="1"/>
    <col min="10" max="10" width="20.28515625" style="91" bestFit="1" customWidth="1"/>
    <col min="11" max="11" width="14.5703125" style="91" bestFit="1" customWidth="1"/>
    <col min="12" max="12" width="10.140625" style="91" bestFit="1" customWidth="1"/>
    <col min="13" max="13" width="9.85546875" style="91" bestFit="1" customWidth="1"/>
    <col min="14" max="14" width="10.140625" style="91" bestFit="1" customWidth="1"/>
    <col min="15" max="15" width="9.85546875" style="91" bestFit="1" customWidth="1"/>
    <col min="16" max="16384" width="9.140625" style="91"/>
  </cols>
  <sheetData>
    <row r="1" spans="1:15">
      <c r="A1" s="117"/>
      <c r="B1" s="117"/>
      <c r="C1" s="117"/>
      <c r="D1" s="118"/>
      <c r="E1" s="118"/>
      <c r="F1" s="483"/>
      <c r="G1" s="483"/>
      <c r="H1" s="483"/>
      <c r="I1" s="483"/>
      <c r="J1" s="483"/>
      <c r="K1" s="483"/>
      <c r="L1" s="117"/>
      <c r="M1" s="117"/>
    </row>
    <row r="2" spans="1:15" ht="18">
      <c r="A2" s="119" t="s">
        <v>523</v>
      </c>
      <c r="B2" s="120"/>
      <c r="C2" s="120"/>
      <c r="M2" s="117"/>
    </row>
    <row r="3" spans="1:15" ht="15" customHeight="1">
      <c r="A3" s="121" t="s">
        <v>34</v>
      </c>
      <c r="B3" s="122"/>
      <c r="C3" s="122"/>
      <c r="D3" s="123" t="s">
        <v>35</v>
      </c>
      <c r="E3" s="123"/>
      <c r="F3" s="123" t="s">
        <v>36</v>
      </c>
      <c r="G3" s="123"/>
      <c r="H3" s="124"/>
      <c r="I3" s="123" t="s">
        <v>37</v>
      </c>
      <c r="J3" s="123"/>
      <c r="K3" s="123"/>
      <c r="L3" s="484" t="s">
        <v>70</v>
      </c>
      <c r="M3" s="485"/>
      <c r="N3" s="485"/>
      <c r="O3" s="486"/>
    </row>
    <row r="4" spans="1:15">
      <c r="A4" s="125" t="s">
        <v>34</v>
      </c>
      <c r="B4" s="122" t="s">
        <v>38</v>
      </c>
      <c r="C4" s="122" t="s">
        <v>39</v>
      </c>
      <c r="D4" s="126" t="s">
        <v>40</v>
      </c>
      <c r="E4" s="126" t="s">
        <v>41</v>
      </c>
      <c r="F4" s="126" t="s">
        <v>42</v>
      </c>
      <c r="G4" s="126" t="s">
        <v>43</v>
      </c>
      <c r="H4" s="126" t="s">
        <v>44</v>
      </c>
      <c r="I4" s="127" t="s">
        <v>45</v>
      </c>
      <c r="J4" s="127" t="s">
        <v>46</v>
      </c>
      <c r="K4" s="126" t="s">
        <v>47</v>
      </c>
      <c r="L4" s="124" t="s">
        <v>71</v>
      </c>
      <c r="M4" s="124" t="s">
        <v>72</v>
      </c>
      <c r="N4" s="124" t="s">
        <v>73</v>
      </c>
      <c r="O4" s="124" t="s">
        <v>74</v>
      </c>
    </row>
    <row r="5" spans="1:15">
      <c r="A5" s="127" t="s">
        <v>48</v>
      </c>
      <c r="B5" s="122">
        <v>541</v>
      </c>
      <c r="C5" s="122" t="s">
        <v>527</v>
      </c>
      <c r="D5" s="122">
        <v>1.042</v>
      </c>
      <c r="E5" s="122">
        <v>-0.19600000000000001</v>
      </c>
      <c r="F5" s="122">
        <v>-3.2000000000000001E-2</v>
      </c>
      <c r="G5" s="122">
        <v>0</v>
      </c>
      <c r="H5" s="122">
        <v>5.0000000000000001E-3</v>
      </c>
      <c r="I5" s="127">
        <v>-106.444</v>
      </c>
      <c r="J5" s="127">
        <v>-130.333</v>
      </c>
      <c r="K5" s="122">
        <v>457.62900000000002</v>
      </c>
      <c r="L5" s="128">
        <f>I5+K5</f>
        <v>351.185</v>
      </c>
      <c r="M5" s="128">
        <f>I5-K5</f>
        <v>-564.07299999999998</v>
      </c>
      <c r="N5" s="128">
        <f>J5+K5</f>
        <v>327.29600000000005</v>
      </c>
      <c r="O5" s="129">
        <f>J5-K5</f>
        <v>-587.96199999999999</v>
      </c>
    </row>
    <row r="6" spans="1:15">
      <c r="A6" s="127" t="s">
        <v>49</v>
      </c>
      <c r="B6" s="122">
        <v>541</v>
      </c>
      <c r="C6" s="122" t="s">
        <v>528</v>
      </c>
      <c r="D6" s="122">
        <v>-1.1719999999999999</v>
      </c>
      <c r="E6" s="122">
        <v>0.30599999999999999</v>
      </c>
      <c r="F6" s="122">
        <v>0.03</v>
      </c>
      <c r="G6" s="122">
        <v>0</v>
      </c>
      <c r="H6" s="122">
        <v>-5.0000000000000001E-3</v>
      </c>
      <c r="I6" s="127">
        <v>964.66399999999999</v>
      </c>
      <c r="J6" s="127">
        <v>145.41800000000001</v>
      </c>
      <c r="K6" s="122">
        <v>-482.11399999999998</v>
      </c>
      <c r="L6" s="128">
        <f t="shared" ref="L6:L20" si="0">I6+K6</f>
        <v>482.55</v>
      </c>
      <c r="M6" s="128">
        <f t="shared" ref="M6:M20" si="1">I6-K6</f>
        <v>1446.778</v>
      </c>
      <c r="N6" s="128">
        <f t="shared" ref="N6:N20" si="2">J6+K6</f>
        <v>-336.69599999999997</v>
      </c>
      <c r="O6" s="129">
        <f t="shared" ref="O6:O20" si="3">J6-K6</f>
        <v>627.53199999999993</v>
      </c>
    </row>
    <row r="7" spans="1:15">
      <c r="A7" s="127" t="s">
        <v>50</v>
      </c>
      <c r="B7" s="122">
        <v>524</v>
      </c>
      <c r="C7" s="122" t="s">
        <v>528</v>
      </c>
      <c r="D7" s="122">
        <v>-0.623</v>
      </c>
      <c r="E7" s="122">
        <v>1.4219999999999999</v>
      </c>
      <c r="F7" s="122">
        <v>2.5999999999999999E-2</v>
      </c>
      <c r="G7" s="122">
        <v>4.9000000000000002E-2</v>
      </c>
      <c r="H7" s="122">
        <v>-1.7999999999999999E-2</v>
      </c>
      <c r="I7" s="127">
        <v>-39.927</v>
      </c>
      <c r="J7" s="127">
        <v>2513.0650000000001</v>
      </c>
      <c r="K7" s="122">
        <v>5.181</v>
      </c>
      <c r="L7" s="128">
        <f t="shared" si="0"/>
        <v>-34.746000000000002</v>
      </c>
      <c r="M7" s="128">
        <f t="shared" si="1"/>
        <v>-45.107999999999997</v>
      </c>
      <c r="N7" s="128">
        <f t="shared" si="2"/>
        <v>2518.2460000000001</v>
      </c>
      <c r="O7" s="129">
        <f t="shared" si="3"/>
        <v>2507.884</v>
      </c>
    </row>
    <row r="8" spans="1:15">
      <c r="A8" s="127" t="s">
        <v>51</v>
      </c>
      <c r="B8" s="122">
        <v>524</v>
      </c>
      <c r="C8" s="122" t="s">
        <v>527</v>
      </c>
      <c r="D8" s="122">
        <v>0.57999999999999996</v>
      </c>
      <c r="E8" s="122">
        <v>-1.2090000000000001</v>
      </c>
      <c r="F8" s="122">
        <v>-2.7E-2</v>
      </c>
      <c r="G8" s="122">
        <v>-0.05</v>
      </c>
      <c r="H8" s="122">
        <v>1.9E-2</v>
      </c>
      <c r="I8" s="127">
        <v>151.32</v>
      </c>
      <c r="J8" s="127">
        <v>-2411.9850000000001</v>
      </c>
      <c r="K8" s="122">
        <v>-2.6309999999999998</v>
      </c>
      <c r="L8" s="128">
        <f t="shared" si="0"/>
        <v>148.68899999999999</v>
      </c>
      <c r="M8" s="128">
        <f t="shared" si="1"/>
        <v>153.95099999999999</v>
      </c>
      <c r="N8" s="128">
        <f t="shared" si="2"/>
        <v>-2414.616</v>
      </c>
      <c r="O8" s="129">
        <f t="shared" si="3"/>
        <v>-2409.3540000000003</v>
      </c>
    </row>
    <row r="9" spans="1:15">
      <c r="A9" s="127" t="s">
        <v>52</v>
      </c>
      <c r="B9" s="122">
        <v>928</v>
      </c>
      <c r="C9" s="122" t="s">
        <v>527</v>
      </c>
      <c r="D9" s="122">
        <v>0.218</v>
      </c>
      <c r="E9" s="122">
        <v>-0.107</v>
      </c>
      <c r="F9" s="122">
        <v>4.8000000000000001E-2</v>
      </c>
      <c r="G9" s="122">
        <v>-3.0000000000000001E-3</v>
      </c>
      <c r="H9" s="122">
        <v>0</v>
      </c>
      <c r="I9" s="127">
        <v>1089.575</v>
      </c>
      <c r="J9" s="127">
        <v>38.58</v>
      </c>
      <c r="K9" s="122">
        <v>46.625999999999998</v>
      </c>
      <c r="L9" s="128">
        <f t="shared" si="0"/>
        <v>1136.201</v>
      </c>
      <c r="M9" s="128">
        <f t="shared" si="1"/>
        <v>1042.9490000000001</v>
      </c>
      <c r="N9" s="128">
        <f t="shared" si="2"/>
        <v>85.205999999999989</v>
      </c>
      <c r="O9" s="129">
        <f t="shared" si="3"/>
        <v>-8.0459999999999994</v>
      </c>
    </row>
    <row r="10" spans="1:15">
      <c r="A10" s="127" t="s">
        <v>53</v>
      </c>
      <c r="B10" s="122">
        <v>928</v>
      </c>
      <c r="C10" s="122" t="s">
        <v>528</v>
      </c>
      <c r="D10" s="122">
        <v>3.5000000000000003E-2</v>
      </c>
      <c r="E10" s="122">
        <v>4.4999999999999998E-2</v>
      </c>
      <c r="F10" s="122">
        <v>-4.8000000000000001E-2</v>
      </c>
      <c r="G10" s="122">
        <v>3.0000000000000001E-3</v>
      </c>
      <c r="H10" s="122">
        <v>0</v>
      </c>
      <c r="I10" s="127">
        <v>-268.70400000000001</v>
      </c>
      <c r="J10" s="127">
        <v>-27.46</v>
      </c>
      <c r="K10" s="122">
        <v>-63.131999999999998</v>
      </c>
      <c r="L10" s="128">
        <f t="shared" si="0"/>
        <v>-331.83600000000001</v>
      </c>
      <c r="M10" s="128">
        <f t="shared" si="1"/>
        <v>-205.572</v>
      </c>
      <c r="N10" s="128">
        <f t="shared" si="2"/>
        <v>-90.591999999999999</v>
      </c>
      <c r="O10" s="129">
        <f t="shared" si="3"/>
        <v>35.671999999999997</v>
      </c>
    </row>
    <row r="11" spans="1:15">
      <c r="A11" s="127" t="s">
        <v>54</v>
      </c>
      <c r="B11" s="122">
        <v>524</v>
      </c>
      <c r="C11" s="122" t="s">
        <v>531</v>
      </c>
      <c r="D11" s="122">
        <v>0.14199999999999999</v>
      </c>
      <c r="E11" s="122">
        <v>-0.317</v>
      </c>
      <c r="F11" s="122">
        <v>1.9E-2</v>
      </c>
      <c r="G11" s="122">
        <v>9.0999999999999998E-2</v>
      </c>
      <c r="H11" s="122">
        <v>-1.4E-2</v>
      </c>
      <c r="I11" s="127">
        <v>154.786</v>
      </c>
      <c r="J11" s="127">
        <v>570.31600000000003</v>
      </c>
      <c r="K11" s="122">
        <v>-173.03800000000001</v>
      </c>
      <c r="L11" s="128">
        <f t="shared" si="0"/>
        <v>-18.25200000000001</v>
      </c>
      <c r="M11" s="128">
        <f t="shared" si="1"/>
        <v>327.82400000000001</v>
      </c>
      <c r="N11" s="128">
        <f t="shared" si="2"/>
        <v>397.27800000000002</v>
      </c>
      <c r="O11" s="129">
        <f t="shared" si="3"/>
        <v>743.35400000000004</v>
      </c>
    </row>
    <row r="12" spans="1:15">
      <c r="A12" s="127" t="s">
        <v>55</v>
      </c>
      <c r="B12" s="122">
        <v>524</v>
      </c>
      <c r="C12" s="122" t="s">
        <v>395</v>
      </c>
      <c r="D12" s="122">
        <v>-0.186</v>
      </c>
      <c r="E12" s="122">
        <v>0.51900000000000002</v>
      </c>
      <c r="F12" s="122">
        <v>-0.02</v>
      </c>
      <c r="G12" s="122">
        <v>-9.2999999999999999E-2</v>
      </c>
      <c r="H12" s="122">
        <v>1.4999999999999999E-2</v>
      </c>
      <c r="I12" s="127">
        <v>-48.023000000000003</v>
      </c>
      <c r="J12" s="127">
        <v>-494.01600000000002</v>
      </c>
      <c r="K12" s="122">
        <v>173.14500000000001</v>
      </c>
      <c r="L12" s="128">
        <f t="shared" si="0"/>
        <v>125.12200000000001</v>
      </c>
      <c r="M12" s="128">
        <f t="shared" si="1"/>
        <v>-221.16800000000001</v>
      </c>
      <c r="N12" s="128">
        <f t="shared" si="2"/>
        <v>-320.87099999999998</v>
      </c>
      <c r="O12" s="129">
        <f t="shared" si="3"/>
        <v>-667.16100000000006</v>
      </c>
    </row>
    <row r="13" spans="1:15">
      <c r="A13" s="127" t="s">
        <v>56</v>
      </c>
      <c r="B13" s="122">
        <v>87</v>
      </c>
      <c r="C13" s="122" t="s">
        <v>530</v>
      </c>
      <c r="D13" s="122">
        <v>0.19900000000000001</v>
      </c>
      <c r="E13" s="122">
        <v>0.4</v>
      </c>
      <c r="F13" s="122">
        <v>-0.01</v>
      </c>
      <c r="G13" s="122">
        <v>6.0000000000000001E-3</v>
      </c>
      <c r="H13" s="122">
        <v>3.5999999999999997E-2</v>
      </c>
      <c r="I13" s="127">
        <v>1367.386</v>
      </c>
      <c r="J13" s="127">
        <v>530.404</v>
      </c>
      <c r="K13" s="122">
        <v>-415.52100000000002</v>
      </c>
      <c r="L13" s="128">
        <f t="shared" si="0"/>
        <v>951.86500000000001</v>
      </c>
      <c r="M13" s="128">
        <f t="shared" si="1"/>
        <v>1782.9069999999999</v>
      </c>
      <c r="N13" s="128">
        <f t="shared" si="2"/>
        <v>114.88299999999998</v>
      </c>
      <c r="O13" s="129">
        <f t="shared" si="3"/>
        <v>945.92499999999995</v>
      </c>
    </row>
    <row r="14" spans="1:15">
      <c r="A14" s="127" t="s">
        <v>57</v>
      </c>
      <c r="B14" s="122">
        <v>87</v>
      </c>
      <c r="C14" s="122" t="s">
        <v>529</v>
      </c>
      <c r="D14" s="122">
        <v>-0.32500000000000001</v>
      </c>
      <c r="E14" s="122">
        <v>-0.06</v>
      </c>
      <c r="F14" s="122">
        <v>0.01</v>
      </c>
      <c r="G14" s="122">
        <v>-6.0000000000000001E-3</v>
      </c>
      <c r="H14" s="122">
        <v>-3.5999999999999997E-2</v>
      </c>
      <c r="I14" s="127">
        <v>76.475999999999999</v>
      </c>
      <c r="J14" s="127">
        <v>299.67899999999997</v>
      </c>
      <c r="K14" s="122">
        <v>520.09100000000001</v>
      </c>
      <c r="L14" s="128">
        <f t="shared" si="0"/>
        <v>596.56700000000001</v>
      </c>
      <c r="M14" s="128">
        <f t="shared" si="1"/>
        <v>-443.61500000000001</v>
      </c>
      <c r="N14" s="128">
        <f t="shared" si="2"/>
        <v>819.77</v>
      </c>
      <c r="O14" s="129">
        <f t="shared" si="3"/>
        <v>-220.41200000000003</v>
      </c>
    </row>
    <row r="15" spans="1:15">
      <c r="A15" s="127" t="s">
        <v>58</v>
      </c>
      <c r="B15" s="127">
        <v>170</v>
      </c>
      <c r="C15" s="127" t="s">
        <v>530</v>
      </c>
      <c r="D15" s="127">
        <v>0.32900000000000001</v>
      </c>
      <c r="E15" s="127">
        <v>0.14099999999999999</v>
      </c>
      <c r="F15" s="127">
        <v>1.2E-2</v>
      </c>
      <c r="G15" s="127">
        <v>7.0000000000000001E-3</v>
      </c>
      <c r="H15" s="127">
        <v>4.0000000000000001E-3</v>
      </c>
      <c r="I15" s="127">
        <v>2117.8000000000002</v>
      </c>
      <c r="J15" s="127">
        <v>1467.7059999999999</v>
      </c>
      <c r="K15" s="127">
        <v>-81.905000000000001</v>
      </c>
      <c r="L15" s="128">
        <f t="shared" si="0"/>
        <v>2035.8950000000002</v>
      </c>
      <c r="M15" s="128">
        <f t="shared" si="1"/>
        <v>2199.7050000000004</v>
      </c>
      <c r="N15" s="128">
        <f t="shared" si="2"/>
        <v>1385.8009999999999</v>
      </c>
      <c r="O15" s="128">
        <f t="shared" si="3"/>
        <v>1549.6109999999999</v>
      </c>
    </row>
    <row r="16" spans="1:15">
      <c r="A16" s="127" t="s">
        <v>59</v>
      </c>
      <c r="B16" s="127">
        <v>191</v>
      </c>
      <c r="C16" s="127" t="s">
        <v>529</v>
      </c>
      <c r="D16" s="127">
        <v>0.38700000000000001</v>
      </c>
      <c r="E16" s="127">
        <v>-3.1E-2</v>
      </c>
      <c r="F16" s="127">
        <v>2.8000000000000001E-2</v>
      </c>
      <c r="G16" s="127">
        <v>-1E-3</v>
      </c>
      <c r="H16" s="127">
        <v>0</v>
      </c>
      <c r="I16" s="127">
        <v>-1014.155</v>
      </c>
      <c r="J16" s="127">
        <v>-185.00700000000001</v>
      </c>
      <c r="K16" s="127">
        <v>-15.976000000000001</v>
      </c>
      <c r="L16" s="128">
        <f t="shared" si="0"/>
        <v>-1030.1310000000001</v>
      </c>
      <c r="M16" s="128">
        <f t="shared" si="1"/>
        <v>-998.17899999999997</v>
      </c>
      <c r="N16" s="128">
        <f t="shared" si="2"/>
        <v>-200.983</v>
      </c>
      <c r="O16" s="128">
        <f t="shared" si="3"/>
        <v>-169.03100000000001</v>
      </c>
    </row>
    <row r="17" spans="1:18">
      <c r="A17" s="127" t="s">
        <v>60</v>
      </c>
      <c r="B17" s="127">
        <v>524</v>
      </c>
      <c r="C17" s="127" t="s">
        <v>528</v>
      </c>
      <c r="D17" s="127">
        <v>-0.623</v>
      </c>
      <c r="E17" s="127">
        <v>1.4219999999999999</v>
      </c>
      <c r="F17" s="127">
        <v>2.5999999999999999E-2</v>
      </c>
      <c r="G17" s="127">
        <v>4.9000000000000002E-2</v>
      </c>
      <c r="H17" s="127">
        <v>-1.7999999999999999E-2</v>
      </c>
      <c r="I17" s="127">
        <v>-39.927</v>
      </c>
      <c r="J17" s="127">
        <v>2513.0650000000001</v>
      </c>
      <c r="K17" s="127">
        <v>5.181</v>
      </c>
      <c r="L17" s="128">
        <f t="shared" si="0"/>
        <v>-34.746000000000002</v>
      </c>
      <c r="M17" s="128">
        <f t="shared" si="1"/>
        <v>-45.107999999999997</v>
      </c>
      <c r="N17" s="128">
        <f t="shared" si="2"/>
        <v>2518.2460000000001</v>
      </c>
      <c r="O17" s="128">
        <f t="shared" si="3"/>
        <v>2507.884</v>
      </c>
    </row>
    <row r="18" spans="1:18">
      <c r="A18" s="127" t="s">
        <v>61</v>
      </c>
      <c r="B18" s="127">
        <v>524</v>
      </c>
      <c r="C18" s="127" t="s">
        <v>527</v>
      </c>
      <c r="D18" s="127">
        <v>0.57999999999999996</v>
      </c>
      <c r="E18" s="127">
        <v>-1.2090000000000001</v>
      </c>
      <c r="F18" s="127">
        <v>-2.7E-2</v>
      </c>
      <c r="G18" s="127">
        <v>-0.05</v>
      </c>
      <c r="H18" s="127">
        <v>1.9E-2</v>
      </c>
      <c r="I18" s="127">
        <v>151.32</v>
      </c>
      <c r="J18" s="127">
        <v>-2411.9850000000001</v>
      </c>
      <c r="K18" s="127">
        <v>-2.6309999999999998</v>
      </c>
      <c r="L18" s="128">
        <f t="shared" si="0"/>
        <v>148.68899999999999</v>
      </c>
      <c r="M18" s="128">
        <f t="shared" si="1"/>
        <v>153.95099999999999</v>
      </c>
      <c r="N18" s="128">
        <f t="shared" si="2"/>
        <v>-2414.616</v>
      </c>
      <c r="O18" s="128">
        <f t="shared" si="3"/>
        <v>-2409.3540000000003</v>
      </c>
    </row>
    <row r="19" spans="1:18">
      <c r="A19" s="127" t="s">
        <v>62</v>
      </c>
      <c r="B19" s="122">
        <v>583</v>
      </c>
      <c r="C19" s="122" t="s">
        <v>527</v>
      </c>
      <c r="D19" s="122">
        <v>0.14599999999999999</v>
      </c>
      <c r="E19" s="122">
        <v>0.14299999999999999</v>
      </c>
      <c r="F19" s="122">
        <v>-1.7000000000000001E-2</v>
      </c>
      <c r="G19" s="122">
        <v>-1.4E-2</v>
      </c>
      <c r="H19" s="122">
        <v>1.2999999999999999E-2</v>
      </c>
      <c r="I19" s="127">
        <v>399.34699999999998</v>
      </c>
      <c r="J19" s="127">
        <v>-969.31899999999996</v>
      </c>
      <c r="K19" s="127">
        <v>1246.7049999999999</v>
      </c>
      <c r="L19" s="128">
        <f t="shared" si="0"/>
        <v>1646.0519999999999</v>
      </c>
      <c r="M19" s="128">
        <f t="shared" si="1"/>
        <v>-847.35799999999995</v>
      </c>
      <c r="N19" s="128">
        <f t="shared" si="2"/>
        <v>277.38599999999997</v>
      </c>
      <c r="O19" s="128">
        <f t="shared" si="3"/>
        <v>-2216.0239999999999</v>
      </c>
    </row>
    <row r="20" spans="1:18">
      <c r="A20" s="127" t="s">
        <v>63</v>
      </c>
      <c r="B20" s="122">
        <v>582</v>
      </c>
      <c r="C20" s="122" t="s">
        <v>528</v>
      </c>
      <c r="D20" s="122">
        <v>-0.13100000000000001</v>
      </c>
      <c r="E20" s="122">
        <v>-0.115</v>
      </c>
      <c r="F20" s="122">
        <v>0.02</v>
      </c>
      <c r="G20" s="122">
        <v>2.1000000000000001E-2</v>
      </c>
      <c r="H20" s="122">
        <v>-1.7999999999999999E-2</v>
      </c>
      <c r="I20" s="127">
        <v>598.47299999999996</v>
      </c>
      <c r="J20" s="127">
        <v>919.21900000000005</v>
      </c>
      <c r="K20" s="127">
        <v>-1267.5719999999999</v>
      </c>
      <c r="L20" s="128">
        <f t="shared" si="0"/>
        <v>-669.09899999999993</v>
      </c>
      <c r="M20" s="128">
        <f t="shared" si="1"/>
        <v>1866.0449999999998</v>
      </c>
      <c r="N20" s="128">
        <f t="shared" si="2"/>
        <v>-348.35299999999984</v>
      </c>
      <c r="O20" s="128">
        <f t="shared" si="3"/>
        <v>2186.7910000000002</v>
      </c>
    </row>
    <row r="21" spans="1:18">
      <c r="J21" s="130"/>
      <c r="K21" s="117"/>
      <c r="L21" s="131">
        <f>MAX(L5:L20)</f>
        <v>2035.8950000000002</v>
      </c>
      <c r="M21" s="131">
        <f>MAX(M5:M20)</f>
        <v>2199.7050000000004</v>
      </c>
      <c r="N21" s="131">
        <f>MAX(N5:N20)</f>
        <v>2518.2460000000001</v>
      </c>
      <c r="O21" s="131">
        <f>MAX(O5:O20)</f>
        <v>2507.884</v>
      </c>
    </row>
    <row r="22" spans="1:18">
      <c r="L22" s="131">
        <f>MIN(L5:L20)</f>
        <v>-1030.1310000000001</v>
      </c>
      <c r="M22" s="131">
        <f>MIN(M5:M20)</f>
        <v>-998.17899999999997</v>
      </c>
      <c r="N22" s="131">
        <f>MIN(N5:N20)</f>
        <v>-2414.616</v>
      </c>
      <c r="O22" s="131">
        <f>MIN(O5:O20)</f>
        <v>-2409.3540000000003</v>
      </c>
    </row>
    <row r="23" spans="1:18" ht="18">
      <c r="A23" s="119" t="s">
        <v>75</v>
      </c>
      <c r="B23" s="120"/>
      <c r="C23" s="120"/>
    </row>
    <row r="24" spans="1:18" ht="15" customHeight="1">
      <c r="A24" s="121" t="s">
        <v>34</v>
      </c>
      <c r="B24" s="122"/>
      <c r="C24" s="122"/>
      <c r="D24" s="123" t="s">
        <v>35</v>
      </c>
      <c r="E24" s="123"/>
      <c r="F24" s="123" t="s">
        <v>36</v>
      </c>
      <c r="G24" s="123"/>
      <c r="H24" s="124"/>
      <c r="I24" s="123" t="s">
        <v>37</v>
      </c>
      <c r="J24" s="123"/>
      <c r="K24" s="123"/>
      <c r="L24" s="484" t="s">
        <v>70</v>
      </c>
      <c r="M24" s="485"/>
      <c r="N24" s="485"/>
      <c r="O24" s="486"/>
    </row>
    <row r="25" spans="1:18" ht="15" customHeight="1">
      <c r="A25" s="125" t="s">
        <v>34</v>
      </c>
      <c r="B25" s="122" t="s">
        <v>38</v>
      </c>
      <c r="C25" s="122" t="s">
        <v>39</v>
      </c>
      <c r="D25" s="126" t="s">
        <v>40</v>
      </c>
      <c r="E25" s="126" t="s">
        <v>41</v>
      </c>
      <c r="F25" s="126" t="s">
        <v>42</v>
      </c>
      <c r="G25" s="126" t="s">
        <v>43</v>
      </c>
      <c r="H25" s="126" t="s">
        <v>44</v>
      </c>
      <c r="I25" s="127" t="s">
        <v>45</v>
      </c>
      <c r="J25" s="127" t="s">
        <v>46</v>
      </c>
      <c r="K25" s="126" t="s">
        <v>47</v>
      </c>
      <c r="L25" s="124" t="s">
        <v>71</v>
      </c>
      <c r="M25" s="124" t="s">
        <v>72</v>
      </c>
      <c r="N25" s="124" t="s">
        <v>73</v>
      </c>
      <c r="O25" s="124" t="s">
        <v>74</v>
      </c>
      <c r="Q25" s="327">
        <f>MAX(Q27:R42)*Input!H80*1000/1000</f>
        <v>839.7900000000011</v>
      </c>
      <c r="R25" s="328" t="s">
        <v>353</v>
      </c>
    </row>
    <row r="26" spans="1:18">
      <c r="A26" s="127" t="s">
        <v>48</v>
      </c>
      <c r="B26" s="122">
        <v>907</v>
      </c>
      <c r="C26" s="122" t="s">
        <v>530</v>
      </c>
      <c r="D26" s="122">
        <v>0.35</v>
      </c>
      <c r="E26" s="122">
        <v>-0.11</v>
      </c>
      <c r="F26" s="122">
        <v>-1.7999999999999999E-2</v>
      </c>
      <c r="G26" s="122">
        <v>0</v>
      </c>
      <c r="H26" s="122">
        <v>-1E-3</v>
      </c>
      <c r="I26" s="127">
        <v>266.61900000000003</v>
      </c>
      <c r="J26" s="127">
        <v>-33.426000000000002</v>
      </c>
      <c r="K26" s="122">
        <v>108.247</v>
      </c>
      <c r="L26" s="128">
        <f>I26+K26</f>
        <v>374.86600000000004</v>
      </c>
      <c r="M26" s="128">
        <f>I26-K26</f>
        <v>158.37200000000001</v>
      </c>
      <c r="N26" s="128">
        <f>J26+K26</f>
        <v>74.820999999999998</v>
      </c>
      <c r="O26" s="129">
        <f>J26-K26</f>
        <v>-141.673</v>
      </c>
    </row>
    <row r="27" spans="1:18">
      <c r="A27" s="127" t="s">
        <v>49</v>
      </c>
      <c r="B27" s="122">
        <v>818</v>
      </c>
      <c r="C27" s="122" t="s">
        <v>527</v>
      </c>
      <c r="D27" s="122">
        <v>-0.38700000000000001</v>
      </c>
      <c r="E27" s="122">
        <v>0</v>
      </c>
      <c r="F27" s="122">
        <v>2.8000000000000001E-2</v>
      </c>
      <c r="G27" s="122">
        <v>-1E-3</v>
      </c>
      <c r="H27" s="122">
        <v>-3.0000000000000001E-3</v>
      </c>
      <c r="I27" s="127">
        <v>143.369</v>
      </c>
      <c r="J27" s="127">
        <v>-0.74099999999999999</v>
      </c>
      <c r="K27" s="122">
        <v>181.666</v>
      </c>
      <c r="L27" s="128">
        <f t="shared" ref="L27:L41" si="4">I27+K27</f>
        <v>325.03499999999997</v>
      </c>
      <c r="M27" s="128">
        <f t="shared" ref="M27:M41" si="5">I27-K27</f>
        <v>-38.296999999999997</v>
      </c>
      <c r="N27" s="128">
        <f t="shared" ref="N27:N41" si="6">J27+K27</f>
        <v>180.92499999999998</v>
      </c>
      <c r="O27" s="129">
        <f t="shared" ref="O27:O41" si="7">J27-K27</f>
        <v>-182.40700000000001</v>
      </c>
      <c r="Q27" s="91">
        <f t="shared" ref="Q27:Q42" si="8">ABS(D26)</f>
        <v>0.35</v>
      </c>
      <c r="R27" s="91">
        <f t="shared" ref="R27:R42" si="9">ABS(E26)</f>
        <v>0.11</v>
      </c>
    </row>
    <row r="28" spans="1:18">
      <c r="A28" s="127" t="s">
        <v>50</v>
      </c>
      <c r="B28" s="122">
        <v>430</v>
      </c>
      <c r="C28" s="122" t="s">
        <v>535</v>
      </c>
      <c r="D28" s="122">
        <v>5.3999999999999999E-2</v>
      </c>
      <c r="E28" s="122">
        <v>0.36099999999999999</v>
      </c>
      <c r="F28" s="122">
        <v>-2E-3</v>
      </c>
      <c r="G28" s="122">
        <v>-1.0999999999999999E-2</v>
      </c>
      <c r="H28" s="122">
        <v>3.0000000000000001E-3</v>
      </c>
      <c r="I28" s="127">
        <v>657.61500000000001</v>
      </c>
      <c r="J28" s="127">
        <v>745.21100000000001</v>
      </c>
      <c r="K28" s="122">
        <v>294.79899999999998</v>
      </c>
      <c r="L28" s="128">
        <f t="shared" si="4"/>
        <v>952.41399999999999</v>
      </c>
      <c r="M28" s="128">
        <f t="shared" si="5"/>
        <v>362.81600000000003</v>
      </c>
      <c r="N28" s="128">
        <f t="shared" si="6"/>
        <v>1040.01</v>
      </c>
      <c r="O28" s="129">
        <f t="shared" si="7"/>
        <v>450.41200000000003</v>
      </c>
      <c r="Q28" s="91">
        <f t="shared" si="8"/>
        <v>0.38700000000000001</v>
      </c>
      <c r="R28" s="91">
        <f t="shared" si="9"/>
        <v>0</v>
      </c>
    </row>
    <row r="29" spans="1:18">
      <c r="A29" s="127" t="s">
        <v>51</v>
      </c>
      <c r="B29" s="122">
        <v>301</v>
      </c>
      <c r="C29" s="122" t="s">
        <v>529</v>
      </c>
      <c r="D29" s="122">
        <v>0.127</v>
      </c>
      <c r="E29" s="122">
        <v>-0.33600000000000002</v>
      </c>
      <c r="F29" s="122">
        <v>-1.2E-2</v>
      </c>
      <c r="G29" s="122">
        <v>8.0000000000000002E-3</v>
      </c>
      <c r="H29" s="122">
        <v>1.7000000000000001E-2</v>
      </c>
      <c r="I29" s="127">
        <v>765.05600000000004</v>
      </c>
      <c r="J29" s="127">
        <v>522.08699999999999</v>
      </c>
      <c r="K29" s="122">
        <v>-206.43799999999999</v>
      </c>
      <c r="L29" s="128">
        <f t="shared" si="4"/>
        <v>558.61800000000005</v>
      </c>
      <c r="M29" s="128">
        <f t="shared" si="5"/>
        <v>971.49400000000003</v>
      </c>
      <c r="N29" s="128">
        <f t="shared" si="6"/>
        <v>315.649</v>
      </c>
      <c r="O29" s="129">
        <f t="shared" si="7"/>
        <v>728.52499999999998</v>
      </c>
      <c r="Q29" s="91">
        <f t="shared" si="8"/>
        <v>5.3999999999999999E-2</v>
      </c>
      <c r="R29" s="91">
        <f t="shared" si="9"/>
        <v>0.36099999999999999</v>
      </c>
    </row>
    <row r="30" spans="1:18">
      <c r="A30" s="127" t="s">
        <v>52</v>
      </c>
      <c r="B30" s="122">
        <v>818</v>
      </c>
      <c r="C30" s="122" t="s">
        <v>532</v>
      </c>
      <c r="D30" s="122">
        <v>-0.30599999999999999</v>
      </c>
      <c r="E30" s="122">
        <v>-8.0000000000000002E-3</v>
      </c>
      <c r="F30" s="122">
        <v>2.9000000000000001E-2</v>
      </c>
      <c r="G30" s="122">
        <v>-1E-3</v>
      </c>
      <c r="H30" s="122">
        <v>-3.0000000000000001E-3</v>
      </c>
      <c r="I30" s="127">
        <v>286.18299999999999</v>
      </c>
      <c r="J30" s="127">
        <v>4.0439999999999996</v>
      </c>
      <c r="K30" s="122">
        <v>133.75399999999999</v>
      </c>
      <c r="L30" s="128">
        <f t="shared" si="4"/>
        <v>419.93700000000001</v>
      </c>
      <c r="M30" s="128">
        <f t="shared" si="5"/>
        <v>152.429</v>
      </c>
      <c r="N30" s="128">
        <f t="shared" si="6"/>
        <v>137.798</v>
      </c>
      <c r="O30" s="129">
        <f t="shared" si="7"/>
        <v>-129.70999999999998</v>
      </c>
      <c r="Q30" s="91">
        <f t="shared" si="8"/>
        <v>0.127</v>
      </c>
      <c r="R30" s="91">
        <f t="shared" si="9"/>
        <v>0.33600000000000002</v>
      </c>
    </row>
    <row r="31" spans="1:18">
      <c r="A31" s="127" t="s">
        <v>53</v>
      </c>
      <c r="B31" s="122">
        <v>818</v>
      </c>
      <c r="C31" s="122" t="s">
        <v>397</v>
      </c>
      <c r="D31" s="122">
        <v>0.25900000000000001</v>
      </c>
      <c r="E31" s="122">
        <v>-7.0000000000000001E-3</v>
      </c>
      <c r="F31" s="122">
        <v>-2.9000000000000001E-2</v>
      </c>
      <c r="G31" s="122">
        <v>1E-3</v>
      </c>
      <c r="H31" s="122">
        <v>3.0000000000000001E-3</v>
      </c>
      <c r="I31" s="127">
        <v>83.465000000000003</v>
      </c>
      <c r="J31" s="127">
        <v>6.2830000000000004</v>
      </c>
      <c r="K31" s="122">
        <v>-141.79599999999999</v>
      </c>
      <c r="L31" s="128">
        <f t="shared" si="4"/>
        <v>-58.330999999999989</v>
      </c>
      <c r="M31" s="128">
        <f t="shared" si="5"/>
        <v>225.261</v>
      </c>
      <c r="N31" s="128">
        <f t="shared" si="6"/>
        <v>-135.51300000000001</v>
      </c>
      <c r="O31" s="129">
        <f t="shared" si="7"/>
        <v>148.07899999999998</v>
      </c>
      <c r="Q31" s="91">
        <f t="shared" si="8"/>
        <v>0.30599999999999999</v>
      </c>
      <c r="R31" s="91">
        <f t="shared" si="9"/>
        <v>8.0000000000000002E-3</v>
      </c>
    </row>
    <row r="32" spans="1:18">
      <c r="A32" s="127" t="s">
        <v>54</v>
      </c>
      <c r="B32" s="122">
        <v>453</v>
      </c>
      <c r="C32" s="122" t="s">
        <v>532</v>
      </c>
      <c r="D32" s="122">
        <v>0.114</v>
      </c>
      <c r="E32" s="122">
        <v>-7.0000000000000007E-2</v>
      </c>
      <c r="F32" s="122">
        <v>-2E-3</v>
      </c>
      <c r="G32" s="122">
        <v>3.1E-2</v>
      </c>
      <c r="H32" s="122">
        <v>-5.0000000000000001E-3</v>
      </c>
      <c r="I32" s="127">
        <v>158.30199999999999</v>
      </c>
      <c r="J32" s="127">
        <v>-826.80799999999999</v>
      </c>
      <c r="K32" s="122">
        <v>-150.73099999999999</v>
      </c>
      <c r="L32" s="128">
        <f t="shared" si="4"/>
        <v>7.570999999999998</v>
      </c>
      <c r="M32" s="128">
        <f t="shared" si="5"/>
        <v>309.03300000000002</v>
      </c>
      <c r="N32" s="128">
        <f t="shared" si="6"/>
        <v>-977.53899999999999</v>
      </c>
      <c r="O32" s="129">
        <f t="shared" si="7"/>
        <v>-676.077</v>
      </c>
      <c r="Q32" s="91">
        <f t="shared" si="8"/>
        <v>0.25900000000000001</v>
      </c>
      <c r="R32" s="91">
        <f t="shared" si="9"/>
        <v>7.0000000000000001E-3</v>
      </c>
    </row>
    <row r="33" spans="1:18">
      <c r="A33" s="127" t="s">
        <v>55</v>
      </c>
      <c r="B33" s="122">
        <v>453</v>
      </c>
      <c r="C33" s="122" t="s">
        <v>397</v>
      </c>
      <c r="D33" s="122">
        <v>-0.20300000000000001</v>
      </c>
      <c r="E33" s="122">
        <v>0.10299999999999999</v>
      </c>
      <c r="F33" s="122">
        <v>2E-3</v>
      </c>
      <c r="G33" s="122">
        <v>-0.03</v>
      </c>
      <c r="H33" s="122">
        <v>5.0000000000000001E-3</v>
      </c>
      <c r="I33" s="127">
        <v>190.25200000000001</v>
      </c>
      <c r="J33" s="127">
        <v>827.55100000000004</v>
      </c>
      <c r="K33" s="122">
        <v>146.464</v>
      </c>
      <c r="L33" s="128">
        <f t="shared" si="4"/>
        <v>336.71600000000001</v>
      </c>
      <c r="M33" s="128">
        <f t="shared" si="5"/>
        <v>43.788000000000011</v>
      </c>
      <c r="N33" s="128">
        <f t="shared" si="6"/>
        <v>974.0150000000001</v>
      </c>
      <c r="O33" s="129">
        <f t="shared" si="7"/>
        <v>681.08699999999999</v>
      </c>
      <c r="Q33" s="91">
        <f t="shared" si="8"/>
        <v>0.114</v>
      </c>
      <c r="R33" s="91">
        <f t="shared" si="9"/>
        <v>7.0000000000000007E-2</v>
      </c>
    </row>
    <row r="34" spans="1:18">
      <c r="A34" s="127" t="s">
        <v>56</v>
      </c>
      <c r="B34" s="122">
        <v>431</v>
      </c>
      <c r="C34" s="122" t="s">
        <v>395</v>
      </c>
      <c r="D34" s="122">
        <v>9.0999999999999998E-2</v>
      </c>
      <c r="E34" s="122">
        <v>6.2E-2</v>
      </c>
      <c r="F34" s="122">
        <v>-1E-3</v>
      </c>
      <c r="G34" s="122">
        <v>8.9999999999999993E-3</v>
      </c>
      <c r="H34" s="122">
        <v>2.3E-2</v>
      </c>
      <c r="I34" s="127">
        <v>527.46100000000001</v>
      </c>
      <c r="J34" s="127">
        <v>-292.73599999999999</v>
      </c>
      <c r="K34" s="122">
        <v>-103.389</v>
      </c>
      <c r="L34" s="128">
        <f t="shared" si="4"/>
        <v>424.072</v>
      </c>
      <c r="M34" s="128">
        <f t="shared" si="5"/>
        <v>630.85</v>
      </c>
      <c r="N34" s="128">
        <f t="shared" si="6"/>
        <v>-396.125</v>
      </c>
      <c r="O34" s="129">
        <f t="shared" si="7"/>
        <v>-189.34699999999998</v>
      </c>
      <c r="Q34" s="91">
        <f t="shared" si="8"/>
        <v>0.20300000000000001</v>
      </c>
      <c r="R34" s="91">
        <f t="shared" si="9"/>
        <v>0.10299999999999999</v>
      </c>
    </row>
    <row r="35" spans="1:18">
      <c r="A35" s="127" t="s">
        <v>57</v>
      </c>
      <c r="B35" s="122">
        <v>431</v>
      </c>
      <c r="C35" s="122" t="s">
        <v>531</v>
      </c>
      <c r="D35" s="122">
        <v>-0.106</v>
      </c>
      <c r="E35" s="122">
        <v>-2.3E-2</v>
      </c>
      <c r="F35" s="122">
        <v>1E-3</v>
      </c>
      <c r="G35" s="122">
        <v>-8.9999999999999993E-3</v>
      </c>
      <c r="H35" s="122">
        <v>-2.3E-2</v>
      </c>
      <c r="I35" s="127">
        <v>-18.341999999999999</v>
      </c>
      <c r="J35" s="127">
        <v>208.83699999999999</v>
      </c>
      <c r="K35" s="122">
        <v>99.135999999999996</v>
      </c>
      <c r="L35" s="128">
        <f t="shared" si="4"/>
        <v>80.793999999999997</v>
      </c>
      <c r="M35" s="128">
        <f t="shared" si="5"/>
        <v>-117.47799999999999</v>
      </c>
      <c r="N35" s="128">
        <f t="shared" si="6"/>
        <v>307.97299999999996</v>
      </c>
      <c r="O35" s="129">
        <f t="shared" si="7"/>
        <v>109.70099999999999</v>
      </c>
      <c r="Q35" s="91">
        <f t="shared" si="8"/>
        <v>9.0999999999999998E-2</v>
      </c>
      <c r="R35" s="91">
        <f t="shared" si="9"/>
        <v>6.2E-2</v>
      </c>
    </row>
    <row r="36" spans="1:18">
      <c r="A36" s="127" t="s">
        <v>58</v>
      </c>
      <c r="B36" s="127">
        <v>907</v>
      </c>
      <c r="C36" s="127" t="s">
        <v>532</v>
      </c>
      <c r="D36" s="127">
        <v>0.13200000000000001</v>
      </c>
      <c r="E36" s="127">
        <v>0.10299999999999999</v>
      </c>
      <c r="F36" s="127">
        <v>6.0000000000000001E-3</v>
      </c>
      <c r="G36" s="127">
        <v>1.0999999999999999E-2</v>
      </c>
      <c r="H36" s="127">
        <v>-1E-3</v>
      </c>
      <c r="I36" s="127">
        <v>1075.3520000000001</v>
      </c>
      <c r="J36" s="127">
        <v>466.21</v>
      </c>
      <c r="K36" s="127">
        <v>35.131999999999998</v>
      </c>
      <c r="L36" s="128">
        <f t="shared" si="4"/>
        <v>1110.4840000000002</v>
      </c>
      <c r="M36" s="128">
        <f t="shared" si="5"/>
        <v>1040.22</v>
      </c>
      <c r="N36" s="128">
        <f t="shared" si="6"/>
        <v>501.34199999999998</v>
      </c>
      <c r="O36" s="128">
        <f t="shared" si="7"/>
        <v>431.07799999999997</v>
      </c>
      <c r="Q36" s="91">
        <f t="shared" si="8"/>
        <v>0.106</v>
      </c>
      <c r="R36" s="91">
        <f t="shared" si="9"/>
        <v>2.3E-2</v>
      </c>
    </row>
    <row r="37" spans="1:18">
      <c r="A37" s="127" t="s">
        <v>59</v>
      </c>
      <c r="B37" s="127">
        <v>568</v>
      </c>
      <c r="C37" s="127" t="s">
        <v>397</v>
      </c>
      <c r="D37" s="127">
        <v>-2.5000000000000001E-2</v>
      </c>
      <c r="E37" s="127">
        <v>-0.245</v>
      </c>
      <c r="F37" s="127">
        <v>1.4E-2</v>
      </c>
      <c r="G37" s="127">
        <v>-1E-3</v>
      </c>
      <c r="H37" s="127">
        <v>1.4999999999999999E-2</v>
      </c>
      <c r="I37" s="127">
        <v>-432.62099999999998</v>
      </c>
      <c r="J37" s="127">
        <v>540.40599999999995</v>
      </c>
      <c r="K37" s="127">
        <v>34.904000000000003</v>
      </c>
      <c r="L37" s="128">
        <f t="shared" si="4"/>
        <v>-397.71699999999998</v>
      </c>
      <c r="M37" s="128">
        <f t="shared" si="5"/>
        <v>-467.52499999999998</v>
      </c>
      <c r="N37" s="128">
        <f t="shared" si="6"/>
        <v>575.30999999999995</v>
      </c>
      <c r="O37" s="128">
        <f t="shared" si="7"/>
        <v>505.50199999999995</v>
      </c>
      <c r="Q37" s="91">
        <f t="shared" si="8"/>
        <v>0.13200000000000001</v>
      </c>
      <c r="R37" s="91">
        <f t="shared" si="9"/>
        <v>0.10299999999999999</v>
      </c>
    </row>
    <row r="38" spans="1:18">
      <c r="A38" s="127" t="s">
        <v>60</v>
      </c>
      <c r="B38" s="127">
        <v>548</v>
      </c>
      <c r="C38" s="127" t="s">
        <v>528</v>
      </c>
      <c r="D38" s="127">
        <v>-7.6999999999999999E-2</v>
      </c>
      <c r="E38" s="127">
        <v>-6.6000000000000003E-2</v>
      </c>
      <c r="F38" s="127">
        <v>1.2999999999999999E-2</v>
      </c>
      <c r="G38" s="127">
        <v>2E-3</v>
      </c>
      <c r="H38" s="127">
        <v>1.0999999999999999E-2</v>
      </c>
      <c r="I38" s="127">
        <v>-285.89999999999998</v>
      </c>
      <c r="J38" s="127">
        <v>1172.29</v>
      </c>
      <c r="K38" s="127">
        <v>132.47499999999999</v>
      </c>
      <c r="L38" s="128">
        <f t="shared" si="4"/>
        <v>-153.42499999999998</v>
      </c>
      <c r="M38" s="128">
        <f t="shared" si="5"/>
        <v>-418.375</v>
      </c>
      <c r="N38" s="128">
        <f t="shared" si="6"/>
        <v>1304.7649999999999</v>
      </c>
      <c r="O38" s="128">
        <f t="shared" si="7"/>
        <v>1039.8150000000001</v>
      </c>
      <c r="Q38" s="91">
        <f t="shared" si="8"/>
        <v>2.5000000000000001E-2</v>
      </c>
      <c r="R38" s="91">
        <f t="shared" si="9"/>
        <v>0.245</v>
      </c>
    </row>
    <row r="39" spans="1:18">
      <c r="A39" s="127" t="s">
        <v>61</v>
      </c>
      <c r="B39" s="127">
        <v>449</v>
      </c>
      <c r="C39" s="127" t="s">
        <v>532</v>
      </c>
      <c r="D39" s="127">
        <v>-1.7999999999999999E-2</v>
      </c>
      <c r="E39" s="127">
        <v>-1.2999999999999999E-2</v>
      </c>
      <c r="F39" s="127">
        <v>-1E-3</v>
      </c>
      <c r="G39" s="127">
        <v>-5.0000000000000001E-3</v>
      </c>
      <c r="H39" s="127">
        <v>2E-3</v>
      </c>
      <c r="I39" s="127">
        <v>178.82300000000001</v>
      </c>
      <c r="J39" s="127">
        <v>-1036.5820000000001</v>
      </c>
      <c r="K39" s="127">
        <v>-335.733</v>
      </c>
      <c r="L39" s="128">
        <f t="shared" si="4"/>
        <v>-156.91</v>
      </c>
      <c r="M39" s="128">
        <f t="shared" si="5"/>
        <v>514.55600000000004</v>
      </c>
      <c r="N39" s="128">
        <f t="shared" si="6"/>
        <v>-1372.3150000000001</v>
      </c>
      <c r="O39" s="128">
        <f t="shared" si="7"/>
        <v>-700.84900000000016</v>
      </c>
      <c r="Q39" s="91">
        <f t="shared" si="8"/>
        <v>7.6999999999999999E-2</v>
      </c>
      <c r="R39" s="91">
        <f t="shared" si="9"/>
        <v>6.6000000000000003E-2</v>
      </c>
    </row>
    <row r="40" spans="1:18">
      <c r="A40" s="127" t="s">
        <v>62</v>
      </c>
      <c r="B40" s="122">
        <v>668</v>
      </c>
      <c r="C40" s="122" t="s">
        <v>527</v>
      </c>
      <c r="D40" s="122">
        <v>-3.1E-2</v>
      </c>
      <c r="E40" s="122">
        <v>3.5999999999999997E-2</v>
      </c>
      <c r="F40" s="122">
        <v>2E-3</v>
      </c>
      <c r="G40" s="122">
        <v>-4.0000000000000001E-3</v>
      </c>
      <c r="H40" s="122">
        <v>-2.1999999999999999E-2</v>
      </c>
      <c r="I40" s="127">
        <v>378.00099999999998</v>
      </c>
      <c r="J40" s="127">
        <v>-355.40100000000001</v>
      </c>
      <c r="K40" s="127">
        <v>657.024</v>
      </c>
      <c r="L40" s="128">
        <f t="shared" si="4"/>
        <v>1035.0250000000001</v>
      </c>
      <c r="M40" s="128">
        <f t="shared" si="5"/>
        <v>-279.02300000000002</v>
      </c>
      <c r="N40" s="128">
        <f t="shared" si="6"/>
        <v>301.62299999999999</v>
      </c>
      <c r="O40" s="128">
        <f t="shared" si="7"/>
        <v>-1012.425</v>
      </c>
      <c r="Q40" s="91">
        <f t="shared" si="8"/>
        <v>1.7999999999999999E-2</v>
      </c>
      <c r="R40" s="91">
        <f t="shared" si="9"/>
        <v>1.2999999999999999E-2</v>
      </c>
    </row>
    <row r="41" spans="1:18">
      <c r="A41" s="127" t="s">
        <v>63</v>
      </c>
      <c r="B41" s="122">
        <v>708</v>
      </c>
      <c r="C41" s="122" t="s">
        <v>528</v>
      </c>
      <c r="D41" s="122">
        <v>-1.2E-2</v>
      </c>
      <c r="E41" s="122">
        <v>-4.3999999999999997E-2</v>
      </c>
      <c r="F41" s="122">
        <v>-7.0000000000000001E-3</v>
      </c>
      <c r="G41" s="122">
        <v>7.0000000000000001E-3</v>
      </c>
      <c r="H41" s="122">
        <v>0.02</v>
      </c>
      <c r="I41" s="127">
        <v>58.343000000000004</v>
      </c>
      <c r="J41" s="127">
        <v>431.10700000000003</v>
      </c>
      <c r="K41" s="127">
        <v>-590.39599999999996</v>
      </c>
      <c r="L41" s="128">
        <f t="shared" si="4"/>
        <v>-532.053</v>
      </c>
      <c r="M41" s="128">
        <f t="shared" si="5"/>
        <v>648.73899999999992</v>
      </c>
      <c r="N41" s="128">
        <f t="shared" si="6"/>
        <v>-159.28899999999993</v>
      </c>
      <c r="O41" s="128">
        <f t="shared" si="7"/>
        <v>1021.5029999999999</v>
      </c>
      <c r="Q41" s="91">
        <f t="shared" si="8"/>
        <v>3.1E-2</v>
      </c>
      <c r="R41" s="91">
        <f t="shared" si="9"/>
        <v>3.5999999999999997E-2</v>
      </c>
    </row>
    <row r="42" spans="1:18">
      <c r="J42" s="130"/>
      <c r="K42" s="117"/>
      <c r="L42" s="131">
        <f>MAX(L26:L41)</f>
        <v>1110.4840000000002</v>
      </c>
      <c r="M42" s="131">
        <f>MAX(M26:M41)</f>
        <v>1040.22</v>
      </c>
      <c r="N42" s="131">
        <f>MAX(N26:N41)</f>
        <v>1304.7649999999999</v>
      </c>
      <c r="O42" s="131">
        <f>MAX(O26:O41)</f>
        <v>1039.8150000000001</v>
      </c>
      <c r="Q42" s="91">
        <f t="shared" si="8"/>
        <v>1.2E-2</v>
      </c>
      <c r="R42" s="91">
        <f t="shared" si="9"/>
        <v>4.3999999999999997E-2</v>
      </c>
    </row>
    <row r="43" spans="1:18">
      <c r="J43" s="130"/>
      <c r="K43" s="117"/>
      <c r="L43" s="131">
        <f>MIN(L26:L41)</f>
        <v>-532.053</v>
      </c>
      <c r="M43" s="131">
        <f>MIN(M26:M41)</f>
        <v>-467.52499999999998</v>
      </c>
      <c r="N43" s="131">
        <f>MIN(N26:N41)</f>
        <v>-1372.3150000000001</v>
      </c>
      <c r="O43" s="131">
        <f>MIN(O26:O41)</f>
        <v>-1012.425</v>
      </c>
    </row>
    <row r="46" spans="1:18" ht="18">
      <c r="A46" s="119" t="s">
        <v>524</v>
      </c>
      <c r="B46" s="120"/>
      <c r="C46" s="120"/>
      <c r="M46" s="350"/>
    </row>
    <row r="47" spans="1:18">
      <c r="A47" s="121" t="s">
        <v>34</v>
      </c>
      <c r="B47" s="122"/>
      <c r="C47" s="122"/>
      <c r="D47" s="123" t="s">
        <v>35</v>
      </c>
      <c r="E47" s="123"/>
      <c r="F47" s="123" t="s">
        <v>36</v>
      </c>
      <c r="G47" s="123"/>
      <c r="H47" s="124"/>
      <c r="I47" s="123" t="s">
        <v>37</v>
      </c>
      <c r="J47" s="123"/>
      <c r="K47" s="123"/>
      <c r="L47" s="484" t="s">
        <v>70</v>
      </c>
      <c r="M47" s="485"/>
      <c r="N47" s="485"/>
      <c r="O47" s="486"/>
    </row>
    <row r="48" spans="1:18">
      <c r="A48" s="125" t="s">
        <v>34</v>
      </c>
      <c r="B48" s="122" t="s">
        <v>38</v>
      </c>
      <c r="C48" s="122" t="s">
        <v>39</v>
      </c>
      <c r="D48" s="126" t="s">
        <v>40</v>
      </c>
      <c r="E48" s="126" t="s">
        <v>41</v>
      </c>
      <c r="F48" s="126" t="s">
        <v>42</v>
      </c>
      <c r="G48" s="126" t="s">
        <v>43</v>
      </c>
      <c r="H48" s="126" t="s">
        <v>44</v>
      </c>
      <c r="I48" s="127" t="s">
        <v>45</v>
      </c>
      <c r="J48" s="127" t="s">
        <v>46</v>
      </c>
      <c r="K48" s="126" t="s">
        <v>47</v>
      </c>
      <c r="L48" s="124" t="s">
        <v>71</v>
      </c>
      <c r="M48" s="124" t="s">
        <v>72</v>
      </c>
      <c r="N48" s="124" t="s">
        <v>73</v>
      </c>
      <c r="O48" s="124" t="s">
        <v>74</v>
      </c>
    </row>
    <row r="49" spans="1:15">
      <c r="A49" s="127" t="s">
        <v>48</v>
      </c>
      <c r="B49" s="122">
        <v>541</v>
      </c>
      <c r="C49" s="122" t="s">
        <v>536</v>
      </c>
      <c r="D49" s="122">
        <v>0.45700000000000002</v>
      </c>
      <c r="E49" s="122">
        <v>-6.5000000000000002E-2</v>
      </c>
      <c r="F49" s="122">
        <v>-2.1000000000000001E-2</v>
      </c>
      <c r="G49" s="122">
        <v>0</v>
      </c>
      <c r="H49" s="122">
        <v>4.0000000000000001E-3</v>
      </c>
      <c r="I49" s="127">
        <v>168.89400000000001</v>
      </c>
      <c r="J49" s="127">
        <v>-56.030999999999999</v>
      </c>
      <c r="K49" s="122">
        <v>204.03800000000001</v>
      </c>
      <c r="L49" s="128">
        <f>I49+K49</f>
        <v>372.93200000000002</v>
      </c>
      <c r="M49" s="128">
        <f>I49-K49</f>
        <v>-35.144000000000005</v>
      </c>
      <c r="N49" s="128">
        <f>J49+K49</f>
        <v>148.00700000000001</v>
      </c>
      <c r="O49" s="129">
        <f>J49-K49</f>
        <v>-260.06900000000002</v>
      </c>
    </row>
    <row r="50" spans="1:15">
      <c r="A50" s="127" t="s">
        <v>49</v>
      </c>
      <c r="B50" s="122">
        <v>541</v>
      </c>
      <c r="C50" s="122" t="s">
        <v>537</v>
      </c>
      <c r="D50" s="122">
        <v>-0.58599999999999997</v>
      </c>
      <c r="E50" s="122">
        <v>0.17499999999999999</v>
      </c>
      <c r="F50" s="122">
        <v>0.02</v>
      </c>
      <c r="G50" s="122">
        <v>0</v>
      </c>
      <c r="H50" s="122">
        <v>-4.0000000000000001E-3</v>
      </c>
      <c r="I50" s="127">
        <v>692.28099999999995</v>
      </c>
      <c r="J50" s="127">
        <v>71.120999999999995</v>
      </c>
      <c r="K50" s="122">
        <v>-228.00700000000001</v>
      </c>
      <c r="L50" s="128">
        <f t="shared" ref="L50:L64" si="10">I50+K50</f>
        <v>464.27399999999994</v>
      </c>
      <c r="M50" s="128">
        <f t="shared" ref="M50:M64" si="11">I50-K50</f>
        <v>920.28800000000001</v>
      </c>
      <c r="N50" s="128">
        <f t="shared" ref="N50:N64" si="12">J50+K50</f>
        <v>-156.88600000000002</v>
      </c>
      <c r="O50" s="129">
        <f t="shared" ref="O50:O64" si="13">J50-K50</f>
        <v>299.12799999999999</v>
      </c>
    </row>
    <row r="51" spans="1:15">
      <c r="A51" s="127" t="s">
        <v>50</v>
      </c>
      <c r="B51" s="122">
        <v>524</v>
      </c>
      <c r="C51" s="122" t="s">
        <v>537</v>
      </c>
      <c r="D51" s="122">
        <v>-0.30199999999999999</v>
      </c>
      <c r="E51" s="122">
        <v>0.7</v>
      </c>
      <c r="F51" s="122">
        <v>2.4E-2</v>
      </c>
      <c r="G51" s="122">
        <v>4.9000000000000002E-2</v>
      </c>
      <c r="H51" s="122">
        <v>-0.02</v>
      </c>
      <c r="I51" s="127">
        <v>-16.509</v>
      </c>
      <c r="J51" s="127">
        <v>1196.731</v>
      </c>
      <c r="K51" s="122">
        <v>56.781999999999996</v>
      </c>
      <c r="L51" s="128">
        <f t="shared" si="10"/>
        <v>40.272999999999996</v>
      </c>
      <c r="M51" s="128">
        <f t="shared" si="11"/>
        <v>-73.290999999999997</v>
      </c>
      <c r="N51" s="128">
        <f t="shared" si="12"/>
        <v>1253.5129999999999</v>
      </c>
      <c r="O51" s="129">
        <f t="shared" si="13"/>
        <v>1139.9490000000001</v>
      </c>
    </row>
    <row r="52" spans="1:15">
      <c r="A52" s="127" t="s">
        <v>51</v>
      </c>
      <c r="B52" s="122">
        <v>524</v>
      </c>
      <c r="C52" s="122" t="s">
        <v>536</v>
      </c>
      <c r="D52" s="122">
        <v>0.26</v>
      </c>
      <c r="E52" s="122">
        <v>-0.48799999999999999</v>
      </c>
      <c r="F52" s="122">
        <v>-2.5000000000000001E-2</v>
      </c>
      <c r="G52" s="122">
        <v>-0.05</v>
      </c>
      <c r="H52" s="122">
        <v>0.02</v>
      </c>
      <c r="I52" s="127">
        <v>129.124</v>
      </c>
      <c r="J52" s="127">
        <v>-1097.2950000000001</v>
      </c>
      <c r="K52" s="122">
        <v>-55.161000000000001</v>
      </c>
      <c r="L52" s="128">
        <f t="shared" si="10"/>
        <v>73.962999999999994</v>
      </c>
      <c r="M52" s="128">
        <f t="shared" si="11"/>
        <v>184.285</v>
      </c>
      <c r="N52" s="128">
        <f t="shared" si="12"/>
        <v>-1152.4560000000001</v>
      </c>
      <c r="O52" s="129">
        <f t="shared" si="13"/>
        <v>-1042.134</v>
      </c>
    </row>
    <row r="53" spans="1:15">
      <c r="A53" s="127" t="s">
        <v>52</v>
      </c>
      <c r="B53" s="122">
        <v>544</v>
      </c>
      <c r="C53" s="122" t="s">
        <v>537</v>
      </c>
      <c r="D53" s="122">
        <v>-0.43099999999999999</v>
      </c>
      <c r="E53" s="122">
        <v>0.29699999999999999</v>
      </c>
      <c r="F53" s="122">
        <v>0.03</v>
      </c>
      <c r="G53" s="122">
        <v>3.1E-2</v>
      </c>
      <c r="H53" s="122">
        <v>-8.0000000000000002E-3</v>
      </c>
      <c r="I53" s="127">
        <v>-166.30099999999999</v>
      </c>
      <c r="J53" s="127">
        <v>1033.0530000000001</v>
      </c>
      <c r="K53" s="122">
        <v>-150.74700000000001</v>
      </c>
      <c r="L53" s="128">
        <f t="shared" si="10"/>
        <v>-317.048</v>
      </c>
      <c r="M53" s="128">
        <f t="shared" si="11"/>
        <v>-15.553999999999974</v>
      </c>
      <c r="N53" s="128">
        <f t="shared" si="12"/>
        <v>882.30600000000004</v>
      </c>
      <c r="O53" s="129">
        <f t="shared" si="13"/>
        <v>1183.8000000000002</v>
      </c>
    </row>
    <row r="54" spans="1:15">
      <c r="A54" s="127" t="s">
        <v>53</v>
      </c>
      <c r="B54" s="122">
        <v>544</v>
      </c>
      <c r="C54" s="122" t="s">
        <v>536</v>
      </c>
      <c r="D54" s="122">
        <v>0.33500000000000002</v>
      </c>
      <c r="E54" s="122">
        <v>-0.13600000000000001</v>
      </c>
      <c r="F54" s="122">
        <v>-0.03</v>
      </c>
      <c r="G54" s="122">
        <v>-3.2000000000000001E-2</v>
      </c>
      <c r="H54" s="122">
        <v>8.0000000000000002E-3</v>
      </c>
      <c r="I54" s="127">
        <v>470.94200000000001</v>
      </c>
      <c r="J54" s="127">
        <v>-902.673</v>
      </c>
      <c r="K54" s="122">
        <v>177.76300000000001</v>
      </c>
      <c r="L54" s="128">
        <f t="shared" si="10"/>
        <v>648.70500000000004</v>
      </c>
      <c r="M54" s="128">
        <f t="shared" si="11"/>
        <v>293.17899999999997</v>
      </c>
      <c r="N54" s="128">
        <f t="shared" si="12"/>
        <v>-724.91</v>
      </c>
      <c r="O54" s="129">
        <f t="shared" si="13"/>
        <v>-1080.4359999999999</v>
      </c>
    </row>
    <row r="55" spans="1:15">
      <c r="A55" s="127" t="s">
        <v>54</v>
      </c>
      <c r="B55" s="122">
        <v>524</v>
      </c>
      <c r="C55" s="122" t="s">
        <v>538</v>
      </c>
      <c r="D55" s="122">
        <v>8.5999999999999993E-2</v>
      </c>
      <c r="E55" s="122">
        <v>-0.151</v>
      </c>
      <c r="F55" s="122">
        <v>1.2E-2</v>
      </c>
      <c r="G55" s="122">
        <v>6.0999999999999999E-2</v>
      </c>
      <c r="H55" s="122">
        <v>-8.9999999999999993E-3</v>
      </c>
      <c r="I55" s="127">
        <v>146.41800000000001</v>
      </c>
      <c r="J55" s="127">
        <v>400.53800000000001</v>
      </c>
      <c r="K55" s="122">
        <v>-117.48</v>
      </c>
      <c r="L55" s="128">
        <f t="shared" si="10"/>
        <v>28.938000000000002</v>
      </c>
      <c r="M55" s="128">
        <f t="shared" si="11"/>
        <v>263.89800000000002</v>
      </c>
      <c r="N55" s="128">
        <f t="shared" si="12"/>
        <v>283.05799999999999</v>
      </c>
      <c r="O55" s="129">
        <f t="shared" si="13"/>
        <v>518.01800000000003</v>
      </c>
    </row>
    <row r="56" spans="1:15">
      <c r="A56" s="127" t="s">
        <v>55</v>
      </c>
      <c r="B56" s="122">
        <v>524</v>
      </c>
      <c r="C56" s="122" t="s">
        <v>539</v>
      </c>
      <c r="D56" s="122">
        <v>-0.128</v>
      </c>
      <c r="E56" s="122">
        <v>0.36199999999999999</v>
      </c>
      <c r="F56" s="122">
        <v>-1.2999999999999999E-2</v>
      </c>
      <c r="G56" s="122">
        <v>-6.2E-2</v>
      </c>
      <c r="H56" s="122">
        <v>0.01</v>
      </c>
      <c r="I56" s="127">
        <v>-33.798999999999999</v>
      </c>
      <c r="J56" s="127">
        <v>-301.11399999999998</v>
      </c>
      <c r="K56" s="122">
        <v>119.099</v>
      </c>
      <c r="L56" s="128">
        <f t="shared" si="10"/>
        <v>85.300000000000011</v>
      </c>
      <c r="M56" s="128">
        <f t="shared" si="11"/>
        <v>-152.898</v>
      </c>
      <c r="N56" s="128">
        <f t="shared" si="12"/>
        <v>-182.01499999999999</v>
      </c>
      <c r="O56" s="129">
        <f t="shared" si="13"/>
        <v>-420.21299999999997</v>
      </c>
    </row>
    <row r="57" spans="1:15">
      <c r="A57" s="127" t="s">
        <v>56</v>
      </c>
      <c r="B57" s="122">
        <v>87</v>
      </c>
      <c r="C57" s="122" t="s">
        <v>539</v>
      </c>
      <c r="D57" s="122">
        <v>4.5999999999999999E-2</v>
      </c>
      <c r="E57" s="122">
        <v>0.26700000000000002</v>
      </c>
      <c r="F57" s="122">
        <v>-5.0000000000000001E-3</v>
      </c>
      <c r="G57" s="122">
        <v>3.0000000000000001E-3</v>
      </c>
      <c r="H57" s="122">
        <v>2.1000000000000001E-2</v>
      </c>
      <c r="I57" s="127">
        <v>978.83299999999997</v>
      </c>
      <c r="J57" s="127">
        <v>464.78100000000001</v>
      </c>
      <c r="K57" s="122">
        <v>-172.376</v>
      </c>
      <c r="L57" s="128">
        <f t="shared" si="10"/>
        <v>806.45699999999999</v>
      </c>
      <c r="M57" s="128">
        <f t="shared" si="11"/>
        <v>1151.2090000000001</v>
      </c>
      <c r="N57" s="128">
        <f t="shared" si="12"/>
        <v>292.40499999999997</v>
      </c>
      <c r="O57" s="129">
        <f t="shared" si="13"/>
        <v>637.15700000000004</v>
      </c>
    </row>
    <row r="58" spans="1:15">
      <c r="A58" s="127" t="s">
        <v>57</v>
      </c>
      <c r="B58" s="122">
        <v>87</v>
      </c>
      <c r="C58" s="122" t="s">
        <v>538</v>
      </c>
      <c r="D58" s="122">
        <v>-0.17199999999999999</v>
      </c>
      <c r="E58" s="122">
        <v>7.2999999999999995E-2</v>
      </c>
      <c r="F58" s="122">
        <v>5.0000000000000001E-3</v>
      </c>
      <c r="G58" s="122">
        <v>-3.0000000000000001E-3</v>
      </c>
      <c r="H58" s="122">
        <v>-2.1000000000000001E-2</v>
      </c>
      <c r="I58" s="127">
        <v>464.95699999999999</v>
      </c>
      <c r="J58" s="127">
        <v>365.32400000000001</v>
      </c>
      <c r="K58" s="122">
        <v>276.875</v>
      </c>
      <c r="L58" s="128">
        <f t="shared" si="10"/>
        <v>741.83199999999999</v>
      </c>
      <c r="M58" s="128">
        <f t="shared" si="11"/>
        <v>188.08199999999999</v>
      </c>
      <c r="N58" s="128">
        <f t="shared" si="12"/>
        <v>642.19900000000007</v>
      </c>
      <c r="O58" s="129">
        <f t="shared" si="13"/>
        <v>88.449000000000012</v>
      </c>
    </row>
    <row r="59" spans="1:15">
      <c r="A59" s="127" t="s">
        <v>58</v>
      </c>
      <c r="B59" s="127">
        <v>186</v>
      </c>
      <c r="C59" s="127" t="s">
        <v>540</v>
      </c>
      <c r="D59" s="127">
        <v>-1.4E-2</v>
      </c>
      <c r="E59" s="127">
        <v>2.1999999999999999E-2</v>
      </c>
      <c r="F59" s="127">
        <v>0</v>
      </c>
      <c r="G59" s="127">
        <v>0</v>
      </c>
      <c r="H59" s="127">
        <v>0</v>
      </c>
      <c r="I59" s="127">
        <v>1448.8530000000001</v>
      </c>
      <c r="J59" s="127">
        <v>1433.6980000000001</v>
      </c>
      <c r="K59" s="127">
        <v>15.727</v>
      </c>
      <c r="L59" s="128">
        <f t="shared" si="10"/>
        <v>1464.5800000000002</v>
      </c>
      <c r="M59" s="128">
        <f t="shared" si="11"/>
        <v>1433.126</v>
      </c>
      <c r="N59" s="128">
        <f t="shared" si="12"/>
        <v>1449.4250000000002</v>
      </c>
      <c r="O59" s="128">
        <f t="shared" si="13"/>
        <v>1417.971</v>
      </c>
    </row>
    <row r="60" spans="1:15">
      <c r="A60" s="127" t="s">
        <v>59</v>
      </c>
      <c r="B60" s="127">
        <v>706</v>
      </c>
      <c r="C60" s="127" t="s">
        <v>538</v>
      </c>
      <c r="D60" s="127">
        <v>0.1</v>
      </c>
      <c r="E60" s="127">
        <v>1.4999999999999999E-2</v>
      </c>
      <c r="F60" s="127">
        <v>0.01</v>
      </c>
      <c r="G60" s="127">
        <v>6.0000000000000001E-3</v>
      </c>
      <c r="H60" s="127">
        <v>7.0000000000000001E-3</v>
      </c>
      <c r="I60" s="127">
        <v>-202.999</v>
      </c>
      <c r="J60" s="127">
        <v>-54.476999999999997</v>
      </c>
      <c r="K60" s="127">
        <v>-88.191000000000003</v>
      </c>
      <c r="L60" s="128">
        <f t="shared" si="10"/>
        <v>-291.19</v>
      </c>
      <c r="M60" s="128">
        <f t="shared" si="11"/>
        <v>-114.80799999999999</v>
      </c>
      <c r="N60" s="128">
        <f t="shared" si="12"/>
        <v>-142.66800000000001</v>
      </c>
      <c r="O60" s="128">
        <f t="shared" si="13"/>
        <v>33.714000000000006</v>
      </c>
    </row>
    <row r="61" spans="1:15">
      <c r="A61" s="127" t="s">
        <v>60</v>
      </c>
      <c r="B61" s="127">
        <v>186</v>
      </c>
      <c r="C61" s="127" t="s">
        <v>541</v>
      </c>
      <c r="D61" s="127">
        <v>-1.4E-2</v>
      </c>
      <c r="E61" s="127">
        <v>2.1999999999999999E-2</v>
      </c>
      <c r="F61" s="127">
        <v>0</v>
      </c>
      <c r="G61" s="127">
        <v>0</v>
      </c>
      <c r="H61" s="127">
        <v>0</v>
      </c>
      <c r="I61" s="127">
        <v>1448.665</v>
      </c>
      <c r="J61" s="127">
        <v>1433.7929999999999</v>
      </c>
      <c r="K61" s="127">
        <v>15.574999999999999</v>
      </c>
      <c r="L61" s="128">
        <f t="shared" si="10"/>
        <v>1464.24</v>
      </c>
      <c r="M61" s="128">
        <f t="shared" si="11"/>
        <v>1433.09</v>
      </c>
      <c r="N61" s="128">
        <f t="shared" si="12"/>
        <v>1449.3679999999999</v>
      </c>
      <c r="O61" s="128">
        <f t="shared" si="13"/>
        <v>1418.2179999999998</v>
      </c>
    </row>
    <row r="62" spans="1:15">
      <c r="A62" s="127" t="s">
        <v>61</v>
      </c>
      <c r="B62" s="127">
        <v>524</v>
      </c>
      <c r="C62" s="127" t="s">
        <v>536</v>
      </c>
      <c r="D62" s="127">
        <v>0.26</v>
      </c>
      <c r="E62" s="127">
        <v>-0.48799999999999999</v>
      </c>
      <c r="F62" s="127">
        <v>-2.5000000000000001E-2</v>
      </c>
      <c r="G62" s="127">
        <v>-0.05</v>
      </c>
      <c r="H62" s="127">
        <v>0.02</v>
      </c>
      <c r="I62" s="127">
        <v>129.124</v>
      </c>
      <c r="J62" s="127">
        <v>-1097.2950000000001</v>
      </c>
      <c r="K62" s="127">
        <v>-55.161000000000001</v>
      </c>
      <c r="L62" s="128">
        <f t="shared" si="10"/>
        <v>73.962999999999994</v>
      </c>
      <c r="M62" s="128">
        <f t="shared" si="11"/>
        <v>184.285</v>
      </c>
      <c r="N62" s="128">
        <f t="shared" si="12"/>
        <v>-1152.4560000000001</v>
      </c>
      <c r="O62" s="128">
        <f t="shared" si="13"/>
        <v>-1042.134</v>
      </c>
    </row>
    <row r="63" spans="1:15">
      <c r="A63" s="127" t="s">
        <v>62</v>
      </c>
      <c r="B63" s="122">
        <v>583</v>
      </c>
      <c r="C63" s="122" t="s">
        <v>536</v>
      </c>
      <c r="D63" s="122">
        <v>4.8000000000000001E-2</v>
      </c>
      <c r="E63" s="122">
        <v>0.114</v>
      </c>
      <c r="F63" s="122">
        <v>-1.2E-2</v>
      </c>
      <c r="G63" s="122">
        <v>-1.6E-2</v>
      </c>
      <c r="H63" s="122">
        <v>1.2999999999999999E-2</v>
      </c>
      <c r="I63" s="127">
        <v>356.29300000000001</v>
      </c>
      <c r="J63" s="127">
        <v>-320.27199999999999</v>
      </c>
      <c r="K63" s="127">
        <v>573.09900000000005</v>
      </c>
      <c r="L63" s="128">
        <f t="shared" si="10"/>
        <v>929.39200000000005</v>
      </c>
      <c r="M63" s="128">
        <f t="shared" si="11"/>
        <v>-216.80600000000004</v>
      </c>
      <c r="N63" s="128">
        <f t="shared" si="12"/>
        <v>252.82700000000006</v>
      </c>
      <c r="O63" s="128">
        <f t="shared" si="13"/>
        <v>-893.37100000000009</v>
      </c>
    </row>
    <row r="64" spans="1:15">
      <c r="A64" s="127" t="s">
        <v>63</v>
      </c>
      <c r="B64" s="122">
        <v>582</v>
      </c>
      <c r="C64" s="122" t="s">
        <v>537</v>
      </c>
      <c r="D64" s="122">
        <v>-0.105</v>
      </c>
      <c r="E64" s="122">
        <v>-2.1000000000000001E-2</v>
      </c>
      <c r="F64" s="122">
        <v>1.4999999999999999E-2</v>
      </c>
      <c r="G64" s="122">
        <v>1.6E-2</v>
      </c>
      <c r="H64" s="122">
        <v>-1.4999999999999999E-2</v>
      </c>
      <c r="I64" s="127">
        <v>487.16399999999999</v>
      </c>
      <c r="J64" s="127">
        <v>483.52600000000001</v>
      </c>
      <c r="K64" s="127">
        <v>-589.39599999999996</v>
      </c>
      <c r="L64" s="128">
        <f t="shared" si="10"/>
        <v>-102.23199999999997</v>
      </c>
      <c r="M64" s="128">
        <f t="shared" si="11"/>
        <v>1076.56</v>
      </c>
      <c r="N64" s="128">
        <f t="shared" si="12"/>
        <v>-105.86999999999995</v>
      </c>
      <c r="O64" s="128">
        <f t="shared" si="13"/>
        <v>1072.922</v>
      </c>
    </row>
    <row r="65" spans="10:15">
      <c r="J65" s="130"/>
      <c r="K65" s="350"/>
      <c r="L65" s="131">
        <f>MAX(L49:L64)</f>
        <v>1464.5800000000002</v>
      </c>
      <c r="M65" s="131">
        <f>MAX(M49:M64)</f>
        <v>1433.126</v>
      </c>
      <c r="N65" s="131">
        <f>MAX(N49:N64)</f>
        <v>1449.4250000000002</v>
      </c>
      <c r="O65" s="131">
        <f>MAX(O49:O64)</f>
        <v>1418.2179999999998</v>
      </c>
    </row>
    <row r="66" spans="10:15">
      <c r="L66" s="131">
        <f>MIN(L49:L64)</f>
        <v>-317.048</v>
      </c>
      <c r="M66" s="131">
        <f>MIN(M49:M64)</f>
        <v>-216.80600000000004</v>
      </c>
      <c r="N66" s="131">
        <f>MIN(N49:N64)</f>
        <v>-1152.4560000000001</v>
      </c>
      <c r="O66" s="131">
        <f>MIN(O49:O64)</f>
        <v>-1080.4359999999999</v>
      </c>
    </row>
  </sheetData>
  <mergeCells count="5">
    <mergeCell ref="F1:G1"/>
    <mergeCell ref="H1:K1"/>
    <mergeCell ref="L3:O3"/>
    <mergeCell ref="L24:O24"/>
    <mergeCell ref="L47:O47"/>
  </mergeCells>
  <pageMargins left="0.7" right="0.7" top="0.75" bottom="0.75" header="0.3" footer="0.3"/>
  <pageSetup paperSize="9" scale="50" orientation="landscape" r:id="rId1"/>
  <rowBreaks count="1" manualBreakCount="1">
    <brk id="44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2726"/>
  <sheetViews>
    <sheetView showGridLines="0" tabSelected="1" view="pageBreakPreview" topLeftCell="A146" zoomScaleNormal="85" zoomScaleSheetLayoutView="100" workbookViewId="0">
      <selection activeCell="I155" sqref="I155"/>
    </sheetView>
  </sheetViews>
  <sheetFormatPr defaultColWidth="12.28515625" defaultRowHeight="15"/>
  <cols>
    <col min="1" max="1" width="8.7109375" style="113" customWidth="1"/>
    <col min="2" max="2" width="16.42578125" style="114" customWidth="1"/>
    <col min="3" max="3" width="10.140625" style="114" customWidth="1"/>
    <col min="4" max="4" width="9.7109375" style="114" customWidth="1"/>
    <col min="5" max="5" width="7.7109375" style="114" customWidth="1"/>
    <col min="6" max="6" width="8.7109375" style="114" customWidth="1"/>
    <col min="7" max="7" width="14.42578125" style="115" bestFit="1" customWidth="1"/>
    <col min="8" max="8" width="10.28515625" style="116" customWidth="1"/>
    <col min="9" max="9" width="9.85546875" style="108" customWidth="1"/>
    <col min="10" max="10" width="10.28515625" style="108" bestFit="1" customWidth="1"/>
    <col min="11" max="11" width="10.5703125" style="112" customWidth="1"/>
    <col min="12" max="12" width="12.140625" style="112" customWidth="1"/>
    <col min="13" max="14" width="12.28515625" style="112"/>
    <col min="15" max="15" width="9" style="112" customWidth="1"/>
    <col min="16" max="16384" width="12.28515625" style="112"/>
  </cols>
  <sheetData>
    <row r="1" spans="1:34" s="48" customFormat="1">
      <c r="A1" s="41"/>
      <c r="B1" s="42"/>
      <c r="C1" s="42"/>
      <c r="D1" s="42"/>
      <c r="E1" s="42"/>
      <c r="F1" s="42"/>
      <c r="G1" s="43"/>
      <c r="H1" s="44"/>
      <c r="I1" s="42"/>
      <c r="J1" s="42"/>
      <c r="K1" s="45"/>
      <c r="L1" s="45"/>
      <c r="M1" s="46"/>
      <c r="N1" s="46"/>
      <c r="O1" s="46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</row>
    <row r="2" spans="1:34" s="48" customFormat="1">
      <c r="A2" s="41"/>
      <c r="B2" s="42"/>
      <c r="C2" s="42"/>
      <c r="D2" s="42"/>
      <c r="E2" s="42"/>
      <c r="F2" s="42"/>
      <c r="G2" s="43"/>
      <c r="H2" s="44"/>
      <c r="I2" s="42"/>
      <c r="J2" s="42"/>
      <c r="K2" s="45"/>
      <c r="L2" s="45"/>
      <c r="M2" s="46"/>
      <c r="N2" s="46"/>
      <c r="O2" s="46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4" s="50" customFormat="1" ht="12.75">
      <c r="A3" s="495" t="s">
        <v>124</v>
      </c>
      <c r="B3" s="495"/>
      <c r="C3" s="499"/>
      <c r="D3" s="499"/>
      <c r="E3" s="42"/>
      <c r="F3" s="42"/>
      <c r="G3" s="43"/>
      <c r="H3" s="49" t="s">
        <v>125</v>
      </c>
      <c r="I3" s="500"/>
      <c r="J3" s="500"/>
      <c r="K3" s="45"/>
      <c r="L3" s="45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</row>
    <row r="4" spans="1:34" s="50" customFormat="1" ht="12.75">
      <c r="A4" s="495" t="s">
        <v>126</v>
      </c>
      <c r="B4" s="495"/>
      <c r="C4" s="496" t="s">
        <v>34</v>
      </c>
      <c r="D4" s="496"/>
      <c r="E4" s="42"/>
      <c r="F4" s="42"/>
      <c r="G4" s="43"/>
      <c r="H4" s="49" t="s">
        <v>127</v>
      </c>
      <c r="I4" s="500"/>
      <c r="J4" s="500"/>
      <c r="K4" s="51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</row>
    <row r="5" spans="1:34" s="50" customFormat="1" ht="12.75">
      <c r="A5" s="495" t="s">
        <v>128</v>
      </c>
      <c r="B5" s="495"/>
      <c r="C5" s="496" t="s">
        <v>34</v>
      </c>
      <c r="D5" s="496"/>
      <c r="E5" s="42"/>
      <c r="F5" s="42"/>
      <c r="G5" s="43"/>
      <c r="H5" s="49" t="s">
        <v>129</v>
      </c>
      <c r="I5" s="497" t="s">
        <v>34</v>
      </c>
      <c r="J5" s="497"/>
      <c r="K5" s="51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AA5" s="46"/>
      <c r="AB5" s="46"/>
      <c r="AC5" s="46"/>
      <c r="AD5" s="46"/>
      <c r="AE5" s="46"/>
      <c r="AF5" s="46"/>
      <c r="AG5" s="46"/>
    </row>
    <row r="6" spans="1:34" s="50" customFormat="1" ht="12" customHeight="1">
      <c r="A6" s="495" t="s">
        <v>130</v>
      </c>
      <c r="B6" s="495"/>
      <c r="C6" s="496" t="s">
        <v>34</v>
      </c>
      <c r="D6" s="496"/>
      <c r="E6" s="42"/>
      <c r="F6" s="42"/>
      <c r="G6" s="43"/>
      <c r="H6" s="52" t="s">
        <v>131</v>
      </c>
      <c r="I6" s="498" t="s">
        <v>34</v>
      </c>
      <c r="J6" s="498"/>
      <c r="K6" s="51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AA6" s="46"/>
      <c r="AB6" s="46"/>
      <c r="AC6" s="46"/>
      <c r="AD6" s="46"/>
      <c r="AE6" s="46"/>
      <c r="AF6" s="46"/>
      <c r="AG6" s="46"/>
    </row>
    <row r="7" spans="1:34" s="50" customFormat="1" ht="12.75" hidden="1">
      <c r="A7" s="41" t="s">
        <v>132</v>
      </c>
      <c r="B7" s="53"/>
      <c r="C7" s="54"/>
      <c r="D7" s="54"/>
      <c r="E7" s="55"/>
      <c r="F7" s="54"/>
      <c r="G7" s="56"/>
      <c r="H7" s="57"/>
      <c r="I7" s="55"/>
      <c r="J7" s="55"/>
      <c r="K7" s="58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AA7" s="46"/>
      <c r="AB7" s="46"/>
      <c r="AC7" s="46"/>
      <c r="AD7" s="46"/>
      <c r="AE7" s="46"/>
      <c r="AF7" s="46"/>
      <c r="AG7" s="46"/>
    </row>
    <row r="8" spans="1:34" s="50" customFormat="1" ht="15.75" customHeight="1">
      <c r="A8" s="487" t="s">
        <v>133</v>
      </c>
      <c r="B8" s="488"/>
      <c r="C8" s="488"/>
      <c r="D8" s="488"/>
      <c r="E8" s="488"/>
      <c r="F8" s="488"/>
      <c r="G8" s="488"/>
      <c r="H8" s="488"/>
      <c r="I8" s="488"/>
      <c r="J8" s="489"/>
      <c r="K8" s="59"/>
      <c r="L8" s="58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B8" s="46"/>
      <c r="AC8" s="46"/>
      <c r="AD8" s="46"/>
      <c r="AE8" s="46"/>
      <c r="AF8" s="46"/>
      <c r="AG8" s="46"/>
      <c r="AH8" s="46"/>
    </row>
    <row r="9" spans="1:34" s="50" customFormat="1" ht="15.75" customHeight="1">
      <c r="A9" s="490" t="s">
        <v>134</v>
      </c>
      <c r="B9" s="491"/>
      <c r="C9" s="491"/>
      <c r="D9" s="491"/>
      <c r="E9" s="491"/>
      <c r="F9" s="491"/>
      <c r="G9" s="491"/>
      <c r="H9" s="491"/>
      <c r="I9" s="491"/>
      <c r="J9" s="492"/>
      <c r="K9" s="59"/>
      <c r="L9" s="58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B9" s="46"/>
      <c r="AC9" s="46"/>
      <c r="AD9" s="46"/>
      <c r="AE9" s="46"/>
      <c r="AF9" s="46"/>
      <c r="AG9" s="46"/>
      <c r="AH9" s="46"/>
    </row>
    <row r="10" spans="1:34" s="50" customFormat="1" ht="1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59"/>
      <c r="L10" s="58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B10" s="46"/>
      <c r="AC10" s="46"/>
      <c r="AD10" s="46"/>
      <c r="AE10" s="46"/>
      <c r="AF10" s="46"/>
      <c r="AG10" s="46"/>
      <c r="AH10" s="46"/>
    </row>
    <row r="11" spans="1:34" s="50" customFormat="1" ht="15" customHeight="1">
      <c r="A11" s="61" t="s">
        <v>156</v>
      </c>
      <c r="B11" s="60"/>
      <c r="C11" s="60"/>
      <c r="D11" s="60"/>
      <c r="E11" s="60"/>
      <c r="F11" s="60"/>
      <c r="G11" s="60"/>
      <c r="H11" s="60"/>
      <c r="I11" s="60"/>
      <c r="J11" s="60"/>
      <c r="K11" s="59"/>
      <c r="L11" s="58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B11" s="46"/>
      <c r="AC11" s="46"/>
      <c r="AD11" s="46"/>
      <c r="AE11" s="46"/>
      <c r="AF11" s="46"/>
      <c r="AG11" s="46"/>
      <c r="AH11" s="46"/>
    </row>
    <row r="12" spans="1:34" s="63" customFormat="1" ht="15" customHeight="1">
      <c r="A12" s="62"/>
      <c r="C12" s="62"/>
      <c r="D12" s="62"/>
      <c r="E12" s="62"/>
      <c r="F12" s="62"/>
      <c r="G12" s="62"/>
      <c r="H12" s="62"/>
      <c r="I12" s="62"/>
      <c r="J12" s="62"/>
      <c r="K12" s="64"/>
      <c r="L12" s="64"/>
      <c r="N12" s="64"/>
      <c r="O12" s="64"/>
    </row>
    <row r="13" spans="1:34" s="65" customFormat="1" ht="17.2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</row>
    <row r="14" spans="1:34" s="65" customFormat="1" ht="17.2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</row>
    <row r="15" spans="1:34" s="62" customFormat="1" ht="17.25" customHeight="1"/>
    <row r="16" spans="1:34" s="65" customFormat="1" ht="17.2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1" s="65" customFormat="1" ht="17.2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1" s="65" customFormat="1" ht="17.2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1" s="65" customFormat="1" ht="16.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</row>
    <row r="20" spans="1:11" s="62" customFormat="1" ht="16.5" customHeight="1"/>
    <row r="21" spans="1:11" s="65" customFormat="1" ht="16.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</row>
    <row r="22" spans="1:11" s="65" customFormat="1" ht="16.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</row>
    <row r="23" spans="1:11" s="65" customFormat="1" ht="1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6"/>
    </row>
    <row r="24" spans="1:11" s="65" customFormat="1" ht="15" customHeight="1">
      <c r="A24" s="62"/>
      <c r="B24" s="67" t="s">
        <v>135</v>
      </c>
      <c r="C24" s="62"/>
      <c r="D24" s="62"/>
      <c r="E24" s="62"/>
      <c r="F24" s="62"/>
      <c r="G24" s="62"/>
      <c r="H24" s="62"/>
      <c r="I24" s="62"/>
      <c r="J24" s="62"/>
    </row>
    <row r="25" spans="1:11" s="65" customFormat="1" ht="18.600000000000001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8"/>
    </row>
    <row r="26" spans="1:11" s="65" customFormat="1" ht="15" customHeight="1">
      <c r="A26" s="62" t="s">
        <v>136</v>
      </c>
      <c r="B26" s="62"/>
      <c r="C26" s="62"/>
      <c r="D26" s="62"/>
      <c r="E26" s="62"/>
      <c r="F26" s="62"/>
      <c r="G26" s="62"/>
      <c r="H26" s="62"/>
      <c r="I26" s="62"/>
      <c r="J26" s="62"/>
    </row>
    <row r="27" spans="1:11" s="65" customFormat="1" ht="1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</row>
    <row r="28" spans="1:11" s="65" customFormat="1" ht="15" customHeight="1">
      <c r="A28" s="62"/>
      <c r="B28" s="69" t="s">
        <v>157</v>
      </c>
      <c r="C28" s="62"/>
      <c r="D28" s="62"/>
      <c r="E28" s="62"/>
      <c r="F28" s="69" t="s">
        <v>158</v>
      </c>
      <c r="G28" s="62"/>
      <c r="H28" s="62"/>
      <c r="I28" s="62"/>
      <c r="J28" s="62"/>
    </row>
    <row r="29" spans="1:11" s="65" customFormat="1" ht="1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</row>
    <row r="30" spans="1:11" s="65" customFormat="1" ht="16.5" customHeight="1">
      <c r="A30" s="70" t="s">
        <v>137</v>
      </c>
      <c r="B30" s="62"/>
      <c r="C30" s="62"/>
      <c r="D30" s="62"/>
      <c r="E30" s="62"/>
      <c r="F30" s="62"/>
      <c r="G30" s="62"/>
      <c r="H30" s="62"/>
      <c r="I30" s="62"/>
      <c r="J30" s="62"/>
    </row>
    <row r="31" spans="1:11" s="65" customFormat="1" ht="1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</row>
    <row r="32" spans="1:11" s="65" customFormat="1" ht="15" customHeight="1">
      <c r="A32" s="62"/>
      <c r="B32" s="62"/>
      <c r="C32" s="62"/>
      <c r="D32" s="62"/>
      <c r="E32" s="62"/>
      <c r="F32" s="62"/>
      <c r="G32" s="62"/>
      <c r="H32" s="71"/>
      <c r="I32" s="62"/>
      <c r="J32" s="62"/>
    </row>
    <row r="33" spans="1:11" s="65" customFormat="1" ht="1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1" s="65" customFormat="1" ht="1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72"/>
    </row>
    <row r="35" spans="1:11" s="65" customFormat="1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72"/>
    </row>
    <row r="36" spans="1:11" s="65" customFormat="1" ht="1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72"/>
    </row>
    <row r="37" spans="1:11" s="65" customFormat="1" ht="15" customHeight="1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72"/>
    </row>
    <row r="38" spans="1:11" s="65" customFormat="1" ht="15" customHeight="1">
      <c r="A38" s="62"/>
      <c r="B38" s="62"/>
      <c r="C38" s="62"/>
      <c r="D38" s="62"/>
      <c r="E38" s="62"/>
      <c r="F38" s="62"/>
      <c r="G38" s="62"/>
      <c r="H38" s="62"/>
      <c r="K38" s="72"/>
    </row>
    <row r="39" spans="1:11" s="65" customFormat="1" ht="15" customHeight="1">
      <c r="A39" s="62"/>
      <c r="B39" s="62"/>
      <c r="C39" s="62"/>
      <c r="D39" s="62"/>
      <c r="E39" s="62"/>
      <c r="G39" s="62"/>
      <c r="H39" s="62"/>
      <c r="K39" s="72"/>
    </row>
    <row r="40" spans="1:11" s="65" customFormat="1" ht="15" customHeight="1">
      <c r="A40" s="62"/>
      <c r="B40" s="62"/>
      <c r="C40" s="62"/>
      <c r="D40" s="62"/>
      <c r="E40" s="62"/>
      <c r="F40" s="62"/>
      <c r="G40" s="62"/>
      <c r="H40" s="62"/>
      <c r="K40" s="72"/>
    </row>
    <row r="41" spans="1:11" s="65" customFormat="1" ht="15" customHeight="1">
      <c r="A41" s="62"/>
      <c r="B41" s="62"/>
      <c r="C41" s="62"/>
      <c r="D41" s="62"/>
      <c r="E41" s="62"/>
      <c r="F41" s="62"/>
      <c r="G41" s="62"/>
      <c r="H41" s="62"/>
      <c r="K41" s="72"/>
    </row>
    <row r="42" spans="1:11" s="65" customFormat="1" ht="15" customHeight="1">
      <c r="A42" s="62" t="s">
        <v>138</v>
      </c>
      <c r="B42" s="62"/>
      <c r="C42" s="62" t="s">
        <v>139</v>
      </c>
      <c r="D42" s="62"/>
      <c r="E42" s="62"/>
      <c r="F42" s="62"/>
      <c r="G42" s="62"/>
      <c r="H42" s="62"/>
      <c r="K42" s="72"/>
    </row>
    <row r="43" spans="1:11" s="65" customFormat="1" ht="15" customHeight="1">
      <c r="A43" s="62"/>
      <c r="B43" s="62"/>
      <c r="C43" s="62"/>
      <c r="D43" s="62"/>
      <c r="E43" s="62"/>
      <c r="F43" s="62"/>
      <c r="G43" s="62"/>
      <c r="H43" s="62"/>
      <c r="K43" s="72"/>
    </row>
    <row r="44" spans="1:11" s="65" customFormat="1" ht="15" customHeight="1">
      <c r="A44" s="62"/>
      <c r="B44" s="62"/>
      <c r="C44" s="62"/>
      <c r="D44" s="62"/>
      <c r="E44" s="62"/>
      <c r="F44" s="62"/>
      <c r="G44" s="62" t="s">
        <v>34</v>
      </c>
      <c r="H44" s="62"/>
      <c r="K44" s="72"/>
    </row>
    <row r="45" spans="1:11" s="65" customFormat="1" ht="1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72"/>
    </row>
    <row r="46" spans="1:11" s="65" customFormat="1" ht="1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72"/>
    </row>
    <row r="47" spans="1:11" s="65" customFormat="1" ht="1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72"/>
    </row>
    <row r="48" spans="1:11" s="65" customFormat="1" ht="50.25" customHeight="1">
      <c r="A48" s="493" t="s">
        <v>171</v>
      </c>
      <c r="B48" s="493"/>
      <c r="C48" s="493"/>
      <c r="D48" s="493"/>
      <c r="E48" s="493"/>
      <c r="F48" s="493"/>
      <c r="G48" s="493"/>
      <c r="H48" s="493"/>
      <c r="I48" s="493"/>
      <c r="J48" s="493"/>
      <c r="K48" s="72"/>
    </row>
    <row r="49" spans="1:11" s="65" customFormat="1" ht="1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72"/>
    </row>
    <row r="50" spans="1:11" s="65" customFormat="1" ht="36.75" customHeight="1">
      <c r="A50" s="494" t="s">
        <v>159</v>
      </c>
      <c r="B50" s="494"/>
      <c r="C50" s="494"/>
      <c r="D50" s="494"/>
      <c r="E50" s="494"/>
      <c r="F50" s="494"/>
      <c r="G50" s="494"/>
      <c r="H50" s="494"/>
      <c r="I50" s="494"/>
      <c r="J50" s="494"/>
      <c r="K50" s="72"/>
    </row>
    <row r="51" spans="1:11" s="65" customFormat="1" ht="1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72"/>
    </row>
    <row r="52" spans="1:11" s="65" customFormat="1" ht="1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72"/>
    </row>
    <row r="53" spans="1:11" s="65" customFormat="1" ht="1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72"/>
    </row>
    <row r="54" spans="1:11" s="65" customFormat="1" ht="15" customHeight="1">
      <c r="A54" s="62" t="s">
        <v>160</v>
      </c>
      <c r="B54" s="62"/>
      <c r="C54" s="62"/>
      <c r="D54" s="62"/>
      <c r="E54" s="62"/>
      <c r="F54" s="62"/>
      <c r="G54" s="62"/>
      <c r="H54" s="62"/>
      <c r="I54" s="62"/>
      <c r="J54" s="62"/>
      <c r="K54" s="72"/>
    </row>
    <row r="55" spans="1:11" s="65" customFormat="1" ht="1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72"/>
    </row>
    <row r="56" spans="1:11" s="65" customFormat="1" ht="1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72"/>
    </row>
    <row r="57" spans="1:11" s="65" customFormat="1" ht="1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72"/>
    </row>
    <row r="58" spans="1:11" s="65" customFormat="1" ht="1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72"/>
    </row>
    <row r="59" spans="1:11" s="65" customFormat="1" ht="1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72"/>
    </row>
    <row r="60" spans="1:11" s="65" customFormat="1" ht="1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72"/>
    </row>
    <row r="61" spans="1:11" s="65" customFormat="1" ht="15" customHeight="1">
      <c r="A61" s="62" t="s">
        <v>140</v>
      </c>
      <c r="C61" s="62"/>
      <c r="D61" s="62"/>
      <c r="E61" s="62"/>
      <c r="F61" s="62"/>
      <c r="G61" s="62"/>
      <c r="H61" s="62"/>
      <c r="I61" s="62"/>
      <c r="J61" s="62"/>
      <c r="K61" s="72"/>
    </row>
    <row r="62" spans="1:11" s="65" customFormat="1" ht="1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72"/>
    </row>
    <row r="63" spans="1:11" s="65" customFormat="1" ht="1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72"/>
    </row>
    <row r="64" spans="1:11" s="65" customFormat="1" ht="1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72"/>
    </row>
    <row r="65" spans="1:11" s="65" customFormat="1" ht="1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72"/>
    </row>
    <row r="66" spans="1:11" s="65" customFormat="1" ht="15" customHeight="1">
      <c r="A66" s="62" t="s">
        <v>6</v>
      </c>
      <c r="C66" s="62"/>
      <c r="D66" s="62"/>
      <c r="E66" s="62"/>
      <c r="F66" s="62"/>
      <c r="G66" s="62"/>
      <c r="H66" s="62"/>
      <c r="I66" s="62"/>
      <c r="J66" s="62"/>
      <c r="K66" s="72"/>
    </row>
    <row r="67" spans="1:11" s="65" customFormat="1" ht="1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72"/>
    </row>
    <row r="68" spans="1:11" s="65" customFormat="1" ht="1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72"/>
    </row>
    <row r="69" spans="1:11" s="65" customFormat="1" ht="1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72"/>
    </row>
    <row r="70" spans="1:11" s="65" customFormat="1" ht="1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72"/>
    </row>
    <row r="71" spans="1:11" s="65" customFormat="1" ht="15" customHeight="1">
      <c r="A71" s="62" t="s">
        <v>141</v>
      </c>
      <c r="B71" s="62"/>
      <c r="C71" s="62"/>
      <c r="D71" s="62"/>
      <c r="E71" s="62"/>
      <c r="F71" s="62"/>
      <c r="G71" s="62"/>
      <c r="H71" s="62"/>
      <c r="I71" s="62"/>
      <c r="J71" s="62"/>
      <c r="K71" s="72"/>
    </row>
    <row r="72" spans="1:11" s="65" customFormat="1" ht="1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72"/>
    </row>
    <row r="73" spans="1:11" s="65" customFormat="1" ht="1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72"/>
    </row>
    <row r="74" spans="1:11" s="65" customFormat="1" ht="1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72"/>
    </row>
    <row r="75" spans="1:11" s="65" customFormat="1" ht="1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72"/>
    </row>
    <row r="76" spans="1:11" s="65" customFormat="1" ht="15" customHeight="1">
      <c r="A76" s="62"/>
      <c r="B76" s="62" t="s">
        <v>140</v>
      </c>
      <c r="C76" s="62"/>
      <c r="D76" s="62"/>
      <c r="E76" s="62"/>
      <c r="F76" s="62"/>
      <c r="G76" s="62"/>
      <c r="H76" s="62"/>
      <c r="I76" s="62"/>
      <c r="J76" s="62"/>
      <c r="K76" s="72"/>
    </row>
    <row r="77" spans="1:11" s="65" customFormat="1" ht="1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72"/>
    </row>
    <row r="78" spans="1:11" s="65" customFormat="1" ht="1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72"/>
    </row>
    <row r="79" spans="1:11" s="65" customFormat="1" ht="1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72"/>
    </row>
    <row r="80" spans="1:11" s="65" customFormat="1" ht="1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72"/>
    </row>
    <row r="81" spans="1:11" s="65" customFormat="1" ht="32.25" customHeight="1">
      <c r="A81" s="494" t="s">
        <v>142</v>
      </c>
      <c r="B81" s="494"/>
      <c r="C81" s="494"/>
      <c r="D81" s="494"/>
      <c r="E81" s="494"/>
      <c r="F81" s="494"/>
      <c r="G81" s="494"/>
      <c r="H81" s="494"/>
      <c r="I81" s="494"/>
      <c r="J81" s="494"/>
      <c r="K81" s="72"/>
    </row>
    <row r="82" spans="1:11" s="65" customFormat="1" ht="1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72"/>
    </row>
    <row r="83" spans="1:11" s="65" customFormat="1" ht="15" customHeight="1">
      <c r="A83" s="62" t="s">
        <v>143</v>
      </c>
      <c r="B83" s="62"/>
      <c r="C83" s="62"/>
      <c r="D83" s="62"/>
      <c r="E83" s="62"/>
      <c r="F83" s="62"/>
      <c r="G83" s="62"/>
      <c r="H83" s="62"/>
      <c r="I83" s="62"/>
      <c r="J83" s="62"/>
      <c r="K83" s="72"/>
    </row>
    <row r="84" spans="1:11" s="65" customFormat="1" ht="1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72"/>
    </row>
    <row r="85" spans="1:11" s="65" customFormat="1" ht="15" customHeight="1">
      <c r="A85" s="62"/>
      <c r="B85" s="62"/>
      <c r="C85" s="62"/>
      <c r="D85" s="62"/>
      <c r="E85" s="62"/>
      <c r="F85" s="62"/>
      <c r="G85" s="73"/>
      <c r="H85" s="62"/>
      <c r="I85" s="62"/>
      <c r="J85" s="62"/>
      <c r="K85" s="72"/>
    </row>
    <row r="86" spans="1:11" s="65" customFormat="1" ht="15" customHeight="1">
      <c r="A86" s="62"/>
      <c r="B86" s="62"/>
      <c r="C86" s="62"/>
      <c r="D86" s="62"/>
      <c r="E86" s="62"/>
      <c r="F86" s="62"/>
      <c r="G86" s="73"/>
      <c r="H86" s="62"/>
      <c r="I86" s="62"/>
      <c r="J86" s="62"/>
      <c r="K86" s="72"/>
    </row>
    <row r="87" spans="1:11" s="65" customFormat="1" ht="1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72"/>
    </row>
    <row r="88" spans="1:11" s="65" customFormat="1" ht="15" customHeight="1">
      <c r="A88" s="62" t="s">
        <v>144</v>
      </c>
      <c r="B88" s="62"/>
      <c r="C88" s="62"/>
      <c r="D88" s="62"/>
      <c r="E88" s="74"/>
      <c r="F88" s="62"/>
      <c r="G88" s="62"/>
      <c r="H88" s="62"/>
      <c r="I88" s="62"/>
      <c r="J88" s="62"/>
      <c r="K88" s="72"/>
    </row>
    <row r="89" spans="1:11" s="65" customFormat="1" ht="15" customHeight="1">
      <c r="A89" s="62"/>
      <c r="B89" s="62"/>
      <c r="C89" s="62"/>
      <c r="D89" s="62"/>
      <c r="E89" s="74"/>
      <c r="F89" s="62"/>
      <c r="G89" s="62"/>
      <c r="H89" s="62"/>
      <c r="I89" s="62"/>
      <c r="J89" s="62"/>
      <c r="K89" s="72"/>
    </row>
    <row r="90" spans="1:11" s="65" customFormat="1" ht="15" customHeight="1">
      <c r="A90" s="62"/>
      <c r="B90" s="62"/>
      <c r="C90" s="62"/>
      <c r="D90" s="62"/>
      <c r="E90" s="74"/>
      <c r="F90" s="62"/>
      <c r="G90" s="62"/>
      <c r="H90" s="62"/>
      <c r="I90" s="62"/>
      <c r="J90" s="62"/>
      <c r="K90" s="72"/>
    </row>
    <row r="91" spans="1:11" s="65" customFormat="1" ht="15" customHeight="1">
      <c r="A91" s="62"/>
      <c r="B91" s="62"/>
      <c r="C91" s="62"/>
      <c r="D91" s="62"/>
      <c r="E91" s="74"/>
      <c r="F91" s="62"/>
      <c r="G91" s="62"/>
      <c r="H91" s="62"/>
      <c r="I91" s="75"/>
      <c r="J91" s="62"/>
      <c r="K91" s="72"/>
    </row>
    <row r="92" spans="1:11" s="65" customFormat="1" ht="15" customHeight="1">
      <c r="A92" s="62"/>
      <c r="B92" s="62"/>
      <c r="C92" s="62"/>
      <c r="D92" s="62"/>
      <c r="E92" s="74"/>
      <c r="F92" s="62"/>
      <c r="G92" s="62"/>
      <c r="H92" s="62"/>
      <c r="I92" s="62"/>
      <c r="J92" s="62"/>
      <c r="K92" s="72"/>
    </row>
    <row r="93" spans="1:11" s="65" customFormat="1" ht="1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72"/>
    </row>
    <row r="94" spans="1:11" s="65" customFormat="1" ht="15" customHeight="1">
      <c r="A94" s="62" t="s">
        <v>145</v>
      </c>
      <c r="B94" s="62"/>
      <c r="C94" s="62"/>
      <c r="D94" s="62"/>
      <c r="E94" s="62"/>
      <c r="F94" s="62"/>
      <c r="G94" s="62"/>
      <c r="H94" s="62"/>
      <c r="I94" s="62"/>
      <c r="J94" s="62"/>
      <c r="K94" s="72"/>
    </row>
    <row r="95" spans="1:11" s="65" customFormat="1" ht="1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72"/>
    </row>
    <row r="96" spans="1:11" s="65" customFormat="1" ht="15" customHeight="1">
      <c r="A96" s="62"/>
      <c r="B96" s="76" t="s">
        <v>161</v>
      </c>
      <c r="C96" s="77">
        <f>FLOOR(0.0035/(0.0055+0.87*Input!H26/200000),0.01)</f>
        <v>0.45</v>
      </c>
      <c r="D96" s="62"/>
      <c r="E96" s="62"/>
      <c r="F96" s="62"/>
      <c r="G96" s="62"/>
      <c r="H96" s="62"/>
      <c r="I96" s="62"/>
      <c r="J96" s="62"/>
      <c r="K96" s="72"/>
    </row>
    <row r="97" spans="1:11" s="65" customFormat="1" ht="1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72"/>
    </row>
    <row r="98" spans="1:11" s="65" customFormat="1" ht="15" customHeight="1">
      <c r="A98" s="62"/>
      <c r="B98" s="76" t="s">
        <v>162</v>
      </c>
      <c r="C98" s="77">
        <f>(1-0.8*C96/2)</f>
        <v>0.82</v>
      </c>
      <c r="D98" s="62"/>
      <c r="E98" s="62"/>
      <c r="F98" s="62"/>
      <c r="G98" s="62"/>
      <c r="H98" s="62"/>
      <c r="I98" s="62"/>
      <c r="J98" s="62"/>
      <c r="K98" s="72"/>
    </row>
    <row r="99" spans="1:11" s="65" customFormat="1" ht="1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72"/>
    </row>
    <row r="100" spans="1:11" s="65" customFormat="1" ht="1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72"/>
    </row>
    <row r="101" spans="1:11" s="65" customFormat="1" ht="1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72"/>
    </row>
    <row r="102" spans="1:11" s="65" customFormat="1" ht="1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72"/>
    </row>
    <row r="103" spans="1:11" s="65" customFormat="1" ht="1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72"/>
    </row>
    <row r="104" spans="1:11" s="65" customFormat="1" ht="1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72"/>
    </row>
    <row r="105" spans="1:11" s="65" customFormat="1" ht="1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72"/>
    </row>
    <row r="106" spans="1:11" s="65" customFormat="1" ht="15" customHeight="1">
      <c r="A106" s="62"/>
      <c r="B106" s="76" t="s">
        <v>163</v>
      </c>
      <c r="C106" s="78">
        <f>(1-C98)*C98*2</f>
        <v>0.29520000000000007</v>
      </c>
      <c r="D106" s="62"/>
      <c r="E106" s="62"/>
      <c r="F106" s="62"/>
      <c r="G106" s="62"/>
      <c r="H106" s="62"/>
      <c r="I106" s="62"/>
      <c r="J106" s="62"/>
      <c r="K106" s="72"/>
    </row>
    <row r="107" spans="1:11" s="65" customFormat="1" ht="1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72"/>
    </row>
    <row r="108" spans="1:11" s="65" customFormat="1" ht="15" customHeight="1">
      <c r="A108" s="79" t="s">
        <v>164</v>
      </c>
      <c r="B108" s="62"/>
      <c r="C108" s="62"/>
      <c r="D108" s="62"/>
      <c r="E108" s="62"/>
      <c r="F108" s="62"/>
      <c r="G108" s="62"/>
      <c r="H108" s="62"/>
      <c r="I108" s="62"/>
      <c r="J108" s="62"/>
      <c r="K108" s="72"/>
    </row>
    <row r="109" spans="1:11" s="65" customFormat="1" ht="15" customHeight="1">
      <c r="A109" s="79"/>
      <c r="B109" s="62"/>
      <c r="C109" s="62"/>
      <c r="D109" s="62"/>
      <c r="E109" s="62"/>
      <c r="F109" s="62"/>
      <c r="G109" s="62"/>
      <c r="H109" s="62"/>
      <c r="I109" s="62"/>
      <c r="J109" s="62"/>
      <c r="K109" s="72"/>
    </row>
    <row r="110" spans="1:11" s="65" customFormat="1" ht="15" customHeight="1">
      <c r="A110" s="79"/>
      <c r="B110" s="62"/>
      <c r="C110" s="62"/>
      <c r="D110" s="62"/>
      <c r="E110" s="62"/>
      <c r="F110" s="62"/>
      <c r="G110" s="62"/>
      <c r="H110" s="62"/>
      <c r="I110" s="62"/>
      <c r="J110" s="62"/>
      <c r="K110" s="72"/>
    </row>
    <row r="111" spans="1:11" s="65" customFormat="1" ht="1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72"/>
    </row>
    <row r="112" spans="1:11" s="65" customFormat="1" ht="1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72"/>
    </row>
    <row r="113" spans="1:11" s="83" customFormat="1" ht="15" customHeight="1">
      <c r="A113" s="62"/>
      <c r="B113" s="76" t="s">
        <v>165</v>
      </c>
      <c r="C113" s="80">
        <f>SQRT(MAX(ABS(Input!H57),ABS(Input!H58),ABS(Input!H59),ABS(Input!H60))*10^6/(Input!H23*0.567/Input!H44)/1000/C106)</f>
        <v>867.33000822072836</v>
      </c>
      <c r="D113" s="62" t="s">
        <v>0</v>
      </c>
      <c r="E113" s="62" t="str">
        <f>IF(C113&lt;Input!H81,"&lt;","&gt;")</f>
        <v>&lt;</v>
      </c>
      <c r="F113" s="62" t="s">
        <v>166</v>
      </c>
      <c r="G113" s="81" t="str">
        <f>IF(C113&lt;Input!H81,"OK","Increase depth")</f>
        <v>OK</v>
      </c>
      <c r="H113" s="62"/>
      <c r="I113" s="62"/>
      <c r="J113" s="62"/>
      <c r="K113" s="82"/>
    </row>
    <row r="114" spans="1:11" s="85" customFormat="1" ht="1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84"/>
    </row>
    <row r="115" spans="1:11" s="62" customFormat="1" ht="15" customHeight="1"/>
    <row r="116" spans="1:11" s="62" customFormat="1" ht="15" customHeight="1">
      <c r="A116" s="61" t="s">
        <v>167</v>
      </c>
    </row>
    <row r="117" spans="1:11" s="62" customFormat="1" ht="15" customHeight="1"/>
    <row r="118" spans="1:11" s="62" customFormat="1" ht="15" customHeight="1">
      <c r="A118" s="62" t="s">
        <v>146</v>
      </c>
    </row>
    <row r="119" spans="1:11" s="62" customFormat="1" ht="15" customHeight="1"/>
    <row r="120" spans="1:11" s="62" customFormat="1" ht="15" customHeight="1"/>
    <row r="121" spans="1:11" s="62" customFormat="1" ht="15" customHeight="1"/>
    <row r="122" spans="1:11" s="62" customFormat="1" ht="15" customHeight="1">
      <c r="B122" s="76" t="s">
        <v>147</v>
      </c>
      <c r="C122" s="86">
        <f>ROUNDDOWN((MAX(ABS(Input!H57),ABS(Input!H58),ABS(Input!H59),ABS(Input!H60)))*10^6/Input!H23/1000/Input!H81/Input!H81*Input!H44,4)</f>
        <v>2.8500000000000001E-2</v>
      </c>
      <c r="D122" s="65"/>
      <c r="E122" s="81" t="str">
        <f>IF(C122&lt;$C$106,"OK","Over-reinforced- Increase Depth")</f>
        <v>OK</v>
      </c>
      <c r="F122" s="382"/>
    </row>
    <row r="123" spans="1:11" s="62" customFormat="1" ht="15" customHeight="1">
      <c r="B123" s="87"/>
      <c r="C123" s="65"/>
      <c r="D123" s="81"/>
    </row>
    <row r="124" spans="1:11" s="62" customFormat="1" ht="15" customHeight="1">
      <c r="B124" s="87"/>
      <c r="C124" s="65"/>
      <c r="D124" s="81"/>
    </row>
    <row r="125" spans="1:11" s="62" customFormat="1" ht="15" customHeight="1">
      <c r="A125" s="61" t="s">
        <v>168</v>
      </c>
    </row>
    <row r="126" spans="1:11" s="62" customFormat="1" ht="15" customHeight="1"/>
    <row r="127" spans="1:11" s="62" customFormat="1" ht="15" customHeight="1">
      <c r="A127" s="79" t="s">
        <v>148</v>
      </c>
      <c r="B127" s="79"/>
      <c r="C127" s="79"/>
      <c r="D127" s="79"/>
    </row>
    <row r="128" spans="1:11" s="62" customFormat="1" ht="15" customHeight="1">
      <c r="A128" s="79"/>
      <c r="B128" s="79"/>
      <c r="C128" s="79"/>
      <c r="D128" s="79"/>
    </row>
    <row r="129" spans="1:15" s="62" customFormat="1" ht="15" customHeight="1">
      <c r="A129" s="79" t="s">
        <v>169</v>
      </c>
      <c r="B129" s="79"/>
      <c r="C129" s="88"/>
      <c r="D129" s="79"/>
    </row>
    <row r="130" spans="1:15" s="65" customFormat="1" ht="15" customHeight="1">
      <c r="A130" s="79"/>
      <c r="B130" s="79"/>
      <c r="C130" s="79"/>
      <c r="D130" s="88"/>
      <c r="E130" s="62"/>
      <c r="F130" s="62"/>
      <c r="G130" s="62"/>
      <c r="H130" s="62"/>
      <c r="I130" s="62"/>
      <c r="J130" s="62"/>
      <c r="K130" s="72"/>
    </row>
    <row r="131" spans="1:15" s="65" customFormat="1" ht="15" customHeight="1">
      <c r="A131" s="79"/>
      <c r="B131" s="79"/>
      <c r="C131" s="79"/>
      <c r="D131" s="79"/>
      <c r="E131" s="62"/>
      <c r="F131" s="62"/>
      <c r="G131" s="62"/>
      <c r="H131" s="62"/>
      <c r="I131" s="62"/>
      <c r="J131" s="62"/>
      <c r="K131" s="72"/>
    </row>
    <row r="132" spans="1:15" s="65" customFormat="1" ht="1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72"/>
    </row>
    <row r="133" spans="1:15" s="65" customFormat="1" ht="15" customHeight="1">
      <c r="A133" s="62" t="s">
        <v>149</v>
      </c>
      <c r="B133" s="62"/>
      <c r="C133" s="62"/>
      <c r="D133" s="62"/>
      <c r="E133" s="62"/>
      <c r="F133" s="62"/>
      <c r="G133" s="62"/>
      <c r="H133" s="62"/>
      <c r="I133" s="62"/>
      <c r="J133" s="62"/>
      <c r="K133" s="89"/>
      <c r="L133" s="72"/>
      <c r="N133" s="72"/>
      <c r="O133" s="72"/>
    </row>
    <row r="134" spans="1:15" s="65" customFormat="1" ht="1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</row>
    <row r="135" spans="1:15" s="65" customFormat="1" ht="1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</row>
    <row r="136" spans="1:15" s="65" customFormat="1" ht="1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</row>
    <row r="137" spans="1:15" s="65" customFormat="1" ht="15" customHeight="1">
      <c r="A137" s="62" t="s">
        <v>150</v>
      </c>
      <c r="B137" s="62"/>
      <c r="C137" s="62"/>
      <c r="D137" s="62"/>
      <c r="E137" s="62"/>
      <c r="F137" s="62"/>
      <c r="G137" s="62"/>
      <c r="H137" s="62"/>
      <c r="I137" s="62"/>
      <c r="J137" s="62"/>
    </row>
    <row r="138" spans="1:15" s="65" customFormat="1" ht="1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</row>
    <row r="139" spans="1:15" s="65" customFormat="1" ht="1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</row>
    <row r="140" spans="1:15" s="65" customFormat="1" ht="1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</row>
    <row r="141" spans="1:15" s="65" customFormat="1" ht="1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</row>
    <row r="142" spans="1:15" s="65" customFormat="1" ht="1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</row>
    <row r="143" spans="1:15" s="65" customFormat="1" ht="15" customHeight="1">
      <c r="A143" s="445" t="s">
        <v>519</v>
      </c>
      <c r="B143" s="62"/>
      <c r="C143" s="62"/>
      <c r="D143" s="62"/>
      <c r="E143" s="62"/>
      <c r="F143" s="62"/>
      <c r="G143" s="62"/>
      <c r="H143" s="62"/>
      <c r="I143" s="62"/>
      <c r="J143" s="62"/>
    </row>
    <row r="144" spans="1:15" s="65" customFormat="1" ht="1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</row>
    <row r="145" spans="1:11" s="65" customFormat="1" ht="15" customHeight="1">
      <c r="A145" s="62" t="s">
        <v>520</v>
      </c>
      <c r="B145" s="62"/>
      <c r="C145" s="62"/>
      <c r="D145" s="62"/>
      <c r="E145" s="62" t="s">
        <v>521</v>
      </c>
      <c r="F145" s="62"/>
      <c r="G145" s="62">
        <f>0.0015*1000*Input!H81/2</f>
        <v>1575.000000000002</v>
      </c>
      <c r="H145" s="62" t="s">
        <v>31</v>
      </c>
      <c r="I145" s="446" t="s">
        <v>522</v>
      </c>
      <c r="J145" s="62"/>
    </row>
    <row r="146" spans="1:11" s="65" customFormat="1" ht="1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</row>
    <row r="147" spans="1:11" s="65" customFormat="1" ht="1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</row>
    <row r="148" spans="1:11" s="65" customFormat="1" ht="1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</row>
    <row r="149" spans="1:11" s="65" customFormat="1" ht="15" customHeight="1">
      <c r="A149" s="384" t="s">
        <v>533</v>
      </c>
      <c r="B149" s="62"/>
      <c r="C149" s="62"/>
      <c r="D149" s="62"/>
      <c r="E149" s="62"/>
      <c r="F149" s="62"/>
      <c r="G149" s="62"/>
      <c r="H149" s="62"/>
      <c r="I149" s="62"/>
      <c r="J149" s="62"/>
    </row>
    <row r="150" spans="1:11" s="65" customFormat="1" ht="18.75" customHeight="1">
      <c r="A150" s="62" t="s">
        <v>176</v>
      </c>
      <c r="B150" s="90"/>
      <c r="C150" s="80"/>
      <c r="D150" s="62"/>
      <c r="E150" s="62"/>
      <c r="F150" s="62"/>
      <c r="G150" s="62"/>
      <c r="H150" s="62"/>
      <c r="I150" s="62"/>
      <c r="J150" s="62"/>
    </row>
    <row r="151" spans="1:11" s="65" customFormat="1" ht="18.75" customHeight="1">
      <c r="A151" s="62" t="s">
        <v>177</v>
      </c>
      <c r="B151" s="90"/>
      <c r="C151" s="80"/>
      <c r="D151" s="62"/>
      <c r="E151" s="62"/>
      <c r="F151" s="62"/>
      <c r="G151" s="62">
        <f>Input!H57*10^6/(Input!H26/Input!H45)/(0.5*(1+SQRT(1-2*C122))*Input!H81)</f>
        <v>2444.546570944593</v>
      </c>
      <c r="H151" s="137" t="s">
        <v>31</v>
      </c>
      <c r="I151" s="62"/>
      <c r="J151" s="62"/>
    </row>
    <row r="152" spans="1:11" s="65" customFormat="1" ht="18.75" customHeight="1">
      <c r="A152" s="62" t="s">
        <v>155</v>
      </c>
      <c r="B152" s="90"/>
      <c r="C152" s="80"/>
      <c r="D152" s="62"/>
      <c r="E152" s="62"/>
      <c r="F152" s="62"/>
      <c r="G152" s="293">
        <v>20</v>
      </c>
      <c r="H152" s="62" t="s">
        <v>0</v>
      </c>
      <c r="I152" s="62"/>
      <c r="J152" s="62"/>
    </row>
    <row r="153" spans="1:11" s="65" customFormat="1">
      <c r="A153" s="62" t="s">
        <v>151</v>
      </c>
      <c r="B153" s="91"/>
      <c r="C153" s="91"/>
      <c r="D153" s="91"/>
      <c r="E153" s="91"/>
      <c r="F153" s="91"/>
      <c r="G153" s="293">
        <v>100</v>
      </c>
      <c r="H153" s="137" t="s">
        <v>0</v>
      </c>
      <c r="I153" s="62"/>
      <c r="J153" s="62"/>
    </row>
    <row r="154" spans="1:11" s="65" customFormat="1" ht="15" customHeight="1">
      <c r="A154" s="62" t="s">
        <v>152</v>
      </c>
      <c r="B154" s="91"/>
      <c r="C154" s="91"/>
      <c r="D154" s="91"/>
      <c r="E154" s="91"/>
      <c r="F154" s="91"/>
      <c r="G154" s="133">
        <f>(1000*(22/7)*G152*G152/4/G153)</f>
        <v>3142.8571428571427</v>
      </c>
      <c r="H154" s="137" t="s">
        <v>31</v>
      </c>
      <c r="J154" s="62"/>
    </row>
    <row r="155" spans="1:11" s="65" customFormat="1" ht="15" customHeight="1">
      <c r="A155" s="62"/>
      <c r="B155" s="62"/>
      <c r="C155" s="62"/>
      <c r="D155" s="62"/>
      <c r="E155" s="62"/>
      <c r="F155" s="62"/>
      <c r="G155" s="81" t="str">
        <f>IF(OR(G154&lt;G151,G154&lt;$G$145),"Increase Reinforcement","OK")</f>
        <v>OK</v>
      </c>
      <c r="H155" s="62"/>
      <c r="I155" s="62"/>
      <c r="J155" s="62"/>
      <c r="K155" s="92"/>
    </row>
    <row r="156" spans="1:11" s="65" customFormat="1">
      <c r="D156" s="104"/>
      <c r="G156" s="112"/>
      <c r="K156" s="93"/>
    </row>
    <row r="157" spans="1:11" s="65" customFormat="1">
      <c r="A157" s="384" t="s">
        <v>534</v>
      </c>
      <c r="G157" s="112"/>
      <c r="K157" s="93"/>
    </row>
    <row r="158" spans="1:11" s="65" customFormat="1">
      <c r="A158" s="62" t="s">
        <v>178</v>
      </c>
      <c r="B158" s="90"/>
      <c r="C158" s="80"/>
      <c r="D158" s="62"/>
      <c r="E158" s="62"/>
      <c r="F158" s="62"/>
      <c r="G158" s="62"/>
      <c r="H158" s="62"/>
      <c r="K158" s="93"/>
    </row>
    <row r="159" spans="1:11" s="65" customFormat="1">
      <c r="A159" s="62" t="s">
        <v>177</v>
      </c>
      <c r="B159" s="90"/>
      <c r="C159" s="80"/>
      <c r="D159" s="62"/>
      <c r="E159" s="62"/>
      <c r="F159" s="62"/>
      <c r="G159" s="62">
        <f>ABS(Input!H58)*10^6/(Input!H26/Input!H45)/(0.5*(1+SQRT(1-2*C122))*Input!H81)</f>
        <v>1144.7913259613106</v>
      </c>
      <c r="H159" s="137" t="s">
        <v>31</v>
      </c>
      <c r="K159" s="93"/>
    </row>
    <row r="160" spans="1:11" s="65" customFormat="1">
      <c r="A160" s="62" t="s">
        <v>155</v>
      </c>
      <c r="B160" s="90"/>
      <c r="C160" s="80"/>
      <c r="D160" s="62"/>
      <c r="E160" s="62"/>
      <c r="F160" s="62"/>
      <c r="G160" s="293">
        <v>20</v>
      </c>
      <c r="H160" s="62" t="s">
        <v>0</v>
      </c>
      <c r="K160" s="93"/>
    </row>
    <row r="161" spans="1:11" s="65" customFormat="1">
      <c r="A161" s="62" t="s">
        <v>151</v>
      </c>
      <c r="B161" s="91"/>
      <c r="C161" s="91"/>
      <c r="D161" s="91"/>
      <c r="E161" s="91"/>
      <c r="F161" s="91"/>
      <c r="G161" s="293">
        <v>100</v>
      </c>
      <c r="H161" s="137" t="s">
        <v>0</v>
      </c>
      <c r="K161" s="93"/>
    </row>
    <row r="162" spans="1:11" s="65" customFormat="1">
      <c r="A162" s="62" t="s">
        <v>152</v>
      </c>
      <c r="B162" s="91"/>
      <c r="C162" s="91"/>
      <c r="D162" s="91"/>
      <c r="E162" s="91"/>
      <c r="F162" s="91"/>
      <c r="G162" s="133">
        <f>(1000*(22/7)*G160*G160/4/G161)</f>
        <v>3142.8571428571427</v>
      </c>
      <c r="H162" s="137" t="s">
        <v>31</v>
      </c>
      <c r="K162" s="93"/>
    </row>
    <row r="163" spans="1:11" s="65" customFormat="1">
      <c r="A163" s="62"/>
      <c r="B163" s="62"/>
      <c r="C163" s="62"/>
      <c r="D163" s="62"/>
      <c r="E163" s="62"/>
      <c r="F163" s="62"/>
      <c r="G163" s="81" t="str">
        <f>IF(OR(G162&lt;G159,G162&lt;$G$145),"Increase Reinforcement","OK")</f>
        <v>OK</v>
      </c>
      <c r="H163" s="62"/>
      <c r="K163" s="93"/>
    </row>
    <row r="164" spans="1:11" s="65" customFormat="1">
      <c r="A164" s="384" t="s">
        <v>533</v>
      </c>
      <c r="G164" s="112"/>
      <c r="K164" s="93"/>
    </row>
    <row r="165" spans="1:11" s="65" customFormat="1">
      <c r="A165" s="62" t="s">
        <v>179</v>
      </c>
      <c r="K165" s="93"/>
    </row>
    <row r="166" spans="1:11" s="65" customFormat="1">
      <c r="A166" s="62" t="s">
        <v>177</v>
      </c>
      <c r="G166" s="112">
        <f>Input!H59*10^6/(Input!H26/Input!H45)/(0.5*(1+SQRT(1-2*C122))*Input!H81)</f>
        <v>2798.5432701634704</v>
      </c>
      <c r="H166" s="137" t="s">
        <v>31</v>
      </c>
      <c r="K166" s="93"/>
    </row>
    <row r="167" spans="1:11" s="65" customFormat="1">
      <c r="A167" s="62" t="s">
        <v>170</v>
      </c>
      <c r="B167" s="90"/>
      <c r="C167" s="80"/>
      <c r="D167" s="62"/>
      <c r="E167" s="62"/>
      <c r="F167" s="62"/>
      <c r="G167" s="293">
        <v>20</v>
      </c>
      <c r="H167" s="62" t="s">
        <v>0</v>
      </c>
      <c r="K167" s="93"/>
    </row>
    <row r="168" spans="1:11" s="65" customFormat="1" ht="15" customHeight="1">
      <c r="A168" s="62" t="s">
        <v>153</v>
      </c>
      <c r="B168" s="91"/>
      <c r="C168" s="91"/>
      <c r="D168" s="91"/>
      <c r="E168" s="91"/>
      <c r="F168" s="91"/>
      <c r="G168" s="293">
        <v>100</v>
      </c>
      <c r="H168" s="137" t="s">
        <v>0</v>
      </c>
      <c r="K168" s="93"/>
    </row>
    <row r="169" spans="1:11" s="65" customFormat="1">
      <c r="A169" s="62" t="s">
        <v>154</v>
      </c>
      <c r="B169" s="91"/>
      <c r="C169" s="91"/>
      <c r="D169" s="91"/>
      <c r="E169" s="91"/>
      <c r="F169" s="91"/>
      <c r="G169" s="133">
        <f>(1000*(22/7)*G167*G167/4/G168)</f>
        <v>3142.8571428571427</v>
      </c>
      <c r="H169" s="137" t="s">
        <v>31</v>
      </c>
      <c r="K169" s="93"/>
    </row>
    <row r="170" spans="1:11" s="65" customFormat="1" ht="15" customHeight="1">
      <c r="A170" s="62"/>
      <c r="B170" s="62"/>
      <c r="C170" s="62"/>
      <c r="D170" s="62"/>
      <c r="E170" s="62"/>
      <c r="F170" s="62"/>
      <c r="G170" s="81" t="str">
        <f>IF(OR(G169&lt;G166,G169&lt;$G$145),"Increase Reinforcement","OK")</f>
        <v>OK</v>
      </c>
      <c r="H170" s="91"/>
      <c r="K170" s="93"/>
    </row>
    <row r="171" spans="1:11" s="65" customFormat="1" ht="15" customHeight="1">
      <c r="A171" s="384" t="s">
        <v>534</v>
      </c>
      <c r="K171" s="93"/>
    </row>
    <row r="172" spans="1:11" s="65" customFormat="1" ht="15" customHeight="1">
      <c r="A172" s="62" t="s">
        <v>180</v>
      </c>
      <c r="B172" s="90"/>
      <c r="C172" s="80"/>
      <c r="D172" s="62"/>
      <c r="E172" s="62"/>
      <c r="F172" s="62"/>
      <c r="G172" s="62"/>
      <c r="H172" s="62"/>
      <c r="K172" s="94"/>
    </row>
    <row r="173" spans="1:11" s="65" customFormat="1" ht="15" customHeight="1">
      <c r="A173" s="62" t="s">
        <v>177</v>
      </c>
      <c r="B173" s="90"/>
      <c r="C173" s="80"/>
      <c r="D173" s="62"/>
      <c r="E173" s="62"/>
      <c r="F173" s="62"/>
      <c r="G173" s="62">
        <f>ABS(Input!H60)*10^6/(Input!H26/Input!H45)/(0.5*(1+SQRT(1-2*C122))*Input!H81)</f>
        <v>2683.3785725576604</v>
      </c>
      <c r="H173" s="137" t="s">
        <v>31</v>
      </c>
      <c r="K173" s="94"/>
    </row>
    <row r="174" spans="1:11" s="65" customFormat="1" ht="15" customHeight="1">
      <c r="A174" s="62" t="s">
        <v>155</v>
      </c>
      <c r="B174" s="90"/>
      <c r="C174" s="80"/>
      <c r="D174" s="62"/>
      <c r="E174" s="62"/>
      <c r="F174" s="62"/>
      <c r="G174" s="293">
        <v>20</v>
      </c>
      <c r="H174" s="62" t="s">
        <v>0</v>
      </c>
    </row>
    <row r="175" spans="1:11" s="65" customFormat="1" ht="15" customHeight="1">
      <c r="A175" s="62" t="s">
        <v>151</v>
      </c>
      <c r="B175" s="91"/>
      <c r="C175" s="91"/>
      <c r="D175" s="91"/>
      <c r="E175" s="91"/>
      <c r="F175" s="91"/>
      <c r="G175" s="293">
        <v>100</v>
      </c>
      <c r="H175" s="137" t="s">
        <v>0</v>
      </c>
    </row>
    <row r="176" spans="1:11" s="63" customFormat="1" ht="15" customHeight="1">
      <c r="A176" s="62" t="s">
        <v>152</v>
      </c>
      <c r="B176" s="91"/>
      <c r="C176" s="91"/>
      <c r="D176" s="91"/>
      <c r="E176" s="91"/>
      <c r="F176" s="91"/>
      <c r="G176" s="133">
        <f>(1000*(22/7)*G174*G174/4/G175)</f>
        <v>3142.8571428571427</v>
      </c>
      <c r="H176" s="137" t="s">
        <v>31</v>
      </c>
    </row>
    <row r="177" spans="1:8" s="65" customFormat="1" ht="15" customHeight="1">
      <c r="A177" s="62"/>
      <c r="B177" s="62"/>
      <c r="C177" s="62"/>
      <c r="D177" s="62"/>
      <c r="E177" s="62"/>
      <c r="F177" s="62"/>
      <c r="G177" s="81" t="str">
        <f>IF(OR(G176&lt;G173,G176&lt;$G$145),"Increase Reinforcement","OK")</f>
        <v>OK</v>
      </c>
      <c r="H177" s="62"/>
    </row>
    <row r="178" spans="1:8" s="65" customFormat="1" ht="15" customHeight="1"/>
    <row r="179" spans="1:8" s="65" customFormat="1" ht="15" customHeight="1"/>
    <row r="180" spans="1:8" s="65" customFormat="1" ht="15" customHeight="1"/>
    <row r="181" spans="1:8" s="65" customFormat="1" ht="15" customHeight="1"/>
    <row r="182" spans="1:8" s="65" customFormat="1" ht="15" customHeight="1"/>
    <row r="183" spans="1:8" s="65" customFormat="1" ht="15" customHeight="1"/>
    <row r="184" spans="1:8" s="65" customFormat="1" ht="15" customHeight="1"/>
    <row r="185" spans="1:8" s="65" customFormat="1" ht="15" customHeight="1"/>
    <row r="186" spans="1:8" s="65" customFormat="1" ht="15" customHeight="1"/>
    <row r="187" spans="1:8" s="65" customFormat="1" ht="15" customHeight="1"/>
    <row r="188" spans="1:8" s="65" customFormat="1" ht="15" customHeight="1"/>
    <row r="189" spans="1:8" s="65" customFormat="1" ht="15" customHeight="1"/>
    <row r="190" spans="1:8" s="65" customFormat="1" ht="15" customHeight="1"/>
    <row r="191" spans="1:8" s="65" customFormat="1" ht="15" customHeight="1"/>
    <row r="192" spans="1:8" s="65" customFormat="1" ht="15" customHeight="1"/>
    <row r="193" spans="11:11" s="65" customFormat="1" ht="15" customHeight="1"/>
    <row r="194" spans="11:11" s="65" customFormat="1" ht="15" customHeight="1"/>
    <row r="195" spans="11:11" s="65" customFormat="1" ht="15" customHeight="1"/>
    <row r="196" spans="11:11" s="65" customFormat="1" ht="15" customHeight="1"/>
    <row r="197" spans="11:11" s="65" customFormat="1" ht="15" customHeight="1"/>
    <row r="198" spans="11:11" s="65" customFormat="1" ht="15" customHeight="1"/>
    <row r="199" spans="11:11" s="65" customFormat="1" ht="15" customHeight="1"/>
    <row r="200" spans="11:11" s="65" customFormat="1" ht="15" customHeight="1"/>
    <row r="201" spans="11:11" s="65" customFormat="1" ht="32.25" customHeight="1"/>
    <row r="202" spans="11:11" s="65" customFormat="1" ht="15" customHeight="1"/>
    <row r="203" spans="11:11" s="65" customFormat="1" ht="15" customHeight="1">
      <c r="K203" s="92"/>
    </row>
    <row r="204" spans="11:11" s="65" customFormat="1" ht="15" customHeight="1">
      <c r="K204" s="94"/>
    </row>
    <row r="205" spans="11:11" s="65" customFormat="1" ht="15" customHeight="1">
      <c r="K205" s="94"/>
    </row>
    <row r="206" spans="11:11" s="65" customFormat="1" ht="15" customHeight="1">
      <c r="K206" s="94"/>
    </row>
    <row r="207" spans="11:11" s="65" customFormat="1" ht="15" customHeight="1">
      <c r="K207" s="94"/>
    </row>
    <row r="208" spans="11:11" s="65" customFormat="1" ht="15" customHeight="1">
      <c r="K208" s="94"/>
    </row>
    <row r="209" spans="1:11" s="65" customFormat="1" ht="15" customHeight="1">
      <c r="K209" s="94"/>
    </row>
    <row r="210" spans="1:11" s="65" customFormat="1" ht="15" customHeight="1">
      <c r="K210" s="94"/>
    </row>
    <row r="211" spans="1:11" s="65" customFormat="1" ht="15" customHeight="1">
      <c r="K211" s="94"/>
    </row>
    <row r="212" spans="1:11" s="65" customFormat="1" ht="15" customHeight="1">
      <c r="K212" s="94"/>
    </row>
    <row r="213" spans="1:11" s="65" customFormat="1" ht="15" customHeight="1">
      <c r="K213" s="94"/>
    </row>
    <row r="214" spans="1:11" s="65" customFormat="1" ht="15" customHeight="1"/>
    <row r="215" spans="1:11" s="65" customFormat="1" ht="15" customHeight="1"/>
    <row r="216" spans="1:11" s="65" customFormat="1" ht="15" customHeight="1"/>
    <row r="217" spans="1:11" s="65" customFormat="1" ht="1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</row>
    <row r="218" spans="1:11" s="65" customFormat="1" ht="1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</row>
    <row r="219" spans="1:11" s="65" customFormat="1" ht="1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</row>
    <row r="220" spans="1:11" s="63" customFormat="1" ht="1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</row>
    <row r="221" spans="1:11" s="65" customFormat="1" ht="1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</row>
    <row r="222" spans="1:11" s="65" customFormat="1" ht="1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</row>
    <row r="223" spans="1:11" s="65" customFormat="1" ht="1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</row>
    <row r="224" spans="1:11" s="65" customFormat="1" ht="1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</row>
    <row r="225" spans="1:10" s="65" customFormat="1" ht="1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</row>
    <row r="226" spans="1:10" s="65" customFormat="1" ht="1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</row>
    <row r="227" spans="1:10" s="65" customFormat="1" ht="1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</row>
    <row r="228" spans="1:10" s="65" customFormat="1" ht="1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</row>
    <row r="229" spans="1:10" s="65" customFormat="1" ht="1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</row>
    <row r="230" spans="1:10" s="65" customFormat="1" ht="1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</row>
    <row r="231" spans="1:10" s="65" customFormat="1" ht="1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</row>
    <row r="232" spans="1:10" s="65" customFormat="1" ht="1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</row>
    <row r="233" spans="1:10" s="65" customFormat="1" ht="1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</row>
    <row r="234" spans="1:10" s="65" customFormat="1" ht="1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</row>
    <row r="235" spans="1:10" s="65" customFormat="1" ht="1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</row>
    <row r="236" spans="1:10" s="65" customFormat="1" ht="1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</row>
    <row r="237" spans="1:10" s="65" customFormat="1" ht="1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</row>
    <row r="238" spans="1:10" s="65" customFormat="1" ht="1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</row>
    <row r="239" spans="1:10" s="65" customFormat="1" ht="1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</row>
    <row r="240" spans="1:10" s="65" customFormat="1" ht="1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</row>
    <row r="241" spans="1:10" s="65" customFormat="1" ht="1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</row>
    <row r="242" spans="1:10" s="65" customFormat="1" ht="1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</row>
    <row r="243" spans="1:10" s="65" customFormat="1" ht="1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</row>
    <row r="244" spans="1:10" s="65" customFormat="1" ht="1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</row>
    <row r="245" spans="1:10" s="65" customFormat="1" ht="1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</row>
    <row r="246" spans="1:10" s="65" customFormat="1" ht="1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</row>
    <row r="247" spans="1:10" s="65" customFormat="1" ht="1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</row>
    <row r="248" spans="1:10" s="65" customFormat="1" ht="1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</row>
    <row r="249" spans="1:10" s="65" customFormat="1" ht="1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</row>
    <row r="250" spans="1:10" s="65" customFormat="1" ht="1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</row>
    <row r="251" spans="1:10" s="65" customFormat="1" ht="1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</row>
    <row r="252" spans="1:10" s="65" customFormat="1" ht="1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</row>
    <row r="253" spans="1:10" s="65" customFormat="1" ht="1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</row>
    <row r="254" spans="1:10" s="65" customFormat="1" ht="1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</row>
    <row r="255" spans="1:10" s="65" customFormat="1" ht="1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</row>
    <row r="256" spans="1:10" s="65" customFormat="1" ht="1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</row>
    <row r="257" spans="1:20" s="65" customFormat="1" ht="1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</row>
    <row r="258" spans="1:20" s="65" customFormat="1" ht="1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</row>
    <row r="259" spans="1:20" s="65" customFormat="1" ht="1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</row>
    <row r="260" spans="1:20" s="65" customFormat="1" ht="1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</row>
    <row r="261" spans="1:20" s="65" customFormat="1" ht="1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</row>
    <row r="262" spans="1:20" s="65" customFormat="1" ht="1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</row>
    <row r="263" spans="1:20" s="65" customFormat="1" ht="1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95"/>
    </row>
    <row r="264" spans="1:20" s="65" customFormat="1" ht="1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</row>
    <row r="265" spans="1:20" s="65" customFormat="1" ht="1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</row>
    <row r="266" spans="1:20" s="65" customFormat="1" ht="1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</row>
    <row r="267" spans="1:20" s="65" customFormat="1" ht="1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</row>
    <row r="268" spans="1:20" s="65" customFormat="1" ht="1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</row>
    <row r="269" spans="1:20" s="65" customFormat="1" ht="1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</row>
    <row r="270" spans="1:20" s="65" customFormat="1" ht="1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T270" s="96"/>
    </row>
    <row r="271" spans="1:20" s="65" customFormat="1" ht="1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</row>
    <row r="272" spans="1:20" s="65" customFormat="1" ht="1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</row>
    <row r="273" spans="1:10" s="65" customFormat="1" ht="1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</row>
    <row r="274" spans="1:10" s="65" customFormat="1" ht="1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</row>
    <row r="275" spans="1:10" s="65" customFormat="1" ht="1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</row>
    <row r="276" spans="1:10" s="65" customFormat="1" ht="1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</row>
    <row r="277" spans="1:10" s="65" customFormat="1" ht="1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</row>
    <row r="278" spans="1:10" s="65" customFormat="1" ht="1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</row>
    <row r="279" spans="1:10" s="65" customFormat="1" ht="1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</row>
    <row r="280" spans="1:10" s="65" customFormat="1" ht="1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</row>
    <row r="281" spans="1:10" s="65" customFormat="1" ht="1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</row>
    <row r="282" spans="1:10" s="65" customFormat="1" ht="1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</row>
    <row r="283" spans="1:10" s="65" customFormat="1" ht="1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</row>
    <row r="284" spans="1:10" s="65" customFormat="1" ht="1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</row>
    <row r="285" spans="1:10" s="65" customFormat="1" ht="1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</row>
    <row r="286" spans="1:10" s="65" customFormat="1" ht="1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</row>
    <row r="287" spans="1:10" s="65" customFormat="1" ht="1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</row>
    <row r="288" spans="1:10" s="65" customFormat="1" ht="1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</row>
    <row r="289" spans="1:14" s="65" customFormat="1" ht="1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</row>
    <row r="290" spans="1:14" s="65" customFormat="1" ht="1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</row>
    <row r="291" spans="1:14" s="65" customFormat="1" ht="1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</row>
    <row r="292" spans="1:14" s="65" customFormat="1" ht="1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97"/>
      <c r="L292" s="97"/>
    </row>
    <row r="293" spans="1:14" s="65" customFormat="1" ht="1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L293" s="98"/>
      <c r="M293" s="66"/>
      <c r="N293" s="66"/>
    </row>
    <row r="294" spans="1:14" s="65" customFormat="1" ht="1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L294" s="66"/>
      <c r="M294" s="66"/>
      <c r="N294" s="66"/>
    </row>
    <row r="295" spans="1:14" s="65" customFormat="1" ht="1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L295" s="66"/>
      <c r="M295" s="66"/>
      <c r="N295" s="66"/>
    </row>
    <row r="296" spans="1:14" s="65" customFormat="1" ht="1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</row>
    <row r="297" spans="1:14" s="65" customFormat="1" ht="27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</row>
    <row r="298" spans="1:14" s="65" customFormat="1" ht="1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</row>
    <row r="299" spans="1:14" s="65" customFormat="1" ht="1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N299" s="72"/>
    </row>
    <row r="300" spans="1:14" s="65" customFormat="1" ht="1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N300" s="72"/>
    </row>
    <row r="301" spans="1:14" s="65" customFormat="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N301" s="72"/>
    </row>
    <row r="302" spans="1:14" s="65" customFormat="1" ht="1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72"/>
      <c r="L302" s="72"/>
      <c r="M302" s="72"/>
      <c r="N302" s="72"/>
    </row>
    <row r="303" spans="1:14" s="65" customFormat="1" ht="13.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99"/>
    </row>
    <row r="304" spans="1:14" s="65" customFormat="1" ht="13.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99"/>
    </row>
    <row r="305" spans="1:11" s="65" customFormat="1" ht="13.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99"/>
    </row>
    <row r="306" spans="1:11" s="65" customFormat="1" ht="13.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99"/>
    </row>
    <row r="307" spans="1:11" s="65" customFormat="1" ht="13.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99"/>
    </row>
    <row r="308" spans="1:11" s="65" customFormat="1" ht="13.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99"/>
    </row>
    <row r="309" spans="1:11" s="65" customFormat="1" ht="13.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99"/>
    </row>
    <row r="310" spans="1:11" s="65" customFormat="1" ht="13.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99"/>
    </row>
    <row r="311" spans="1:11" s="65" customFormat="1" ht="13.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99"/>
    </row>
    <row r="312" spans="1:11" s="65" customFormat="1" ht="13.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99"/>
    </row>
    <row r="313" spans="1:11" s="65" customFormat="1" ht="13.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99"/>
    </row>
    <row r="314" spans="1:11" s="65" customFormat="1" ht="13.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99"/>
    </row>
    <row r="315" spans="1:11" s="65" customFormat="1" ht="13.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99"/>
    </row>
    <row r="316" spans="1:11" s="65" customFormat="1" ht="13.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99"/>
    </row>
    <row r="317" spans="1:11" s="65" customFormat="1" ht="13.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99"/>
    </row>
    <row r="318" spans="1:11" s="65" customFormat="1" ht="13.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99"/>
    </row>
    <row r="319" spans="1:11" s="65" customFormat="1" ht="13.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99"/>
    </row>
    <row r="320" spans="1:11" s="65" customFormat="1" ht="13.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99"/>
    </row>
    <row r="321" spans="1:11" s="65" customFormat="1" ht="13.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99"/>
    </row>
    <row r="322" spans="1:11" s="65" customFormat="1" ht="13.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99"/>
    </row>
    <row r="323" spans="1:11" s="65" customFormat="1" ht="13.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99"/>
    </row>
    <row r="324" spans="1:11" s="65" customFormat="1" ht="13.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99"/>
    </row>
    <row r="325" spans="1:11" s="65" customFormat="1" ht="1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99"/>
    </row>
    <row r="326" spans="1:11" s="65" customFormat="1" ht="1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99"/>
    </row>
    <row r="327" spans="1:11" s="65" customFormat="1" ht="1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99"/>
    </row>
    <row r="328" spans="1:11" s="65" customFormat="1" ht="1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99"/>
    </row>
    <row r="329" spans="1:11" s="65" customFormat="1" ht="1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99"/>
    </row>
    <row r="330" spans="1:11" s="65" customFormat="1" ht="1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99"/>
    </row>
    <row r="331" spans="1:11" s="65" customFormat="1" ht="1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99"/>
    </row>
    <row r="332" spans="1:11" s="65" customFormat="1" ht="1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99"/>
    </row>
    <row r="333" spans="1:11" s="65" customFormat="1" ht="1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99"/>
    </row>
    <row r="334" spans="1:11" s="65" customFormat="1" ht="1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99"/>
    </row>
    <row r="335" spans="1:11" s="65" customFormat="1" ht="1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99"/>
    </row>
    <row r="336" spans="1:11" s="65" customFormat="1" ht="1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100"/>
    </row>
    <row r="337" spans="1:11" s="65" customFormat="1" ht="1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100"/>
    </row>
    <row r="338" spans="1:11" s="65" customFormat="1" ht="30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100"/>
    </row>
    <row r="339" spans="1:11" s="65" customFormat="1" ht="1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100"/>
    </row>
    <row r="340" spans="1:11" s="65" customFormat="1" ht="1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100"/>
    </row>
    <row r="341" spans="1:11" s="65" customFormat="1" ht="1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100"/>
    </row>
    <row r="342" spans="1:11" s="65" customFormat="1" ht="1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100"/>
    </row>
    <row r="343" spans="1:11" s="65" customFormat="1" ht="1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100"/>
    </row>
    <row r="344" spans="1:11" s="65" customFormat="1" ht="1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100"/>
    </row>
    <row r="345" spans="1:11" s="65" customFormat="1" ht="1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100"/>
    </row>
    <row r="346" spans="1:11" s="65" customFormat="1" ht="1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100"/>
    </row>
    <row r="347" spans="1:11" s="65" customFormat="1" ht="1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100"/>
    </row>
    <row r="348" spans="1:11" s="65" customFormat="1" ht="1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100"/>
    </row>
    <row r="349" spans="1:11" s="65" customFormat="1" ht="1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100"/>
    </row>
    <row r="350" spans="1:11" s="65" customFormat="1" ht="1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100"/>
    </row>
    <row r="351" spans="1:11" s="65" customFormat="1" ht="1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100"/>
    </row>
    <row r="352" spans="1:11" s="65" customFormat="1" ht="1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100"/>
    </row>
    <row r="353" spans="1:16" s="65" customFormat="1" ht="1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100"/>
    </row>
    <row r="354" spans="1:16" s="65" customFormat="1" ht="1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100"/>
    </row>
    <row r="355" spans="1:16" s="65" customFormat="1" ht="1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100"/>
    </row>
    <row r="356" spans="1:16" s="65" customFormat="1" ht="5.2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100"/>
    </row>
    <row r="357" spans="1:16" s="102" customFormat="1" ht="32.2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100"/>
      <c r="L357" s="101"/>
      <c r="M357" s="101"/>
      <c r="N357" s="101"/>
      <c r="O357" s="101"/>
    </row>
    <row r="358" spans="1:16" s="65" customFormat="1" ht="1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100"/>
      <c r="L358" s="62"/>
      <c r="M358" s="62"/>
      <c r="N358" s="62"/>
      <c r="O358" s="62"/>
      <c r="P358" s="62"/>
    </row>
    <row r="359" spans="1:16" s="65" customFormat="1" ht="1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99"/>
      <c r="L359" s="62"/>
      <c r="M359" s="62"/>
      <c r="N359" s="62"/>
      <c r="O359" s="62"/>
      <c r="P359" s="62"/>
    </row>
    <row r="360" spans="1:16" s="65" customFormat="1" ht="1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99"/>
      <c r="L360" s="62"/>
      <c r="M360" s="62"/>
      <c r="N360" s="62"/>
      <c r="O360" s="62"/>
      <c r="P360" s="62"/>
    </row>
    <row r="361" spans="1:16" s="65" customFormat="1" ht="1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99"/>
      <c r="L361" s="62"/>
      <c r="M361" s="62"/>
      <c r="N361" s="62"/>
      <c r="O361" s="62"/>
      <c r="P361" s="62"/>
    </row>
    <row r="362" spans="1:16" s="65" customFormat="1" ht="1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99"/>
      <c r="L362" s="62"/>
      <c r="M362" s="62"/>
      <c r="N362" s="62"/>
      <c r="O362" s="62"/>
      <c r="P362" s="62"/>
    </row>
    <row r="363" spans="1:16" s="65" customFormat="1" ht="1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99"/>
      <c r="L363" s="62"/>
      <c r="M363" s="62"/>
      <c r="N363" s="62"/>
      <c r="O363" s="62"/>
      <c r="P363" s="62"/>
    </row>
    <row r="364" spans="1:16" s="65" customFormat="1" ht="1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99"/>
      <c r="L364" s="62"/>
      <c r="M364" s="62"/>
      <c r="N364" s="62"/>
      <c r="O364" s="62"/>
      <c r="P364" s="62"/>
    </row>
    <row r="365" spans="1:16" s="65" customFormat="1" ht="1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99"/>
      <c r="L365" s="62"/>
      <c r="M365" s="62"/>
      <c r="N365" s="62"/>
      <c r="O365" s="62"/>
      <c r="P365" s="62"/>
    </row>
    <row r="366" spans="1:16" s="65" customFormat="1" ht="1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99"/>
      <c r="L366" s="62"/>
      <c r="M366" s="62"/>
      <c r="N366" s="62"/>
      <c r="O366" s="62"/>
      <c r="P366" s="62"/>
    </row>
    <row r="367" spans="1:16" s="65" customFormat="1" ht="1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99"/>
      <c r="L367" s="62"/>
      <c r="M367" s="62"/>
      <c r="N367" s="62"/>
      <c r="O367" s="62"/>
      <c r="P367" s="62"/>
    </row>
    <row r="368" spans="1:16" s="65" customFormat="1" ht="1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99"/>
      <c r="L368" s="62"/>
      <c r="M368" s="62"/>
      <c r="N368" s="62"/>
      <c r="O368" s="62"/>
      <c r="P368" s="62"/>
    </row>
    <row r="369" spans="1:16" s="65" customFormat="1" ht="1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99"/>
      <c r="L369" s="62"/>
      <c r="M369" s="62"/>
      <c r="N369" s="62"/>
      <c r="O369" s="62"/>
      <c r="P369" s="62"/>
    </row>
    <row r="370" spans="1:16" s="65" customFormat="1" ht="1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99"/>
      <c r="L370" s="62"/>
      <c r="M370" s="62"/>
      <c r="N370" s="62"/>
      <c r="O370" s="62"/>
      <c r="P370" s="62"/>
    </row>
    <row r="371" spans="1:16" s="65" customFormat="1" ht="1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99"/>
      <c r="L371" s="62"/>
      <c r="M371" s="62"/>
      <c r="N371" s="62"/>
      <c r="O371" s="62"/>
      <c r="P371" s="62"/>
    </row>
    <row r="372" spans="1:16" s="65" customFormat="1" ht="1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99"/>
      <c r="L372" s="62"/>
      <c r="M372" s="62"/>
      <c r="N372" s="62"/>
      <c r="O372" s="62"/>
      <c r="P372" s="62"/>
    </row>
    <row r="373" spans="1:16" s="65" customFormat="1" ht="1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99"/>
      <c r="L373" s="62"/>
      <c r="M373" s="62"/>
      <c r="N373" s="62"/>
      <c r="O373" s="62"/>
      <c r="P373" s="62"/>
    </row>
    <row r="374" spans="1:16" s="65" customFormat="1" ht="1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99"/>
      <c r="L374" s="62"/>
      <c r="M374" s="62"/>
      <c r="N374" s="62"/>
      <c r="O374" s="62"/>
      <c r="P374" s="62"/>
    </row>
    <row r="375" spans="1:16" s="65" customFormat="1" ht="1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99"/>
      <c r="L375" s="62"/>
      <c r="M375" s="62"/>
      <c r="N375" s="62"/>
      <c r="O375" s="62"/>
      <c r="P375" s="62"/>
    </row>
    <row r="376" spans="1:16" s="65" customFormat="1" ht="1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99"/>
      <c r="L376" s="62"/>
      <c r="M376" s="62"/>
      <c r="N376" s="62"/>
      <c r="O376" s="62"/>
      <c r="P376" s="62"/>
    </row>
    <row r="377" spans="1:16" s="65" customFormat="1" ht="1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99"/>
      <c r="L377" s="62"/>
      <c r="M377" s="62"/>
      <c r="N377" s="62"/>
      <c r="O377" s="62"/>
      <c r="P377" s="62"/>
    </row>
    <row r="378" spans="1:16" s="65" customFormat="1" ht="1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99"/>
      <c r="L378" s="62"/>
      <c r="M378" s="62"/>
      <c r="N378" s="62"/>
      <c r="O378" s="62"/>
      <c r="P378" s="62"/>
    </row>
    <row r="379" spans="1:16" s="65" customFormat="1" ht="1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99"/>
      <c r="L379" s="62"/>
      <c r="M379" s="62"/>
      <c r="N379" s="62"/>
      <c r="O379" s="62"/>
      <c r="P379" s="62"/>
    </row>
    <row r="380" spans="1:16" s="65" customFormat="1" ht="1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97"/>
      <c r="L380" s="62"/>
      <c r="M380" s="62"/>
      <c r="N380" s="62"/>
      <c r="O380" s="62"/>
      <c r="P380" s="62"/>
    </row>
    <row r="381" spans="1:16" s="65" customFormat="1" ht="1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97"/>
      <c r="L381" s="62"/>
      <c r="M381" s="62"/>
      <c r="N381" s="62"/>
      <c r="O381" s="62"/>
      <c r="P381" s="62"/>
    </row>
    <row r="382" spans="1:16" s="65" customFormat="1" ht="1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97"/>
      <c r="L382" s="62"/>
      <c r="M382" s="62"/>
      <c r="N382" s="62"/>
      <c r="O382" s="62"/>
      <c r="P382" s="62"/>
    </row>
    <row r="383" spans="1:16" s="65" customFormat="1" ht="1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97"/>
      <c r="L383" s="103"/>
      <c r="M383" s="104"/>
    </row>
    <row r="384" spans="1:16" s="65" customFormat="1" ht="1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99"/>
      <c r="M384" s="104"/>
    </row>
    <row r="385" spans="1:13" s="65" customFormat="1" ht="1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99"/>
      <c r="M385" s="104"/>
    </row>
    <row r="386" spans="1:13" s="65" customFormat="1" ht="1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105"/>
      <c r="M386" s="104"/>
    </row>
    <row r="387" spans="1:13" s="65" customFormat="1" ht="1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105"/>
      <c r="M387" s="104"/>
    </row>
    <row r="388" spans="1:13" s="65" customFormat="1" ht="1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105"/>
      <c r="M388" s="104"/>
    </row>
    <row r="389" spans="1:13" s="65" customFormat="1" ht="1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105"/>
      <c r="M389" s="104"/>
    </row>
    <row r="390" spans="1:13" s="65" customFormat="1" ht="1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105"/>
      <c r="M390" s="104"/>
    </row>
    <row r="391" spans="1:13" s="65" customFormat="1" ht="1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105"/>
      <c r="M391" s="104"/>
    </row>
    <row r="392" spans="1:13" s="65" customFormat="1" ht="1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105"/>
      <c r="M392" s="104"/>
    </row>
    <row r="393" spans="1:13" s="65" customFormat="1" ht="1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M393" s="104"/>
    </row>
    <row r="394" spans="1:13" s="65" customFormat="1" ht="1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</row>
    <row r="395" spans="1:13" s="65" customFormat="1" ht="1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</row>
    <row r="396" spans="1:13" s="65" customFormat="1" ht="1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</row>
    <row r="397" spans="1:13" s="65" customFormat="1" ht="1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</row>
    <row r="398" spans="1:13" s="65" customFormat="1" ht="1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</row>
    <row r="399" spans="1:13" s="65" customFormat="1" ht="1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</row>
    <row r="400" spans="1:13" s="65" customFormat="1" ht="19.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</row>
    <row r="401" spans="1:10" s="65" customFormat="1" ht="1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</row>
    <row r="402" spans="1:10" s="65" customFormat="1" ht="1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</row>
    <row r="403" spans="1:10" s="65" customFormat="1" ht="1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</row>
    <row r="404" spans="1:10" s="65" customFormat="1" ht="1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</row>
    <row r="405" spans="1:10" s="65" customFormat="1" ht="1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</row>
    <row r="406" spans="1:10" s="65" customFormat="1" ht="1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</row>
    <row r="407" spans="1:10" s="65" customFormat="1" ht="1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</row>
    <row r="408" spans="1:10" s="65" customFormat="1" ht="1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</row>
    <row r="409" spans="1:10" s="65" customFormat="1" ht="1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</row>
    <row r="410" spans="1:10" s="65" customFormat="1" ht="1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</row>
    <row r="411" spans="1:10" s="65" customFormat="1" ht="1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</row>
    <row r="412" spans="1:10" s="65" customFormat="1" ht="1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</row>
    <row r="413" spans="1:10" s="65" customFormat="1" ht="1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</row>
    <row r="414" spans="1:10" s="65" customFormat="1" ht="1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</row>
    <row r="415" spans="1:10" s="65" customFormat="1" ht="1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</row>
    <row r="416" spans="1:10" s="65" customFormat="1" ht="1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</row>
    <row r="417" spans="1:10" s="65" customFormat="1" ht="1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</row>
    <row r="418" spans="1:10" s="65" customFormat="1" ht="1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</row>
    <row r="419" spans="1:10" s="65" customFormat="1" ht="1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</row>
    <row r="420" spans="1:10" s="65" customFormat="1" ht="1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</row>
    <row r="421" spans="1:10" s="65" customFormat="1" ht="1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</row>
    <row r="422" spans="1:10" s="65" customFormat="1" ht="1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</row>
    <row r="423" spans="1:10" s="65" customFormat="1" ht="1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</row>
    <row r="424" spans="1:10" s="65" customFormat="1" ht="1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</row>
    <row r="425" spans="1:10" s="65" customFormat="1" ht="1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</row>
    <row r="426" spans="1:10" s="65" customFormat="1" ht="1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</row>
    <row r="427" spans="1:10" s="65" customFormat="1" ht="1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</row>
    <row r="428" spans="1:10" s="65" customFormat="1" ht="1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</row>
    <row r="429" spans="1:10" s="65" customFormat="1" ht="1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</row>
    <row r="430" spans="1:10" s="65" customFormat="1" ht="1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</row>
    <row r="431" spans="1:10" s="65" customFormat="1" ht="1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</row>
    <row r="432" spans="1:10" s="65" customFormat="1" ht="24.9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</row>
    <row r="433" spans="1:10" s="65" customFormat="1" ht="1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</row>
    <row r="434" spans="1:10" s="65" customFormat="1" ht="1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</row>
    <row r="435" spans="1:10" s="65" customFormat="1" ht="1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</row>
    <row r="436" spans="1:10" s="65" customFormat="1" ht="36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</row>
    <row r="437" spans="1:10" s="65" customFormat="1" ht="1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</row>
    <row r="438" spans="1:10" s="65" customFormat="1" ht="24.9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</row>
    <row r="439" spans="1:10" s="65" customFormat="1" ht="1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</row>
    <row r="440" spans="1:10" s="65" customFormat="1" ht="1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</row>
    <row r="441" spans="1:10" s="65" customFormat="1" ht="1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</row>
    <row r="442" spans="1:10" s="65" customFormat="1" ht="24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</row>
    <row r="443" spans="1:10" s="65" customFormat="1" ht="1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</row>
    <row r="444" spans="1:10" s="65" customFormat="1" ht="1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</row>
    <row r="445" spans="1:10" s="65" customFormat="1" ht="1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</row>
    <row r="446" spans="1:10" s="65" customFormat="1" ht="24.9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</row>
    <row r="447" spans="1:10" s="65" customFormat="1" ht="1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</row>
    <row r="448" spans="1:10" s="65" customFormat="1" ht="1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</row>
    <row r="449" spans="1:10" s="65" customFormat="1" ht="1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</row>
    <row r="450" spans="1:10" s="65" customFormat="1" ht="1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</row>
    <row r="451" spans="1:10" s="65" customFormat="1" ht="1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</row>
    <row r="452" spans="1:10" s="65" customFormat="1" ht="1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</row>
    <row r="453" spans="1:10" s="65" customFormat="1" ht="24.9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</row>
    <row r="454" spans="1:10" s="65" customFormat="1" ht="1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</row>
    <row r="455" spans="1:10" s="65" customFormat="1" ht="1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</row>
    <row r="456" spans="1:10" s="65" customFormat="1" ht="1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</row>
    <row r="457" spans="1:10" s="65" customFormat="1" ht="1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</row>
    <row r="458" spans="1:10" s="65" customFormat="1" ht="1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</row>
    <row r="459" spans="1:10" s="65" customFormat="1" ht="1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</row>
    <row r="460" spans="1:10" s="65" customFormat="1" ht="1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</row>
    <row r="461" spans="1:10" s="65" customFormat="1" ht="24.9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</row>
    <row r="462" spans="1:10" s="65" customFormat="1" ht="1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</row>
    <row r="463" spans="1:10" s="65" customFormat="1" ht="1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</row>
    <row r="464" spans="1:10" s="65" customFormat="1" ht="1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</row>
    <row r="465" spans="1:10" s="65" customFormat="1" ht="1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</row>
    <row r="466" spans="1:10" s="65" customFormat="1" ht="1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</row>
    <row r="467" spans="1:10" s="65" customFormat="1" ht="1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</row>
    <row r="468" spans="1:10" s="65" customFormat="1" ht="1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</row>
    <row r="469" spans="1:10" s="65" customFormat="1" ht="24.9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</row>
    <row r="470" spans="1:10" s="65" customFormat="1" ht="1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</row>
    <row r="471" spans="1:10" s="65" customFormat="1" ht="1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</row>
    <row r="472" spans="1:10" s="65" customFormat="1" ht="1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</row>
    <row r="473" spans="1:10" s="65" customFormat="1" ht="1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</row>
    <row r="474" spans="1:10" s="65" customFormat="1" ht="1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</row>
    <row r="475" spans="1:10" s="65" customFormat="1" ht="1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</row>
    <row r="476" spans="1:10" s="65" customFormat="1" ht="13.5" customHeight="1">
      <c r="A476" s="106"/>
      <c r="B476" s="107"/>
      <c r="C476" s="108"/>
      <c r="D476" s="108"/>
      <c r="E476" s="108"/>
      <c r="F476" s="108"/>
      <c r="G476" s="109"/>
      <c r="H476" s="110"/>
      <c r="I476" s="108"/>
      <c r="J476" s="111"/>
    </row>
    <row r="477" spans="1:10" s="65" customFormat="1" ht="12.75">
      <c r="A477" s="108"/>
      <c r="B477" s="108"/>
      <c r="C477" s="108"/>
      <c r="D477" s="108"/>
      <c r="E477" s="108"/>
      <c r="F477" s="108"/>
      <c r="G477" s="108"/>
      <c r="H477" s="110"/>
      <c r="I477" s="108"/>
      <c r="J477" s="108"/>
    </row>
    <row r="478" spans="1:10" s="65" customFormat="1" ht="12.75">
      <c r="A478" s="108"/>
      <c r="B478" s="108"/>
      <c r="C478" s="108"/>
      <c r="D478" s="108"/>
      <c r="E478" s="108"/>
      <c r="F478" s="108"/>
      <c r="G478" s="108"/>
      <c r="H478" s="110"/>
      <c r="I478" s="108"/>
      <c r="J478" s="108"/>
    </row>
    <row r="479" spans="1:10" s="65" customFormat="1" ht="12.75">
      <c r="A479" s="106"/>
      <c r="B479" s="108"/>
      <c r="C479" s="108"/>
      <c r="D479" s="108"/>
      <c r="E479" s="108"/>
      <c r="F479" s="108"/>
      <c r="G479" s="109"/>
      <c r="H479" s="110"/>
      <c r="I479" s="108"/>
      <c r="J479" s="108"/>
    </row>
    <row r="480" spans="1:10" s="65" customFormat="1" ht="12.75">
      <c r="A480" s="106"/>
      <c r="B480" s="108"/>
      <c r="C480" s="108"/>
      <c r="D480" s="108"/>
      <c r="E480" s="108"/>
      <c r="F480" s="108"/>
      <c r="G480" s="109"/>
      <c r="H480" s="110"/>
      <c r="I480" s="108"/>
      <c r="J480" s="108"/>
    </row>
    <row r="481" spans="1:10" s="65" customFormat="1" ht="12.75">
      <c r="A481" s="106"/>
      <c r="B481" s="108"/>
      <c r="C481" s="108"/>
      <c r="D481" s="108"/>
      <c r="E481" s="108"/>
      <c r="F481" s="108"/>
      <c r="G481" s="109"/>
      <c r="H481" s="110"/>
      <c r="I481" s="108"/>
      <c r="J481" s="108"/>
    </row>
    <row r="482" spans="1:10" s="65" customFormat="1" ht="12.75">
      <c r="A482" s="106"/>
      <c r="B482" s="108"/>
      <c r="C482" s="108"/>
      <c r="D482" s="108"/>
      <c r="E482" s="108"/>
      <c r="F482" s="108"/>
      <c r="G482" s="109"/>
      <c r="H482" s="110"/>
      <c r="I482" s="108"/>
      <c r="J482" s="108"/>
    </row>
    <row r="483" spans="1:10" s="65" customFormat="1" ht="12.75">
      <c r="A483" s="106"/>
      <c r="B483" s="108"/>
      <c r="C483" s="108"/>
      <c r="D483" s="108"/>
      <c r="E483" s="108"/>
      <c r="F483" s="108"/>
      <c r="G483" s="109"/>
      <c r="H483" s="110"/>
      <c r="I483" s="108"/>
      <c r="J483" s="108"/>
    </row>
    <row r="484" spans="1:10" s="65" customFormat="1" ht="12.75">
      <c r="A484" s="106"/>
      <c r="B484" s="108"/>
      <c r="C484" s="108"/>
      <c r="D484" s="108"/>
      <c r="E484" s="108"/>
      <c r="F484" s="108"/>
      <c r="G484" s="109"/>
      <c r="H484" s="110"/>
      <c r="I484" s="108"/>
      <c r="J484" s="108"/>
    </row>
    <row r="485" spans="1:10" s="65" customFormat="1" ht="12.75">
      <c r="A485" s="106"/>
      <c r="B485" s="108"/>
      <c r="C485" s="108"/>
      <c r="D485" s="108"/>
      <c r="E485" s="108"/>
      <c r="F485" s="108"/>
      <c r="G485" s="109"/>
      <c r="H485" s="110"/>
      <c r="I485" s="108"/>
      <c r="J485" s="108"/>
    </row>
    <row r="486" spans="1:10" s="65" customFormat="1" ht="12.75">
      <c r="A486" s="106"/>
      <c r="B486" s="108"/>
      <c r="C486" s="108"/>
      <c r="D486" s="108"/>
      <c r="E486" s="108"/>
      <c r="F486" s="108"/>
      <c r="G486" s="109"/>
      <c r="H486" s="110"/>
      <c r="I486" s="108"/>
      <c r="J486" s="108"/>
    </row>
    <row r="487" spans="1:10" s="65" customFormat="1" ht="12.75">
      <c r="A487" s="106"/>
      <c r="B487" s="108"/>
      <c r="C487" s="108"/>
      <c r="D487" s="108"/>
      <c r="E487" s="108"/>
      <c r="F487" s="108"/>
      <c r="G487" s="109"/>
      <c r="H487" s="110"/>
      <c r="I487" s="108"/>
      <c r="J487" s="108"/>
    </row>
    <row r="488" spans="1:10" s="65" customFormat="1" ht="12.75">
      <c r="A488" s="106"/>
      <c r="B488" s="108"/>
      <c r="C488" s="108"/>
      <c r="D488" s="108"/>
      <c r="E488" s="108"/>
      <c r="F488" s="108"/>
      <c r="G488" s="109"/>
      <c r="H488" s="110"/>
      <c r="I488" s="108"/>
      <c r="J488" s="108"/>
    </row>
    <row r="489" spans="1:10" s="65" customFormat="1" ht="12.75">
      <c r="A489" s="106"/>
      <c r="B489" s="108"/>
      <c r="C489" s="108"/>
      <c r="D489" s="108"/>
      <c r="E489" s="108"/>
      <c r="F489" s="108"/>
      <c r="G489" s="109"/>
      <c r="H489" s="110"/>
      <c r="I489" s="108"/>
      <c r="J489" s="108"/>
    </row>
    <row r="490" spans="1:10" s="65" customFormat="1" ht="12.75">
      <c r="A490" s="106"/>
      <c r="B490" s="108"/>
      <c r="C490" s="108"/>
      <c r="D490" s="108"/>
      <c r="E490" s="108"/>
      <c r="F490" s="108"/>
      <c r="G490" s="109"/>
      <c r="H490" s="110"/>
      <c r="I490" s="108"/>
      <c r="J490" s="108"/>
    </row>
    <row r="491" spans="1:10" s="65" customFormat="1" ht="12.75">
      <c r="A491" s="106"/>
      <c r="B491" s="108"/>
      <c r="C491" s="108"/>
      <c r="D491" s="108"/>
      <c r="E491" s="108"/>
      <c r="F491" s="108"/>
      <c r="G491" s="109"/>
      <c r="H491" s="110"/>
      <c r="I491" s="108"/>
      <c r="J491" s="108"/>
    </row>
    <row r="492" spans="1:10" s="65" customFormat="1" ht="12.75">
      <c r="A492" s="106"/>
      <c r="B492" s="108"/>
      <c r="C492" s="108"/>
      <c r="D492" s="108"/>
      <c r="E492" s="108"/>
      <c r="F492" s="108"/>
      <c r="G492" s="109"/>
      <c r="H492" s="110"/>
      <c r="I492" s="108"/>
      <c r="J492" s="108"/>
    </row>
    <row r="493" spans="1:10" s="65" customFormat="1" ht="12.75">
      <c r="A493" s="106"/>
      <c r="B493" s="108"/>
      <c r="C493" s="108"/>
      <c r="D493" s="108"/>
      <c r="E493" s="108"/>
      <c r="F493" s="108"/>
      <c r="G493" s="109"/>
      <c r="H493" s="110"/>
      <c r="I493" s="108"/>
      <c r="J493" s="108"/>
    </row>
    <row r="494" spans="1:10" s="65" customFormat="1" ht="12.75">
      <c r="A494" s="106"/>
      <c r="B494" s="108"/>
      <c r="C494" s="108"/>
      <c r="D494" s="108"/>
      <c r="E494" s="108"/>
      <c r="F494" s="108"/>
      <c r="G494" s="109"/>
      <c r="H494" s="110"/>
      <c r="I494" s="108"/>
      <c r="J494" s="108"/>
    </row>
    <row r="495" spans="1:10" s="65" customFormat="1" ht="12.75">
      <c r="A495" s="106"/>
      <c r="B495" s="108"/>
      <c r="C495" s="108"/>
      <c r="D495" s="108"/>
      <c r="E495" s="108"/>
      <c r="F495" s="108"/>
      <c r="G495" s="109"/>
      <c r="H495" s="110"/>
      <c r="I495" s="108"/>
      <c r="J495" s="108"/>
    </row>
    <row r="496" spans="1:10" s="65" customFormat="1" ht="12.75">
      <c r="A496" s="106"/>
      <c r="B496" s="108"/>
      <c r="C496" s="108"/>
      <c r="D496" s="108"/>
      <c r="E496" s="108"/>
      <c r="F496" s="108"/>
      <c r="G496" s="109"/>
      <c r="H496" s="110"/>
      <c r="I496" s="108"/>
      <c r="J496" s="108"/>
    </row>
    <row r="497" spans="1:10" s="65" customFormat="1" ht="12.75">
      <c r="A497" s="106"/>
      <c r="B497" s="108"/>
      <c r="C497" s="108"/>
      <c r="D497" s="108"/>
      <c r="E497" s="108"/>
      <c r="F497" s="108"/>
      <c r="G497" s="109"/>
      <c r="H497" s="110"/>
      <c r="I497" s="108"/>
      <c r="J497" s="108"/>
    </row>
    <row r="498" spans="1:10" s="65" customFormat="1" ht="12.75">
      <c r="A498" s="106"/>
      <c r="B498" s="108"/>
      <c r="C498" s="108"/>
      <c r="D498" s="108"/>
      <c r="E498" s="108"/>
      <c r="F498" s="108"/>
      <c r="G498" s="109"/>
      <c r="H498" s="110"/>
      <c r="I498" s="108"/>
      <c r="J498" s="108"/>
    </row>
    <row r="499" spans="1:10" s="65" customFormat="1" ht="12.75">
      <c r="A499" s="106"/>
      <c r="B499" s="108"/>
      <c r="C499" s="108"/>
      <c r="D499" s="108"/>
      <c r="E499" s="108"/>
      <c r="F499" s="108"/>
      <c r="G499" s="109"/>
      <c r="H499" s="110"/>
      <c r="I499" s="108"/>
      <c r="J499" s="108"/>
    </row>
    <row r="500" spans="1:10" s="65" customFormat="1" ht="12.75">
      <c r="A500" s="106"/>
      <c r="B500" s="108"/>
      <c r="C500" s="108"/>
      <c r="D500" s="108"/>
      <c r="E500" s="108"/>
      <c r="F500" s="108"/>
      <c r="G500" s="109"/>
      <c r="H500" s="110"/>
      <c r="I500" s="108"/>
      <c r="J500" s="108"/>
    </row>
    <row r="501" spans="1:10" s="65" customFormat="1" ht="12.75">
      <c r="A501" s="106"/>
      <c r="B501" s="108"/>
      <c r="C501" s="108"/>
      <c r="D501" s="108"/>
      <c r="E501" s="108"/>
      <c r="F501" s="108"/>
      <c r="G501" s="109"/>
      <c r="H501" s="110"/>
      <c r="I501" s="108"/>
      <c r="J501" s="108"/>
    </row>
    <row r="502" spans="1:10" s="65" customFormat="1" ht="12.75">
      <c r="A502" s="106"/>
      <c r="B502" s="108"/>
      <c r="C502" s="108"/>
      <c r="D502" s="108"/>
      <c r="E502" s="108"/>
      <c r="F502" s="108"/>
      <c r="G502" s="109"/>
      <c r="H502" s="110"/>
      <c r="I502" s="108"/>
      <c r="J502" s="108"/>
    </row>
    <row r="503" spans="1:10" s="65" customFormat="1" ht="12.75">
      <c r="A503" s="106"/>
      <c r="B503" s="108"/>
      <c r="C503" s="108"/>
      <c r="D503" s="108"/>
      <c r="E503" s="108"/>
      <c r="F503" s="108"/>
      <c r="G503" s="109"/>
      <c r="H503" s="110"/>
      <c r="I503" s="108"/>
      <c r="J503" s="108"/>
    </row>
    <row r="504" spans="1:10" s="65" customFormat="1" ht="12.75">
      <c r="A504" s="106"/>
      <c r="B504" s="108"/>
      <c r="C504" s="108"/>
      <c r="D504" s="108"/>
      <c r="E504" s="108"/>
      <c r="F504" s="108"/>
      <c r="G504" s="109"/>
      <c r="H504" s="110"/>
      <c r="I504" s="108"/>
      <c r="J504" s="108"/>
    </row>
    <row r="505" spans="1:10" s="65" customFormat="1" ht="12.75">
      <c r="A505" s="106"/>
      <c r="B505" s="108"/>
      <c r="C505" s="108"/>
      <c r="D505" s="108"/>
      <c r="E505" s="108"/>
      <c r="F505" s="108"/>
      <c r="G505" s="109"/>
      <c r="H505" s="110"/>
      <c r="I505" s="108"/>
      <c r="J505" s="108"/>
    </row>
    <row r="506" spans="1:10" s="65" customFormat="1" ht="12.75">
      <c r="A506" s="106"/>
      <c r="B506" s="108"/>
      <c r="C506" s="108"/>
      <c r="D506" s="108"/>
      <c r="E506" s="108"/>
      <c r="F506" s="108"/>
      <c r="G506" s="109"/>
      <c r="H506" s="110"/>
      <c r="I506" s="108"/>
      <c r="J506" s="108"/>
    </row>
    <row r="507" spans="1:10" s="65" customFormat="1" ht="12.75">
      <c r="A507" s="106"/>
      <c r="B507" s="108"/>
      <c r="C507" s="108"/>
      <c r="D507" s="108"/>
      <c r="E507" s="108"/>
      <c r="F507" s="108"/>
      <c r="G507" s="109"/>
      <c r="H507" s="110"/>
      <c r="I507" s="108"/>
      <c r="J507" s="108"/>
    </row>
    <row r="508" spans="1:10" s="65" customFormat="1" ht="12.75">
      <c r="A508" s="106"/>
      <c r="B508" s="108"/>
      <c r="C508" s="108"/>
      <c r="D508" s="108"/>
      <c r="E508" s="108"/>
      <c r="F508" s="108"/>
      <c r="G508" s="109"/>
      <c r="H508" s="110"/>
      <c r="I508" s="108"/>
      <c r="J508" s="108"/>
    </row>
    <row r="509" spans="1:10" s="65" customFormat="1" ht="12.75">
      <c r="A509" s="106"/>
      <c r="B509" s="108"/>
      <c r="C509" s="108"/>
      <c r="D509" s="108"/>
      <c r="E509" s="108"/>
      <c r="F509" s="108"/>
      <c r="G509" s="109"/>
      <c r="H509" s="110"/>
      <c r="I509" s="108"/>
      <c r="J509" s="108"/>
    </row>
    <row r="510" spans="1:10" s="65" customFormat="1" ht="12.75">
      <c r="A510" s="106"/>
      <c r="B510" s="108"/>
      <c r="C510" s="108"/>
      <c r="D510" s="108"/>
      <c r="E510" s="108"/>
      <c r="F510" s="108"/>
      <c r="G510" s="109"/>
      <c r="H510" s="110"/>
      <c r="I510" s="108"/>
      <c r="J510" s="108"/>
    </row>
    <row r="511" spans="1:10" s="65" customFormat="1" ht="12.75">
      <c r="A511" s="106"/>
      <c r="B511" s="108"/>
      <c r="C511" s="108"/>
      <c r="D511" s="108"/>
      <c r="E511" s="108"/>
      <c r="F511" s="108"/>
      <c r="G511" s="109"/>
      <c r="H511" s="110"/>
      <c r="I511" s="108"/>
      <c r="J511" s="108"/>
    </row>
    <row r="512" spans="1:10" s="65" customFormat="1" ht="12.75">
      <c r="A512" s="106"/>
      <c r="B512" s="108"/>
      <c r="C512" s="108"/>
      <c r="D512" s="108"/>
      <c r="E512" s="108"/>
      <c r="F512" s="108"/>
      <c r="G512" s="109"/>
      <c r="H512" s="110"/>
      <c r="I512" s="108"/>
      <c r="J512" s="108"/>
    </row>
    <row r="513" spans="1:10" s="65" customFormat="1" ht="12.75">
      <c r="A513" s="106"/>
      <c r="B513" s="108"/>
      <c r="C513" s="108"/>
      <c r="D513" s="108"/>
      <c r="E513" s="108"/>
      <c r="F513" s="108"/>
      <c r="G513" s="109"/>
      <c r="H513" s="110"/>
      <c r="I513" s="108"/>
      <c r="J513" s="108"/>
    </row>
    <row r="514" spans="1:10" s="65" customFormat="1" ht="12.75">
      <c r="A514" s="106"/>
      <c r="B514" s="108"/>
      <c r="C514" s="108"/>
      <c r="D514" s="108"/>
      <c r="E514" s="108"/>
      <c r="F514" s="108"/>
      <c r="G514" s="109"/>
      <c r="H514" s="110"/>
      <c r="I514" s="108"/>
      <c r="J514" s="108"/>
    </row>
    <row r="515" spans="1:10" s="65" customFormat="1" ht="12.75">
      <c r="A515" s="106"/>
      <c r="B515" s="108"/>
      <c r="C515" s="108"/>
      <c r="D515" s="108"/>
      <c r="E515" s="108"/>
      <c r="F515" s="108"/>
      <c r="G515" s="109"/>
      <c r="H515" s="110"/>
      <c r="I515" s="108"/>
      <c r="J515" s="108"/>
    </row>
    <row r="516" spans="1:10" s="65" customFormat="1" ht="12.75">
      <c r="A516" s="106"/>
      <c r="B516" s="108"/>
      <c r="C516" s="108"/>
      <c r="D516" s="108"/>
      <c r="E516" s="108"/>
      <c r="F516" s="108"/>
      <c r="G516" s="109"/>
      <c r="H516" s="110"/>
      <c r="I516" s="108"/>
      <c r="J516" s="108"/>
    </row>
    <row r="517" spans="1:10" s="65" customFormat="1" ht="12.75">
      <c r="A517" s="106"/>
      <c r="B517" s="108"/>
      <c r="C517" s="108"/>
      <c r="D517" s="108"/>
      <c r="E517" s="108"/>
      <c r="F517" s="108"/>
      <c r="G517" s="109"/>
      <c r="H517" s="110"/>
      <c r="I517" s="108"/>
      <c r="J517" s="108"/>
    </row>
    <row r="518" spans="1:10" s="65" customFormat="1" ht="12.75">
      <c r="A518" s="106"/>
      <c r="B518" s="108"/>
      <c r="C518" s="108"/>
      <c r="D518" s="108"/>
      <c r="E518" s="108"/>
      <c r="F518" s="108"/>
      <c r="G518" s="109"/>
      <c r="H518" s="110"/>
      <c r="I518" s="108"/>
      <c r="J518" s="108"/>
    </row>
    <row r="519" spans="1:10" s="65" customFormat="1" ht="12.75">
      <c r="A519" s="106"/>
      <c r="B519" s="108"/>
      <c r="C519" s="108"/>
      <c r="D519" s="108"/>
      <c r="E519" s="108"/>
      <c r="F519" s="108"/>
      <c r="G519" s="109"/>
      <c r="H519" s="110"/>
      <c r="I519" s="108"/>
      <c r="J519" s="108"/>
    </row>
    <row r="520" spans="1:10" s="65" customFormat="1" ht="12.75">
      <c r="A520" s="106"/>
      <c r="B520" s="108"/>
      <c r="C520" s="108"/>
      <c r="D520" s="108"/>
      <c r="E520" s="108"/>
      <c r="F520" s="108"/>
      <c r="G520" s="109"/>
      <c r="H520" s="110"/>
      <c r="I520" s="108"/>
      <c r="J520" s="108"/>
    </row>
    <row r="521" spans="1:10" s="65" customFormat="1" ht="12.75">
      <c r="A521" s="106"/>
      <c r="B521" s="108"/>
      <c r="C521" s="108"/>
      <c r="D521" s="108"/>
      <c r="E521" s="108"/>
      <c r="F521" s="108"/>
      <c r="G521" s="109"/>
      <c r="H521" s="110"/>
      <c r="I521" s="108"/>
      <c r="J521" s="108"/>
    </row>
    <row r="522" spans="1:10" s="65" customFormat="1" ht="12.75">
      <c r="A522" s="106"/>
      <c r="B522" s="108"/>
      <c r="C522" s="108"/>
      <c r="D522" s="108"/>
      <c r="E522" s="108"/>
      <c r="F522" s="108"/>
      <c r="G522" s="109"/>
      <c r="H522" s="110"/>
      <c r="I522" s="108"/>
      <c r="J522" s="108"/>
    </row>
    <row r="523" spans="1:10" s="65" customFormat="1" ht="12.75">
      <c r="A523" s="106"/>
      <c r="B523" s="108"/>
      <c r="C523" s="108"/>
      <c r="D523" s="108"/>
      <c r="E523" s="108"/>
      <c r="F523" s="108"/>
      <c r="G523" s="109"/>
      <c r="H523" s="110"/>
      <c r="I523" s="108"/>
      <c r="J523" s="108"/>
    </row>
    <row r="524" spans="1:10" s="65" customFormat="1" ht="12.75">
      <c r="A524" s="106"/>
      <c r="B524" s="108"/>
      <c r="C524" s="108"/>
      <c r="D524" s="108"/>
      <c r="E524" s="108"/>
      <c r="F524" s="108"/>
      <c r="G524" s="109"/>
      <c r="H524" s="110"/>
      <c r="I524" s="108"/>
      <c r="J524" s="108"/>
    </row>
    <row r="525" spans="1:10" s="65" customFormat="1" ht="12.75">
      <c r="A525" s="106"/>
      <c r="B525" s="108"/>
      <c r="C525" s="108"/>
      <c r="D525" s="108"/>
      <c r="E525" s="108"/>
      <c r="F525" s="108"/>
      <c r="G525" s="109"/>
      <c r="H525" s="110"/>
      <c r="I525" s="108"/>
      <c r="J525" s="108"/>
    </row>
    <row r="526" spans="1:10" s="65" customFormat="1" ht="12.75">
      <c r="A526" s="106"/>
      <c r="B526" s="108"/>
      <c r="C526" s="108"/>
      <c r="D526" s="108"/>
      <c r="E526" s="108"/>
      <c r="F526" s="108"/>
      <c r="G526" s="109"/>
      <c r="H526" s="110"/>
      <c r="I526" s="108"/>
      <c r="J526" s="108"/>
    </row>
    <row r="527" spans="1:10" s="65" customFormat="1" ht="12.75">
      <c r="A527" s="106"/>
      <c r="B527" s="108"/>
      <c r="C527" s="108"/>
      <c r="D527" s="108"/>
      <c r="E527" s="108"/>
      <c r="F527" s="108"/>
      <c r="G527" s="109"/>
      <c r="H527" s="110"/>
      <c r="I527" s="108"/>
      <c r="J527" s="108"/>
    </row>
    <row r="528" spans="1:10" s="65" customFormat="1" ht="12.75">
      <c r="A528" s="106"/>
      <c r="B528" s="108"/>
      <c r="C528" s="108"/>
      <c r="D528" s="108"/>
      <c r="E528" s="108"/>
      <c r="F528" s="108"/>
      <c r="G528" s="109"/>
      <c r="H528" s="110"/>
      <c r="I528" s="108"/>
      <c r="J528" s="108"/>
    </row>
    <row r="529" spans="1:10" s="65" customFormat="1" ht="12.75">
      <c r="A529" s="106"/>
      <c r="B529" s="108"/>
      <c r="C529" s="108"/>
      <c r="D529" s="108"/>
      <c r="E529" s="108"/>
      <c r="F529" s="108"/>
      <c r="G529" s="109"/>
      <c r="H529" s="110"/>
      <c r="I529" s="108"/>
      <c r="J529" s="108"/>
    </row>
    <row r="530" spans="1:10" s="65" customFormat="1" ht="12.75">
      <c r="A530" s="106"/>
      <c r="B530" s="108"/>
      <c r="C530" s="108"/>
      <c r="D530" s="108"/>
      <c r="E530" s="108"/>
      <c r="F530" s="108"/>
      <c r="G530" s="109"/>
      <c r="H530" s="110"/>
      <c r="I530" s="108"/>
      <c r="J530" s="108"/>
    </row>
    <row r="531" spans="1:10" s="65" customFormat="1" ht="12.75">
      <c r="A531" s="106"/>
      <c r="B531" s="108"/>
      <c r="C531" s="108"/>
      <c r="D531" s="108"/>
      <c r="E531" s="108"/>
      <c r="F531" s="108"/>
      <c r="G531" s="109"/>
      <c r="H531" s="110"/>
      <c r="I531" s="108"/>
      <c r="J531" s="108"/>
    </row>
    <row r="532" spans="1:10" s="65" customFormat="1" ht="12.75">
      <c r="A532" s="106"/>
      <c r="B532" s="108"/>
      <c r="C532" s="108"/>
      <c r="D532" s="108"/>
      <c r="E532" s="108"/>
      <c r="F532" s="108"/>
      <c r="G532" s="109"/>
      <c r="H532" s="110"/>
      <c r="I532" s="108"/>
      <c r="J532" s="108"/>
    </row>
    <row r="533" spans="1:10" s="65" customFormat="1" ht="12.75">
      <c r="A533" s="106"/>
      <c r="B533" s="108"/>
      <c r="C533" s="108"/>
      <c r="D533" s="108"/>
      <c r="E533" s="108"/>
      <c r="F533" s="108"/>
      <c r="G533" s="109"/>
      <c r="H533" s="110"/>
      <c r="I533" s="108"/>
      <c r="J533" s="108"/>
    </row>
    <row r="534" spans="1:10" s="65" customFormat="1" ht="12.75">
      <c r="A534" s="106"/>
      <c r="B534" s="108"/>
      <c r="C534" s="108"/>
      <c r="D534" s="108"/>
      <c r="E534" s="108"/>
      <c r="F534" s="108"/>
      <c r="G534" s="109"/>
      <c r="H534" s="110"/>
      <c r="I534" s="108"/>
      <c r="J534" s="108"/>
    </row>
    <row r="535" spans="1:10" s="65" customFormat="1" ht="12.75">
      <c r="A535" s="106"/>
      <c r="B535" s="108"/>
      <c r="C535" s="108"/>
      <c r="D535" s="108"/>
      <c r="E535" s="108"/>
      <c r="F535" s="108"/>
      <c r="G535" s="109"/>
      <c r="H535" s="110"/>
      <c r="I535" s="108"/>
      <c r="J535" s="108"/>
    </row>
    <row r="536" spans="1:10" s="65" customFormat="1" ht="12.75">
      <c r="A536" s="106"/>
      <c r="B536" s="108"/>
      <c r="C536" s="108"/>
      <c r="D536" s="108"/>
      <c r="E536" s="108"/>
      <c r="F536" s="108"/>
      <c r="G536" s="109"/>
      <c r="H536" s="110"/>
      <c r="I536" s="108"/>
      <c r="J536" s="108"/>
    </row>
    <row r="537" spans="1:10" s="65" customFormat="1" ht="12.75">
      <c r="A537" s="106"/>
      <c r="B537" s="108"/>
      <c r="C537" s="108"/>
      <c r="D537" s="108"/>
      <c r="E537" s="108"/>
      <c r="F537" s="108"/>
      <c r="G537" s="109"/>
      <c r="H537" s="110"/>
      <c r="I537" s="108"/>
      <c r="J537" s="108"/>
    </row>
    <row r="538" spans="1:10" s="65" customFormat="1" ht="12.75">
      <c r="A538" s="106"/>
      <c r="B538" s="108"/>
      <c r="C538" s="108"/>
      <c r="D538" s="108"/>
      <c r="E538" s="108"/>
      <c r="F538" s="108"/>
      <c r="G538" s="109"/>
      <c r="H538" s="110"/>
      <c r="I538" s="108"/>
      <c r="J538" s="108"/>
    </row>
    <row r="539" spans="1:10" s="65" customFormat="1" ht="12.75">
      <c r="A539" s="106"/>
      <c r="B539" s="108"/>
      <c r="C539" s="108"/>
      <c r="D539" s="108"/>
      <c r="E539" s="108"/>
      <c r="F539" s="108"/>
      <c r="G539" s="109"/>
      <c r="H539" s="110"/>
      <c r="I539" s="108"/>
      <c r="J539" s="108"/>
    </row>
    <row r="540" spans="1:10" s="65" customFormat="1" ht="12.75">
      <c r="A540" s="106"/>
      <c r="B540" s="108"/>
      <c r="C540" s="108"/>
      <c r="D540" s="108"/>
      <c r="E540" s="108"/>
      <c r="F540" s="108"/>
      <c r="G540" s="109"/>
      <c r="H540" s="110"/>
      <c r="I540" s="108"/>
      <c r="J540" s="108"/>
    </row>
    <row r="541" spans="1:10" s="65" customFormat="1" ht="12.75">
      <c r="A541" s="106"/>
      <c r="B541" s="108"/>
      <c r="C541" s="108"/>
      <c r="D541" s="108"/>
      <c r="E541" s="108"/>
      <c r="F541" s="108"/>
      <c r="G541" s="109"/>
      <c r="H541" s="110"/>
      <c r="I541" s="108"/>
      <c r="J541" s="108"/>
    </row>
    <row r="542" spans="1:10" s="65" customFormat="1" ht="12.75">
      <c r="A542" s="106"/>
      <c r="B542" s="108"/>
      <c r="C542" s="108"/>
      <c r="D542" s="108"/>
      <c r="E542" s="108"/>
      <c r="F542" s="108"/>
      <c r="G542" s="109"/>
      <c r="H542" s="110"/>
      <c r="I542" s="108"/>
      <c r="J542" s="108"/>
    </row>
    <row r="543" spans="1:10" s="65" customFormat="1" ht="12.75">
      <c r="A543" s="106"/>
      <c r="B543" s="108"/>
      <c r="C543" s="108"/>
      <c r="D543" s="108"/>
      <c r="E543" s="108"/>
      <c r="F543" s="108"/>
      <c r="G543" s="109"/>
      <c r="H543" s="110"/>
      <c r="I543" s="108"/>
      <c r="J543" s="108"/>
    </row>
    <row r="544" spans="1:10" s="65" customFormat="1" ht="12.75">
      <c r="A544" s="106"/>
      <c r="B544" s="108"/>
      <c r="C544" s="108"/>
      <c r="D544" s="108"/>
      <c r="E544" s="108"/>
      <c r="F544" s="108"/>
      <c r="G544" s="109"/>
      <c r="H544" s="110"/>
      <c r="I544" s="108"/>
      <c r="J544" s="108"/>
    </row>
    <row r="545" spans="1:10" s="65" customFormat="1" ht="12.75">
      <c r="A545" s="106"/>
      <c r="B545" s="108"/>
      <c r="C545" s="108"/>
      <c r="D545" s="108"/>
      <c r="E545" s="108"/>
      <c r="F545" s="108"/>
      <c r="G545" s="109"/>
      <c r="H545" s="110"/>
      <c r="I545" s="108"/>
      <c r="J545" s="108"/>
    </row>
    <row r="546" spans="1:10" s="65" customFormat="1" ht="12.75">
      <c r="A546" s="106"/>
      <c r="B546" s="108"/>
      <c r="C546" s="108"/>
      <c r="D546" s="108"/>
      <c r="E546" s="108"/>
      <c r="F546" s="108"/>
      <c r="G546" s="109"/>
      <c r="H546" s="110"/>
      <c r="I546" s="108"/>
      <c r="J546" s="108"/>
    </row>
    <row r="547" spans="1:10" s="65" customFormat="1" ht="12.75">
      <c r="A547" s="106"/>
      <c r="B547" s="108"/>
      <c r="C547" s="108"/>
      <c r="D547" s="108"/>
      <c r="E547" s="108"/>
      <c r="F547" s="108"/>
      <c r="G547" s="109"/>
      <c r="H547" s="110"/>
      <c r="I547" s="108"/>
      <c r="J547" s="108"/>
    </row>
    <row r="548" spans="1:10" s="65" customFormat="1" ht="12.75">
      <c r="A548" s="106"/>
      <c r="B548" s="108"/>
      <c r="C548" s="108"/>
      <c r="D548" s="108"/>
      <c r="E548" s="108"/>
      <c r="F548" s="108"/>
      <c r="G548" s="109"/>
      <c r="H548" s="110"/>
      <c r="I548" s="108"/>
      <c r="J548" s="108"/>
    </row>
    <row r="549" spans="1:10" s="65" customFormat="1" ht="12.75">
      <c r="A549" s="106"/>
      <c r="B549" s="108"/>
      <c r="C549" s="108"/>
      <c r="D549" s="108"/>
      <c r="E549" s="108"/>
      <c r="F549" s="108"/>
      <c r="G549" s="109"/>
      <c r="H549" s="110"/>
      <c r="I549" s="108"/>
      <c r="J549" s="108"/>
    </row>
    <row r="550" spans="1:10" s="65" customFormat="1" ht="12.75">
      <c r="A550" s="106"/>
      <c r="B550" s="108"/>
      <c r="C550" s="108"/>
      <c r="D550" s="108"/>
      <c r="E550" s="108"/>
      <c r="F550" s="108"/>
      <c r="G550" s="109"/>
      <c r="H550" s="110"/>
      <c r="I550" s="108"/>
      <c r="J550" s="108"/>
    </row>
    <row r="551" spans="1:10" s="65" customFormat="1" ht="12.75">
      <c r="A551" s="106"/>
      <c r="B551" s="108"/>
      <c r="C551" s="108"/>
      <c r="D551" s="108"/>
      <c r="E551" s="108"/>
      <c r="F551" s="108"/>
      <c r="G551" s="109"/>
      <c r="H551" s="110"/>
      <c r="I551" s="108"/>
      <c r="J551" s="108"/>
    </row>
    <row r="552" spans="1:10" s="65" customFormat="1" ht="12.75">
      <c r="A552" s="106"/>
      <c r="B552" s="108"/>
      <c r="C552" s="108"/>
      <c r="D552" s="108"/>
      <c r="E552" s="108"/>
      <c r="F552" s="108"/>
      <c r="G552" s="109"/>
      <c r="H552" s="110"/>
      <c r="I552" s="108"/>
      <c r="J552" s="108"/>
    </row>
    <row r="553" spans="1:10" s="65" customFormat="1" ht="12.75">
      <c r="A553" s="106"/>
      <c r="B553" s="108"/>
      <c r="C553" s="108"/>
      <c r="D553" s="108"/>
      <c r="E553" s="108"/>
      <c r="F553" s="108"/>
      <c r="G553" s="109"/>
      <c r="H553" s="110"/>
      <c r="I553" s="108"/>
      <c r="J553" s="108"/>
    </row>
    <row r="554" spans="1:10" s="65" customFormat="1" ht="12.75">
      <c r="A554" s="106"/>
      <c r="B554" s="108"/>
      <c r="C554" s="108"/>
      <c r="D554" s="108"/>
      <c r="E554" s="108"/>
      <c r="F554" s="108"/>
      <c r="G554" s="109"/>
      <c r="H554" s="110"/>
      <c r="I554" s="108"/>
      <c r="J554" s="108"/>
    </row>
    <row r="555" spans="1:10" s="65" customFormat="1" ht="12.75">
      <c r="A555" s="106"/>
      <c r="B555" s="108"/>
      <c r="C555" s="108"/>
      <c r="D555" s="108"/>
      <c r="E555" s="108"/>
      <c r="F555" s="108"/>
      <c r="G555" s="109"/>
      <c r="H555" s="110"/>
      <c r="I555" s="108"/>
      <c r="J555" s="108"/>
    </row>
    <row r="556" spans="1:10" s="65" customFormat="1" ht="12.75">
      <c r="A556" s="106"/>
      <c r="B556" s="108"/>
      <c r="C556" s="108"/>
      <c r="D556" s="108"/>
      <c r="E556" s="108"/>
      <c r="F556" s="108"/>
      <c r="G556" s="109"/>
      <c r="H556" s="110"/>
      <c r="I556" s="108"/>
      <c r="J556" s="108"/>
    </row>
    <row r="557" spans="1:10" s="65" customFormat="1" ht="12.75">
      <c r="A557" s="106"/>
      <c r="B557" s="108"/>
      <c r="C557" s="108"/>
      <c r="D557" s="108"/>
      <c r="E557" s="108"/>
      <c r="F557" s="108"/>
      <c r="G557" s="109"/>
      <c r="H557" s="110"/>
      <c r="I557" s="108"/>
      <c r="J557" s="108"/>
    </row>
    <row r="558" spans="1:10" s="65" customFormat="1" ht="12.75">
      <c r="A558" s="106"/>
      <c r="B558" s="108"/>
      <c r="C558" s="108"/>
      <c r="D558" s="108"/>
      <c r="E558" s="108"/>
      <c r="F558" s="108"/>
      <c r="G558" s="109"/>
      <c r="H558" s="110"/>
      <c r="I558" s="108"/>
      <c r="J558" s="108"/>
    </row>
    <row r="559" spans="1:10" s="65" customFormat="1" ht="12.75">
      <c r="A559" s="106"/>
      <c r="B559" s="108"/>
      <c r="C559" s="108"/>
      <c r="D559" s="108"/>
      <c r="E559" s="108"/>
      <c r="F559" s="108"/>
      <c r="G559" s="109"/>
      <c r="H559" s="110"/>
      <c r="I559" s="108"/>
      <c r="J559" s="108"/>
    </row>
    <row r="560" spans="1:10" s="65" customFormat="1" ht="12.75">
      <c r="A560" s="106"/>
      <c r="B560" s="108"/>
      <c r="C560" s="108"/>
      <c r="D560" s="108"/>
      <c r="E560" s="108"/>
      <c r="F560" s="108"/>
      <c r="G560" s="109"/>
      <c r="H560" s="110"/>
      <c r="I560" s="108"/>
      <c r="J560" s="108"/>
    </row>
    <row r="561" spans="1:10" s="65" customFormat="1" ht="12.75">
      <c r="A561" s="106"/>
      <c r="B561" s="108"/>
      <c r="C561" s="108"/>
      <c r="D561" s="108"/>
      <c r="E561" s="108"/>
      <c r="F561" s="108"/>
      <c r="G561" s="109"/>
      <c r="H561" s="110"/>
      <c r="I561" s="108"/>
      <c r="J561" s="108"/>
    </row>
    <row r="562" spans="1:10" s="65" customFormat="1" ht="12.75">
      <c r="A562" s="106"/>
      <c r="B562" s="108"/>
      <c r="C562" s="108"/>
      <c r="D562" s="108"/>
      <c r="E562" s="108"/>
      <c r="F562" s="108"/>
      <c r="G562" s="109"/>
      <c r="H562" s="110"/>
      <c r="I562" s="108"/>
      <c r="J562" s="108"/>
    </row>
    <row r="563" spans="1:10" s="65" customFormat="1" ht="12.75">
      <c r="A563" s="106"/>
      <c r="B563" s="108"/>
      <c r="C563" s="108"/>
      <c r="D563" s="108"/>
      <c r="E563" s="108"/>
      <c r="F563" s="108"/>
      <c r="G563" s="109"/>
      <c r="H563" s="110"/>
      <c r="I563" s="108"/>
      <c r="J563" s="108"/>
    </row>
    <row r="564" spans="1:10" s="65" customFormat="1" ht="12.75">
      <c r="A564" s="106"/>
      <c r="B564" s="108"/>
      <c r="C564" s="108"/>
      <c r="D564" s="108"/>
      <c r="E564" s="108"/>
      <c r="F564" s="108"/>
      <c r="G564" s="109"/>
      <c r="H564" s="110"/>
      <c r="I564" s="108"/>
      <c r="J564" s="108"/>
    </row>
    <row r="565" spans="1:10" s="65" customFormat="1" ht="12.75">
      <c r="A565" s="106"/>
      <c r="B565" s="108"/>
      <c r="C565" s="108"/>
      <c r="D565" s="108"/>
      <c r="E565" s="108"/>
      <c r="F565" s="108"/>
      <c r="G565" s="109"/>
      <c r="H565" s="110"/>
      <c r="I565" s="108"/>
      <c r="J565" s="108"/>
    </row>
    <row r="566" spans="1:10" s="65" customFormat="1" ht="12.75">
      <c r="A566" s="106"/>
      <c r="B566" s="108"/>
      <c r="C566" s="108"/>
      <c r="D566" s="108"/>
      <c r="E566" s="108"/>
      <c r="F566" s="108"/>
      <c r="G566" s="109"/>
      <c r="H566" s="110"/>
      <c r="I566" s="108"/>
      <c r="J566" s="108"/>
    </row>
    <row r="567" spans="1:10" s="65" customFormat="1" ht="12.75">
      <c r="A567" s="106"/>
      <c r="B567" s="108"/>
      <c r="C567" s="108"/>
      <c r="D567" s="108"/>
      <c r="E567" s="108"/>
      <c r="F567" s="108"/>
      <c r="G567" s="109"/>
      <c r="H567" s="110"/>
      <c r="I567" s="108"/>
      <c r="J567" s="108"/>
    </row>
    <row r="568" spans="1:10" s="65" customFormat="1" ht="12.75">
      <c r="A568" s="106"/>
      <c r="B568" s="108"/>
      <c r="C568" s="108"/>
      <c r="D568" s="108"/>
      <c r="E568" s="108"/>
      <c r="F568" s="108"/>
      <c r="G568" s="109"/>
      <c r="H568" s="110"/>
      <c r="I568" s="108"/>
      <c r="J568" s="108"/>
    </row>
    <row r="569" spans="1:10" s="65" customFormat="1" ht="12.75">
      <c r="A569" s="106"/>
      <c r="B569" s="108"/>
      <c r="C569" s="108"/>
      <c r="D569" s="108"/>
      <c r="E569" s="108"/>
      <c r="F569" s="108"/>
      <c r="G569" s="109"/>
      <c r="H569" s="110"/>
      <c r="I569" s="108"/>
      <c r="J569" s="108"/>
    </row>
    <row r="570" spans="1:10" s="65" customFormat="1" ht="12.75">
      <c r="A570" s="106"/>
      <c r="B570" s="108"/>
      <c r="C570" s="108"/>
      <c r="D570" s="108"/>
      <c r="E570" s="108"/>
      <c r="F570" s="108"/>
      <c r="G570" s="109"/>
      <c r="H570" s="110"/>
      <c r="I570" s="108"/>
      <c r="J570" s="108"/>
    </row>
    <row r="571" spans="1:10" s="65" customFormat="1" ht="12.75">
      <c r="A571" s="106"/>
      <c r="B571" s="108"/>
      <c r="C571" s="108"/>
      <c r="D571" s="108"/>
      <c r="E571" s="108"/>
      <c r="F571" s="108"/>
      <c r="G571" s="109"/>
      <c r="H571" s="110"/>
      <c r="I571" s="108"/>
      <c r="J571" s="108"/>
    </row>
    <row r="572" spans="1:10" s="65" customFormat="1" ht="12.75">
      <c r="A572" s="106"/>
      <c r="B572" s="108"/>
      <c r="C572" s="108"/>
      <c r="D572" s="108"/>
      <c r="E572" s="108"/>
      <c r="F572" s="108"/>
      <c r="G572" s="109"/>
      <c r="H572" s="110"/>
      <c r="I572" s="108"/>
      <c r="J572" s="108"/>
    </row>
    <row r="573" spans="1:10" s="65" customFormat="1" ht="12.75">
      <c r="A573" s="106"/>
      <c r="B573" s="108"/>
      <c r="C573" s="108"/>
      <c r="D573" s="108"/>
      <c r="E573" s="108"/>
      <c r="F573" s="108"/>
      <c r="G573" s="109"/>
      <c r="H573" s="110"/>
      <c r="I573" s="108"/>
      <c r="J573" s="108"/>
    </row>
    <row r="574" spans="1:10" s="65" customFormat="1" ht="12.75">
      <c r="A574" s="106"/>
      <c r="B574" s="108"/>
      <c r="C574" s="108"/>
      <c r="D574" s="108"/>
      <c r="E574" s="108"/>
      <c r="F574" s="108"/>
      <c r="G574" s="109"/>
      <c r="H574" s="110"/>
      <c r="I574" s="108"/>
      <c r="J574" s="108"/>
    </row>
    <row r="575" spans="1:10" s="65" customFormat="1" ht="12.75">
      <c r="A575" s="106"/>
      <c r="B575" s="108"/>
      <c r="C575" s="108"/>
      <c r="D575" s="108"/>
      <c r="E575" s="108"/>
      <c r="F575" s="108"/>
      <c r="G575" s="109"/>
      <c r="H575" s="110"/>
      <c r="I575" s="108"/>
      <c r="J575" s="108"/>
    </row>
    <row r="576" spans="1:10" s="65" customFormat="1" ht="12.75">
      <c r="A576" s="106"/>
      <c r="B576" s="108"/>
      <c r="C576" s="108"/>
      <c r="D576" s="108"/>
      <c r="E576" s="108"/>
      <c r="F576" s="108"/>
      <c r="G576" s="109"/>
      <c r="H576" s="110"/>
      <c r="I576" s="108"/>
      <c r="J576" s="108"/>
    </row>
    <row r="577" spans="1:10" s="65" customFormat="1" ht="12.75">
      <c r="A577" s="106"/>
      <c r="B577" s="108"/>
      <c r="C577" s="108"/>
      <c r="D577" s="108"/>
      <c r="E577" s="108"/>
      <c r="F577" s="108"/>
      <c r="G577" s="109"/>
      <c r="H577" s="110"/>
      <c r="I577" s="108"/>
      <c r="J577" s="108"/>
    </row>
    <row r="578" spans="1:10" s="65" customFormat="1" ht="12.75">
      <c r="A578" s="106"/>
      <c r="B578" s="108"/>
      <c r="C578" s="108"/>
      <c r="D578" s="108"/>
      <c r="E578" s="108"/>
      <c r="F578" s="108"/>
      <c r="G578" s="109"/>
      <c r="H578" s="110"/>
      <c r="I578" s="108"/>
      <c r="J578" s="108"/>
    </row>
    <row r="579" spans="1:10" s="65" customFormat="1" ht="12.75">
      <c r="A579" s="106"/>
      <c r="B579" s="108"/>
      <c r="C579" s="108"/>
      <c r="D579" s="108"/>
      <c r="E579" s="108"/>
      <c r="F579" s="108"/>
      <c r="G579" s="109"/>
      <c r="H579" s="110"/>
      <c r="I579" s="108"/>
      <c r="J579" s="108"/>
    </row>
    <row r="580" spans="1:10" s="65" customFormat="1" ht="12.75">
      <c r="A580" s="106"/>
      <c r="B580" s="108"/>
      <c r="C580" s="108"/>
      <c r="D580" s="108"/>
      <c r="E580" s="108"/>
      <c r="F580" s="108"/>
      <c r="G580" s="109"/>
      <c r="H580" s="110"/>
      <c r="I580" s="108"/>
      <c r="J580" s="108"/>
    </row>
    <row r="581" spans="1:10" s="65" customFormat="1" ht="12.75">
      <c r="A581" s="106"/>
      <c r="B581" s="108"/>
      <c r="C581" s="108"/>
      <c r="D581" s="108"/>
      <c r="E581" s="108"/>
      <c r="F581" s="108"/>
      <c r="G581" s="109"/>
      <c r="H581" s="110"/>
      <c r="I581" s="108"/>
      <c r="J581" s="108"/>
    </row>
    <row r="582" spans="1:10" s="65" customFormat="1" ht="12.75">
      <c r="A582" s="106"/>
      <c r="B582" s="108"/>
      <c r="C582" s="108"/>
      <c r="D582" s="108"/>
      <c r="E582" s="108"/>
      <c r="F582" s="108"/>
      <c r="G582" s="109"/>
      <c r="H582" s="110"/>
      <c r="I582" s="108"/>
      <c r="J582" s="108"/>
    </row>
    <row r="583" spans="1:10" s="65" customFormat="1" ht="12.75">
      <c r="A583" s="106"/>
      <c r="B583" s="108"/>
      <c r="C583" s="108"/>
      <c r="D583" s="108"/>
      <c r="E583" s="108"/>
      <c r="F583" s="108"/>
      <c r="G583" s="109"/>
      <c r="H583" s="110"/>
      <c r="I583" s="108"/>
      <c r="J583" s="108"/>
    </row>
    <row r="584" spans="1:10" s="65" customFormat="1" ht="12.75">
      <c r="A584" s="106"/>
      <c r="B584" s="108"/>
      <c r="C584" s="108"/>
      <c r="D584" s="108"/>
      <c r="E584" s="108"/>
      <c r="F584" s="108"/>
      <c r="G584" s="109"/>
      <c r="H584" s="110"/>
      <c r="I584" s="108"/>
      <c r="J584" s="108"/>
    </row>
    <row r="585" spans="1:10" s="65" customFormat="1" ht="12.75">
      <c r="A585" s="106"/>
      <c r="B585" s="108"/>
      <c r="C585" s="108"/>
      <c r="D585" s="108"/>
      <c r="E585" s="108"/>
      <c r="F585" s="108"/>
      <c r="G585" s="109"/>
      <c r="H585" s="110"/>
      <c r="I585" s="108"/>
      <c r="J585" s="108"/>
    </row>
    <row r="586" spans="1:10" s="65" customFormat="1" ht="12.75">
      <c r="A586" s="106"/>
      <c r="B586" s="108"/>
      <c r="C586" s="108"/>
      <c r="D586" s="108"/>
      <c r="E586" s="108"/>
      <c r="F586" s="108"/>
      <c r="G586" s="109"/>
      <c r="H586" s="110"/>
      <c r="I586" s="108"/>
      <c r="J586" s="108"/>
    </row>
    <row r="587" spans="1:10" s="65" customFormat="1" ht="12.75">
      <c r="A587" s="106"/>
      <c r="B587" s="108"/>
      <c r="C587" s="108"/>
      <c r="D587" s="108"/>
      <c r="E587" s="108"/>
      <c r="F587" s="108"/>
      <c r="G587" s="109"/>
      <c r="H587" s="110"/>
      <c r="I587" s="108"/>
      <c r="J587" s="108"/>
    </row>
    <row r="588" spans="1:10" s="65" customFormat="1" ht="12.75">
      <c r="A588" s="106"/>
      <c r="B588" s="108"/>
      <c r="C588" s="108"/>
      <c r="D588" s="108"/>
      <c r="E588" s="108"/>
      <c r="F588" s="108"/>
      <c r="G588" s="109"/>
      <c r="H588" s="110"/>
      <c r="I588" s="108"/>
      <c r="J588" s="108"/>
    </row>
    <row r="589" spans="1:10" s="65" customFormat="1" ht="12.75">
      <c r="A589" s="106"/>
      <c r="B589" s="108"/>
      <c r="C589" s="108"/>
      <c r="D589" s="108"/>
      <c r="E589" s="108"/>
      <c r="F589" s="108"/>
      <c r="G589" s="109"/>
      <c r="H589" s="110"/>
      <c r="I589" s="108"/>
      <c r="J589" s="108"/>
    </row>
    <row r="590" spans="1:10" s="65" customFormat="1" ht="12.75">
      <c r="A590" s="106"/>
      <c r="B590" s="108"/>
      <c r="C590" s="108"/>
      <c r="D590" s="108"/>
      <c r="E590" s="108"/>
      <c r="F590" s="108"/>
      <c r="G590" s="109"/>
      <c r="H590" s="110"/>
      <c r="I590" s="108"/>
      <c r="J590" s="108"/>
    </row>
    <row r="591" spans="1:10" s="65" customFormat="1" ht="12.75">
      <c r="A591" s="106"/>
      <c r="B591" s="108"/>
      <c r="C591" s="108"/>
      <c r="D591" s="108"/>
      <c r="E591" s="108"/>
      <c r="F591" s="108"/>
      <c r="G591" s="109"/>
      <c r="H591" s="110"/>
      <c r="I591" s="108"/>
      <c r="J591" s="108"/>
    </row>
    <row r="592" spans="1:10" s="65" customFormat="1" ht="12.75">
      <c r="A592" s="106"/>
      <c r="B592" s="108"/>
      <c r="C592" s="108"/>
      <c r="D592" s="108"/>
      <c r="E592" s="108"/>
      <c r="F592" s="108"/>
      <c r="G592" s="109"/>
      <c r="H592" s="110"/>
      <c r="I592" s="108"/>
      <c r="J592" s="108"/>
    </row>
    <row r="593" spans="1:10" s="65" customFormat="1" ht="12.75">
      <c r="A593" s="106"/>
      <c r="B593" s="108"/>
      <c r="C593" s="108"/>
      <c r="D593" s="108"/>
      <c r="E593" s="108"/>
      <c r="F593" s="108"/>
      <c r="G593" s="109"/>
      <c r="H593" s="110"/>
      <c r="I593" s="108"/>
      <c r="J593" s="108"/>
    </row>
    <row r="594" spans="1:10" s="65" customFormat="1" ht="12.75">
      <c r="A594" s="106"/>
      <c r="B594" s="108"/>
      <c r="C594" s="108"/>
      <c r="D594" s="108"/>
      <c r="E594" s="108"/>
      <c r="F594" s="108"/>
      <c r="G594" s="109"/>
      <c r="H594" s="110"/>
      <c r="I594" s="108"/>
      <c r="J594" s="108"/>
    </row>
    <row r="595" spans="1:10" s="65" customFormat="1" ht="12.75">
      <c r="A595" s="106"/>
      <c r="B595" s="108"/>
      <c r="C595" s="108"/>
      <c r="D595" s="108"/>
      <c r="E595" s="108"/>
      <c r="F595" s="108"/>
      <c r="G595" s="109"/>
      <c r="H595" s="110"/>
      <c r="I595" s="108"/>
      <c r="J595" s="108"/>
    </row>
    <row r="596" spans="1:10" s="65" customFormat="1" ht="12.75">
      <c r="A596" s="106"/>
      <c r="B596" s="108"/>
      <c r="C596" s="108"/>
      <c r="D596" s="108"/>
      <c r="E596" s="108"/>
      <c r="F596" s="108"/>
      <c r="G596" s="109"/>
      <c r="H596" s="110"/>
      <c r="I596" s="108"/>
      <c r="J596" s="108"/>
    </row>
    <row r="597" spans="1:10" s="65" customFormat="1" ht="12.75">
      <c r="A597" s="106"/>
      <c r="B597" s="108"/>
      <c r="C597" s="108"/>
      <c r="D597" s="108"/>
      <c r="E597" s="108"/>
      <c r="F597" s="108"/>
      <c r="G597" s="109"/>
      <c r="H597" s="110"/>
      <c r="I597" s="108"/>
      <c r="J597" s="108"/>
    </row>
    <row r="598" spans="1:10" s="65" customFormat="1" ht="12.75">
      <c r="A598" s="106"/>
      <c r="B598" s="108"/>
      <c r="C598" s="108"/>
      <c r="D598" s="108"/>
      <c r="E598" s="108"/>
      <c r="F598" s="108"/>
      <c r="G598" s="109"/>
      <c r="H598" s="110"/>
      <c r="I598" s="108"/>
      <c r="J598" s="108"/>
    </row>
    <row r="599" spans="1:10" s="65" customFormat="1" ht="12.75">
      <c r="A599" s="106"/>
      <c r="B599" s="108"/>
      <c r="C599" s="108"/>
      <c r="D599" s="108"/>
      <c r="E599" s="108"/>
      <c r="F599" s="108"/>
      <c r="G599" s="109"/>
      <c r="H599" s="110"/>
      <c r="I599" s="108"/>
      <c r="J599" s="108"/>
    </row>
    <row r="600" spans="1:10" s="65" customFormat="1" ht="12.75">
      <c r="A600" s="106"/>
      <c r="B600" s="108"/>
      <c r="C600" s="108"/>
      <c r="D600" s="108"/>
      <c r="E600" s="108"/>
      <c r="F600" s="108"/>
      <c r="G600" s="109"/>
      <c r="H600" s="110"/>
      <c r="I600" s="108"/>
      <c r="J600" s="108"/>
    </row>
    <row r="601" spans="1:10" s="65" customFormat="1" ht="12.75">
      <c r="A601" s="106"/>
      <c r="B601" s="108"/>
      <c r="C601" s="108"/>
      <c r="D601" s="108"/>
      <c r="E601" s="108"/>
      <c r="F601" s="108"/>
      <c r="G601" s="109"/>
      <c r="H601" s="110"/>
      <c r="I601" s="108"/>
      <c r="J601" s="108"/>
    </row>
    <row r="602" spans="1:10" s="65" customFormat="1" ht="12.75">
      <c r="A602" s="106"/>
      <c r="B602" s="108"/>
      <c r="C602" s="108"/>
      <c r="D602" s="108"/>
      <c r="E602" s="108"/>
      <c r="F602" s="108"/>
      <c r="G602" s="109"/>
      <c r="H602" s="110"/>
      <c r="I602" s="108"/>
      <c r="J602" s="108"/>
    </row>
    <row r="603" spans="1:10" s="65" customFormat="1" ht="12.75">
      <c r="A603" s="106"/>
      <c r="B603" s="108"/>
      <c r="C603" s="108"/>
      <c r="D603" s="108"/>
      <c r="E603" s="108"/>
      <c r="F603" s="108"/>
      <c r="G603" s="109"/>
      <c r="H603" s="110"/>
      <c r="I603" s="108"/>
      <c r="J603" s="108"/>
    </row>
    <row r="604" spans="1:10" s="65" customFormat="1" ht="12.75">
      <c r="A604" s="106"/>
      <c r="B604" s="108"/>
      <c r="C604" s="108"/>
      <c r="D604" s="108"/>
      <c r="E604" s="108"/>
      <c r="F604" s="108"/>
      <c r="G604" s="109"/>
      <c r="H604" s="110"/>
      <c r="I604" s="108"/>
      <c r="J604" s="108"/>
    </row>
    <row r="605" spans="1:10" s="65" customFormat="1" ht="12.75">
      <c r="A605" s="106"/>
      <c r="B605" s="108"/>
      <c r="C605" s="108"/>
      <c r="D605" s="108"/>
      <c r="E605" s="108"/>
      <c r="F605" s="108"/>
      <c r="G605" s="109"/>
      <c r="H605" s="110"/>
      <c r="I605" s="108"/>
      <c r="J605" s="108"/>
    </row>
    <row r="606" spans="1:10" s="65" customFormat="1" ht="12.75">
      <c r="A606" s="106"/>
      <c r="B606" s="108"/>
      <c r="C606" s="108"/>
      <c r="D606" s="108"/>
      <c r="E606" s="108"/>
      <c r="F606" s="108"/>
      <c r="G606" s="109"/>
      <c r="H606" s="110"/>
      <c r="I606" s="108"/>
      <c r="J606" s="108"/>
    </row>
    <row r="607" spans="1:10" s="65" customFormat="1" ht="12.75">
      <c r="A607" s="106"/>
      <c r="B607" s="108"/>
      <c r="C607" s="108"/>
      <c r="D607" s="108"/>
      <c r="E607" s="108"/>
      <c r="F607" s="108"/>
      <c r="G607" s="109"/>
      <c r="H607" s="110"/>
      <c r="I607" s="108"/>
      <c r="J607" s="108"/>
    </row>
    <row r="608" spans="1:10" s="65" customFormat="1" ht="12.75">
      <c r="A608" s="106"/>
      <c r="B608" s="108"/>
      <c r="C608" s="108"/>
      <c r="D608" s="108"/>
      <c r="E608" s="108"/>
      <c r="F608" s="108"/>
      <c r="G608" s="109"/>
      <c r="H608" s="110"/>
      <c r="I608" s="108"/>
      <c r="J608" s="108"/>
    </row>
    <row r="609" spans="1:10" s="65" customFormat="1" ht="12.75">
      <c r="A609" s="106"/>
      <c r="B609" s="108"/>
      <c r="C609" s="108"/>
      <c r="D609" s="108"/>
      <c r="E609" s="108"/>
      <c r="F609" s="108"/>
      <c r="G609" s="109"/>
      <c r="H609" s="110"/>
      <c r="I609" s="108"/>
      <c r="J609" s="108"/>
    </row>
    <row r="610" spans="1:10" s="65" customFormat="1" ht="12.75">
      <c r="A610" s="106"/>
      <c r="B610" s="108"/>
      <c r="C610" s="108"/>
      <c r="D610" s="108"/>
      <c r="E610" s="108"/>
      <c r="F610" s="108"/>
      <c r="G610" s="109"/>
      <c r="H610" s="110"/>
      <c r="I610" s="108"/>
      <c r="J610" s="108"/>
    </row>
    <row r="611" spans="1:10" s="65" customFormat="1" ht="12.75">
      <c r="A611" s="106"/>
      <c r="B611" s="108"/>
      <c r="C611" s="108"/>
      <c r="D611" s="108"/>
      <c r="E611" s="108"/>
      <c r="F611" s="108"/>
      <c r="G611" s="109"/>
      <c r="H611" s="110"/>
      <c r="I611" s="108"/>
      <c r="J611" s="108"/>
    </row>
    <row r="612" spans="1:10" s="65" customFormat="1" ht="12.75">
      <c r="A612" s="106"/>
      <c r="B612" s="108"/>
      <c r="C612" s="108"/>
      <c r="D612" s="108"/>
      <c r="E612" s="108"/>
      <c r="F612" s="108"/>
      <c r="G612" s="109"/>
      <c r="H612" s="110"/>
      <c r="I612" s="108"/>
      <c r="J612" s="108"/>
    </row>
    <row r="613" spans="1:10" s="65" customFormat="1" ht="12.75">
      <c r="A613" s="106"/>
      <c r="B613" s="108"/>
      <c r="C613" s="108"/>
      <c r="D613" s="108"/>
      <c r="E613" s="108"/>
      <c r="F613" s="108"/>
      <c r="G613" s="109"/>
      <c r="H613" s="110"/>
      <c r="I613" s="108"/>
      <c r="J613" s="108"/>
    </row>
    <row r="614" spans="1:10" s="65" customFormat="1" ht="12.75">
      <c r="A614" s="106"/>
      <c r="B614" s="108"/>
      <c r="C614" s="108"/>
      <c r="D614" s="108"/>
      <c r="E614" s="108"/>
      <c r="F614" s="108"/>
      <c r="G614" s="109"/>
      <c r="H614" s="110"/>
      <c r="I614" s="108"/>
      <c r="J614" s="108"/>
    </row>
    <row r="615" spans="1:10" s="65" customFormat="1" ht="12.75">
      <c r="A615" s="106"/>
      <c r="B615" s="108"/>
      <c r="C615" s="108"/>
      <c r="D615" s="108"/>
      <c r="E615" s="108"/>
      <c r="F615" s="108"/>
      <c r="G615" s="109"/>
      <c r="H615" s="110"/>
      <c r="I615" s="108"/>
      <c r="J615" s="108"/>
    </row>
    <row r="616" spans="1:10" s="65" customFormat="1" ht="12.75">
      <c r="A616" s="106"/>
      <c r="B616" s="108"/>
      <c r="C616" s="108"/>
      <c r="D616" s="108"/>
      <c r="E616" s="108"/>
      <c r="F616" s="108"/>
      <c r="G616" s="109"/>
      <c r="H616" s="110"/>
      <c r="I616" s="108"/>
      <c r="J616" s="108"/>
    </row>
    <row r="617" spans="1:10" s="65" customFormat="1" ht="12.75">
      <c r="A617" s="106"/>
      <c r="B617" s="108"/>
      <c r="C617" s="108"/>
      <c r="D617" s="108"/>
      <c r="E617" s="108"/>
      <c r="F617" s="108"/>
      <c r="G617" s="109"/>
      <c r="H617" s="110"/>
      <c r="I617" s="108"/>
      <c r="J617" s="108"/>
    </row>
    <row r="618" spans="1:10" s="65" customFormat="1" ht="12.75">
      <c r="A618" s="106"/>
      <c r="B618" s="108"/>
      <c r="C618" s="108"/>
      <c r="D618" s="108"/>
      <c r="E618" s="108"/>
      <c r="F618" s="108"/>
      <c r="G618" s="109"/>
      <c r="H618" s="110"/>
      <c r="I618" s="108"/>
      <c r="J618" s="108"/>
    </row>
    <row r="619" spans="1:10" s="65" customFormat="1" ht="12.75">
      <c r="A619" s="106"/>
      <c r="B619" s="108"/>
      <c r="C619" s="108"/>
      <c r="D619" s="108"/>
      <c r="E619" s="108"/>
      <c r="F619" s="108"/>
      <c r="G619" s="109"/>
      <c r="H619" s="110"/>
      <c r="I619" s="108"/>
      <c r="J619" s="108"/>
    </row>
    <row r="620" spans="1:10" s="65" customFormat="1" ht="12.75">
      <c r="A620" s="106"/>
      <c r="B620" s="108"/>
      <c r="C620" s="108"/>
      <c r="D620" s="108"/>
      <c r="E620" s="108"/>
      <c r="F620" s="108"/>
      <c r="G620" s="109"/>
      <c r="H620" s="110"/>
      <c r="I620" s="108"/>
      <c r="J620" s="108"/>
    </row>
    <row r="621" spans="1:10" s="65" customFormat="1" ht="12.75">
      <c r="A621" s="106"/>
      <c r="B621" s="108"/>
      <c r="C621" s="108"/>
      <c r="D621" s="108"/>
      <c r="E621" s="108"/>
      <c r="F621" s="108"/>
      <c r="G621" s="109"/>
      <c r="H621" s="110"/>
      <c r="I621" s="108"/>
      <c r="J621" s="108"/>
    </row>
    <row r="622" spans="1:10" s="65" customFormat="1" ht="12.75">
      <c r="A622" s="106"/>
      <c r="B622" s="108"/>
      <c r="C622" s="108"/>
      <c r="D622" s="108"/>
      <c r="E622" s="108"/>
      <c r="F622" s="108"/>
      <c r="G622" s="109"/>
      <c r="H622" s="110"/>
      <c r="I622" s="108"/>
      <c r="J622" s="108"/>
    </row>
    <row r="623" spans="1:10" s="65" customFormat="1" ht="12.75">
      <c r="A623" s="106"/>
      <c r="B623" s="108"/>
      <c r="C623" s="108"/>
      <c r="D623" s="108"/>
      <c r="E623" s="108"/>
      <c r="F623" s="108"/>
      <c r="G623" s="109"/>
      <c r="H623" s="110"/>
      <c r="I623" s="108"/>
      <c r="J623" s="108"/>
    </row>
    <row r="624" spans="1:10" s="65" customFormat="1" ht="12.75">
      <c r="A624" s="106"/>
      <c r="B624" s="108"/>
      <c r="C624" s="108"/>
      <c r="D624" s="108"/>
      <c r="E624" s="108"/>
      <c r="F624" s="108"/>
      <c r="G624" s="109"/>
      <c r="H624" s="110"/>
      <c r="I624" s="108"/>
      <c r="J624" s="108"/>
    </row>
    <row r="625" spans="1:10" s="65" customFormat="1" ht="12.75">
      <c r="A625" s="106"/>
      <c r="B625" s="108"/>
      <c r="C625" s="108"/>
      <c r="D625" s="108"/>
      <c r="E625" s="108"/>
      <c r="F625" s="108"/>
      <c r="G625" s="109"/>
      <c r="H625" s="110"/>
      <c r="I625" s="108"/>
      <c r="J625" s="108"/>
    </row>
    <row r="626" spans="1:10" s="65" customFormat="1" ht="12.75">
      <c r="A626" s="106"/>
      <c r="B626" s="108"/>
      <c r="C626" s="108"/>
      <c r="D626" s="108"/>
      <c r="E626" s="108"/>
      <c r="F626" s="108"/>
      <c r="G626" s="109"/>
      <c r="H626" s="110"/>
      <c r="I626" s="108"/>
      <c r="J626" s="108"/>
    </row>
    <row r="627" spans="1:10" s="65" customFormat="1" ht="12.75">
      <c r="A627" s="106"/>
      <c r="B627" s="108"/>
      <c r="C627" s="108"/>
      <c r="D627" s="108"/>
      <c r="E627" s="108"/>
      <c r="F627" s="108"/>
      <c r="G627" s="109"/>
      <c r="H627" s="110"/>
      <c r="I627" s="108"/>
      <c r="J627" s="108"/>
    </row>
    <row r="628" spans="1:10" s="65" customFormat="1" ht="12.75">
      <c r="A628" s="106"/>
      <c r="B628" s="108"/>
      <c r="C628" s="108"/>
      <c r="D628" s="108"/>
      <c r="E628" s="108"/>
      <c r="F628" s="108"/>
      <c r="G628" s="109"/>
      <c r="H628" s="110"/>
      <c r="I628" s="108"/>
      <c r="J628" s="108"/>
    </row>
    <row r="629" spans="1:10" s="65" customFormat="1" ht="12.75">
      <c r="A629" s="106"/>
      <c r="B629" s="108"/>
      <c r="C629" s="108"/>
      <c r="D629" s="108"/>
      <c r="E629" s="108"/>
      <c r="F629" s="108"/>
      <c r="G629" s="109"/>
      <c r="H629" s="110"/>
      <c r="I629" s="108"/>
      <c r="J629" s="108"/>
    </row>
    <row r="630" spans="1:10" s="65" customFormat="1" ht="12.75">
      <c r="A630" s="106"/>
      <c r="B630" s="108"/>
      <c r="C630" s="108"/>
      <c r="D630" s="108"/>
      <c r="E630" s="108"/>
      <c r="F630" s="108"/>
      <c r="G630" s="109"/>
      <c r="H630" s="110"/>
      <c r="I630" s="108"/>
      <c r="J630" s="108"/>
    </row>
    <row r="631" spans="1:10" s="65" customFormat="1" ht="12.75">
      <c r="A631" s="106"/>
      <c r="B631" s="108"/>
      <c r="C631" s="108"/>
      <c r="D631" s="108"/>
      <c r="E631" s="108"/>
      <c r="F631" s="108"/>
      <c r="G631" s="109"/>
      <c r="H631" s="110"/>
      <c r="I631" s="108"/>
      <c r="J631" s="108"/>
    </row>
    <row r="632" spans="1:10" s="65" customFormat="1" ht="12.75">
      <c r="A632" s="106"/>
      <c r="B632" s="108"/>
      <c r="C632" s="108"/>
      <c r="D632" s="108"/>
      <c r="E632" s="108"/>
      <c r="F632" s="108"/>
      <c r="G632" s="109"/>
      <c r="H632" s="110"/>
      <c r="I632" s="108"/>
      <c r="J632" s="108"/>
    </row>
    <row r="633" spans="1:10" s="65" customFormat="1" ht="12.75">
      <c r="A633" s="106"/>
      <c r="B633" s="108"/>
      <c r="C633" s="108"/>
      <c r="D633" s="108"/>
      <c r="E633" s="108"/>
      <c r="F633" s="108"/>
      <c r="G633" s="109"/>
      <c r="H633" s="110"/>
      <c r="I633" s="108"/>
      <c r="J633" s="108"/>
    </row>
    <row r="634" spans="1:10" s="65" customFormat="1" ht="12.75">
      <c r="A634" s="106"/>
      <c r="B634" s="108"/>
      <c r="C634" s="108"/>
      <c r="D634" s="108"/>
      <c r="E634" s="108"/>
      <c r="F634" s="108"/>
      <c r="G634" s="109"/>
      <c r="H634" s="110"/>
      <c r="I634" s="108"/>
      <c r="J634" s="108"/>
    </row>
    <row r="635" spans="1:10" s="65" customFormat="1" ht="12.75">
      <c r="A635" s="106"/>
      <c r="B635" s="108"/>
      <c r="C635" s="108"/>
      <c r="D635" s="108"/>
      <c r="E635" s="108"/>
      <c r="F635" s="108"/>
      <c r="G635" s="109"/>
      <c r="H635" s="110"/>
      <c r="I635" s="108"/>
      <c r="J635" s="108"/>
    </row>
    <row r="636" spans="1:10" s="65" customFormat="1" ht="12.75">
      <c r="A636" s="106"/>
      <c r="B636" s="108"/>
      <c r="C636" s="108"/>
      <c r="D636" s="108"/>
      <c r="E636" s="108"/>
      <c r="F636" s="108"/>
      <c r="G636" s="109"/>
      <c r="H636" s="110"/>
      <c r="I636" s="108"/>
      <c r="J636" s="108"/>
    </row>
    <row r="637" spans="1:10" s="65" customFormat="1" ht="12.75">
      <c r="A637" s="106"/>
      <c r="B637" s="108"/>
      <c r="C637" s="108"/>
      <c r="D637" s="108"/>
      <c r="E637" s="108"/>
      <c r="F637" s="108"/>
      <c r="G637" s="109"/>
      <c r="H637" s="110"/>
      <c r="I637" s="108"/>
      <c r="J637" s="108"/>
    </row>
    <row r="638" spans="1:10" s="65" customFormat="1" ht="12.75">
      <c r="A638" s="106"/>
      <c r="B638" s="108"/>
      <c r="C638" s="108"/>
      <c r="D638" s="108"/>
      <c r="E638" s="108"/>
      <c r="F638" s="108"/>
      <c r="G638" s="109"/>
      <c r="H638" s="110"/>
      <c r="I638" s="108"/>
      <c r="J638" s="108"/>
    </row>
    <row r="639" spans="1:10" s="65" customFormat="1" ht="12.75">
      <c r="A639" s="106"/>
      <c r="B639" s="108"/>
      <c r="C639" s="108"/>
      <c r="D639" s="108"/>
      <c r="E639" s="108"/>
      <c r="F639" s="108"/>
      <c r="G639" s="109"/>
      <c r="H639" s="110"/>
      <c r="I639" s="108"/>
      <c r="J639" s="108"/>
    </row>
    <row r="640" spans="1:10" s="65" customFormat="1" ht="12.75">
      <c r="A640" s="106"/>
      <c r="B640" s="108"/>
      <c r="C640" s="108"/>
      <c r="D640" s="108"/>
      <c r="E640" s="108"/>
      <c r="F640" s="108"/>
      <c r="G640" s="109"/>
      <c r="H640" s="110"/>
      <c r="I640" s="108"/>
      <c r="J640" s="108"/>
    </row>
    <row r="641" spans="1:10" s="65" customFormat="1" ht="12.75">
      <c r="A641" s="106"/>
      <c r="B641" s="108"/>
      <c r="C641" s="108"/>
      <c r="D641" s="108"/>
      <c r="E641" s="108"/>
      <c r="F641" s="108"/>
      <c r="G641" s="109"/>
      <c r="H641" s="110"/>
      <c r="I641" s="108"/>
      <c r="J641" s="108"/>
    </row>
    <row r="642" spans="1:10" s="65" customFormat="1" ht="12.75">
      <c r="A642" s="106"/>
      <c r="B642" s="108"/>
      <c r="C642" s="108"/>
      <c r="D642" s="108"/>
      <c r="E642" s="108"/>
      <c r="F642" s="108"/>
      <c r="G642" s="109"/>
      <c r="H642" s="110"/>
      <c r="I642" s="108"/>
      <c r="J642" s="108"/>
    </row>
    <row r="643" spans="1:10" s="65" customFormat="1" ht="12.75">
      <c r="A643" s="106"/>
      <c r="B643" s="108"/>
      <c r="C643" s="108"/>
      <c r="D643" s="108"/>
      <c r="E643" s="108"/>
      <c r="F643" s="108"/>
      <c r="G643" s="109"/>
      <c r="H643" s="110"/>
      <c r="I643" s="108"/>
      <c r="J643" s="108"/>
    </row>
    <row r="644" spans="1:10" s="65" customFormat="1" ht="12.75">
      <c r="A644" s="106"/>
      <c r="B644" s="108"/>
      <c r="C644" s="108"/>
      <c r="D644" s="108"/>
      <c r="E644" s="108"/>
      <c r="F644" s="108"/>
      <c r="G644" s="109"/>
      <c r="H644" s="110"/>
      <c r="I644" s="108"/>
      <c r="J644" s="108"/>
    </row>
    <row r="645" spans="1:10" s="65" customFormat="1" ht="12.75">
      <c r="A645" s="106"/>
      <c r="B645" s="108"/>
      <c r="C645" s="108"/>
      <c r="D645" s="108"/>
      <c r="E645" s="108"/>
      <c r="F645" s="108"/>
      <c r="G645" s="109"/>
      <c r="H645" s="110"/>
      <c r="I645" s="108"/>
      <c r="J645" s="108"/>
    </row>
    <row r="646" spans="1:10" s="65" customFormat="1" ht="12.75">
      <c r="A646" s="106"/>
      <c r="B646" s="108"/>
      <c r="C646" s="108"/>
      <c r="D646" s="108"/>
      <c r="E646" s="108"/>
      <c r="F646" s="108"/>
      <c r="G646" s="109"/>
      <c r="H646" s="110"/>
      <c r="I646" s="108"/>
      <c r="J646" s="108"/>
    </row>
    <row r="647" spans="1:10" s="65" customFormat="1" ht="12.75">
      <c r="A647" s="106"/>
      <c r="B647" s="108"/>
      <c r="C647" s="108"/>
      <c r="D647" s="108"/>
      <c r="E647" s="108"/>
      <c r="F647" s="108"/>
      <c r="G647" s="109"/>
      <c r="H647" s="110"/>
      <c r="I647" s="108"/>
      <c r="J647" s="108"/>
    </row>
    <row r="648" spans="1:10" s="65" customFormat="1" ht="12.75">
      <c r="A648" s="106"/>
      <c r="B648" s="108"/>
      <c r="C648" s="108"/>
      <c r="D648" s="108"/>
      <c r="E648" s="108"/>
      <c r="F648" s="108"/>
      <c r="G648" s="109"/>
      <c r="H648" s="110"/>
      <c r="I648" s="108"/>
      <c r="J648" s="108"/>
    </row>
    <row r="649" spans="1:10" s="65" customFormat="1" ht="12.75">
      <c r="A649" s="106"/>
      <c r="B649" s="108"/>
      <c r="C649" s="108"/>
      <c r="D649" s="108"/>
      <c r="E649" s="108"/>
      <c r="F649" s="108"/>
      <c r="G649" s="109"/>
      <c r="H649" s="110"/>
      <c r="I649" s="108"/>
      <c r="J649" s="108"/>
    </row>
    <row r="650" spans="1:10" s="65" customFormat="1" ht="12.75">
      <c r="A650" s="106"/>
      <c r="B650" s="108"/>
      <c r="C650" s="108"/>
      <c r="D650" s="108"/>
      <c r="E650" s="108"/>
      <c r="F650" s="108"/>
      <c r="G650" s="109"/>
      <c r="H650" s="110"/>
      <c r="I650" s="108"/>
      <c r="J650" s="108"/>
    </row>
    <row r="651" spans="1:10" s="65" customFormat="1" ht="12.75">
      <c r="A651" s="106"/>
      <c r="B651" s="108"/>
      <c r="C651" s="108"/>
      <c r="D651" s="108"/>
      <c r="E651" s="108"/>
      <c r="F651" s="108"/>
      <c r="G651" s="109"/>
      <c r="H651" s="110"/>
      <c r="I651" s="108"/>
      <c r="J651" s="108"/>
    </row>
    <row r="652" spans="1:10" s="65" customFormat="1" ht="12.75">
      <c r="A652" s="106"/>
      <c r="B652" s="108"/>
      <c r="C652" s="108"/>
      <c r="D652" s="108"/>
      <c r="E652" s="108"/>
      <c r="F652" s="108"/>
      <c r="G652" s="109"/>
      <c r="H652" s="110"/>
      <c r="I652" s="108"/>
      <c r="J652" s="108"/>
    </row>
    <row r="653" spans="1:10" s="65" customFormat="1" ht="12.75">
      <c r="A653" s="106"/>
      <c r="B653" s="108"/>
      <c r="C653" s="108"/>
      <c r="D653" s="108"/>
      <c r="E653" s="108"/>
      <c r="F653" s="108"/>
      <c r="G653" s="109"/>
      <c r="H653" s="110"/>
      <c r="I653" s="108"/>
      <c r="J653" s="108"/>
    </row>
    <row r="654" spans="1:10" s="65" customFormat="1" ht="12.75">
      <c r="A654" s="106"/>
      <c r="B654" s="108"/>
      <c r="C654" s="108"/>
      <c r="D654" s="108"/>
      <c r="E654" s="108"/>
      <c r="F654" s="108"/>
      <c r="G654" s="109"/>
      <c r="H654" s="110"/>
      <c r="I654" s="108"/>
      <c r="J654" s="108"/>
    </row>
    <row r="655" spans="1:10" s="65" customFormat="1" ht="12.75">
      <c r="A655" s="106"/>
      <c r="B655" s="108"/>
      <c r="C655" s="108"/>
      <c r="D655" s="108"/>
      <c r="E655" s="108"/>
      <c r="F655" s="108"/>
      <c r="G655" s="109"/>
      <c r="H655" s="110"/>
      <c r="I655" s="108"/>
      <c r="J655" s="108"/>
    </row>
    <row r="656" spans="1:10" s="65" customFormat="1" ht="12.75">
      <c r="A656" s="106"/>
      <c r="B656" s="108"/>
      <c r="C656" s="108"/>
      <c r="D656" s="108"/>
      <c r="E656" s="108"/>
      <c r="F656" s="108"/>
      <c r="G656" s="109"/>
      <c r="H656" s="110"/>
      <c r="I656" s="108"/>
      <c r="J656" s="108"/>
    </row>
    <row r="657" spans="1:10" s="65" customFormat="1" ht="12.75">
      <c r="A657" s="106"/>
      <c r="B657" s="108"/>
      <c r="C657" s="108"/>
      <c r="D657" s="108"/>
      <c r="E657" s="108"/>
      <c r="F657" s="108"/>
      <c r="G657" s="109"/>
      <c r="H657" s="110"/>
      <c r="I657" s="108"/>
      <c r="J657" s="108"/>
    </row>
    <row r="658" spans="1:10" s="65" customFormat="1" ht="12.75">
      <c r="A658" s="106"/>
      <c r="B658" s="108"/>
      <c r="C658" s="108"/>
      <c r="D658" s="108"/>
      <c r="E658" s="108"/>
      <c r="F658" s="108"/>
      <c r="G658" s="109"/>
      <c r="H658" s="110"/>
      <c r="I658" s="108"/>
      <c r="J658" s="108"/>
    </row>
    <row r="659" spans="1:10" s="65" customFormat="1" ht="12.75">
      <c r="A659" s="106"/>
      <c r="B659" s="108"/>
      <c r="C659" s="108"/>
      <c r="D659" s="108"/>
      <c r="E659" s="108"/>
      <c r="F659" s="108"/>
      <c r="G659" s="109"/>
      <c r="H659" s="110"/>
      <c r="I659" s="108"/>
      <c r="J659" s="108"/>
    </row>
    <row r="660" spans="1:10" s="65" customFormat="1" ht="12.75">
      <c r="A660" s="106"/>
      <c r="B660" s="108"/>
      <c r="C660" s="108"/>
      <c r="D660" s="108"/>
      <c r="E660" s="108"/>
      <c r="F660" s="108"/>
      <c r="G660" s="109"/>
      <c r="H660" s="110"/>
      <c r="I660" s="108"/>
      <c r="J660" s="108"/>
    </row>
    <row r="661" spans="1:10" s="65" customFormat="1" ht="12.75">
      <c r="A661" s="106"/>
      <c r="B661" s="108"/>
      <c r="C661" s="108"/>
      <c r="D661" s="108"/>
      <c r="E661" s="108"/>
      <c r="F661" s="108"/>
      <c r="G661" s="109"/>
      <c r="H661" s="110"/>
      <c r="I661" s="108"/>
      <c r="J661" s="108"/>
    </row>
    <row r="662" spans="1:10" s="65" customFormat="1" ht="12.75">
      <c r="A662" s="106"/>
      <c r="B662" s="108"/>
      <c r="C662" s="108"/>
      <c r="D662" s="108"/>
      <c r="E662" s="108"/>
      <c r="F662" s="108"/>
      <c r="G662" s="109"/>
      <c r="H662" s="110"/>
      <c r="I662" s="108"/>
      <c r="J662" s="108"/>
    </row>
    <row r="663" spans="1:10" s="65" customFormat="1" ht="12.75">
      <c r="A663" s="106"/>
      <c r="B663" s="108"/>
      <c r="C663" s="108"/>
      <c r="D663" s="108"/>
      <c r="E663" s="108"/>
      <c r="F663" s="108"/>
      <c r="G663" s="109"/>
      <c r="H663" s="110"/>
      <c r="I663" s="108"/>
      <c r="J663" s="108"/>
    </row>
    <row r="664" spans="1:10" s="65" customFormat="1" ht="12.75">
      <c r="A664" s="106"/>
      <c r="B664" s="108"/>
      <c r="C664" s="108"/>
      <c r="D664" s="108"/>
      <c r="E664" s="108"/>
      <c r="F664" s="108"/>
      <c r="G664" s="109"/>
      <c r="H664" s="110"/>
      <c r="I664" s="108"/>
      <c r="J664" s="108"/>
    </row>
    <row r="665" spans="1:10" s="65" customFormat="1" ht="12.75">
      <c r="A665" s="106"/>
      <c r="B665" s="108"/>
      <c r="C665" s="108"/>
      <c r="D665" s="108"/>
      <c r="E665" s="108"/>
      <c r="F665" s="108"/>
      <c r="G665" s="109"/>
      <c r="H665" s="110"/>
      <c r="I665" s="108"/>
      <c r="J665" s="108"/>
    </row>
    <row r="666" spans="1:10" s="65" customFormat="1" ht="12.75">
      <c r="A666" s="106"/>
      <c r="B666" s="108"/>
      <c r="C666" s="108"/>
      <c r="D666" s="108"/>
      <c r="E666" s="108"/>
      <c r="F666" s="108"/>
      <c r="G666" s="109"/>
      <c r="H666" s="110"/>
      <c r="I666" s="108"/>
      <c r="J666" s="108"/>
    </row>
    <row r="667" spans="1:10" s="65" customFormat="1" ht="12.75">
      <c r="A667" s="106"/>
      <c r="B667" s="108"/>
      <c r="C667" s="108"/>
      <c r="D667" s="108"/>
      <c r="E667" s="108"/>
      <c r="F667" s="108"/>
      <c r="G667" s="109"/>
      <c r="H667" s="110"/>
      <c r="I667" s="108"/>
      <c r="J667" s="108"/>
    </row>
    <row r="668" spans="1:10" s="65" customFormat="1" ht="12.75">
      <c r="A668" s="106"/>
      <c r="B668" s="108"/>
      <c r="C668" s="108"/>
      <c r="D668" s="108"/>
      <c r="E668" s="108"/>
      <c r="F668" s="108"/>
      <c r="G668" s="109"/>
      <c r="H668" s="110"/>
      <c r="I668" s="108"/>
      <c r="J668" s="108"/>
    </row>
    <row r="669" spans="1:10" s="65" customFormat="1" ht="12.75">
      <c r="A669" s="106"/>
      <c r="B669" s="108"/>
      <c r="C669" s="108"/>
      <c r="D669" s="108"/>
      <c r="E669" s="108"/>
      <c r="F669" s="108"/>
      <c r="G669" s="109"/>
      <c r="H669" s="110"/>
      <c r="I669" s="108"/>
      <c r="J669" s="108"/>
    </row>
    <row r="670" spans="1:10" s="65" customFormat="1" ht="12.75">
      <c r="A670" s="106"/>
      <c r="B670" s="108"/>
      <c r="C670" s="108"/>
      <c r="D670" s="108"/>
      <c r="E670" s="108"/>
      <c r="F670" s="108"/>
      <c r="G670" s="109"/>
      <c r="H670" s="110"/>
      <c r="I670" s="108"/>
      <c r="J670" s="108"/>
    </row>
    <row r="671" spans="1:10" s="65" customFormat="1" ht="12.75">
      <c r="A671" s="106"/>
      <c r="B671" s="108"/>
      <c r="C671" s="108"/>
      <c r="D671" s="108"/>
      <c r="E671" s="108"/>
      <c r="F671" s="108"/>
      <c r="G671" s="109"/>
      <c r="H671" s="110"/>
      <c r="I671" s="108"/>
      <c r="J671" s="108"/>
    </row>
    <row r="672" spans="1:10" s="65" customFormat="1" ht="12.75">
      <c r="A672" s="106"/>
      <c r="B672" s="108"/>
      <c r="C672" s="108"/>
      <c r="D672" s="108"/>
      <c r="E672" s="108"/>
      <c r="F672" s="108"/>
      <c r="G672" s="109"/>
      <c r="H672" s="110"/>
      <c r="I672" s="108"/>
      <c r="J672" s="108"/>
    </row>
    <row r="673" spans="1:10" s="65" customFormat="1" ht="12.75">
      <c r="A673" s="106"/>
      <c r="B673" s="108"/>
      <c r="C673" s="108"/>
      <c r="D673" s="108"/>
      <c r="E673" s="108"/>
      <c r="F673" s="108"/>
      <c r="G673" s="109"/>
      <c r="H673" s="110"/>
      <c r="I673" s="108"/>
      <c r="J673" s="108"/>
    </row>
    <row r="674" spans="1:10" s="65" customFormat="1" ht="12.75">
      <c r="A674" s="106"/>
      <c r="B674" s="108"/>
      <c r="C674" s="108"/>
      <c r="D674" s="108"/>
      <c r="E674" s="108"/>
      <c r="F674" s="108"/>
      <c r="G674" s="109"/>
      <c r="H674" s="110"/>
      <c r="I674" s="108"/>
      <c r="J674" s="108"/>
    </row>
    <row r="675" spans="1:10" s="65" customFormat="1" ht="12.75">
      <c r="A675" s="106"/>
      <c r="B675" s="108"/>
      <c r="C675" s="108"/>
      <c r="D675" s="108"/>
      <c r="E675" s="108"/>
      <c r="F675" s="108"/>
      <c r="G675" s="109"/>
      <c r="H675" s="110"/>
      <c r="I675" s="108"/>
      <c r="J675" s="108"/>
    </row>
    <row r="676" spans="1:10" s="65" customFormat="1" ht="12.75">
      <c r="A676" s="106"/>
      <c r="B676" s="108"/>
      <c r="C676" s="108"/>
      <c r="D676" s="108"/>
      <c r="E676" s="108"/>
      <c r="F676" s="108"/>
      <c r="G676" s="109"/>
      <c r="H676" s="110"/>
      <c r="I676" s="108"/>
      <c r="J676" s="108"/>
    </row>
    <row r="677" spans="1:10" s="65" customFormat="1" ht="12.75">
      <c r="A677" s="106"/>
      <c r="B677" s="108"/>
      <c r="C677" s="108"/>
      <c r="D677" s="108"/>
      <c r="E677" s="108"/>
      <c r="F677" s="108"/>
      <c r="G677" s="109"/>
      <c r="H677" s="110"/>
      <c r="I677" s="108"/>
      <c r="J677" s="108"/>
    </row>
    <row r="678" spans="1:10" s="65" customFormat="1" ht="12.75">
      <c r="A678" s="106"/>
      <c r="B678" s="108"/>
      <c r="C678" s="108"/>
      <c r="D678" s="108"/>
      <c r="E678" s="108"/>
      <c r="F678" s="108"/>
      <c r="G678" s="109"/>
      <c r="H678" s="110"/>
      <c r="I678" s="108"/>
      <c r="J678" s="108"/>
    </row>
    <row r="679" spans="1:10" s="65" customFormat="1" ht="12.75">
      <c r="A679" s="106"/>
      <c r="B679" s="108"/>
      <c r="C679" s="108"/>
      <c r="D679" s="108"/>
      <c r="E679" s="108"/>
      <c r="F679" s="108"/>
      <c r="G679" s="109"/>
      <c r="H679" s="110"/>
      <c r="I679" s="108"/>
      <c r="J679" s="108"/>
    </row>
    <row r="680" spans="1:10" s="65" customFormat="1" ht="12.75">
      <c r="A680" s="106"/>
      <c r="B680" s="108"/>
      <c r="C680" s="108"/>
      <c r="D680" s="108"/>
      <c r="E680" s="108"/>
      <c r="F680" s="108"/>
      <c r="G680" s="109"/>
      <c r="H680" s="110"/>
      <c r="I680" s="108"/>
      <c r="J680" s="108"/>
    </row>
    <row r="681" spans="1:10" s="65" customFormat="1" ht="12.75">
      <c r="A681" s="106"/>
      <c r="B681" s="108"/>
      <c r="C681" s="108"/>
      <c r="D681" s="108"/>
      <c r="E681" s="108"/>
      <c r="F681" s="108"/>
      <c r="G681" s="109"/>
      <c r="H681" s="110"/>
      <c r="I681" s="108"/>
      <c r="J681" s="108"/>
    </row>
    <row r="682" spans="1:10" s="65" customFormat="1" ht="12.75">
      <c r="A682" s="106"/>
      <c r="B682" s="108"/>
      <c r="C682" s="108"/>
      <c r="D682" s="108"/>
      <c r="E682" s="108"/>
      <c r="F682" s="108"/>
      <c r="G682" s="109"/>
      <c r="H682" s="110"/>
      <c r="I682" s="108"/>
      <c r="J682" s="108"/>
    </row>
    <row r="683" spans="1:10" s="65" customFormat="1" ht="12.75">
      <c r="A683" s="106"/>
      <c r="B683" s="108"/>
      <c r="C683" s="108"/>
      <c r="D683" s="108"/>
      <c r="E683" s="108"/>
      <c r="F683" s="108"/>
      <c r="G683" s="109"/>
      <c r="H683" s="110"/>
      <c r="I683" s="108"/>
      <c r="J683" s="108"/>
    </row>
    <row r="684" spans="1:10" s="65" customFormat="1" ht="12.75">
      <c r="A684" s="106"/>
      <c r="B684" s="108"/>
      <c r="C684" s="108"/>
      <c r="D684" s="108"/>
      <c r="E684" s="108"/>
      <c r="F684" s="108"/>
      <c r="G684" s="109"/>
      <c r="H684" s="110"/>
      <c r="I684" s="108"/>
      <c r="J684" s="108"/>
    </row>
    <row r="685" spans="1:10" s="65" customFormat="1" ht="12.75">
      <c r="A685" s="106"/>
      <c r="B685" s="108"/>
      <c r="C685" s="108"/>
      <c r="D685" s="108"/>
      <c r="E685" s="108"/>
      <c r="F685" s="108"/>
      <c r="G685" s="109"/>
      <c r="H685" s="110"/>
      <c r="I685" s="108"/>
      <c r="J685" s="108"/>
    </row>
    <row r="686" spans="1:10" s="65" customFormat="1" ht="12.75">
      <c r="A686" s="106"/>
      <c r="B686" s="108"/>
      <c r="C686" s="108"/>
      <c r="D686" s="108"/>
      <c r="E686" s="108"/>
      <c r="F686" s="108"/>
      <c r="G686" s="109"/>
      <c r="H686" s="110"/>
      <c r="I686" s="108"/>
      <c r="J686" s="108"/>
    </row>
    <row r="687" spans="1:10" s="65" customFormat="1" ht="12.75">
      <c r="A687" s="106"/>
      <c r="B687" s="108"/>
      <c r="C687" s="108"/>
      <c r="D687" s="108"/>
      <c r="E687" s="108"/>
      <c r="F687" s="108"/>
      <c r="G687" s="109"/>
      <c r="H687" s="110"/>
      <c r="I687" s="108"/>
      <c r="J687" s="108"/>
    </row>
    <row r="688" spans="1:10" s="65" customFormat="1" ht="12.75">
      <c r="A688" s="106"/>
      <c r="B688" s="108"/>
      <c r="C688" s="108"/>
      <c r="D688" s="108"/>
      <c r="E688" s="108"/>
      <c r="F688" s="108"/>
      <c r="G688" s="109"/>
      <c r="H688" s="110"/>
      <c r="I688" s="108"/>
      <c r="J688" s="108"/>
    </row>
    <row r="689" spans="1:10" s="65" customFormat="1" ht="12.75">
      <c r="A689" s="106"/>
      <c r="B689" s="108"/>
      <c r="C689" s="108"/>
      <c r="D689" s="108"/>
      <c r="E689" s="108"/>
      <c r="F689" s="108"/>
      <c r="G689" s="109"/>
      <c r="H689" s="110"/>
      <c r="I689" s="108"/>
      <c r="J689" s="108"/>
    </row>
    <row r="690" spans="1:10" s="65" customFormat="1" ht="12.75">
      <c r="A690" s="106"/>
      <c r="B690" s="108"/>
      <c r="C690" s="108"/>
      <c r="D690" s="108"/>
      <c r="E690" s="108"/>
      <c r="F690" s="108"/>
      <c r="G690" s="109"/>
      <c r="H690" s="110"/>
      <c r="I690" s="108"/>
      <c r="J690" s="108"/>
    </row>
    <row r="691" spans="1:10" s="65" customFormat="1" ht="12.75">
      <c r="A691" s="106"/>
      <c r="B691" s="108"/>
      <c r="C691" s="108"/>
      <c r="D691" s="108"/>
      <c r="E691" s="108"/>
      <c r="F691" s="108"/>
      <c r="G691" s="109"/>
      <c r="H691" s="110"/>
      <c r="I691" s="108"/>
      <c r="J691" s="108"/>
    </row>
    <row r="692" spans="1:10" s="65" customFormat="1" ht="12.75">
      <c r="A692" s="106"/>
      <c r="B692" s="108"/>
      <c r="C692" s="108"/>
      <c r="D692" s="108"/>
      <c r="E692" s="108"/>
      <c r="F692" s="108"/>
      <c r="G692" s="109"/>
      <c r="H692" s="110"/>
      <c r="I692" s="108"/>
      <c r="J692" s="108"/>
    </row>
    <row r="693" spans="1:10" s="65" customFormat="1" ht="12.75">
      <c r="A693" s="106"/>
      <c r="B693" s="108"/>
      <c r="C693" s="108"/>
      <c r="D693" s="108"/>
      <c r="E693" s="108"/>
      <c r="F693" s="108"/>
      <c r="G693" s="109"/>
      <c r="H693" s="110"/>
      <c r="I693" s="108"/>
      <c r="J693" s="108"/>
    </row>
    <row r="694" spans="1:10" s="65" customFormat="1" ht="12.75">
      <c r="A694" s="106"/>
      <c r="B694" s="108"/>
      <c r="C694" s="108"/>
      <c r="D694" s="108"/>
      <c r="E694" s="108"/>
      <c r="F694" s="108"/>
      <c r="G694" s="109"/>
      <c r="H694" s="110"/>
      <c r="I694" s="108"/>
      <c r="J694" s="108"/>
    </row>
    <row r="695" spans="1:10" s="65" customFormat="1" ht="12.75">
      <c r="A695" s="106"/>
      <c r="B695" s="108"/>
      <c r="C695" s="108"/>
      <c r="D695" s="108"/>
      <c r="E695" s="108"/>
      <c r="F695" s="108"/>
      <c r="G695" s="109"/>
      <c r="H695" s="110"/>
      <c r="I695" s="108"/>
      <c r="J695" s="108"/>
    </row>
    <row r="696" spans="1:10" s="65" customFormat="1" ht="12.75">
      <c r="A696" s="106"/>
      <c r="B696" s="108"/>
      <c r="C696" s="108"/>
      <c r="D696" s="108"/>
      <c r="E696" s="108"/>
      <c r="F696" s="108"/>
      <c r="G696" s="109"/>
      <c r="H696" s="110"/>
      <c r="I696" s="108"/>
      <c r="J696" s="108"/>
    </row>
    <row r="697" spans="1:10" s="65" customFormat="1" ht="12.75">
      <c r="A697" s="106"/>
      <c r="B697" s="108"/>
      <c r="C697" s="108"/>
      <c r="D697" s="108"/>
      <c r="E697" s="108"/>
      <c r="F697" s="108"/>
      <c r="G697" s="109"/>
      <c r="H697" s="110"/>
      <c r="I697" s="108"/>
      <c r="J697" s="108"/>
    </row>
    <row r="698" spans="1:10" s="65" customFormat="1" ht="12.75">
      <c r="A698" s="106"/>
      <c r="B698" s="108"/>
      <c r="C698" s="108"/>
      <c r="D698" s="108"/>
      <c r="E698" s="108"/>
      <c r="F698" s="108"/>
      <c r="G698" s="109"/>
      <c r="H698" s="110"/>
      <c r="I698" s="108"/>
      <c r="J698" s="108"/>
    </row>
    <row r="699" spans="1:10" s="65" customFormat="1" ht="12.75">
      <c r="A699" s="106"/>
      <c r="B699" s="108"/>
      <c r="C699" s="108"/>
      <c r="D699" s="108"/>
      <c r="E699" s="108"/>
      <c r="F699" s="108"/>
      <c r="G699" s="109"/>
      <c r="H699" s="110"/>
      <c r="I699" s="108"/>
      <c r="J699" s="108"/>
    </row>
    <row r="700" spans="1:10" s="65" customFormat="1" ht="12.75">
      <c r="A700" s="106"/>
      <c r="B700" s="108"/>
      <c r="C700" s="108"/>
      <c r="D700" s="108"/>
      <c r="E700" s="108"/>
      <c r="F700" s="108"/>
      <c r="G700" s="109"/>
      <c r="H700" s="110"/>
      <c r="I700" s="108"/>
      <c r="J700" s="108"/>
    </row>
    <row r="701" spans="1:10" s="65" customFormat="1" ht="12.75">
      <c r="A701" s="106"/>
      <c r="B701" s="108"/>
      <c r="C701" s="108"/>
      <c r="D701" s="108"/>
      <c r="E701" s="108"/>
      <c r="F701" s="108"/>
      <c r="G701" s="109"/>
      <c r="H701" s="110"/>
      <c r="I701" s="108"/>
      <c r="J701" s="108"/>
    </row>
    <row r="702" spans="1:10" s="65" customFormat="1" ht="12.75">
      <c r="A702" s="106"/>
      <c r="B702" s="108"/>
      <c r="C702" s="108"/>
      <c r="D702" s="108"/>
      <c r="E702" s="108"/>
      <c r="F702" s="108"/>
      <c r="G702" s="109"/>
      <c r="H702" s="110"/>
      <c r="I702" s="108"/>
      <c r="J702" s="108"/>
    </row>
    <row r="703" spans="1:10" s="65" customFormat="1" ht="12.75">
      <c r="A703" s="106"/>
      <c r="B703" s="108"/>
      <c r="C703" s="108"/>
      <c r="D703" s="108"/>
      <c r="E703" s="108"/>
      <c r="F703" s="108"/>
      <c r="G703" s="109"/>
      <c r="H703" s="110"/>
      <c r="I703" s="108"/>
      <c r="J703" s="108"/>
    </row>
    <row r="704" spans="1:10" s="65" customFormat="1" ht="12.75">
      <c r="A704" s="106"/>
      <c r="B704" s="108"/>
      <c r="C704" s="108"/>
      <c r="D704" s="108"/>
      <c r="E704" s="108"/>
      <c r="F704" s="108"/>
      <c r="G704" s="109"/>
      <c r="H704" s="110"/>
      <c r="I704" s="108"/>
      <c r="J704" s="108"/>
    </row>
    <row r="705" spans="1:10" s="65" customFormat="1" ht="12.75">
      <c r="A705" s="106"/>
      <c r="B705" s="108"/>
      <c r="C705" s="108"/>
      <c r="D705" s="108"/>
      <c r="E705" s="108"/>
      <c r="F705" s="108"/>
      <c r="G705" s="109"/>
      <c r="H705" s="110"/>
      <c r="I705" s="108"/>
      <c r="J705" s="108"/>
    </row>
    <row r="706" spans="1:10" s="65" customFormat="1" ht="12.75">
      <c r="A706" s="106"/>
      <c r="B706" s="108"/>
      <c r="C706" s="108"/>
      <c r="D706" s="108"/>
      <c r="E706" s="108"/>
      <c r="F706" s="108"/>
      <c r="G706" s="109"/>
      <c r="H706" s="110"/>
      <c r="I706" s="108"/>
      <c r="J706" s="108"/>
    </row>
    <row r="707" spans="1:10" s="65" customFormat="1" ht="12.75">
      <c r="A707" s="106"/>
      <c r="B707" s="108"/>
      <c r="C707" s="108"/>
      <c r="D707" s="108"/>
      <c r="E707" s="108"/>
      <c r="F707" s="108"/>
      <c r="G707" s="109"/>
      <c r="H707" s="110"/>
      <c r="I707" s="108"/>
      <c r="J707" s="108"/>
    </row>
    <row r="708" spans="1:10" s="65" customFormat="1" ht="12.75">
      <c r="A708" s="106"/>
      <c r="B708" s="108"/>
      <c r="C708" s="108"/>
      <c r="D708" s="108"/>
      <c r="E708" s="108"/>
      <c r="F708" s="108"/>
      <c r="G708" s="109"/>
      <c r="H708" s="110"/>
      <c r="I708" s="108"/>
      <c r="J708" s="108"/>
    </row>
    <row r="709" spans="1:10" s="65" customFormat="1" ht="12.75">
      <c r="A709" s="106"/>
      <c r="B709" s="108"/>
      <c r="C709" s="108"/>
      <c r="D709" s="108"/>
      <c r="E709" s="108"/>
      <c r="F709" s="108"/>
      <c r="G709" s="109"/>
      <c r="H709" s="110"/>
      <c r="I709" s="108"/>
      <c r="J709" s="108"/>
    </row>
    <row r="710" spans="1:10" s="65" customFormat="1" ht="12.75">
      <c r="A710" s="106"/>
      <c r="B710" s="108"/>
      <c r="C710" s="108"/>
      <c r="D710" s="108"/>
      <c r="E710" s="108"/>
      <c r="F710" s="108"/>
      <c r="G710" s="109"/>
      <c r="H710" s="110"/>
      <c r="I710" s="108"/>
      <c r="J710" s="108"/>
    </row>
    <row r="711" spans="1:10" s="65" customFormat="1" ht="12.75">
      <c r="A711" s="106"/>
      <c r="B711" s="108"/>
      <c r="C711" s="108"/>
      <c r="D711" s="108"/>
      <c r="E711" s="108"/>
      <c r="F711" s="108"/>
      <c r="G711" s="109"/>
      <c r="H711" s="110"/>
      <c r="I711" s="108"/>
      <c r="J711" s="108"/>
    </row>
    <row r="712" spans="1:10" s="65" customFormat="1" ht="12.75">
      <c r="A712" s="106"/>
      <c r="B712" s="108"/>
      <c r="C712" s="108"/>
      <c r="D712" s="108"/>
      <c r="E712" s="108"/>
      <c r="F712" s="108"/>
      <c r="G712" s="109"/>
      <c r="H712" s="110"/>
      <c r="I712" s="108"/>
      <c r="J712" s="108"/>
    </row>
    <row r="713" spans="1:10" s="65" customFormat="1" ht="12.75">
      <c r="A713" s="106"/>
      <c r="B713" s="108"/>
      <c r="C713" s="108"/>
      <c r="D713" s="108"/>
      <c r="E713" s="108"/>
      <c r="F713" s="108"/>
      <c r="G713" s="109"/>
      <c r="H713" s="110"/>
      <c r="I713" s="108"/>
      <c r="J713" s="108"/>
    </row>
    <row r="714" spans="1:10" s="65" customFormat="1" ht="12.75">
      <c r="A714" s="106"/>
      <c r="B714" s="108"/>
      <c r="C714" s="108"/>
      <c r="D714" s="108"/>
      <c r="E714" s="108"/>
      <c r="F714" s="108"/>
      <c r="G714" s="109"/>
      <c r="H714" s="110"/>
      <c r="I714" s="108"/>
      <c r="J714" s="108"/>
    </row>
    <row r="715" spans="1:10" s="65" customFormat="1" ht="12.75">
      <c r="A715" s="106"/>
      <c r="B715" s="108"/>
      <c r="C715" s="108"/>
      <c r="D715" s="108"/>
      <c r="E715" s="108"/>
      <c r="F715" s="108"/>
      <c r="G715" s="109"/>
      <c r="H715" s="110"/>
      <c r="I715" s="108"/>
      <c r="J715" s="108"/>
    </row>
    <row r="716" spans="1:10" s="65" customFormat="1" ht="12.75">
      <c r="A716" s="106"/>
      <c r="B716" s="108"/>
      <c r="C716" s="108"/>
      <c r="D716" s="108"/>
      <c r="E716" s="108"/>
      <c r="F716" s="108"/>
      <c r="G716" s="109"/>
      <c r="H716" s="110"/>
      <c r="I716" s="108"/>
      <c r="J716" s="108"/>
    </row>
    <row r="717" spans="1:10" s="65" customFormat="1" ht="12.75">
      <c r="A717" s="106"/>
      <c r="B717" s="108"/>
      <c r="C717" s="108"/>
      <c r="D717" s="108"/>
      <c r="E717" s="108"/>
      <c r="F717" s="108"/>
      <c r="G717" s="109"/>
      <c r="H717" s="110"/>
      <c r="I717" s="108"/>
      <c r="J717" s="108"/>
    </row>
    <row r="718" spans="1:10" s="65" customFormat="1" ht="12.75">
      <c r="A718" s="106"/>
      <c r="B718" s="108"/>
      <c r="C718" s="108"/>
      <c r="D718" s="108"/>
      <c r="E718" s="108"/>
      <c r="F718" s="108"/>
      <c r="G718" s="109"/>
      <c r="H718" s="110"/>
      <c r="I718" s="108"/>
      <c r="J718" s="108"/>
    </row>
    <row r="719" spans="1:10" s="65" customFormat="1" ht="12.75">
      <c r="A719" s="106"/>
      <c r="B719" s="108"/>
      <c r="C719" s="108"/>
      <c r="D719" s="108"/>
      <c r="E719" s="108"/>
      <c r="F719" s="108"/>
      <c r="G719" s="109"/>
      <c r="H719" s="110"/>
      <c r="I719" s="108"/>
      <c r="J719" s="108"/>
    </row>
    <row r="720" spans="1:10" s="65" customFormat="1" ht="12.75">
      <c r="A720" s="106"/>
      <c r="B720" s="108"/>
      <c r="C720" s="108"/>
      <c r="D720" s="108"/>
      <c r="E720" s="108"/>
      <c r="F720" s="108"/>
      <c r="G720" s="109"/>
      <c r="H720" s="110"/>
      <c r="I720" s="108"/>
      <c r="J720" s="108"/>
    </row>
    <row r="721" spans="1:10" s="65" customFormat="1" ht="12.75">
      <c r="A721" s="106"/>
      <c r="B721" s="108"/>
      <c r="C721" s="108"/>
      <c r="D721" s="108"/>
      <c r="E721" s="108"/>
      <c r="F721" s="108"/>
      <c r="G721" s="109"/>
      <c r="H721" s="110"/>
      <c r="I721" s="108"/>
      <c r="J721" s="108"/>
    </row>
    <row r="722" spans="1:10" s="65" customFormat="1" ht="12.75">
      <c r="A722" s="106"/>
      <c r="B722" s="108"/>
      <c r="C722" s="108"/>
      <c r="D722" s="108"/>
      <c r="E722" s="108"/>
      <c r="F722" s="108"/>
      <c r="G722" s="109"/>
      <c r="H722" s="110"/>
      <c r="I722" s="108"/>
      <c r="J722" s="108"/>
    </row>
    <row r="723" spans="1:10" s="65" customFormat="1" ht="12.75">
      <c r="A723" s="106"/>
      <c r="B723" s="108"/>
      <c r="C723" s="108"/>
      <c r="D723" s="108"/>
      <c r="E723" s="108"/>
      <c r="F723" s="108"/>
      <c r="G723" s="109"/>
      <c r="H723" s="110"/>
      <c r="I723" s="108"/>
      <c r="J723" s="108"/>
    </row>
    <row r="724" spans="1:10" s="65" customFormat="1" ht="12.75">
      <c r="A724" s="106"/>
      <c r="B724" s="108"/>
      <c r="C724" s="108"/>
      <c r="D724" s="108"/>
      <c r="E724" s="108"/>
      <c r="F724" s="108"/>
      <c r="G724" s="109"/>
      <c r="H724" s="110"/>
      <c r="I724" s="108"/>
      <c r="J724" s="108"/>
    </row>
    <row r="725" spans="1:10" s="65" customFormat="1" ht="12.75">
      <c r="A725" s="106"/>
      <c r="B725" s="108"/>
      <c r="C725" s="108"/>
      <c r="D725" s="108"/>
      <c r="E725" s="108"/>
      <c r="F725" s="108"/>
      <c r="G725" s="109"/>
      <c r="H725" s="110"/>
      <c r="I725" s="108"/>
      <c r="J725" s="108"/>
    </row>
    <row r="726" spans="1:10" s="65" customFormat="1" ht="12.75">
      <c r="A726" s="106"/>
      <c r="B726" s="108"/>
      <c r="C726" s="108"/>
      <c r="D726" s="108"/>
      <c r="E726" s="108"/>
      <c r="F726" s="108"/>
      <c r="G726" s="109"/>
      <c r="H726" s="110"/>
      <c r="I726" s="108"/>
      <c r="J726" s="108"/>
    </row>
    <row r="727" spans="1:10" s="65" customFormat="1" ht="12.75">
      <c r="A727" s="106"/>
      <c r="B727" s="108"/>
      <c r="C727" s="108"/>
      <c r="D727" s="108"/>
      <c r="E727" s="108"/>
      <c r="F727" s="108"/>
      <c r="G727" s="109"/>
      <c r="H727" s="110"/>
      <c r="I727" s="108"/>
      <c r="J727" s="108"/>
    </row>
    <row r="728" spans="1:10" s="65" customFormat="1" ht="12.75">
      <c r="A728" s="106"/>
      <c r="B728" s="108"/>
      <c r="C728" s="108"/>
      <c r="D728" s="108"/>
      <c r="E728" s="108"/>
      <c r="F728" s="108"/>
      <c r="G728" s="109"/>
      <c r="H728" s="110"/>
      <c r="I728" s="108"/>
      <c r="J728" s="108"/>
    </row>
    <row r="729" spans="1:10" s="65" customFormat="1" ht="12.75">
      <c r="A729" s="106"/>
      <c r="B729" s="108"/>
      <c r="C729" s="108"/>
      <c r="D729" s="108"/>
      <c r="E729" s="108"/>
      <c r="F729" s="108"/>
      <c r="G729" s="109"/>
      <c r="H729" s="110"/>
      <c r="I729" s="108"/>
      <c r="J729" s="108"/>
    </row>
    <row r="730" spans="1:10" s="65" customFormat="1" ht="12.75">
      <c r="A730" s="106"/>
      <c r="B730" s="108"/>
      <c r="C730" s="108"/>
      <c r="D730" s="108"/>
      <c r="E730" s="108"/>
      <c r="F730" s="108"/>
      <c r="G730" s="109"/>
      <c r="H730" s="110"/>
      <c r="I730" s="108"/>
      <c r="J730" s="108"/>
    </row>
    <row r="731" spans="1:10" s="65" customFormat="1" ht="12.75">
      <c r="A731" s="106"/>
      <c r="B731" s="108"/>
      <c r="C731" s="108"/>
      <c r="D731" s="108"/>
      <c r="E731" s="108"/>
      <c r="F731" s="108"/>
      <c r="G731" s="109"/>
      <c r="H731" s="110"/>
      <c r="I731" s="108"/>
      <c r="J731" s="108"/>
    </row>
    <row r="732" spans="1:10" s="65" customFormat="1" ht="12.75">
      <c r="A732" s="106"/>
      <c r="B732" s="108"/>
      <c r="C732" s="108"/>
      <c r="D732" s="108"/>
      <c r="E732" s="108"/>
      <c r="F732" s="108"/>
      <c r="G732" s="109"/>
      <c r="H732" s="110"/>
      <c r="I732" s="108"/>
      <c r="J732" s="108"/>
    </row>
    <row r="733" spans="1:10" s="65" customFormat="1" ht="12.75">
      <c r="A733" s="106"/>
      <c r="B733" s="108"/>
      <c r="C733" s="108"/>
      <c r="D733" s="108"/>
      <c r="E733" s="108"/>
      <c r="F733" s="108"/>
      <c r="G733" s="109"/>
      <c r="H733" s="110"/>
      <c r="I733" s="108"/>
      <c r="J733" s="108"/>
    </row>
    <row r="734" spans="1:10" s="65" customFormat="1" ht="12.75">
      <c r="A734" s="106"/>
      <c r="B734" s="108"/>
      <c r="C734" s="108"/>
      <c r="D734" s="108"/>
      <c r="E734" s="108"/>
      <c r="F734" s="108"/>
      <c r="G734" s="109"/>
      <c r="H734" s="110"/>
      <c r="I734" s="108"/>
      <c r="J734" s="108"/>
    </row>
    <row r="735" spans="1:10" s="65" customFormat="1" ht="12.75">
      <c r="A735" s="106"/>
      <c r="B735" s="108"/>
      <c r="C735" s="108"/>
      <c r="D735" s="108"/>
      <c r="E735" s="108"/>
      <c r="F735" s="108"/>
      <c r="G735" s="109"/>
      <c r="H735" s="110"/>
      <c r="I735" s="108"/>
      <c r="J735" s="108"/>
    </row>
    <row r="736" spans="1:10" s="65" customFormat="1" ht="12.75">
      <c r="A736" s="106"/>
      <c r="B736" s="108"/>
      <c r="C736" s="108"/>
      <c r="D736" s="108"/>
      <c r="E736" s="108"/>
      <c r="F736" s="108"/>
      <c r="G736" s="109"/>
      <c r="H736" s="110"/>
      <c r="I736" s="108"/>
      <c r="J736" s="108"/>
    </row>
    <row r="737" spans="1:10" s="65" customFormat="1" ht="12.75">
      <c r="A737" s="106"/>
      <c r="B737" s="108"/>
      <c r="C737" s="108"/>
      <c r="D737" s="108"/>
      <c r="E737" s="108"/>
      <c r="F737" s="108"/>
      <c r="G737" s="109"/>
      <c r="H737" s="110"/>
      <c r="I737" s="108"/>
      <c r="J737" s="108"/>
    </row>
    <row r="738" spans="1:10" s="65" customFormat="1" ht="12.75">
      <c r="A738" s="106"/>
      <c r="B738" s="108"/>
      <c r="C738" s="108"/>
      <c r="D738" s="108"/>
      <c r="E738" s="108"/>
      <c r="F738" s="108"/>
      <c r="G738" s="109"/>
      <c r="H738" s="110"/>
      <c r="I738" s="108"/>
      <c r="J738" s="108"/>
    </row>
    <row r="739" spans="1:10" s="65" customFormat="1" ht="12.75">
      <c r="A739" s="106"/>
      <c r="B739" s="108"/>
      <c r="C739" s="108"/>
      <c r="D739" s="108"/>
      <c r="E739" s="108"/>
      <c r="F739" s="108"/>
      <c r="G739" s="109"/>
      <c r="H739" s="110"/>
      <c r="I739" s="108"/>
      <c r="J739" s="108"/>
    </row>
    <row r="740" spans="1:10" s="65" customFormat="1" ht="12.75">
      <c r="A740" s="106"/>
      <c r="B740" s="108"/>
      <c r="C740" s="108"/>
      <c r="D740" s="108"/>
      <c r="E740" s="108"/>
      <c r="F740" s="108"/>
      <c r="G740" s="109"/>
      <c r="H740" s="110"/>
      <c r="I740" s="108"/>
      <c r="J740" s="108"/>
    </row>
    <row r="741" spans="1:10" s="65" customFormat="1" ht="12.75">
      <c r="A741" s="106"/>
      <c r="B741" s="108"/>
      <c r="C741" s="108"/>
      <c r="D741" s="108"/>
      <c r="E741" s="108"/>
      <c r="F741" s="108"/>
      <c r="G741" s="109"/>
      <c r="H741" s="110"/>
      <c r="I741" s="108"/>
      <c r="J741" s="108"/>
    </row>
    <row r="742" spans="1:10" s="65" customFormat="1" ht="12.75">
      <c r="A742" s="106"/>
      <c r="B742" s="108"/>
      <c r="C742" s="108"/>
      <c r="D742" s="108"/>
      <c r="E742" s="108"/>
      <c r="F742" s="108"/>
      <c r="G742" s="109"/>
      <c r="H742" s="110"/>
      <c r="I742" s="108"/>
      <c r="J742" s="108"/>
    </row>
    <row r="743" spans="1:10" s="65" customFormat="1" ht="12.75">
      <c r="A743" s="106"/>
      <c r="B743" s="108"/>
      <c r="C743" s="108"/>
      <c r="D743" s="108"/>
      <c r="E743" s="108"/>
      <c r="F743" s="108"/>
      <c r="G743" s="109"/>
      <c r="H743" s="110"/>
      <c r="I743" s="108"/>
      <c r="J743" s="108"/>
    </row>
    <row r="744" spans="1:10" s="65" customFormat="1" ht="12.75">
      <c r="A744" s="106"/>
      <c r="B744" s="108"/>
      <c r="C744" s="108"/>
      <c r="D744" s="108"/>
      <c r="E744" s="108"/>
      <c r="F744" s="108"/>
      <c r="G744" s="109"/>
      <c r="H744" s="110"/>
      <c r="I744" s="108"/>
      <c r="J744" s="108"/>
    </row>
    <row r="745" spans="1:10" s="65" customFormat="1" ht="12.75">
      <c r="A745" s="106"/>
      <c r="B745" s="108"/>
      <c r="C745" s="108"/>
      <c r="D745" s="108"/>
      <c r="E745" s="108"/>
      <c r="F745" s="108"/>
      <c r="G745" s="109"/>
      <c r="H745" s="110"/>
      <c r="I745" s="108"/>
      <c r="J745" s="108"/>
    </row>
    <row r="746" spans="1:10" s="65" customFormat="1" ht="12.75">
      <c r="A746" s="106"/>
      <c r="B746" s="108"/>
      <c r="C746" s="108"/>
      <c r="D746" s="108"/>
      <c r="E746" s="108"/>
      <c r="F746" s="108"/>
      <c r="G746" s="109"/>
      <c r="H746" s="110"/>
      <c r="I746" s="108"/>
      <c r="J746" s="108"/>
    </row>
    <row r="747" spans="1:10" s="65" customFormat="1" ht="12.75">
      <c r="A747" s="106"/>
      <c r="B747" s="108"/>
      <c r="C747" s="108"/>
      <c r="D747" s="108"/>
      <c r="E747" s="108"/>
      <c r="F747" s="108"/>
      <c r="G747" s="109"/>
      <c r="H747" s="110"/>
      <c r="I747" s="108"/>
      <c r="J747" s="108"/>
    </row>
    <row r="748" spans="1:10" s="65" customFormat="1" ht="12.75">
      <c r="A748" s="106"/>
      <c r="B748" s="108"/>
      <c r="C748" s="108"/>
      <c r="D748" s="108"/>
      <c r="E748" s="108"/>
      <c r="F748" s="108"/>
      <c r="G748" s="109"/>
      <c r="H748" s="110"/>
      <c r="I748" s="108"/>
      <c r="J748" s="108"/>
    </row>
    <row r="749" spans="1:10" s="65" customFormat="1" ht="12.75">
      <c r="A749" s="106"/>
      <c r="B749" s="108"/>
      <c r="C749" s="108"/>
      <c r="D749" s="108"/>
      <c r="E749" s="108"/>
      <c r="F749" s="108"/>
      <c r="G749" s="109"/>
      <c r="H749" s="110"/>
      <c r="I749" s="108"/>
      <c r="J749" s="108"/>
    </row>
    <row r="750" spans="1:10" s="65" customFormat="1" ht="12.75">
      <c r="A750" s="106"/>
      <c r="B750" s="108"/>
      <c r="C750" s="108"/>
      <c r="D750" s="108"/>
      <c r="E750" s="108"/>
      <c r="F750" s="108"/>
      <c r="G750" s="109"/>
      <c r="H750" s="110"/>
      <c r="I750" s="108"/>
      <c r="J750" s="108"/>
    </row>
    <row r="751" spans="1:10" s="65" customFormat="1" ht="12.75">
      <c r="A751" s="106"/>
      <c r="B751" s="108"/>
      <c r="C751" s="108"/>
      <c r="D751" s="108"/>
      <c r="E751" s="108"/>
      <c r="F751" s="108"/>
      <c r="G751" s="109"/>
      <c r="H751" s="110"/>
      <c r="I751" s="108"/>
      <c r="J751" s="108"/>
    </row>
    <row r="752" spans="1:10" s="65" customFormat="1" ht="12.75">
      <c r="A752" s="106"/>
      <c r="B752" s="108"/>
      <c r="C752" s="108"/>
      <c r="D752" s="108"/>
      <c r="E752" s="108"/>
      <c r="F752" s="108"/>
      <c r="G752" s="109"/>
      <c r="H752" s="110"/>
      <c r="I752" s="108"/>
      <c r="J752" s="108"/>
    </row>
    <row r="753" spans="1:10" s="65" customFormat="1" ht="12.75">
      <c r="A753" s="106"/>
      <c r="B753" s="108"/>
      <c r="C753" s="108"/>
      <c r="D753" s="108"/>
      <c r="E753" s="108"/>
      <c r="F753" s="108"/>
      <c r="G753" s="109"/>
      <c r="H753" s="110"/>
      <c r="I753" s="108"/>
      <c r="J753" s="108"/>
    </row>
    <row r="754" spans="1:10" s="65" customFormat="1" ht="12.75">
      <c r="A754" s="106"/>
      <c r="B754" s="108"/>
      <c r="C754" s="108"/>
      <c r="D754" s="108"/>
      <c r="E754" s="108"/>
      <c r="F754" s="108"/>
      <c r="G754" s="109"/>
      <c r="H754" s="110"/>
      <c r="I754" s="108"/>
      <c r="J754" s="108"/>
    </row>
    <row r="755" spans="1:10" s="65" customFormat="1" ht="12.75">
      <c r="A755" s="106"/>
      <c r="B755" s="108"/>
      <c r="C755" s="108"/>
      <c r="D755" s="108"/>
      <c r="E755" s="108"/>
      <c r="F755" s="108"/>
      <c r="G755" s="109"/>
      <c r="H755" s="110"/>
      <c r="I755" s="108"/>
      <c r="J755" s="108"/>
    </row>
    <row r="756" spans="1:10" s="65" customFormat="1" ht="12.75">
      <c r="A756" s="106"/>
      <c r="B756" s="108"/>
      <c r="C756" s="108"/>
      <c r="D756" s="108"/>
      <c r="E756" s="108"/>
      <c r="F756" s="108"/>
      <c r="G756" s="109"/>
      <c r="H756" s="110"/>
      <c r="I756" s="108"/>
      <c r="J756" s="108"/>
    </row>
    <row r="757" spans="1:10" s="65" customFormat="1" ht="12.75">
      <c r="A757" s="106"/>
      <c r="B757" s="108"/>
      <c r="C757" s="108"/>
      <c r="D757" s="108"/>
      <c r="E757" s="108"/>
      <c r="F757" s="108"/>
      <c r="G757" s="109"/>
      <c r="H757" s="110"/>
      <c r="I757" s="108"/>
      <c r="J757" s="108"/>
    </row>
    <row r="758" spans="1:10" s="65" customFormat="1" ht="12.75">
      <c r="A758" s="106"/>
      <c r="B758" s="108"/>
      <c r="C758" s="108"/>
      <c r="D758" s="108"/>
      <c r="E758" s="108"/>
      <c r="F758" s="108"/>
      <c r="G758" s="109"/>
      <c r="H758" s="110"/>
      <c r="I758" s="108"/>
      <c r="J758" s="108"/>
    </row>
    <row r="759" spans="1:10" s="65" customFormat="1" ht="12.75">
      <c r="A759" s="106"/>
      <c r="B759" s="108"/>
      <c r="C759" s="108"/>
      <c r="D759" s="108"/>
      <c r="E759" s="108"/>
      <c r="F759" s="108"/>
      <c r="G759" s="109"/>
      <c r="H759" s="110"/>
      <c r="I759" s="108"/>
      <c r="J759" s="108"/>
    </row>
    <row r="760" spans="1:10" s="65" customFormat="1" ht="12.75">
      <c r="A760" s="106"/>
      <c r="B760" s="108"/>
      <c r="C760" s="108"/>
      <c r="D760" s="108"/>
      <c r="E760" s="108"/>
      <c r="F760" s="108"/>
      <c r="G760" s="109"/>
      <c r="H760" s="110"/>
      <c r="I760" s="108"/>
      <c r="J760" s="108"/>
    </row>
    <row r="761" spans="1:10" s="65" customFormat="1" ht="12.75">
      <c r="A761" s="106"/>
      <c r="B761" s="108"/>
      <c r="C761" s="108"/>
      <c r="D761" s="108"/>
      <c r="E761" s="108"/>
      <c r="F761" s="108"/>
      <c r="G761" s="109"/>
      <c r="H761" s="110"/>
      <c r="I761" s="108"/>
      <c r="J761" s="108"/>
    </row>
    <row r="762" spans="1:10" s="65" customFormat="1" ht="12.75">
      <c r="A762" s="106"/>
      <c r="B762" s="108"/>
      <c r="C762" s="108"/>
      <c r="D762" s="108"/>
      <c r="E762" s="108"/>
      <c r="F762" s="108"/>
      <c r="G762" s="109"/>
      <c r="H762" s="110"/>
      <c r="I762" s="108"/>
      <c r="J762" s="108"/>
    </row>
    <row r="763" spans="1:10" s="65" customFormat="1" ht="12.75">
      <c r="A763" s="106"/>
      <c r="B763" s="108"/>
      <c r="C763" s="108"/>
      <c r="D763" s="108"/>
      <c r="E763" s="108"/>
      <c r="F763" s="108"/>
      <c r="G763" s="109"/>
      <c r="H763" s="110"/>
      <c r="I763" s="108"/>
      <c r="J763" s="108"/>
    </row>
    <row r="764" spans="1:10" s="65" customFormat="1" ht="12.75">
      <c r="A764" s="106"/>
      <c r="B764" s="108"/>
      <c r="C764" s="108"/>
      <c r="D764" s="108"/>
      <c r="E764" s="108"/>
      <c r="F764" s="108"/>
      <c r="G764" s="109"/>
      <c r="H764" s="110"/>
      <c r="I764" s="108"/>
      <c r="J764" s="108"/>
    </row>
    <row r="765" spans="1:10" s="65" customFormat="1" ht="12.75">
      <c r="A765" s="106"/>
      <c r="B765" s="108"/>
      <c r="C765" s="108"/>
      <c r="D765" s="108"/>
      <c r="E765" s="108"/>
      <c r="F765" s="108"/>
      <c r="G765" s="109"/>
      <c r="H765" s="110"/>
      <c r="I765" s="108"/>
      <c r="J765" s="108"/>
    </row>
    <row r="766" spans="1:10" s="65" customFormat="1" ht="12.75">
      <c r="A766" s="106"/>
      <c r="B766" s="108"/>
      <c r="C766" s="108"/>
      <c r="D766" s="108"/>
      <c r="E766" s="108"/>
      <c r="F766" s="108"/>
      <c r="G766" s="109"/>
      <c r="H766" s="110"/>
      <c r="I766" s="108"/>
      <c r="J766" s="108"/>
    </row>
    <row r="767" spans="1:10" s="65" customFormat="1" ht="12.75">
      <c r="A767" s="106"/>
      <c r="B767" s="108"/>
      <c r="C767" s="108"/>
      <c r="D767" s="108"/>
      <c r="E767" s="108"/>
      <c r="F767" s="108"/>
      <c r="G767" s="109"/>
      <c r="H767" s="110"/>
      <c r="I767" s="108"/>
      <c r="J767" s="108"/>
    </row>
    <row r="768" spans="1:10" s="65" customFormat="1" ht="12.75">
      <c r="A768" s="106"/>
      <c r="B768" s="108"/>
      <c r="C768" s="108"/>
      <c r="D768" s="108"/>
      <c r="E768" s="108"/>
      <c r="F768" s="108"/>
      <c r="G768" s="109"/>
      <c r="H768" s="110"/>
      <c r="I768" s="108"/>
      <c r="J768" s="108"/>
    </row>
    <row r="769" spans="1:10" s="65" customFormat="1" ht="12.75">
      <c r="A769" s="106"/>
      <c r="B769" s="108"/>
      <c r="C769" s="108"/>
      <c r="D769" s="108"/>
      <c r="E769" s="108"/>
      <c r="F769" s="108"/>
      <c r="G769" s="109"/>
      <c r="H769" s="110"/>
      <c r="I769" s="108"/>
      <c r="J769" s="108"/>
    </row>
    <row r="770" spans="1:10" s="65" customFormat="1" ht="12.75">
      <c r="A770" s="106"/>
      <c r="B770" s="108"/>
      <c r="C770" s="108"/>
      <c r="D770" s="108"/>
      <c r="E770" s="108"/>
      <c r="F770" s="108"/>
      <c r="G770" s="109"/>
      <c r="H770" s="110"/>
      <c r="I770" s="108"/>
      <c r="J770" s="108"/>
    </row>
    <row r="771" spans="1:10" s="65" customFormat="1" ht="12.75">
      <c r="A771" s="106"/>
      <c r="B771" s="108"/>
      <c r="C771" s="108"/>
      <c r="D771" s="108"/>
      <c r="E771" s="108"/>
      <c r="F771" s="108"/>
      <c r="G771" s="109"/>
      <c r="H771" s="110"/>
      <c r="I771" s="108"/>
      <c r="J771" s="108"/>
    </row>
    <row r="772" spans="1:10" s="65" customFormat="1" ht="12.75">
      <c r="A772" s="106"/>
      <c r="B772" s="108"/>
      <c r="C772" s="108"/>
      <c r="D772" s="108"/>
      <c r="E772" s="108"/>
      <c r="F772" s="108"/>
      <c r="G772" s="109"/>
      <c r="H772" s="110"/>
      <c r="I772" s="108"/>
      <c r="J772" s="108"/>
    </row>
    <row r="773" spans="1:10" s="65" customFormat="1" ht="12.75">
      <c r="A773" s="106"/>
      <c r="B773" s="108"/>
      <c r="C773" s="108"/>
      <c r="D773" s="108"/>
      <c r="E773" s="108"/>
      <c r="F773" s="108"/>
      <c r="G773" s="109"/>
      <c r="H773" s="110"/>
      <c r="I773" s="108"/>
      <c r="J773" s="108"/>
    </row>
    <row r="774" spans="1:10" s="65" customFormat="1" ht="12.75">
      <c r="A774" s="106"/>
      <c r="B774" s="108"/>
      <c r="C774" s="108"/>
      <c r="D774" s="108"/>
      <c r="E774" s="108"/>
      <c r="F774" s="108"/>
      <c r="G774" s="109"/>
      <c r="H774" s="110"/>
      <c r="I774" s="108"/>
      <c r="J774" s="108"/>
    </row>
    <row r="775" spans="1:10" s="65" customFormat="1" ht="12.75">
      <c r="A775" s="106"/>
      <c r="B775" s="108"/>
      <c r="C775" s="108"/>
      <c r="D775" s="108"/>
      <c r="E775" s="108"/>
      <c r="F775" s="108"/>
      <c r="G775" s="109"/>
      <c r="H775" s="110"/>
      <c r="I775" s="108"/>
      <c r="J775" s="108"/>
    </row>
    <row r="776" spans="1:10" s="65" customFormat="1" ht="12.75">
      <c r="A776" s="106"/>
      <c r="B776" s="108"/>
      <c r="C776" s="108"/>
      <c r="D776" s="108"/>
      <c r="E776" s="108"/>
      <c r="F776" s="108"/>
      <c r="G776" s="109"/>
      <c r="H776" s="110"/>
      <c r="I776" s="108"/>
      <c r="J776" s="108"/>
    </row>
    <row r="777" spans="1:10" s="65" customFormat="1" ht="12.75">
      <c r="A777" s="106"/>
      <c r="B777" s="108"/>
      <c r="C777" s="108"/>
      <c r="D777" s="108"/>
      <c r="E777" s="108"/>
      <c r="F777" s="108"/>
      <c r="G777" s="109"/>
      <c r="H777" s="110"/>
      <c r="I777" s="108"/>
      <c r="J777" s="108"/>
    </row>
    <row r="778" spans="1:10" s="65" customFormat="1" ht="12.75">
      <c r="A778" s="106"/>
      <c r="B778" s="108"/>
      <c r="C778" s="108"/>
      <c r="D778" s="108"/>
      <c r="E778" s="108"/>
      <c r="F778" s="108"/>
      <c r="G778" s="109"/>
      <c r="H778" s="110"/>
      <c r="I778" s="108"/>
      <c r="J778" s="108"/>
    </row>
    <row r="779" spans="1:10" s="65" customFormat="1" ht="12.75">
      <c r="A779" s="106"/>
      <c r="B779" s="108"/>
      <c r="C779" s="108"/>
      <c r="D779" s="108"/>
      <c r="E779" s="108"/>
      <c r="F779" s="108"/>
      <c r="G779" s="109"/>
      <c r="H779" s="110"/>
      <c r="I779" s="108"/>
      <c r="J779" s="108"/>
    </row>
    <row r="780" spans="1:10" s="65" customFormat="1" ht="12.75">
      <c r="A780" s="106"/>
      <c r="B780" s="108"/>
      <c r="C780" s="108"/>
      <c r="D780" s="108"/>
      <c r="E780" s="108"/>
      <c r="F780" s="108"/>
      <c r="G780" s="109"/>
      <c r="H780" s="110"/>
      <c r="I780" s="108"/>
      <c r="J780" s="108"/>
    </row>
    <row r="781" spans="1:10" s="65" customFormat="1" ht="12.75">
      <c r="A781" s="106"/>
      <c r="B781" s="108"/>
      <c r="C781" s="108"/>
      <c r="D781" s="108"/>
      <c r="E781" s="108"/>
      <c r="F781" s="108"/>
      <c r="G781" s="109"/>
      <c r="H781" s="110"/>
      <c r="I781" s="108"/>
      <c r="J781" s="108"/>
    </row>
    <row r="782" spans="1:10" s="65" customFormat="1" ht="12.75">
      <c r="A782" s="106"/>
      <c r="B782" s="108"/>
      <c r="C782" s="108"/>
      <c r="D782" s="108"/>
      <c r="E782" s="108"/>
      <c r="F782" s="108"/>
      <c r="G782" s="109"/>
      <c r="H782" s="110"/>
      <c r="I782" s="108"/>
      <c r="J782" s="108"/>
    </row>
    <row r="783" spans="1:10" s="65" customFormat="1" ht="12.75">
      <c r="A783" s="106"/>
      <c r="B783" s="108"/>
      <c r="C783" s="108"/>
      <c r="D783" s="108"/>
      <c r="E783" s="108"/>
      <c r="F783" s="108"/>
      <c r="G783" s="109"/>
      <c r="H783" s="110"/>
      <c r="I783" s="108"/>
      <c r="J783" s="108"/>
    </row>
    <row r="784" spans="1:10" s="65" customFormat="1" ht="12.75">
      <c r="A784" s="106"/>
      <c r="B784" s="108"/>
      <c r="C784" s="108"/>
      <c r="D784" s="108"/>
      <c r="E784" s="108"/>
      <c r="F784" s="108"/>
      <c r="G784" s="109"/>
      <c r="H784" s="110"/>
      <c r="I784" s="108"/>
      <c r="J784" s="108"/>
    </row>
    <row r="785" spans="1:14" s="65" customFormat="1" ht="12.75">
      <c r="A785" s="106"/>
      <c r="B785" s="108"/>
      <c r="C785" s="108"/>
      <c r="D785" s="108"/>
      <c r="E785" s="108"/>
      <c r="F785" s="108"/>
      <c r="G785" s="109"/>
      <c r="H785" s="110"/>
      <c r="I785" s="108"/>
      <c r="J785" s="108"/>
    </row>
    <row r="786" spans="1:14" s="65" customFormat="1" ht="12.75">
      <c r="A786" s="106"/>
      <c r="B786" s="108"/>
      <c r="C786" s="108"/>
      <c r="D786" s="108"/>
      <c r="E786" s="108"/>
      <c r="F786" s="108"/>
      <c r="G786" s="109"/>
      <c r="H786" s="110"/>
      <c r="I786" s="108"/>
      <c r="J786" s="108"/>
    </row>
    <row r="787" spans="1:14" s="65" customFormat="1" ht="12.75">
      <c r="A787" s="106"/>
      <c r="B787" s="108"/>
      <c r="C787" s="108"/>
      <c r="D787" s="108"/>
      <c r="E787" s="108"/>
      <c r="F787" s="108"/>
      <c r="G787" s="109"/>
      <c r="H787" s="110"/>
      <c r="I787" s="108"/>
      <c r="J787" s="108"/>
    </row>
    <row r="788" spans="1:14" s="65" customFormat="1" ht="12.75">
      <c r="A788" s="106"/>
      <c r="B788" s="108"/>
      <c r="C788" s="108"/>
      <c r="D788" s="108"/>
      <c r="E788" s="108"/>
      <c r="F788" s="108"/>
      <c r="G788" s="109"/>
      <c r="H788" s="110"/>
      <c r="I788" s="108"/>
      <c r="J788" s="108"/>
    </row>
    <row r="789" spans="1:14" s="65" customFormat="1" ht="12.75">
      <c r="A789" s="106"/>
      <c r="B789" s="108"/>
      <c r="C789" s="108"/>
      <c r="D789" s="108"/>
      <c r="E789" s="108"/>
      <c r="F789" s="108"/>
      <c r="G789" s="109"/>
      <c r="H789" s="110"/>
      <c r="I789" s="108"/>
      <c r="J789" s="108"/>
    </row>
    <row r="790" spans="1:14" s="65" customFormat="1" ht="12.75">
      <c r="A790" s="106"/>
      <c r="B790" s="108"/>
      <c r="C790" s="108"/>
      <c r="D790" s="108"/>
      <c r="E790" s="108"/>
      <c r="F790" s="108"/>
      <c r="G790" s="109"/>
      <c r="H790" s="110"/>
      <c r="I790" s="108"/>
      <c r="J790" s="108"/>
    </row>
    <row r="791" spans="1:14" s="65" customFormat="1" ht="12.75">
      <c r="A791" s="106"/>
      <c r="B791" s="108"/>
      <c r="C791" s="108"/>
      <c r="D791" s="108"/>
      <c r="E791" s="108"/>
      <c r="F791" s="108"/>
      <c r="G791" s="109"/>
      <c r="H791" s="110"/>
      <c r="I791" s="108"/>
      <c r="J791" s="108"/>
    </row>
    <row r="792" spans="1:14">
      <c r="A792" s="106"/>
      <c r="B792" s="108"/>
      <c r="C792" s="108"/>
      <c r="D792" s="108"/>
      <c r="E792" s="108"/>
      <c r="F792" s="108"/>
      <c r="G792" s="109"/>
      <c r="H792" s="110"/>
      <c r="K792" s="65"/>
      <c r="L792" s="65"/>
      <c r="N792" s="65"/>
    </row>
    <row r="793" spans="1:14">
      <c r="A793" s="106"/>
      <c r="B793" s="108"/>
      <c r="C793" s="108"/>
      <c r="D793" s="108"/>
      <c r="E793" s="108"/>
      <c r="F793" s="108"/>
      <c r="G793" s="109"/>
      <c r="H793" s="110"/>
      <c r="K793" s="65"/>
      <c r="L793" s="65"/>
      <c r="N793" s="65"/>
    </row>
    <row r="794" spans="1:14">
      <c r="A794" s="106"/>
      <c r="B794" s="108"/>
      <c r="C794" s="108"/>
      <c r="D794" s="108"/>
      <c r="E794" s="108"/>
      <c r="F794" s="108"/>
      <c r="G794" s="109"/>
      <c r="H794" s="110"/>
      <c r="K794" s="65"/>
      <c r="L794" s="65"/>
      <c r="N794" s="65"/>
    </row>
    <row r="795" spans="1:14">
      <c r="A795" s="106"/>
      <c r="B795" s="108"/>
      <c r="C795" s="108"/>
      <c r="D795" s="108"/>
      <c r="E795" s="108"/>
      <c r="F795" s="108"/>
      <c r="G795" s="109"/>
      <c r="H795" s="110"/>
      <c r="K795" s="65"/>
      <c r="L795" s="65"/>
      <c r="N795" s="65"/>
    </row>
    <row r="796" spans="1:14">
      <c r="A796" s="106"/>
      <c r="B796" s="108"/>
      <c r="C796" s="108"/>
      <c r="D796" s="108"/>
      <c r="E796" s="108"/>
      <c r="F796" s="108"/>
      <c r="G796" s="109"/>
      <c r="H796" s="110"/>
      <c r="K796" s="65"/>
      <c r="L796" s="65"/>
      <c r="N796" s="65"/>
    </row>
    <row r="797" spans="1:14">
      <c r="A797" s="106"/>
      <c r="B797" s="108"/>
      <c r="C797" s="108"/>
      <c r="D797" s="108"/>
      <c r="E797" s="108"/>
      <c r="F797" s="108"/>
      <c r="G797" s="109"/>
      <c r="H797" s="110"/>
      <c r="K797" s="65"/>
      <c r="L797" s="65"/>
      <c r="N797" s="65"/>
    </row>
    <row r="798" spans="1:14">
      <c r="A798" s="106"/>
      <c r="B798" s="108"/>
      <c r="C798" s="108"/>
      <c r="D798" s="108"/>
      <c r="E798" s="108"/>
      <c r="F798" s="108"/>
      <c r="G798" s="109"/>
      <c r="H798" s="110"/>
      <c r="K798" s="65"/>
      <c r="L798" s="65"/>
      <c r="N798" s="65"/>
    </row>
    <row r="799" spans="1:14">
      <c r="A799" s="106"/>
      <c r="B799" s="108"/>
      <c r="C799" s="108"/>
      <c r="D799" s="108"/>
      <c r="E799" s="108"/>
      <c r="F799" s="108"/>
      <c r="G799" s="109"/>
      <c r="H799" s="110"/>
      <c r="K799" s="65"/>
      <c r="L799" s="65"/>
      <c r="N799" s="65"/>
    </row>
    <row r="800" spans="1:14">
      <c r="A800" s="106"/>
      <c r="B800" s="108"/>
      <c r="C800" s="108"/>
      <c r="D800" s="108"/>
      <c r="E800" s="108"/>
      <c r="F800" s="108"/>
      <c r="G800" s="109"/>
      <c r="H800" s="110"/>
      <c r="K800" s="65"/>
      <c r="L800" s="65"/>
      <c r="N800" s="65"/>
    </row>
    <row r="801" spans="1:14">
      <c r="A801" s="106"/>
      <c r="B801" s="108"/>
      <c r="C801" s="108"/>
      <c r="D801" s="108"/>
      <c r="E801" s="108"/>
      <c r="F801" s="108"/>
      <c r="G801" s="109"/>
      <c r="H801" s="110"/>
      <c r="K801" s="65"/>
      <c r="L801" s="65"/>
      <c r="N801" s="65"/>
    </row>
    <row r="802" spans="1:14">
      <c r="A802" s="106"/>
      <c r="B802" s="108"/>
      <c r="C802" s="108"/>
      <c r="D802" s="108"/>
      <c r="E802" s="108"/>
      <c r="F802" s="108"/>
      <c r="G802" s="109"/>
      <c r="H802" s="110"/>
      <c r="K802" s="65"/>
      <c r="L802" s="65"/>
      <c r="N802" s="65"/>
    </row>
    <row r="803" spans="1:14">
      <c r="A803" s="106"/>
      <c r="B803" s="108"/>
      <c r="C803" s="108"/>
      <c r="D803" s="108"/>
      <c r="E803" s="108"/>
      <c r="F803" s="108"/>
      <c r="G803" s="109"/>
      <c r="H803" s="110"/>
      <c r="K803" s="65"/>
      <c r="L803" s="65"/>
      <c r="N803" s="65"/>
    </row>
    <row r="804" spans="1:14">
      <c r="A804" s="106"/>
      <c r="B804" s="108"/>
      <c r="C804" s="108"/>
      <c r="D804" s="108"/>
      <c r="E804" s="108"/>
      <c r="F804" s="108"/>
      <c r="G804" s="109"/>
      <c r="H804" s="110"/>
      <c r="K804" s="65"/>
      <c r="L804" s="65"/>
      <c r="N804" s="65"/>
    </row>
    <row r="805" spans="1:14">
      <c r="A805" s="106"/>
      <c r="B805" s="108"/>
      <c r="C805" s="108"/>
      <c r="D805" s="108"/>
      <c r="E805" s="108"/>
      <c r="F805" s="108"/>
      <c r="G805" s="109"/>
      <c r="H805" s="110"/>
      <c r="K805" s="65"/>
      <c r="L805" s="65"/>
      <c r="N805" s="65"/>
    </row>
    <row r="806" spans="1:14">
      <c r="A806" s="106"/>
      <c r="B806" s="108"/>
      <c r="C806" s="108"/>
      <c r="D806" s="108"/>
      <c r="E806" s="108"/>
      <c r="F806" s="108"/>
      <c r="G806" s="109"/>
      <c r="H806" s="110"/>
      <c r="K806" s="65"/>
      <c r="L806" s="65"/>
      <c r="N806" s="65"/>
    </row>
    <row r="807" spans="1:14">
      <c r="A807" s="106"/>
      <c r="B807" s="108"/>
      <c r="C807" s="108"/>
      <c r="D807" s="108"/>
      <c r="E807" s="108"/>
      <c r="F807" s="108"/>
      <c r="G807" s="109"/>
      <c r="H807" s="110"/>
      <c r="K807" s="65"/>
      <c r="L807" s="65"/>
      <c r="N807" s="65"/>
    </row>
    <row r="808" spans="1:14">
      <c r="A808" s="106"/>
      <c r="B808" s="108"/>
      <c r="C808" s="108"/>
      <c r="D808" s="108"/>
      <c r="E808" s="108"/>
      <c r="F808" s="108"/>
      <c r="G808" s="109"/>
      <c r="H808" s="110"/>
      <c r="K808" s="65"/>
      <c r="L808" s="65"/>
      <c r="N808" s="65"/>
    </row>
    <row r="809" spans="1:14">
      <c r="A809" s="106"/>
      <c r="B809" s="108"/>
      <c r="C809" s="108"/>
      <c r="D809" s="108"/>
      <c r="E809" s="108"/>
      <c r="F809" s="108"/>
      <c r="G809" s="109"/>
      <c r="H809" s="110"/>
      <c r="K809" s="65"/>
      <c r="L809" s="65"/>
      <c r="N809" s="65"/>
    </row>
    <row r="810" spans="1:14">
      <c r="A810" s="106"/>
      <c r="B810" s="108"/>
      <c r="C810" s="108"/>
      <c r="D810" s="108"/>
      <c r="E810" s="108"/>
      <c r="F810" s="108"/>
      <c r="G810" s="109"/>
      <c r="H810" s="110"/>
      <c r="K810" s="65"/>
      <c r="L810" s="65"/>
      <c r="N810" s="65"/>
    </row>
    <row r="811" spans="1:14">
      <c r="A811" s="106"/>
      <c r="B811" s="108"/>
      <c r="C811" s="108"/>
      <c r="D811" s="108"/>
      <c r="E811" s="108"/>
      <c r="F811" s="108"/>
      <c r="G811" s="109"/>
      <c r="H811" s="110"/>
      <c r="K811" s="65"/>
      <c r="L811" s="65"/>
      <c r="N811" s="65"/>
    </row>
    <row r="812" spans="1:14">
      <c r="A812" s="106"/>
      <c r="B812" s="108"/>
      <c r="C812" s="108"/>
      <c r="D812" s="108"/>
      <c r="E812" s="108"/>
      <c r="F812" s="108"/>
      <c r="G812" s="109"/>
      <c r="H812" s="110"/>
      <c r="K812" s="65"/>
      <c r="L812" s="65"/>
      <c r="N812" s="65"/>
    </row>
    <row r="813" spans="1:14">
      <c r="A813" s="106"/>
      <c r="B813" s="108"/>
      <c r="C813" s="108"/>
      <c r="D813" s="108"/>
      <c r="E813" s="108"/>
      <c r="F813" s="108"/>
      <c r="G813" s="109"/>
      <c r="H813" s="110"/>
      <c r="K813" s="65"/>
      <c r="L813" s="65"/>
      <c r="N813" s="65"/>
    </row>
    <row r="814" spans="1:14">
      <c r="A814" s="106"/>
      <c r="B814" s="108"/>
      <c r="C814" s="108"/>
      <c r="D814" s="108"/>
      <c r="E814" s="108"/>
      <c r="F814" s="108"/>
      <c r="G814" s="109"/>
      <c r="H814" s="110"/>
      <c r="K814" s="65"/>
      <c r="L814" s="65"/>
      <c r="N814" s="65"/>
    </row>
    <row r="815" spans="1:14">
      <c r="A815" s="106"/>
      <c r="B815" s="108"/>
      <c r="C815" s="108"/>
      <c r="D815" s="108"/>
      <c r="E815" s="108"/>
      <c r="F815" s="108"/>
      <c r="G815" s="109"/>
      <c r="H815" s="110"/>
      <c r="K815" s="65"/>
      <c r="L815" s="65"/>
      <c r="N815" s="65"/>
    </row>
    <row r="816" spans="1:14">
      <c r="A816" s="106"/>
      <c r="B816" s="108"/>
      <c r="C816" s="108"/>
      <c r="D816" s="108"/>
      <c r="E816" s="108"/>
      <c r="F816" s="108"/>
      <c r="G816" s="109"/>
      <c r="H816" s="110"/>
      <c r="K816" s="65"/>
      <c r="L816" s="65"/>
      <c r="N816" s="65"/>
    </row>
    <row r="817" spans="1:14">
      <c r="A817" s="106"/>
      <c r="B817" s="108"/>
      <c r="C817" s="108"/>
      <c r="D817" s="108"/>
      <c r="E817" s="108"/>
      <c r="F817" s="108"/>
      <c r="G817" s="109"/>
      <c r="H817" s="110"/>
      <c r="K817" s="65"/>
      <c r="L817" s="65"/>
      <c r="N817" s="65"/>
    </row>
    <row r="818" spans="1:14">
      <c r="A818" s="106"/>
      <c r="B818" s="108"/>
      <c r="C818" s="108"/>
      <c r="D818" s="108"/>
      <c r="E818" s="108"/>
      <c r="F818" s="108"/>
      <c r="G818" s="109"/>
      <c r="H818" s="110"/>
      <c r="K818" s="65"/>
      <c r="L818" s="65"/>
      <c r="N818" s="65"/>
    </row>
    <row r="819" spans="1:14">
      <c r="A819" s="106"/>
      <c r="B819" s="108"/>
      <c r="C819" s="108"/>
      <c r="D819" s="108"/>
      <c r="E819" s="108"/>
      <c r="F819" s="108"/>
      <c r="G819" s="109"/>
      <c r="H819" s="110"/>
      <c r="K819" s="65"/>
      <c r="L819" s="65"/>
      <c r="N819" s="65"/>
    </row>
    <row r="820" spans="1:14">
      <c r="A820" s="106"/>
      <c r="B820" s="108"/>
      <c r="C820" s="108"/>
      <c r="D820" s="108"/>
      <c r="E820" s="108"/>
      <c r="F820" s="108"/>
      <c r="G820" s="109"/>
      <c r="H820" s="110"/>
      <c r="K820" s="65"/>
      <c r="L820" s="65"/>
      <c r="N820" s="65"/>
    </row>
    <row r="821" spans="1:14">
      <c r="A821" s="106"/>
      <c r="B821" s="108"/>
      <c r="C821" s="108"/>
      <c r="D821" s="108"/>
      <c r="E821" s="108"/>
      <c r="F821" s="108"/>
      <c r="G821" s="109"/>
      <c r="H821" s="110"/>
      <c r="K821" s="65"/>
      <c r="L821" s="65"/>
      <c r="N821" s="65"/>
    </row>
    <row r="822" spans="1:14">
      <c r="A822" s="106"/>
      <c r="B822" s="108"/>
      <c r="C822" s="108"/>
      <c r="D822" s="108"/>
      <c r="E822" s="108"/>
      <c r="F822" s="108"/>
      <c r="G822" s="109"/>
      <c r="H822" s="110"/>
      <c r="K822" s="65"/>
      <c r="L822" s="65"/>
      <c r="N822" s="65"/>
    </row>
    <row r="823" spans="1:14">
      <c r="A823" s="106"/>
      <c r="B823" s="108"/>
      <c r="C823" s="108"/>
      <c r="D823" s="108"/>
      <c r="E823" s="108"/>
      <c r="F823" s="108"/>
      <c r="G823" s="109"/>
      <c r="H823" s="110"/>
      <c r="K823" s="65"/>
      <c r="L823" s="65"/>
      <c r="N823" s="65"/>
    </row>
    <row r="824" spans="1:14">
      <c r="A824" s="106"/>
      <c r="B824" s="108"/>
      <c r="C824" s="108"/>
      <c r="D824" s="108"/>
      <c r="E824" s="108"/>
      <c r="F824" s="108"/>
      <c r="G824" s="109"/>
      <c r="H824" s="110"/>
      <c r="K824" s="65"/>
      <c r="L824" s="65"/>
      <c r="N824" s="65"/>
    </row>
    <row r="825" spans="1:14">
      <c r="A825" s="106"/>
      <c r="B825" s="108"/>
      <c r="C825" s="108"/>
      <c r="D825" s="108"/>
      <c r="E825" s="108"/>
      <c r="F825" s="108"/>
      <c r="G825" s="109"/>
      <c r="H825" s="110"/>
      <c r="K825" s="65"/>
      <c r="L825" s="65"/>
      <c r="N825" s="65"/>
    </row>
    <row r="826" spans="1:14">
      <c r="A826" s="106"/>
      <c r="B826" s="108"/>
      <c r="C826" s="108"/>
      <c r="D826" s="108"/>
      <c r="E826" s="108"/>
      <c r="F826" s="108"/>
      <c r="G826" s="109"/>
      <c r="H826" s="110"/>
      <c r="K826" s="65"/>
      <c r="L826" s="65"/>
      <c r="N826" s="65"/>
    </row>
    <row r="827" spans="1:14">
      <c r="A827" s="106"/>
      <c r="B827" s="108"/>
      <c r="C827" s="108"/>
      <c r="D827" s="108"/>
      <c r="E827" s="108"/>
      <c r="F827" s="108"/>
      <c r="G827" s="109"/>
      <c r="H827" s="110"/>
      <c r="K827" s="65"/>
      <c r="L827" s="65"/>
      <c r="N827" s="65"/>
    </row>
    <row r="828" spans="1:14">
      <c r="A828" s="106"/>
      <c r="B828" s="108"/>
      <c r="C828" s="108"/>
      <c r="D828" s="108"/>
      <c r="E828" s="108"/>
      <c r="F828" s="108"/>
      <c r="G828" s="109"/>
      <c r="H828" s="110"/>
      <c r="K828" s="65"/>
      <c r="L828" s="65"/>
      <c r="N828" s="65"/>
    </row>
    <row r="829" spans="1:14">
      <c r="A829" s="106"/>
      <c r="B829" s="108"/>
      <c r="C829" s="108"/>
      <c r="D829" s="108"/>
      <c r="E829" s="108"/>
      <c r="F829" s="108"/>
      <c r="G829" s="109"/>
      <c r="H829" s="110"/>
      <c r="K829" s="65"/>
      <c r="L829" s="65"/>
      <c r="N829" s="65"/>
    </row>
    <row r="830" spans="1:14">
      <c r="A830" s="106"/>
      <c r="B830" s="108"/>
      <c r="C830" s="108"/>
      <c r="D830" s="108"/>
      <c r="E830" s="108"/>
      <c r="F830" s="108"/>
      <c r="G830" s="109"/>
      <c r="H830" s="110"/>
      <c r="K830" s="65"/>
      <c r="L830" s="65"/>
      <c r="N830" s="65"/>
    </row>
    <row r="831" spans="1:14">
      <c r="A831" s="106"/>
      <c r="B831" s="108"/>
      <c r="C831" s="108"/>
      <c r="D831" s="108"/>
      <c r="E831" s="108"/>
      <c r="F831" s="108"/>
      <c r="G831" s="109"/>
      <c r="H831" s="110"/>
      <c r="K831" s="65"/>
      <c r="L831" s="65"/>
      <c r="N831" s="65"/>
    </row>
    <row r="832" spans="1:14">
      <c r="A832" s="106"/>
      <c r="B832" s="108"/>
      <c r="C832" s="108"/>
      <c r="D832" s="108"/>
      <c r="E832" s="108"/>
      <c r="F832" s="108"/>
      <c r="G832" s="109"/>
      <c r="H832" s="110"/>
      <c r="K832" s="65"/>
      <c r="L832" s="65"/>
      <c r="N832" s="65"/>
    </row>
    <row r="833" spans="1:14">
      <c r="A833" s="106"/>
      <c r="B833" s="108"/>
      <c r="C833" s="108"/>
      <c r="D833" s="108"/>
      <c r="E833" s="108"/>
      <c r="F833" s="108"/>
      <c r="G833" s="109"/>
      <c r="H833" s="110"/>
      <c r="K833" s="65"/>
      <c r="L833" s="65"/>
      <c r="N833" s="65"/>
    </row>
    <row r="834" spans="1:14">
      <c r="A834" s="106"/>
      <c r="B834" s="108"/>
      <c r="C834" s="108"/>
      <c r="D834" s="108"/>
      <c r="E834" s="108"/>
      <c r="F834" s="108"/>
      <c r="G834" s="109"/>
      <c r="H834" s="110"/>
      <c r="K834" s="65"/>
      <c r="L834" s="65"/>
      <c r="N834" s="65"/>
    </row>
    <row r="835" spans="1:14">
      <c r="A835" s="106"/>
      <c r="B835" s="108"/>
      <c r="C835" s="108"/>
      <c r="D835" s="108"/>
      <c r="E835" s="108"/>
      <c r="F835" s="108"/>
      <c r="G835" s="109"/>
      <c r="H835" s="110"/>
      <c r="K835" s="65"/>
      <c r="L835" s="65"/>
      <c r="N835" s="65"/>
    </row>
    <row r="836" spans="1:14">
      <c r="A836" s="106"/>
      <c r="B836" s="108"/>
      <c r="C836" s="108"/>
      <c r="D836" s="108"/>
      <c r="E836" s="108"/>
      <c r="F836" s="108"/>
      <c r="G836" s="109"/>
      <c r="H836" s="110"/>
      <c r="K836" s="65"/>
      <c r="L836" s="65"/>
      <c r="N836" s="65"/>
    </row>
    <row r="837" spans="1:14">
      <c r="A837" s="106"/>
      <c r="B837" s="108"/>
      <c r="C837" s="108"/>
      <c r="D837" s="108"/>
      <c r="E837" s="108"/>
      <c r="F837" s="108"/>
      <c r="G837" s="109"/>
      <c r="H837" s="110"/>
      <c r="K837" s="65"/>
      <c r="L837" s="65"/>
      <c r="N837" s="65"/>
    </row>
    <row r="838" spans="1:14">
      <c r="A838" s="106"/>
      <c r="B838" s="108"/>
      <c r="C838" s="108"/>
      <c r="D838" s="108"/>
      <c r="E838" s="108"/>
      <c r="F838" s="108"/>
      <c r="G838" s="109"/>
      <c r="H838" s="110"/>
      <c r="K838" s="65"/>
      <c r="L838" s="65"/>
      <c r="N838" s="65"/>
    </row>
    <row r="839" spans="1:14">
      <c r="A839" s="106"/>
      <c r="B839" s="108"/>
      <c r="C839" s="108"/>
      <c r="D839" s="108"/>
      <c r="E839" s="108"/>
      <c r="F839" s="108"/>
      <c r="G839" s="109"/>
      <c r="H839" s="110"/>
      <c r="K839" s="65"/>
      <c r="L839" s="65"/>
      <c r="N839" s="65"/>
    </row>
    <row r="840" spans="1:14">
      <c r="A840" s="106"/>
      <c r="B840" s="108"/>
      <c r="C840" s="108"/>
      <c r="D840" s="108"/>
      <c r="E840" s="108"/>
      <c r="F840" s="108"/>
      <c r="G840" s="109"/>
      <c r="H840" s="110"/>
      <c r="K840" s="65"/>
      <c r="L840" s="65"/>
      <c r="N840" s="65"/>
    </row>
    <row r="841" spans="1:14">
      <c r="A841" s="106"/>
      <c r="B841" s="108"/>
      <c r="C841" s="108"/>
      <c r="D841" s="108"/>
      <c r="E841" s="108"/>
      <c r="F841" s="108"/>
      <c r="G841" s="109"/>
      <c r="H841" s="110"/>
      <c r="K841" s="65"/>
      <c r="L841" s="65"/>
      <c r="N841" s="65"/>
    </row>
    <row r="842" spans="1:14">
      <c r="A842" s="106"/>
      <c r="B842" s="108"/>
      <c r="C842" s="108"/>
      <c r="D842" s="108"/>
      <c r="E842" s="108"/>
      <c r="F842" s="108"/>
      <c r="G842" s="109"/>
      <c r="H842" s="110"/>
      <c r="K842" s="65"/>
      <c r="L842" s="65"/>
      <c r="N842" s="65"/>
    </row>
    <row r="843" spans="1:14">
      <c r="A843" s="106"/>
      <c r="B843" s="108"/>
      <c r="C843" s="108"/>
      <c r="D843" s="108"/>
      <c r="E843" s="108"/>
      <c r="F843" s="108"/>
      <c r="G843" s="109"/>
      <c r="H843" s="110"/>
      <c r="K843" s="65"/>
      <c r="L843" s="65"/>
      <c r="N843" s="65"/>
    </row>
    <row r="844" spans="1:14">
      <c r="A844" s="106"/>
      <c r="B844" s="108"/>
      <c r="C844" s="108"/>
      <c r="D844" s="108"/>
      <c r="E844" s="108"/>
      <c r="F844" s="108"/>
      <c r="G844" s="109"/>
      <c r="H844" s="110"/>
      <c r="K844" s="65"/>
      <c r="L844" s="65"/>
      <c r="N844" s="65"/>
    </row>
    <row r="845" spans="1:14">
      <c r="A845" s="106"/>
      <c r="B845" s="108"/>
      <c r="C845" s="108"/>
      <c r="D845" s="108"/>
      <c r="E845" s="108"/>
      <c r="F845" s="108"/>
      <c r="G845" s="109"/>
      <c r="H845" s="110"/>
      <c r="K845" s="65"/>
      <c r="L845" s="65"/>
      <c r="N845" s="65"/>
    </row>
    <row r="846" spans="1:14">
      <c r="A846" s="106"/>
      <c r="B846" s="108"/>
      <c r="C846" s="108"/>
      <c r="D846" s="108"/>
      <c r="E846" s="108"/>
      <c r="F846" s="108"/>
      <c r="G846" s="109"/>
      <c r="H846" s="110"/>
      <c r="K846" s="65"/>
      <c r="L846" s="65"/>
      <c r="N846" s="65"/>
    </row>
    <row r="847" spans="1:14">
      <c r="A847" s="106"/>
      <c r="B847" s="108"/>
      <c r="C847" s="108"/>
      <c r="D847" s="108"/>
      <c r="E847" s="108"/>
      <c r="F847" s="108"/>
      <c r="G847" s="109"/>
      <c r="H847" s="110"/>
      <c r="K847" s="65"/>
      <c r="L847" s="65"/>
      <c r="N847" s="65"/>
    </row>
    <row r="848" spans="1:14">
      <c r="A848" s="106"/>
      <c r="B848" s="108"/>
      <c r="C848" s="108"/>
      <c r="D848" s="108"/>
      <c r="E848" s="108"/>
      <c r="F848" s="108"/>
      <c r="G848" s="109"/>
      <c r="H848" s="110"/>
      <c r="K848" s="65"/>
      <c r="L848" s="65"/>
      <c r="N848" s="65"/>
    </row>
    <row r="849" spans="1:14">
      <c r="A849" s="106"/>
      <c r="B849" s="108"/>
      <c r="C849" s="108"/>
      <c r="D849" s="108"/>
      <c r="E849" s="108"/>
      <c r="F849" s="108"/>
      <c r="G849" s="109"/>
      <c r="H849" s="110"/>
      <c r="K849" s="65"/>
      <c r="L849" s="65"/>
      <c r="N849" s="65"/>
    </row>
    <row r="850" spans="1:14">
      <c r="A850" s="106"/>
      <c r="B850" s="108"/>
      <c r="C850" s="108"/>
      <c r="D850" s="108"/>
      <c r="E850" s="108"/>
      <c r="F850" s="108"/>
      <c r="G850" s="109"/>
      <c r="H850" s="110"/>
      <c r="K850" s="65"/>
      <c r="L850" s="65"/>
      <c r="N850" s="65"/>
    </row>
    <row r="851" spans="1:14">
      <c r="A851" s="106"/>
      <c r="B851" s="108"/>
      <c r="C851" s="108"/>
      <c r="D851" s="108"/>
      <c r="E851" s="108"/>
      <c r="F851" s="108"/>
      <c r="G851" s="109"/>
      <c r="H851" s="110"/>
      <c r="K851" s="65"/>
      <c r="L851" s="65"/>
      <c r="N851" s="65"/>
    </row>
    <row r="852" spans="1:14">
      <c r="A852" s="106"/>
      <c r="B852" s="108"/>
      <c r="C852" s="108"/>
      <c r="D852" s="108"/>
      <c r="E852" s="108"/>
      <c r="F852" s="108"/>
      <c r="G852" s="109"/>
      <c r="H852" s="110"/>
      <c r="K852" s="65"/>
      <c r="L852" s="65"/>
      <c r="N852" s="65"/>
    </row>
    <row r="853" spans="1:14">
      <c r="A853" s="106"/>
      <c r="B853" s="108"/>
      <c r="C853" s="108"/>
      <c r="D853" s="108"/>
      <c r="E853" s="108"/>
      <c r="F853" s="108"/>
      <c r="G853" s="109"/>
      <c r="H853" s="110"/>
      <c r="K853" s="65"/>
      <c r="L853" s="65"/>
      <c r="N853" s="65"/>
    </row>
    <row r="854" spans="1:14">
      <c r="A854" s="106"/>
      <c r="B854" s="108"/>
      <c r="C854" s="108"/>
      <c r="D854" s="108"/>
      <c r="E854" s="108"/>
      <c r="F854" s="108"/>
      <c r="G854" s="109"/>
      <c r="H854" s="110"/>
      <c r="K854" s="65"/>
      <c r="L854" s="65"/>
      <c r="N854" s="65"/>
    </row>
    <row r="855" spans="1:14">
      <c r="A855" s="106"/>
      <c r="B855" s="108"/>
      <c r="C855" s="108"/>
      <c r="D855" s="108"/>
      <c r="E855" s="108"/>
      <c r="F855" s="108"/>
      <c r="G855" s="109"/>
      <c r="H855" s="110"/>
      <c r="K855" s="65"/>
      <c r="L855" s="65"/>
      <c r="N855" s="65"/>
    </row>
    <row r="856" spans="1:14">
      <c r="A856" s="106"/>
      <c r="B856" s="108"/>
      <c r="C856" s="108"/>
      <c r="D856" s="108"/>
      <c r="E856" s="108"/>
      <c r="F856" s="108"/>
      <c r="G856" s="109"/>
      <c r="H856" s="110"/>
      <c r="K856" s="65"/>
      <c r="L856" s="65"/>
      <c r="N856" s="65"/>
    </row>
    <row r="857" spans="1:14">
      <c r="A857" s="106"/>
      <c r="B857" s="108"/>
      <c r="C857" s="108"/>
      <c r="D857" s="108"/>
      <c r="E857" s="108"/>
      <c r="F857" s="108"/>
      <c r="G857" s="109"/>
      <c r="H857" s="110"/>
      <c r="K857" s="65"/>
      <c r="L857" s="65"/>
      <c r="N857" s="65"/>
    </row>
    <row r="858" spans="1:14">
      <c r="A858" s="106"/>
      <c r="B858" s="108"/>
      <c r="C858" s="108"/>
      <c r="D858" s="108"/>
      <c r="E858" s="108"/>
      <c r="F858" s="108"/>
      <c r="G858" s="109"/>
      <c r="H858" s="110"/>
      <c r="K858" s="65"/>
      <c r="L858" s="65"/>
      <c r="N858" s="65"/>
    </row>
    <row r="859" spans="1:14">
      <c r="A859" s="106"/>
      <c r="B859" s="108"/>
      <c r="C859" s="108"/>
      <c r="D859" s="108"/>
      <c r="E859" s="108"/>
      <c r="F859" s="108"/>
      <c r="G859" s="109"/>
      <c r="H859" s="110"/>
      <c r="K859" s="65"/>
      <c r="L859" s="65"/>
      <c r="N859" s="65"/>
    </row>
    <row r="860" spans="1:14">
      <c r="A860" s="106"/>
      <c r="B860" s="108"/>
      <c r="C860" s="108"/>
      <c r="D860" s="108"/>
      <c r="E860" s="108"/>
      <c r="F860" s="108"/>
      <c r="G860" s="109"/>
      <c r="H860" s="110"/>
      <c r="K860" s="65"/>
      <c r="L860" s="65"/>
      <c r="N860" s="65"/>
    </row>
    <row r="861" spans="1:14">
      <c r="A861" s="106"/>
      <c r="B861" s="108"/>
      <c r="C861" s="108"/>
      <c r="D861" s="108"/>
      <c r="E861" s="108"/>
      <c r="F861" s="108"/>
      <c r="G861" s="109"/>
      <c r="H861" s="110"/>
      <c r="K861" s="65"/>
      <c r="L861" s="65"/>
      <c r="N861" s="65"/>
    </row>
    <row r="862" spans="1:14">
      <c r="A862" s="106"/>
      <c r="B862" s="108"/>
      <c r="C862" s="108"/>
      <c r="D862" s="108"/>
      <c r="E862" s="108"/>
      <c r="F862" s="108"/>
      <c r="G862" s="109"/>
      <c r="H862" s="110"/>
      <c r="K862" s="65"/>
      <c r="L862" s="65"/>
      <c r="N862" s="65"/>
    </row>
    <row r="863" spans="1:14">
      <c r="A863" s="106"/>
      <c r="B863" s="108"/>
      <c r="C863" s="108"/>
      <c r="D863" s="108"/>
      <c r="E863" s="108"/>
      <c r="F863" s="108"/>
      <c r="G863" s="109"/>
      <c r="H863" s="110"/>
      <c r="K863" s="65"/>
      <c r="L863" s="65"/>
      <c r="N863" s="65"/>
    </row>
    <row r="864" spans="1:14">
      <c r="A864" s="106"/>
      <c r="B864" s="108"/>
      <c r="C864" s="108"/>
      <c r="D864" s="108"/>
      <c r="E864" s="108"/>
      <c r="F864" s="108"/>
      <c r="G864" s="109"/>
      <c r="H864" s="110"/>
      <c r="K864" s="65"/>
      <c r="L864" s="65"/>
      <c r="N864" s="65"/>
    </row>
    <row r="865" spans="1:14">
      <c r="A865" s="106"/>
      <c r="B865" s="108"/>
      <c r="C865" s="108"/>
      <c r="D865" s="108"/>
      <c r="E865" s="108"/>
      <c r="F865" s="108"/>
      <c r="G865" s="109"/>
      <c r="H865" s="110"/>
      <c r="K865" s="65"/>
      <c r="L865" s="65"/>
      <c r="N865" s="65"/>
    </row>
    <row r="866" spans="1:14">
      <c r="A866" s="106"/>
      <c r="B866" s="108"/>
      <c r="C866" s="108"/>
      <c r="D866" s="108"/>
      <c r="E866" s="108"/>
      <c r="F866" s="108"/>
      <c r="G866" s="109"/>
      <c r="H866" s="110"/>
      <c r="K866" s="65"/>
      <c r="L866" s="65"/>
      <c r="N866" s="65"/>
    </row>
    <row r="867" spans="1:14">
      <c r="A867" s="106"/>
      <c r="B867" s="108"/>
      <c r="C867" s="108"/>
      <c r="D867" s="108"/>
      <c r="E867" s="108"/>
      <c r="F867" s="108"/>
      <c r="G867" s="109"/>
      <c r="H867" s="110"/>
      <c r="K867" s="65"/>
      <c r="L867" s="65"/>
      <c r="N867" s="65"/>
    </row>
    <row r="868" spans="1:14">
      <c r="A868" s="106"/>
      <c r="B868" s="108"/>
      <c r="C868" s="108"/>
      <c r="D868" s="108"/>
      <c r="E868" s="108"/>
      <c r="F868" s="108"/>
      <c r="G868" s="109"/>
      <c r="H868" s="110"/>
      <c r="K868" s="65"/>
      <c r="L868" s="65"/>
      <c r="N868" s="65"/>
    </row>
    <row r="869" spans="1:14">
      <c r="A869" s="106"/>
      <c r="B869" s="108"/>
      <c r="C869" s="108"/>
      <c r="D869" s="108"/>
      <c r="E869" s="108"/>
      <c r="F869" s="108"/>
      <c r="G869" s="109"/>
      <c r="H869" s="110"/>
      <c r="K869" s="65"/>
      <c r="L869" s="65"/>
      <c r="N869" s="65"/>
    </row>
    <row r="870" spans="1:14">
      <c r="A870" s="106"/>
      <c r="B870" s="108"/>
      <c r="C870" s="108"/>
      <c r="D870" s="108"/>
      <c r="E870" s="108"/>
      <c r="F870" s="108"/>
      <c r="G870" s="109"/>
      <c r="H870" s="110"/>
      <c r="K870" s="65"/>
      <c r="L870" s="65"/>
      <c r="N870" s="65"/>
    </row>
    <row r="871" spans="1:14">
      <c r="A871" s="106"/>
      <c r="B871" s="108"/>
      <c r="C871" s="108"/>
      <c r="D871" s="108"/>
      <c r="E871" s="108"/>
      <c r="F871" s="108"/>
      <c r="G871" s="109"/>
      <c r="H871" s="110"/>
      <c r="K871" s="65"/>
      <c r="L871" s="65"/>
      <c r="N871" s="65"/>
    </row>
    <row r="872" spans="1:14">
      <c r="A872" s="106"/>
      <c r="B872" s="108"/>
      <c r="C872" s="108"/>
      <c r="D872" s="108"/>
      <c r="E872" s="108"/>
      <c r="F872" s="108"/>
      <c r="G872" s="109"/>
      <c r="H872" s="110"/>
      <c r="K872" s="65"/>
      <c r="L872" s="65"/>
      <c r="N872" s="65"/>
    </row>
    <row r="873" spans="1:14">
      <c r="A873" s="106"/>
      <c r="B873" s="108"/>
      <c r="C873" s="108"/>
      <c r="D873" s="108"/>
      <c r="E873" s="108"/>
      <c r="F873" s="108"/>
      <c r="G873" s="109"/>
      <c r="H873" s="110"/>
      <c r="K873" s="65"/>
      <c r="L873" s="65"/>
      <c r="N873" s="65"/>
    </row>
    <row r="874" spans="1:14">
      <c r="A874" s="106"/>
      <c r="B874" s="108"/>
      <c r="C874" s="108"/>
      <c r="D874" s="108"/>
      <c r="E874" s="108"/>
      <c r="F874" s="108"/>
      <c r="G874" s="109"/>
      <c r="H874" s="110"/>
      <c r="K874" s="65"/>
      <c r="L874" s="65"/>
      <c r="N874" s="65"/>
    </row>
    <row r="875" spans="1:14">
      <c r="A875" s="106"/>
      <c r="B875" s="108"/>
      <c r="C875" s="108"/>
      <c r="D875" s="108"/>
      <c r="E875" s="108"/>
      <c r="F875" s="108"/>
      <c r="G875" s="109"/>
      <c r="H875" s="110"/>
      <c r="K875" s="65"/>
      <c r="L875" s="65"/>
      <c r="N875" s="65"/>
    </row>
    <row r="876" spans="1:14">
      <c r="A876" s="106"/>
      <c r="B876" s="108"/>
      <c r="C876" s="108"/>
      <c r="D876" s="108"/>
      <c r="E876" s="108"/>
      <c r="F876" s="108"/>
      <c r="G876" s="109"/>
      <c r="H876" s="110"/>
      <c r="K876" s="65"/>
      <c r="L876" s="65"/>
      <c r="N876" s="65"/>
    </row>
    <row r="877" spans="1:14">
      <c r="A877" s="106"/>
      <c r="B877" s="108"/>
      <c r="C877" s="108"/>
      <c r="D877" s="108"/>
      <c r="E877" s="108"/>
      <c r="F877" s="108"/>
      <c r="G877" s="109"/>
      <c r="H877" s="110"/>
      <c r="K877" s="65"/>
      <c r="L877" s="65"/>
      <c r="N877" s="65"/>
    </row>
    <row r="878" spans="1:14">
      <c r="A878" s="106"/>
      <c r="B878" s="108"/>
      <c r="C878" s="108"/>
      <c r="D878" s="108"/>
      <c r="E878" s="108"/>
      <c r="F878" s="108"/>
      <c r="G878" s="109"/>
      <c r="H878" s="110"/>
      <c r="K878" s="65"/>
      <c r="L878" s="65"/>
      <c r="N878" s="65"/>
    </row>
    <row r="879" spans="1:14">
      <c r="A879" s="106"/>
      <c r="B879" s="108"/>
      <c r="C879" s="108"/>
      <c r="D879" s="108"/>
      <c r="E879" s="108"/>
      <c r="F879" s="108"/>
      <c r="G879" s="109"/>
      <c r="H879" s="110"/>
      <c r="K879" s="65"/>
      <c r="L879" s="65"/>
      <c r="N879" s="65"/>
    </row>
    <row r="880" spans="1:14">
      <c r="A880" s="106"/>
      <c r="B880" s="108"/>
      <c r="C880" s="108"/>
      <c r="D880" s="108"/>
      <c r="E880" s="108"/>
      <c r="F880" s="108"/>
      <c r="G880" s="109"/>
      <c r="H880" s="110"/>
      <c r="K880" s="65"/>
      <c r="L880" s="65"/>
      <c r="N880" s="65"/>
    </row>
    <row r="881" spans="1:14">
      <c r="A881" s="106"/>
      <c r="B881" s="108"/>
      <c r="C881" s="108"/>
      <c r="D881" s="108"/>
      <c r="E881" s="108"/>
      <c r="F881" s="108"/>
      <c r="G881" s="109"/>
      <c r="H881" s="110"/>
      <c r="K881" s="65"/>
      <c r="L881" s="65"/>
      <c r="N881" s="65"/>
    </row>
    <row r="882" spans="1:14">
      <c r="A882" s="106"/>
      <c r="B882" s="108"/>
      <c r="C882" s="108"/>
      <c r="D882" s="108"/>
      <c r="E882" s="108"/>
      <c r="F882" s="108"/>
      <c r="G882" s="109"/>
      <c r="H882" s="110"/>
      <c r="K882" s="65"/>
      <c r="L882" s="65"/>
      <c r="N882" s="65"/>
    </row>
    <row r="883" spans="1:14">
      <c r="A883" s="106"/>
      <c r="B883" s="108"/>
      <c r="C883" s="108"/>
      <c r="D883" s="108"/>
      <c r="E883" s="108"/>
      <c r="F883" s="108"/>
      <c r="G883" s="109"/>
      <c r="H883" s="110"/>
      <c r="K883" s="65"/>
      <c r="L883" s="65"/>
      <c r="N883" s="65"/>
    </row>
    <row r="884" spans="1:14">
      <c r="A884" s="106"/>
      <c r="B884" s="108"/>
      <c r="C884" s="108"/>
      <c r="D884" s="108"/>
      <c r="E884" s="108"/>
      <c r="F884" s="108"/>
      <c r="G884" s="109"/>
      <c r="H884" s="110"/>
      <c r="K884" s="65"/>
      <c r="L884" s="65"/>
      <c r="N884" s="65"/>
    </row>
    <row r="885" spans="1:14">
      <c r="A885" s="106"/>
      <c r="B885" s="108"/>
      <c r="C885" s="108"/>
      <c r="D885" s="108"/>
      <c r="E885" s="108"/>
      <c r="F885" s="108"/>
      <c r="G885" s="109"/>
      <c r="H885" s="110"/>
      <c r="K885" s="65"/>
      <c r="L885" s="65"/>
      <c r="N885" s="65"/>
    </row>
    <row r="886" spans="1:14">
      <c r="A886" s="106"/>
      <c r="B886" s="108"/>
      <c r="C886" s="108"/>
      <c r="D886" s="108"/>
      <c r="E886" s="108"/>
      <c r="F886" s="108"/>
      <c r="G886" s="109"/>
      <c r="H886" s="110"/>
      <c r="K886" s="65"/>
      <c r="L886" s="65"/>
      <c r="N886" s="65"/>
    </row>
    <row r="887" spans="1:14">
      <c r="A887" s="106"/>
      <c r="B887" s="108"/>
      <c r="C887" s="108"/>
      <c r="D887" s="108"/>
      <c r="E887" s="108"/>
      <c r="F887" s="108"/>
      <c r="G887" s="109"/>
      <c r="H887" s="110"/>
      <c r="K887" s="65"/>
      <c r="L887" s="65"/>
      <c r="N887" s="65"/>
    </row>
    <row r="888" spans="1:14">
      <c r="A888" s="106"/>
      <c r="B888" s="108"/>
      <c r="C888" s="108"/>
      <c r="D888" s="108"/>
      <c r="E888" s="108"/>
      <c r="F888" s="108"/>
      <c r="G888" s="109"/>
      <c r="H888" s="110"/>
      <c r="K888" s="65"/>
      <c r="L888" s="65"/>
      <c r="N888" s="65"/>
    </row>
    <row r="889" spans="1:14">
      <c r="A889" s="106"/>
      <c r="B889" s="108"/>
      <c r="C889" s="108"/>
      <c r="D889" s="108"/>
      <c r="E889" s="108"/>
      <c r="F889" s="108"/>
      <c r="G889" s="109"/>
      <c r="H889" s="110"/>
      <c r="K889" s="65"/>
      <c r="L889" s="65"/>
      <c r="N889" s="65"/>
    </row>
    <row r="890" spans="1:14">
      <c r="A890" s="106"/>
      <c r="B890" s="108"/>
      <c r="C890" s="108"/>
      <c r="D890" s="108"/>
      <c r="E890" s="108"/>
      <c r="F890" s="108"/>
      <c r="G890" s="109"/>
      <c r="H890" s="110"/>
      <c r="K890" s="65"/>
      <c r="L890" s="65"/>
      <c r="N890" s="65"/>
    </row>
    <row r="891" spans="1:14">
      <c r="A891" s="106"/>
      <c r="B891" s="108"/>
      <c r="C891" s="108"/>
      <c r="D891" s="108"/>
      <c r="E891" s="108"/>
      <c r="F891" s="108"/>
      <c r="G891" s="109"/>
      <c r="H891" s="110"/>
      <c r="K891" s="65"/>
      <c r="L891" s="65"/>
      <c r="N891" s="65"/>
    </row>
    <row r="892" spans="1:14">
      <c r="A892" s="106"/>
      <c r="B892" s="108"/>
      <c r="C892" s="108"/>
      <c r="D892" s="108"/>
      <c r="E892" s="108"/>
      <c r="F892" s="108"/>
      <c r="G892" s="109"/>
      <c r="H892" s="110"/>
      <c r="K892" s="65"/>
      <c r="L892" s="65"/>
      <c r="N892" s="65"/>
    </row>
    <row r="893" spans="1:14">
      <c r="A893" s="106"/>
      <c r="B893" s="108"/>
      <c r="C893" s="108"/>
      <c r="D893" s="108"/>
      <c r="E893" s="108"/>
      <c r="F893" s="108"/>
      <c r="G893" s="109"/>
      <c r="H893" s="110"/>
      <c r="K893" s="65"/>
      <c r="L893" s="65"/>
      <c r="N893" s="65"/>
    </row>
    <row r="894" spans="1:14">
      <c r="A894" s="106"/>
      <c r="B894" s="108"/>
      <c r="C894" s="108"/>
      <c r="D894" s="108"/>
      <c r="E894" s="108"/>
      <c r="F894" s="108"/>
      <c r="G894" s="109"/>
      <c r="H894" s="110"/>
      <c r="K894" s="65"/>
      <c r="L894" s="65"/>
      <c r="N894" s="65"/>
    </row>
    <row r="895" spans="1:14">
      <c r="A895" s="106"/>
      <c r="B895" s="108"/>
      <c r="C895" s="108"/>
      <c r="D895" s="108"/>
      <c r="E895" s="108"/>
      <c r="F895" s="108"/>
      <c r="G895" s="109"/>
      <c r="H895" s="110"/>
      <c r="K895" s="65"/>
      <c r="L895" s="65"/>
      <c r="N895" s="65"/>
    </row>
    <row r="896" spans="1:14">
      <c r="A896" s="106"/>
      <c r="B896" s="108"/>
      <c r="C896" s="108"/>
      <c r="D896" s="108"/>
      <c r="E896" s="108"/>
      <c r="F896" s="108"/>
      <c r="G896" s="109"/>
      <c r="H896" s="110"/>
      <c r="K896" s="65"/>
      <c r="L896" s="65"/>
      <c r="N896" s="65"/>
    </row>
    <row r="897" spans="1:14">
      <c r="A897" s="106"/>
      <c r="B897" s="108"/>
      <c r="C897" s="108"/>
      <c r="D897" s="108"/>
      <c r="E897" s="108"/>
      <c r="F897" s="108"/>
      <c r="G897" s="109"/>
      <c r="H897" s="110"/>
      <c r="K897" s="65"/>
      <c r="L897" s="65"/>
      <c r="N897" s="65"/>
    </row>
    <row r="898" spans="1:14">
      <c r="A898" s="106"/>
      <c r="B898" s="108"/>
      <c r="C898" s="108"/>
      <c r="D898" s="108"/>
      <c r="E898" s="108"/>
      <c r="F898" s="108"/>
      <c r="G898" s="109"/>
      <c r="H898" s="110"/>
      <c r="K898" s="65"/>
      <c r="L898" s="65"/>
      <c r="N898" s="65"/>
    </row>
    <row r="899" spans="1:14">
      <c r="A899" s="106"/>
      <c r="B899" s="108"/>
      <c r="C899" s="108"/>
      <c r="D899" s="108"/>
      <c r="E899" s="108"/>
      <c r="F899" s="108"/>
      <c r="G899" s="109"/>
      <c r="H899" s="110"/>
      <c r="K899" s="65"/>
      <c r="L899" s="65"/>
      <c r="N899" s="65"/>
    </row>
    <row r="900" spans="1:14">
      <c r="A900" s="106"/>
      <c r="B900" s="108"/>
      <c r="C900" s="108"/>
      <c r="D900" s="108"/>
      <c r="E900" s="108"/>
      <c r="F900" s="108"/>
      <c r="G900" s="109"/>
      <c r="H900" s="110"/>
      <c r="K900" s="65"/>
      <c r="L900" s="65"/>
      <c r="N900" s="65"/>
    </row>
    <row r="901" spans="1:14">
      <c r="A901" s="106"/>
      <c r="B901" s="108"/>
      <c r="C901" s="108"/>
      <c r="D901" s="108"/>
      <c r="E901" s="108"/>
      <c r="F901" s="108"/>
      <c r="G901" s="109"/>
      <c r="H901" s="110"/>
      <c r="K901" s="65"/>
      <c r="L901" s="65"/>
      <c r="N901" s="65"/>
    </row>
    <row r="902" spans="1:14">
      <c r="A902" s="106"/>
      <c r="B902" s="108"/>
      <c r="C902" s="108"/>
      <c r="D902" s="108"/>
      <c r="E902" s="108"/>
      <c r="F902" s="108"/>
      <c r="G902" s="109"/>
      <c r="H902" s="110"/>
      <c r="K902" s="65"/>
      <c r="L902" s="65"/>
      <c r="N902" s="65"/>
    </row>
    <row r="903" spans="1:14">
      <c r="A903" s="106"/>
      <c r="B903" s="108"/>
      <c r="C903" s="108"/>
      <c r="D903" s="108"/>
      <c r="E903" s="108"/>
      <c r="F903" s="108"/>
      <c r="G903" s="109"/>
      <c r="H903" s="110"/>
      <c r="K903" s="65"/>
      <c r="L903" s="65"/>
      <c r="N903" s="65"/>
    </row>
    <row r="904" spans="1:14">
      <c r="A904" s="106"/>
      <c r="B904" s="108"/>
      <c r="C904" s="108"/>
      <c r="D904" s="108"/>
      <c r="E904" s="108"/>
      <c r="F904" s="108"/>
      <c r="G904" s="109"/>
      <c r="H904" s="110"/>
      <c r="K904" s="65"/>
      <c r="L904" s="65"/>
      <c r="N904" s="65"/>
    </row>
    <row r="905" spans="1:14">
      <c r="A905" s="106"/>
      <c r="B905" s="108"/>
      <c r="C905" s="108"/>
      <c r="D905" s="108"/>
      <c r="E905" s="108"/>
      <c r="F905" s="108"/>
      <c r="G905" s="109"/>
      <c r="H905" s="110"/>
      <c r="K905" s="65"/>
      <c r="L905" s="65"/>
      <c r="N905" s="65"/>
    </row>
    <row r="906" spans="1:14">
      <c r="A906" s="106"/>
      <c r="B906" s="108"/>
      <c r="C906" s="108"/>
      <c r="D906" s="108"/>
      <c r="E906" s="108"/>
      <c r="F906" s="108"/>
      <c r="G906" s="109"/>
      <c r="H906" s="110"/>
      <c r="K906" s="65"/>
      <c r="L906" s="65"/>
      <c r="N906" s="65"/>
    </row>
    <row r="907" spans="1:14">
      <c r="A907" s="106"/>
      <c r="B907" s="108"/>
      <c r="C907" s="108"/>
      <c r="D907" s="108"/>
      <c r="E907" s="108"/>
      <c r="F907" s="108"/>
      <c r="G907" s="109"/>
      <c r="H907" s="110"/>
      <c r="K907" s="65"/>
      <c r="L907" s="65"/>
      <c r="N907" s="65"/>
    </row>
    <row r="908" spans="1:14">
      <c r="A908" s="106"/>
      <c r="B908" s="108"/>
      <c r="C908" s="108"/>
      <c r="D908" s="108"/>
      <c r="E908" s="108"/>
      <c r="F908" s="108"/>
      <c r="G908" s="109"/>
      <c r="H908" s="110"/>
      <c r="K908" s="65"/>
      <c r="L908" s="65"/>
      <c r="N908" s="65"/>
    </row>
    <row r="909" spans="1:14">
      <c r="A909" s="106"/>
      <c r="B909" s="108"/>
      <c r="C909" s="108"/>
      <c r="D909" s="108"/>
      <c r="E909" s="108"/>
      <c r="F909" s="108"/>
      <c r="G909" s="109"/>
      <c r="H909" s="110"/>
      <c r="K909" s="65"/>
      <c r="L909" s="65"/>
      <c r="N909" s="65"/>
    </row>
    <row r="910" spans="1:14">
      <c r="A910" s="106"/>
      <c r="B910" s="108"/>
      <c r="C910" s="108"/>
      <c r="D910" s="108"/>
      <c r="E910" s="108"/>
      <c r="F910" s="108"/>
      <c r="G910" s="109"/>
      <c r="H910" s="110"/>
      <c r="K910" s="65"/>
      <c r="L910" s="65"/>
      <c r="N910" s="65"/>
    </row>
    <row r="911" spans="1:14">
      <c r="A911" s="106"/>
      <c r="B911" s="108"/>
      <c r="C911" s="108"/>
      <c r="D911" s="108"/>
      <c r="E911" s="108"/>
      <c r="F911" s="108"/>
      <c r="G911" s="109"/>
      <c r="H911" s="110"/>
      <c r="K911" s="65"/>
      <c r="L911" s="65"/>
      <c r="N911" s="65"/>
    </row>
    <row r="912" spans="1:14">
      <c r="A912" s="106"/>
      <c r="B912" s="108"/>
      <c r="C912" s="108"/>
      <c r="D912" s="108"/>
      <c r="E912" s="108"/>
      <c r="F912" s="108"/>
      <c r="G912" s="109"/>
      <c r="H912" s="110"/>
      <c r="K912" s="65"/>
      <c r="L912" s="65"/>
      <c r="N912" s="65"/>
    </row>
    <row r="913" spans="1:14">
      <c r="A913" s="106"/>
      <c r="B913" s="108"/>
      <c r="C913" s="108"/>
      <c r="D913" s="108"/>
      <c r="E913" s="108"/>
      <c r="F913" s="108"/>
      <c r="G913" s="109"/>
      <c r="H913" s="110"/>
      <c r="K913" s="65"/>
      <c r="L913" s="65"/>
      <c r="N913" s="65"/>
    </row>
    <row r="914" spans="1:14">
      <c r="A914" s="106"/>
      <c r="B914" s="108"/>
      <c r="C914" s="108"/>
      <c r="D914" s="108"/>
      <c r="E914" s="108"/>
      <c r="F914" s="108"/>
      <c r="G914" s="109"/>
      <c r="H914" s="110"/>
      <c r="K914" s="65"/>
      <c r="L914" s="65"/>
      <c r="N914" s="65"/>
    </row>
    <row r="915" spans="1:14">
      <c r="A915" s="106"/>
      <c r="B915" s="108"/>
      <c r="C915" s="108"/>
      <c r="D915" s="108"/>
      <c r="E915" s="108"/>
      <c r="F915" s="108"/>
      <c r="G915" s="109"/>
      <c r="H915" s="110"/>
      <c r="K915" s="65"/>
      <c r="L915" s="65"/>
      <c r="N915" s="65"/>
    </row>
    <row r="916" spans="1:14">
      <c r="A916" s="106"/>
      <c r="B916" s="108"/>
      <c r="C916" s="108"/>
      <c r="D916" s="108"/>
      <c r="E916" s="108"/>
      <c r="F916" s="108"/>
      <c r="G916" s="109"/>
      <c r="H916" s="110"/>
      <c r="K916" s="65"/>
      <c r="L916" s="65"/>
      <c r="N916" s="65"/>
    </row>
    <row r="917" spans="1:14">
      <c r="A917" s="106"/>
      <c r="B917" s="108"/>
      <c r="C917" s="108"/>
      <c r="D917" s="108"/>
      <c r="E917" s="108"/>
      <c r="F917" s="108"/>
      <c r="G917" s="109"/>
      <c r="H917" s="110"/>
      <c r="K917" s="65"/>
      <c r="L917" s="65"/>
      <c r="N917" s="65"/>
    </row>
    <row r="918" spans="1:14">
      <c r="A918" s="106"/>
      <c r="B918" s="108"/>
      <c r="C918" s="108"/>
      <c r="D918" s="108"/>
      <c r="E918" s="108"/>
      <c r="F918" s="108"/>
      <c r="G918" s="109"/>
      <c r="H918" s="110"/>
      <c r="K918" s="65"/>
      <c r="L918" s="65"/>
      <c r="N918" s="65"/>
    </row>
    <row r="919" spans="1:14">
      <c r="A919" s="106"/>
      <c r="B919" s="108"/>
      <c r="C919" s="108"/>
      <c r="D919" s="108"/>
      <c r="E919" s="108"/>
      <c r="F919" s="108"/>
      <c r="G919" s="109"/>
      <c r="H919" s="110"/>
      <c r="K919" s="65"/>
      <c r="L919" s="65"/>
      <c r="N919" s="65"/>
    </row>
    <row r="920" spans="1:14">
      <c r="A920" s="106"/>
      <c r="B920" s="108"/>
      <c r="C920" s="108"/>
      <c r="D920" s="108"/>
      <c r="E920" s="108"/>
      <c r="F920" s="108"/>
      <c r="G920" s="109"/>
      <c r="H920" s="110"/>
      <c r="K920" s="65"/>
      <c r="L920" s="65"/>
      <c r="N920" s="65"/>
    </row>
    <row r="921" spans="1:14">
      <c r="A921" s="106"/>
      <c r="B921" s="108"/>
      <c r="C921" s="108"/>
      <c r="D921" s="108"/>
      <c r="E921" s="108"/>
      <c r="F921" s="108"/>
      <c r="G921" s="109"/>
      <c r="H921" s="110"/>
      <c r="K921" s="65"/>
      <c r="L921" s="65"/>
      <c r="N921" s="65"/>
    </row>
    <row r="922" spans="1:14">
      <c r="A922" s="106"/>
      <c r="B922" s="108"/>
      <c r="C922" s="108"/>
      <c r="D922" s="108"/>
      <c r="E922" s="108"/>
      <c r="F922" s="108"/>
      <c r="G922" s="109"/>
      <c r="H922" s="110"/>
      <c r="K922" s="65"/>
      <c r="L922" s="65"/>
      <c r="N922" s="65"/>
    </row>
    <row r="923" spans="1:14">
      <c r="A923" s="106"/>
      <c r="B923" s="108"/>
      <c r="C923" s="108"/>
      <c r="D923" s="108"/>
      <c r="E923" s="108"/>
      <c r="F923" s="108"/>
      <c r="G923" s="109"/>
      <c r="H923" s="110"/>
      <c r="K923" s="65"/>
      <c r="L923" s="65"/>
      <c r="N923" s="65"/>
    </row>
    <row r="924" spans="1:14">
      <c r="A924" s="106"/>
      <c r="B924" s="108"/>
      <c r="C924" s="108"/>
      <c r="D924" s="108"/>
      <c r="E924" s="108"/>
      <c r="F924" s="108"/>
      <c r="G924" s="109"/>
      <c r="H924" s="110"/>
      <c r="K924" s="65"/>
      <c r="L924" s="65"/>
      <c r="N924" s="65"/>
    </row>
    <row r="925" spans="1:14">
      <c r="A925" s="106"/>
      <c r="B925" s="108"/>
      <c r="C925" s="108"/>
      <c r="D925" s="108"/>
      <c r="E925" s="108"/>
      <c r="F925" s="108"/>
      <c r="G925" s="109"/>
      <c r="H925" s="110"/>
      <c r="K925" s="65"/>
      <c r="L925" s="65"/>
      <c r="N925" s="65"/>
    </row>
    <row r="926" spans="1:14">
      <c r="A926" s="106"/>
      <c r="B926" s="108"/>
      <c r="C926" s="108"/>
      <c r="D926" s="108"/>
      <c r="E926" s="108"/>
      <c r="F926" s="108"/>
      <c r="G926" s="109"/>
      <c r="H926" s="110"/>
      <c r="K926" s="65"/>
      <c r="L926" s="65"/>
      <c r="N926" s="65"/>
    </row>
    <row r="927" spans="1:14">
      <c r="A927" s="106"/>
      <c r="B927" s="108"/>
      <c r="C927" s="108"/>
      <c r="D927" s="108"/>
      <c r="E927" s="108"/>
      <c r="F927" s="108"/>
      <c r="G927" s="109"/>
      <c r="H927" s="110"/>
      <c r="K927" s="65"/>
      <c r="L927" s="65"/>
      <c r="N927" s="65"/>
    </row>
    <row r="928" spans="1:14">
      <c r="A928" s="106"/>
      <c r="B928" s="108"/>
      <c r="C928" s="108"/>
      <c r="D928" s="108"/>
      <c r="E928" s="108"/>
      <c r="F928" s="108"/>
      <c r="G928" s="109"/>
      <c r="H928" s="110"/>
      <c r="K928" s="65"/>
      <c r="L928" s="65"/>
      <c r="N928" s="65"/>
    </row>
    <row r="929" spans="1:14">
      <c r="A929" s="106"/>
      <c r="B929" s="108"/>
      <c r="C929" s="108"/>
      <c r="D929" s="108"/>
      <c r="E929" s="108"/>
      <c r="F929" s="108"/>
      <c r="G929" s="109"/>
      <c r="H929" s="110"/>
      <c r="K929" s="65"/>
      <c r="L929" s="65"/>
      <c r="N929" s="65"/>
    </row>
    <row r="930" spans="1:14">
      <c r="A930" s="106"/>
      <c r="B930" s="108"/>
      <c r="C930" s="108"/>
      <c r="D930" s="108"/>
      <c r="E930" s="108"/>
      <c r="F930" s="108"/>
      <c r="G930" s="109"/>
      <c r="H930" s="110"/>
      <c r="K930" s="65"/>
      <c r="L930" s="65"/>
      <c r="N930" s="65"/>
    </row>
    <row r="931" spans="1:14">
      <c r="A931" s="106"/>
      <c r="B931" s="108"/>
      <c r="C931" s="108"/>
      <c r="D931" s="108"/>
      <c r="E931" s="108"/>
      <c r="F931" s="108"/>
      <c r="G931" s="109"/>
      <c r="H931" s="110"/>
      <c r="K931" s="65"/>
      <c r="L931" s="65"/>
      <c r="N931" s="65"/>
    </row>
    <row r="932" spans="1:14">
      <c r="A932" s="106"/>
      <c r="B932" s="108"/>
      <c r="C932" s="108"/>
      <c r="D932" s="108"/>
      <c r="E932" s="108"/>
      <c r="F932" s="108"/>
      <c r="G932" s="109"/>
      <c r="H932" s="110"/>
      <c r="K932" s="65"/>
      <c r="L932" s="65"/>
      <c r="N932" s="65"/>
    </row>
    <row r="933" spans="1:14">
      <c r="A933" s="106"/>
      <c r="B933" s="108"/>
      <c r="C933" s="108"/>
      <c r="D933" s="108"/>
      <c r="E933" s="108"/>
      <c r="F933" s="108"/>
      <c r="G933" s="109"/>
      <c r="H933" s="110"/>
      <c r="K933" s="65"/>
      <c r="L933" s="65"/>
      <c r="N933" s="65"/>
    </row>
    <row r="934" spans="1:14">
      <c r="A934" s="106"/>
      <c r="B934" s="108"/>
      <c r="C934" s="108"/>
      <c r="D934" s="108"/>
      <c r="E934" s="108"/>
      <c r="F934" s="108"/>
      <c r="G934" s="109"/>
      <c r="H934" s="110"/>
      <c r="K934" s="65"/>
      <c r="L934" s="65"/>
      <c r="N934" s="65"/>
    </row>
    <row r="935" spans="1:14">
      <c r="A935" s="106"/>
      <c r="B935" s="108"/>
      <c r="C935" s="108"/>
      <c r="D935" s="108"/>
      <c r="E935" s="108"/>
      <c r="F935" s="108"/>
      <c r="G935" s="109"/>
      <c r="H935" s="110"/>
      <c r="K935" s="65"/>
      <c r="L935" s="65"/>
      <c r="N935" s="65"/>
    </row>
    <row r="936" spans="1:14">
      <c r="A936" s="106"/>
      <c r="B936" s="108"/>
      <c r="C936" s="108"/>
      <c r="D936" s="108"/>
      <c r="E936" s="108"/>
      <c r="F936" s="108"/>
      <c r="G936" s="109"/>
      <c r="H936" s="110"/>
      <c r="K936" s="65"/>
      <c r="L936" s="65"/>
      <c r="N936" s="65"/>
    </row>
    <row r="937" spans="1:14">
      <c r="A937" s="106"/>
      <c r="B937" s="108"/>
      <c r="C937" s="108"/>
      <c r="D937" s="108"/>
      <c r="E937" s="108"/>
      <c r="F937" s="108"/>
      <c r="G937" s="109"/>
      <c r="H937" s="110"/>
      <c r="K937" s="65"/>
      <c r="L937" s="65"/>
      <c r="N937" s="65"/>
    </row>
    <row r="938" spans="1:14">
      <c r="A938" s="106"/>
      <c r="B938" s="108"/>
      <c r="C938" s="108"/>
      <c r="D938" s="108"/>
      <c r="E938" s="108"/>
      <c r="F938" s="108"/>
      <c r="G938" s="109"/>
      <c r="H938" s="110"/>
      <c r="K938" s="65"/>
      <c r="L938" s="65"/>
      <c r="N938" s="65"/>
    </row>
    <row r="939" spans="1:14">
      <c r="A939" s="106"/>
      <c r="B939" s="108"/>
      <c r="C939" s="108"/>
      <c r="D939" s="108"/>
      <c r="E939" s="108"/>
      <c r="F939" s="108"/>
      <c r="G939" s="109"/>
      <c r="H939" s="110"/>
      <c r="K939" s="65"/>
      <c r="L939" s="65"/>
      <c r="N939" s="65"/>
    </row>
    <row r="940" spans="1:14">
      <c r="A940" s="106"/>
      <c r="B940" s="108"/>
      <c r="C940" s="108"/>
      <c r="D940" s="108"/>
      <c r="E940" s="108"/>
      <c r="F940" s="108"/>
      <c r="G940" s="109"/>
      <c r="H940" s="110"/>
      <c r="K940" s="65"/>
      <c r="L940" s="65"/>
      <c r="N940" s="65"/>
    </row>
    <row r="941" spans="1:14">
      <c r="A941" s="106"/>
      <c r="B941" s="108"/>
      <c r="C941" s="108"/>
      <c r="D941" s="108"/>
      <c r="E941" s="108"/>
      <c r="F941" s="108"/>
      <c r="G941" s="109"/>
      <c r="H941" s="110"/>
      <c r="K941" s="65"/>
      <c r="L941" s="65"/>
      <c r="N941" s="65"/>
    </row>
    <row r="942" spans="1:14">
      <c r="A942" s="106"/>
      <c r="B942" s="108"/>
      <c r="C942" s="108"/>
      <c r="D942" s="108"/>
      <c r="E942" s="108"/>
      <c r="F942" s="108"/>
      <c r="G942" s="109"/>
      <c r="H942" s="110"/>
      <c r="K942" s="65"/>
      <c r="L942" s="65"/>
      <c r="N942" s="65"/>
    </row>
    <row r="943" spans="1:14">
      <c r="A943" s="106"/>
      <c r="B943" s="108"/>
      <c r="C943" s="108"/>
      <c r="D943" s="108"/>
      <c r="E943" s="108"/>
      <c r="F943" s="108"/>
      <c r="G943" s="109"/>
      <c r="H943" s="110"/>
      <c r="K943" s="65"/>
      <c r="L943" s="65"/>
      <c r="N943" s="65"/>
    </row>
    <row r="944" spans="1:14">
      <c r="A944" s="106"/>
      <c r="B944" s="108"/>
      <c r="C944" s="108"/>
      <c r="D944" s="108"/>
      <c r="E944" s="108"/>
      <c r="F944" s="108"/>
      <c r="G944" s="109"/>
      <c r="H944" s="110"/>
      <c r="K944" s="65"/>
      <c r="L944" s="65"/>
      <c r="N944" s="65"/>
    </row>
    <row r="945" spans="1:14">
      <c r="A945" s="106"/>
      <c r="B945" s="108"/>
      <c r="C945" s="108"/>
      <c r="D945" s="108"/>
      <c r="E945" s="108"/>
      <c r="F945" s="108"/>
      <c r="G945" s="109"/>
      <c r="H945" s="110"/>
      <c r="K945" s="65"/>
      <c r="L945" s="65"/>
      <c r="N945" s="65"/>
    </row>
    <row r="946" spans="1:14">
      <c r="A946" s="106"/>
      <c r="B946" s="108"/>
      <c r="C946" s="108"/>
      <c r="D946" s="108"/>
      <c r="E946" s="108"/>
      <c r="F946" s="108"/>
      <c r="G946" s="109"/>
      <c r="H946" s="110"/>
      <c r="K946" s="65"/>
      <c r="L946" s="65"/>
      <c r="N946" s="65"/>
    </row>
    <row r="947" spans="1:14">
      <c r="A947" s="106"/>
      <c r="B947" s="108"/>
      <c r="C947" s="108"/>
      <c r="D947" s="108"/>
      <c r="E947" s="108"/>
      <c r="F947" s="108"/>
      <c r="G947" s="109"/>
      <c r="H947" s="110"/>
      <c r="K947" s="65"/>
      <c r="L947" s="65"/>
      <c r="N947" s="65"/>
    </row>
    <row r="948" spans="1:14">
      <c r="A948" s="106"/>
      <c r="B948" s="108"/>
      <c r="C948" s="108"/>
      <c r="D948" s="108"/>
      <c r="E948" s="108"/>
      <c r="F948" s="108"/>
      <c r="G948" s="109"/>
      <c r="H948" s="110"/>
      <c r="K948" s="65"/>
      <c r="L948" s="65"/>
      <c r="N948" s="65"/>
    </row>
    <row r="949" spans="1:14">
      <c r="A949" s="106"/>
      <c r="B949" s="108"/>
      <c r="C949" s="108"/>
      <c r="D949" s="108"/>
      <c r="E949" s="108"/>
      <c r="F949" s="108"/>
      <c r="G949" s="109"/>
      <c r="H949" s="110"/>
      <c r="K949" s="65"/>
      <c r="L949" s="65"/>
      <c r="N949" s="65"/>
    </row>
    <row r="950" spans="1:14">
      <c r="A950" s="106"/>
      <c r="B950" s="108"/>
      <c r="C950" s="108"/>
      <c r="D950" s="108"/>
      <c r="E950" s="108"/>
      <c r="F950" s="108"/>
      <c r="G950" s="109"/>
      <c r="H950" s="110"/>
      <c r="K950" s="65"/>
      <c r="L950" s="65"/>
      <c r="N950" s="65"/>
    </row>
    <row r="951" spans="1:14">
      <c r="A951" s="106"/>
      <c r="B951" s="108"/>
      <c r="C951" s="108"/>
      <c r="D951" s="108"/>
      <c r="E951" s="108"/>
      <c r="F951" s="108"/>
      <c r="G951" s="109"/>
      <c r="H951" s="110"/>
      <c r="K951" s="65"/>
      <c r="L951" s="65"/>
      <c r="N951" s="65"/>
    </row>
    <row r="952" spans="1:14">
      <c r="A952" s="106"/>
      <c r="B952" s="108"/>
      <c r="C952" s="108"/>
      <c r="D952" s="108"/>
      <c r="E952" s="108"/>
      <c r="F952" s="108"/>
      <c r="G952" s="109"/>
      <c r="H952" s="110"/>
      <c r="K952" s="65"/>
      <c r="L952" s="65"/>
      <c r="N952" s="65"/>
    </row>
    <row r="953" spans="1:14">
      <c r="A953" s="106"/>
      <c r="B953" s="108"/>
      <c r="C953" s="108"/>
      <c r="D953" s="108"/>
      <c r="E953" s="108"/>
      <c r="F953" s="108"/>
      <c r="G953" s="109"/>
      <c r="H953" s="110"/>
      <c r="K953" s="65"/>
      <c r="L953" s="65"/>
      <c r="N953" s="65"/>
    </row>
    <row r="954" spans="1:14">
      <c r="A954" s="106"/>
      <c r="B954" s="108"/>
      <c r="C954" s="108"/>
      <c r="D954" s="108"/>
      <c r="E954" s="108"/>
      <c r="F954" s="108"/>
      <c r="G954" s="109"/>
      <c r="H954" s="110"/>
      <c r="K954" s="65"/>
      <c r="L954" s="65"/>
      <c r="N954" s="65"/>
    </row>
    <row r="955" spans="1:14">
      <c r="A955" s="106"/>
      <c r="B955" s="108"/>
      <c r="C955" s="108"/>
      <c r="D955" s="108"/>
      <c r="E955" s="108"/>
      <c r="F955" s="108"/>
      <c r="G955" s="109"/>
      <c r="H955" s="110"/>
      <c r="K955" s="65"/>
      <c r="L955" s="65"/>
      <c r="N955" s="65"/>
    </row>
    <row r="956" spans="1:14">
      <c r="A956" s="106"/>
      <c r="B956" s="108"/>
      <c r="C956" s="108"/>
      <c r="D956" s="108"/>
      <c r="E956" s="108"/>
      <c r="F956" s="108"/>
      <c r="G956" s="109"/>
      <c r="H956" s="110"/>
      <c r="K956" s="65"/>
      <c r="L956" s="65"/>
      <c r="N956" s="65"/>
    </row>
    <row r="957" spans="1:14">
      <c r="A957" s="106"/>
      <c r="B957" s="108"/>
      <c r="C957" s="108"/>
      <c r="D957" s="108"/>
      <c r="E957" s="108"/>
      <c r="F957" s="108"/>
      <c r="G957" s="109"/>
      <c r="H957" s="110"/>
      <c r="K957" s="65"/>
      <c r="L957" s="65"/>
      <c r="N957" s="65"/>
    </row>
    <row r="958" spans="1:14">
      <c r="A958" s="106"/>
      <c r="B958" s="108"/>
      <c r="C958" s="108"/>
      <c r="D958" s="108"/>
      <c r="E958" s="108"/>
      <c r="F958" s="108"/>
      <c r="G958" s="109"/>
      <c r="H958" s="110"/>
      <c r="K958" s="65"/>
      <c r="L958" s="65"/>
      <c r="N958" s="65"/>
    </row>
    <row r="959" spans="1:14">
      <c r="A959" s="106"/>
      <c r="B959" s="108"/>
      <c r="C959" s="108"/>
      <c r="D959" s="108"/>
      <c r="E959" s="108"/>
      <c r="F959" s="108"/>
      <c r="G959" s="109"/>
      <c r="H959" s="110"/>
      <c r="K959" s="65"/>
      <c r="L959" s="65"/>
      <c r="N959" s="65"/>
    </row>
    <row r="960" spans="1:14">
      <c r="A960" s="106"/>
      <c r="B960" s="108"/>
      <c r="C960" s="108"/>
      <c r="D960" s="108"/>
      <c r="E960" s="108"/>
      <c r="F960" s="108"/>
      <c r="G960" s="109"/>
      <c r="H960" s="110"/>
      <c r="K960" s="65"/>
      <c r="L960" s="65"/>
      <c r="N960" s="65"/>
    </row>
    <row r="961" spans="1:14">
      <c r="A961" s="106"/>
      <c r="B961" s="108"/>
      <c r="C961" s="108"/>
      <c r="D961" s="108"/>
      <c r="E961" s="108"/>
      <c r="F961" s="108"/>
      <c r="G961" s="109"/>
      <c r="H961" s="110"/>
      <c r="K961" s="65"/>
      <c r="L961" s="65"/>
      <c r="N961" s="65"/>
    </row>
    <row r="962" spans="1:14">
      <c r="A962" s="106"/>
      <c r="B962" s="108"/>
      <c r="C962" s="108"/>
      <c r="D962" s="108"/>
      <c r="E962" s="108"/>
      <c r="F962" s="108"/>
      <c r="G962" s="109"/>
      <c r="H962" s="110"/>
      <c r="K962" s="65"/>
      <c r="L962" s="65"/>
      <c r="N962" s="65"/>
    </row>
    <row r="963" spans="1:14">
      <c r="A963" s="106"/>
      <c r="B963" s="108"/>
      <c r="C963" s="108"/>
      <c r="D963" s="108"/>
      <c r="E963" s="108"/>
      <c r="F963" s="108"/>
      <c r="G963" s="109"/>
      <c r="H963" s="110"/>
      <c r="K963" s="65"/>
      <c r="L963" s="65"/>
      <c r="N963" s="65"/>
    </row>
    <row r="964" spans="1:14">
      <c r="A964" s="106"/>
      <c r="B964" s="108"/>
      <c r="C964" s="108"/>
      <c r="D964" s="108"/>
      <c r="E964" s="108"/>
      <c r="F964" s="108"/>
      <c r="G964" s="109"/>
      <c r="H964" s="110"/>
      <c r="K964" s="65"/>
      <c r="L964" s="65"/>
      <c r="N964" s="65"/>
    </row>
    <row r="965" spans="1:14">
      <c r="A965" s="106"/>
      <c r="B965" s="108"/>
      <c r="C965" s="108"/>
      <c r="D965" s="108"/>
      <c r="E965" s="108"/>
      <c r="F965" s="108"/>
      <c r="G965" s="109"/>
      <c r="H965" s="110"/>
      <c r="K965" s="65"/>
      <c r="L965" s="65"/>
      <c r="N965" s="65"/>
    </row>
    <row r="966" spans="1:14">
      <c r="A966" s="106"/>
      <c r="B966" s="108"/>
      <c r="C966" s="108"/>
      <c r="D966" s="108"/>
      <c r="E966" s="108"/>
      <c r="F966" s="108"/>
      <c r="G966" s="109"/>
      <c r="H966" s="110"/>
      <c r="K966" s="65"/>
      <c r="L966" s="65"/>
      <c r="N966" s="65"/>
    </row>
    <row r="967" spans="1:14">
      <c r="A967" s="106"/>
      <c r="B967" s="108"/>
      <c r="C967" s="108"/>
      <c r="D967" s="108"/>
      <c r="E967" s="108"/>
      <c r="F967" s="108"/>
      <c r="G967" s="109"/>
      <c r="H967" s="110"/>
      <c r="K967" s="65"/>
      <c r="L967" s="65"/>
      <c r="N967" s="65"/>
    </row>
    <row r="968" spans="1:14">
      <c r="A968" s="106"/>
      <c r="B968" s="108"/>
      <c r="C968" s="108"/>
      <c r="D968" s="108"/>
      <c r="E968" s="108"/>
      <c r="F968" s="108"/>
      <c r="G968" s="109"/>
      <c r="H968" s="110"/>
      <c r="K968" s="65"/>
      <c r="L968" s="65"/>
      <c r="N968" s="65"/>
    </row>
    <row r="969" spans="1:14">
      <c r="A969" s="106"/>
      <c r="B969" s="108"/>
      <c r="C969" s="108"/>
      <c r="D969" s="108"/>
      <c r="E969" s="108"/>
      <c r="F969" s="108"/>
      <c r="G969" s="109"/>
      <c r="H969" s="110"/>
      <c r="K969" s="65"/>
      <c r="L969" s="65"/>
      <c r="N969" s="65"/>
    </row>
    <row r="970" spans="1:14">
      <c r="A970" s="106"/>
      <c r="B970" s="108"/>
      <c r="C970" s="108"/>
      <c r="D970" s="108"/>
      <c r="E970" s="108"/>
      <c r="F970" s="108"/>
      <c r="G970" s="109"/>
      <c r="H970" s="110"/>
      <c r="K970" s="65"/>
      <c r="L970" s="65"/>
      <c r="N970" s="65"/>
    </row>
    <row r="971" spans="1:14">
      <c r="A971" s="106"/>
      <c r="B971" s="108"/>
      <c r="C971" s="108"/>
      <c r="D971" s="108"/>
      <c r="E971" s="108"/>
      <c r="F971" s="108"/>
      <c r="G971" s="109"/>
      <c r="H971" s="110"/>
      <c r="K971" s="65"/>
      <c r="L971" s="65"/>
      <c r="N971" s="65"/>
    </row>
    <row r="972" spans="1:14">
      <c r="A972" s="106"/>
      <c r="B972" s="108"/>
      <c r="C972" s="108"/>
      <c r="D972" s="108"/>
      <c r="E972" s="108"/>
      <c r="F972" s="108"/>
      <c r="G972" s="109"/>
      <c r="H972" s="110"/>
      <c r="K972" s="65"/>
      <c r="L972" s="65"/>
      <c r="N972" s="65"/>
    </row>
    <row r="973" spans="1:14">
      <c r="A973" s="106"/>
      <c r="B973" s="108"/>
      <c r="C973" s="108"/>
      <c r="D973" s="108"/>
      <c r="E973" s="108"/>
      <c r="F973" s="108"/>
      <c r="G973" s="109"/>
      <c r="H973" s="110"/>
      <c r="K973" s="65"/>
      <c r="L973" s="65"/>
      <c r="N973" s="65"/>
    </row>
    <row r="974" spans="1:14">
      <c r="A974" s="106"/>
      <c r="B974" s="108"/>
      <c r="C974" s="108"/>
      <c r="D974" s="108"/>
      <c r="E974" s="108"/>
      <c r="F974" s="108"/>
      <c r="G974" s="109"/>
      <c r="H974" s="110"/>
      <c r="K974" s="65"/>
      <c r="L974" s="65"/>
      <c r="N974" s="65"/>
    </row>
    <row r="975" spans="1:14">
      <c r="A975" s="106"/>
      <c r="B975" s="108"/>
      <c r="C975" s="108"/>
      <c r="D975" s="108"/>
      <c r="E975" s="108"/>
      <c r="F975" s="108"/>
      <c r="G975" s="109"/>
      <c r="H975" s="110"/>
      <c r="K975" s="65"/>
      <c r="L975" s="65"/>
      <c r="N975" s="65"/>
    </row>
    <row r="976" spans="1:14">
      <c r="A976" s="106"/>
      <c r="B976" s="108"/>
      <c r="C976" s="108"/>
      <c r="D976" s="108"/>
      <c r="E976" s="108"/>
      <c r="F976" s="108"/>
      <c r="G976" s="109"/>
      <c r="H976" s="110"/>
      <c r="K976" s="65"/>
      <c r="L976" s="65"/>
      <c r="N976" s="65"/>
    </row>
    <row r="977" spans="1:14">
      <c r="A977" s="106"/>
      <c r="B977" s="108"/>
      <c r="C977" s="108"/>
      <c r="D977" s="108"/>
      <c r="E977" s="108"/>
      <c r="F977" s="108"/>
      <c r="G977" s="109"/>
      <c r="H977" s="110"/>
      <c r="K977" s="65"/>
      <c r="L977" s="65"/>
      <c r="N977" s="65"/>
    </row>
    <row r="978" spans="1:14">
      <c r="A978" s="106"/>
      <c r="B978" s="108"/>
      <c r="C978" s="108"/>
      <c r="D978" s="108"/>
      <c r="E978" s="108"/>
      <c r="F978" s="108"/>
      <c r="G978" s="109"/>
      <c r="H978" s="110"/>
      <c r="K978" s="65"/>
      <c r="L978" s="65"/>
      <c r="N978" s="65"/>
    </row>
    <row r="979" spans="1:14">
      <c r="A979" s="106"/>
      <c r="B979" s="108"/>
      <c r="C979" s="108"/>
      <c r="D979" s="108"/>
      <c r="E979" s="108"/>
      <c r="F979" s="108"/>
      <c r="G979" s="109"/>
      <c r="H979" s="110"/>
      <c r="K979" s="65"/>
      <c r="L979" s="65"/>
      <c r="N979" s="65"/>
    </row>
    <row r="980" spans="1:14">
      <c r="A980" s="106"/>
      <c r="B980" s="108"/>
      <c r="C980" s="108"/>
      <c r="D980" s="108"/>
      <c r="E980" s="108"/>
      <c r="F980" s="108"/>
      <c r="G980" s="109"/>
      <c r="H980" s="110"/>
      <c r="K980" s="65"/>
      <c r="L980" s="65"/>
      <c r="N980" s="65"/>
    </row>
    <row r="981" spans="1:14">
      <c r="A981" s="106"/>
      <c r="B981" s="108"/>
      <c r="C981" s="108"/>
      <c r="D981" s="108"/>
      <c r="E981" s="108"/>
      <c r="F981" s="108"/>
      <c r="G981" s="109"/>
      <c r="H981" s="110"/>
      <c r="K981" s="65"/>
      <c r="L981" s="65"/>
      <c r="N981" s="65"/>
    </row>
    <row r="982" spans="1:14">
      <c r="A982" s="106"/>
      <c r="B982" s="108"/>
      <c r="C982" s="108"/>
      <c r="D982" s="108"/>
      <c r="E982" s="108"/>
      <c r="F982" s="108"/>
      <c r="G982" s="109"/>
      <c r="H982" s="110"/>
      <c r="K982" s="65"/>
      <c r="L982" s="65"/>
      <c r="N982" s="65"/>
    </row>
    <row r="983" spans="1:14">
      <c r="A983" s="106"/>
      <c r="B983" s="108"/>
      <c r="C983" s="108"/>
      <c r="D983" s="108"/>
      <c r="E983" s="108"/>
      <c r="F983" s="108"/>
      <c r="G983" s="109"/>
      <c r="H983" s="110"/>
      <c r="K983" s="65"/>
      <c r="L983" s="65"/>
      <c r="N983" s="65"/>
    </row>
    <row r="984" spans="1:14">
      <c r="A984" s="106"/>
      <c r="B984" s="108"/>
      <c r="C984" s="108"/>
      <c r="D984" s="108"/>
      <c r="E984" s="108"/>
      <c r="F984" s="108"/>
      <c r="G984" s="109"/>
      <c r="H984" s="110"/>
      <c r="K984" s="65"/>
      <c r="L984" s="65"/>
      <c r="N984" s="65"/>
    </row>
    <row r="985" spans="1:14">
      <c r="A985" s="106"/>
      <c r="B985" s="108"/>
      <c r="C985" s="108"/>
      <c r="D985" s="108"/>
      <c r="E985" s="108"/>
      <c r="F985" s="108"/>
      <c r="G985" s="109"/>
      <c r="H985" s="110"/>
      <c r="K985" s="65"/>
      <c r="L985" s="65"/>
      <c r="N985" s="65"/>
    </row>
    <row r="986" spans="1:14">
      <c r="A986" s="106"/>
      <c r="B986" s="108"/>
      <c r="C986" s="108"/>
      <c r="D986" s="108"/>
      <c r="E986" s="108"/>
      <c r="F986" s="108"/>
      <c r="G986" s="109"/>
      <c r="H986" s="110"/>
      <c r="K986" s="65"/>
      <c r="L986" s="65"/>
      <c r="N986" s="65"/>
    </row>
    <row r="987" spans="1:14">
      <c r="A987" s="106"/>
      <c r="B987" s="108"/>
      <c r="C987" s="108"/>
      <c r="D987" s="108"/>
      <c r="E987" s="108"/>
      <c r="F987" s="108"/>
      <c r="G987" s="109"/>
      <c r="H987" s="110"/>
      <c r="K987" s="65"/>
      <c r="L987" s="65"/>
      <c r="N987" s="65"/>
    </row>
    <row r="988" spans="1:14">
      <c r="A988" s="106"/>
      <c r="B988" s="108"/>
      <c r="C988" s="108"/>
      <c r="D988" s="108"/>
      <c r="E988" s="108"/>
      <c r="F988" s="108"/>
      <c r="G988" s="109"/>
      <c r="H988" s="110"/>
      <c r="K988" s="65"/>
      <c r="L988" s="65"/>
      <c r="N988" s="65"/>
    </row>
    <row r="989" spans="1:14">
      <c r="A989" s="106"/>
      <c r="B989" s="108"/>
      <c r="C989" s="108"/>
      <c r="D989" s="108"/>
      <c r="E989" s="108"/>
      <c r="F989" s="108"/>
      <c r="G989" s="109"/>
      <c r="H989" s="110"/>
      <c r="K989" s="65"/>
      <c r="L989" s="65"/>
      <c r="N989" s="65"/>
    </row>
    <row r="990" spans="1:14">
      <c r="A990" s="106"/>
      <c r="B990" s="108"/>
      <c r="C990" s="108"/>
      <c r="D990" s="108"/>
      <c r="E990" s="108"/>
      <c r="F990" s="108"/>
      <c r="G990" s="109"/>
      <c r="H990" s="110"/>
      <c r="K990" s="65"/>
      <c r="L990" s="65"/>
      <c r="N990" s="65"/>
    </row>
    <row r="991" spans="1:14">
      <c r="A991" s="106"/>
      <c r="B991" s="108"/>
      <c r="C991" s="108"/>
      <c r="D991" s="108"/>
      <c r="E991" s="108"/>
      <c r="F991" s="108"/>
      <c r="G991" s="109"/>
      <c r="H991" s="110"/>
      <c r="K991" s="65"/>
      <c r="L991" s="65"/>
      <c r="N991" s="65"/>
    </row>
    <row r="992" spans="1:14">
      <c r="A992" s="106"/>
      <c r="B992" s="108"/>
      <c r="C992" s="108"/>
      <c r="D992" s="108"/>
      <c r="E992" s="108"/>
      <c r="F992" s="108"/>
      <c r="G992" s="109"/>
      <c r="H992" s="110"/>
      <c r="K992" s="65"/>
      <c r="L992" s="65"/>
      <c r="N992" s="65"/>
    </row>
    <row r="993" spans="1:14">
      <c r="A993" s="106"/>
      <c r="B993" s="108"/>
      <c r="C993" s="108"/>
      <c r="D993" s="108"/>
      <c r="E993" s="108"/>
      <c r="F993" s="108"/>
      <c r="G993" s="109"/>
      <c r="H993" s="110"/>
      <c r="K993" s="65"/>
      <c r="L993" s="65"/>
      <c r="N993" s="65"/>
    </row>
    <row r="994" spans="1:14">
      <c r="A994" s="106"/>
      <c r="B994" s="108"/>
      <c r="C994" s="108"/>
      <c r="D994" s="108"/>
      <c r="E994" s="108"/>
      <c r="F994" s="108"/>
      <c r="G994" s="109"/>
      <c r="H994" s="110"/>
      <c r="K994" s="65"/>
      <c r="L994" s="65"/>
      <c r="N994" s="65"/>
    </row>
    <row r="995" spans="1:14">
      <c r="A995" s="106"/>
      <c r="B995" s="108"/>
      <c r="C995" s="108"/>
      <c r="D995" s="108"/>
      <c r="E995" s="108"/>
      <c r="F995" s="108"/>
      <c r="G995" s="109"/>
      <c r="H995" s="110"/>
      <c r="K995" s="65"/>
      <c r="L995" s="65"/>
      <c r="N995" s="65"/>
    </row>
    <row r="996" spans="1:14">
      <c r="A996" s="106"/>
      <c r="B996" s="108"/>
      <c r="C996" s="108"/>
      <c r="D996" s="108"/>
      <c r="E996" s="108"/>
      <c r="F996" s="108"/>
      <c r="G996" s="109"/>
      <c r="H996" s="110"/>
      <c r="K996" s="65"/>
      <c r="L996" s="65"/>
      <c r="N996" s="65"/>
    </row>
    <row r="997" spans="1:14">
      <c r="A997" s="106"/>
      <c r="B997" s="108"/>
      <c r="C997" s="108"/>
      <c r="D997" s="108"/>
      <c r="E997" s="108"/>
      <c r="F997" s="108"/>
      <c r="G997" s="109"/>
      <c r="H997" s="110"/>
      <c r="K997" s="65"/>
      <c r="L997" s="65"/>
      <c r="N997" s="65"/>
    </row>
    <row r="998" spans="1:14">
      <c r="A998" s="106"/>
      <c r="B998" s="108"/>
      <c r="C998" s="108"/>
      <c r="D998" s="108"/>
      <c r="E998" s="108"/>
      <c r="F998" s="108"/>
      <c r="G998" s="109"/>
      <c r="H998" s="110"/>
      <c r="K998" s="65"/>
      <c r="L998" s="65"/>
      <c r="N998" s="65"/>
    </row>
    <row r="999" spans="1:14">
      <c r="A999" s="106"/>
      <c r="B999" s="108"/>
      <c r="C999" s="108"/>
      <c r="D999" s="108"/>
      <c r="E999" s="108"/>
      <c r="F999" s="108"/>
      <c r="G999" s="109"/>
      <c r="H999" s="110"/>
      <c r="K999" s="65"/>
      <c r="L999" s="65"/>
      <c r="N999" s="65"/>
    </row>
    <row r="1000" spans="1:14">
      <c r="A1000" s="106"/>
      <c r="B1000" s="108"/>
      <c r="C1000" s="108"/>
      <c r="D1000" s="108"/>
      <c r="E1000" s="108"/>
      <c r="F1000" s="108"/>
      <c r="G1000" s="109"/>
      <c r="H1000" s="110"/>
      <c r="K1000" s="65"/>
      <c r="L1000" s="65"/>
      <c r="N1000" s="65"/>
    </row>
    <row r="1001" spans="1:14">
      <c r="A1001" s="106"/>
      <c r="B1001" s="108"/>
      <c r="C1001" s="108"/>
      <c r="D1001" s="108"/>
      <c r="E1001" s="108"/>
      <c r="F1001" s="108"/>
      <c r="G1001" s="109"/>
      <c r="H1001" s="110"/>
      <c r="K1001" s="65"/>
      <c r="L1001" s="65"/>
      <c r="N1001" s="65"/>
    </row>
    <row r="1002" spans="1:14">
      <c r="A1002" s="106"/>
      <c r="B1002" s="108"/>
      <c r="C1002" s="108"/>
      <c r="D1002" s="108"/>
      <c r="E1002" s="108"/>
      <c r="F1002" s="108"/>
      <c r="G1002" s="109"/>
      <c r="H1002" s="110"/>
      <c r="K1002" s="65"/>
      <c r="L1002" s="65"/>
      <c r="N1002" s="65"/>
    </row>
    <row r="1003" spans="1:14">
      <c r="A1003" s="106"/>
      <c r="B1003" s="108"/>
      <c r="C1003" s="108"/>
      <c r="D1003" s="108"/>
      <c r="E1003" s="108"/>
      <c r="F1003" s="108"/>
      <c r="G1003" s="109"/>
      <c r="H1003" s="110"/>
      <c r="K1003" s="65"/>
      <c r="L1003" s="65"/>
      <c r="N1003" s="65"/>
    </row>
    <row r="1004" spans="1:14">
      <c r="A1004" s="106"/>
      <c r="B1004" s="108"/>
      <c r="C1004" s="108"/>
      <c r="D1004" s="108"/>
      <c r="E1004" s="108"/>
      <c r="F1004" s="108"/>
      <c r="G1004" s="109"/>
      <c r="H1004" s="110"/>
      <c r="K1004" s="65"/>
      <c r="L1004" s="65"/>
      <c r="N1004" s="65"/>
    </row>
    <row r="1005" spans="1:14">
      <c r="A1005" s="106"/>
      <c r="B1005" s="108"/>
      <c r="C1005" s="108"/>
      <c r="D1005" s="108"/>
      <c r="E1005" s="108"/>
      <c r="F1005" s="108"/>
      <c r="G1005" s="109"/>
      <c r="H1005" s="110"/>
      <c r="K1005" s="65"/>
      <c r="L1005" s="65"/>
      <c r="N1005" s="65"/>
    </row>
    <row r="1006" spans="1:14">
      <c r="A1006" s="106"/>
      <c r="B1006" s="108"/>
      <c r="C1006" s="108"/>
      <c r="D1006" s="108"/>
      <c r="E1006" s="108"/>
      <c r="F1006" s="108"/>
      <c r="G1006" s="109"/>
      <c r="H1006" s="110"/>
      <c r="K1006" s="65"/>
      <c r="L1006" s="65"/>
      <c r="N1006" s="65"/>
    </row>
    <row r="1007" spans="1:14">
      <c r="A1007" s="106"/>
      <c r="B1007" s="108"/>
      <c r="C1007" s="108"/>
      <c r="D1007" s="108"/>
      <c r="E1007" s="108"/>
      <c r="F1007" s="108"/>
      <c r="G1007" s="109"/>
      <c r="H1007" s="110"/>
      <c r="K1007" s="65"/>
      <c r="L1007" s="65"/>
      <c r="N1007" s="65"/>
    </row>
    <row r="1008" spans="1:14">
      <c r="A1008" s="106"/>
      <c r="B1008" s="108"/>
      <c r="C1008" s="108"/>
      <c r="D1008" s="108"/>
      <c r="E1008" s="108"/>
      <c r="F1008" s="108"/>
      <c r="G1008" s="109"/>
      <c r="H1008" s="110"/>
      <c r="K1008" s="65"/>
      <c r="L1008" s="65"/>
      <c r="N1008" s="65"/>
    </row>
    <row r="1009" spans="1:14">
      <c r="A1009" s="106"/>
      <c r="B1009" s="108"/>
      <c r="C1009" s="108"/>
      <c r="D1009" s="108"/>
      <c r="E1009" s="108"/>
      <c r="F1009" s="108"/>
      <c r="G1009" s="109"/>
      <c r="H1009" s="110"/>
      <c r="K1009" s="65"/>
      <c r="L1009" s="65"/>
      <c r="N1009" s="65"/>
    </row>
    <row r="1010" spans="1:14">
      <c r="A1010" s="106"/>
      <c r="B1010" s="108"/>
      <c r="C1010" s="108"/>
      <c r="D1010" s="108"/>
      <c r="E1010" s="108"/>
      <c r="F1010" s="108"/>
      <c r="G1010" s="109"/>
      <c r="H1010" s="110"/>
      <c r="K1010" s="65"/>
      <c r="L1010" s="65"/>
      <c r="N1010" s="65"/>
    </row>
    <row r="1011" spans="1:14">
      <c r="A1011" s="106"/>
      <c r="B1011" s="108"/>
      <c r="C1011" s="108"/>
      <c r="D1011" s="108"/>
      <c r="E1011" s="108"/>
      <c r="F1011" s="108"/>
      <c r="G1011" s="109"/>
      <c r="H1011" s="110"/>
      <c r="K1011" s="65"/>
      <c r="L1011" s="65"/>
      <c r="N1011" s="65"/>
    </row>
    <row r="1012" spans="1:14">
      <c r="A1012" s="106"/>
      <c r="B1012" s="108"/>
      <c r="C1012" s="108"/>
      <c r="D1012" s="108"/>
      <c r="E1012" s="108"/>
      <c r="F1012" s="108"/>
      <c r="G1012" s="109"/>
      <c r="H1012" s="110"/>
      <c r="K1012" s="65"/>
      <c r="L1012" s="65"/>
      <c r="N1012" s="65"/>
    </row>
    <row r="1013" spans="1:14">
      <c r="A1013" s="106"/>
      <c r="B1013" s="108"/>
      <c r="C1013" s="108"/>
      <c r="D1013" s="108"/>
      <c r="E1013" s="108"/>
      <c r="F1013" s="108"/>
      <c r="G1013" s="109"/>
      <c r="H1013" s="110"/>
      <c r="K1013" s="65"/>
      <c r="L1013" s="65"/>
      <c r="N1013" s="65"/>
    </row>
    <row r="1014" spans="1:14">
      <c r="A1014" s="106"/>
      <c r="B1014" s="108"/>
      <c r="C1014" s="108"/>
      <c r="D1014" s="108"/>
      <c r="E1014" s="108"/>
      <c r="F1014" s="108"/>
      <c r="G1014" s="109"/>
      <c r="H1014" s="110"/>
      <c r="K1014" s="65"/>
      <c r="L1014" s="65"/>
      <c r="N1014" s="65"/>
    </row>
    <row r="1015" spans="1:14">
      <c r="A1015" s="106"/>
      <c r="B1015" s="108"/>
      <c r="C1015" s="108"/>
      <c r="D1015" s="108"/>
      <c r="E1015" s="108"/>
      <c r="F1015" s="108"/>
      <c r="G1015" s="109"/>
      <c r="H1015" s="110"/>
      <c r="K1015" s="65"/>
      <c r="L1015" s="65"/>
      <c r="N1015" s="65"/>
    </row>
    <row r="1016" spans="1:14">
      <c r="A1016" s="106"/>
      <c r="B1016" s="108"/>
      <c r="C1016" s="108"/>
      <c r="D1016" s="108"/>
      <c r="E1016" s="108"/>
      <c r="F1016" s="108"/>
      <c r="G1016" s="109"/>
      <c r="H1016" s="110"/>
      <c r="K1016" s="65"/>
      <c r="L1016" s="65"/>
      <c r="N1016" s="65"/>
    </row>
    <row r="1017" spans="1:14">
      <c r="A1017" s="106"/>
      <c r="B1017" s="108"/>
      <c r="C1017" s="108"/>
      <c r="D1017" s="108"/>
      <c r="E1017" s="108"/>
      <c r="F1017" s="108"/>
      <c r="G1017" s="109"/>
      <c r="H1017" s="110"/>
      <c r="K1017" s="65"/>
      <c r="L1017" s="65"/>
      <c r="N1017" s="65"/>
    </row>
    <row r="1018" spans="1:14">
      <c r="A1018" s="106"/>
      <c r="B1018" s="108"/>
      <c r="C1018" s="108"/>
      <c r="D1018" s="108"/>
      <c r="E1018" s="108"/>
      <c r="F1018" s="108"/>
      <c r="G1018" s="109"/>
      <c r="H1018" s="110"/>
      <c r="K1018" s="65"/>
      <c r="L1018" s="65"/>
      <c r="N1018" s="65"/>
    </row>
    <row r="1019" spans="1:14">
      <c r="A1019" s="106"/>
      <c r="B1019" s="108"/>
      <c r="C1019" s="108"/>
      <c r="D1019" s="108"/>
      <c r="E1019" s="108"/>
      <c r="F1019" s="108"/>
      <c r="G1019" s="109"/>
      <c r="H1019" s="110"/>
      <c r="K1019" s="65"/>
      <c r="L1019" s="65"/>
      <c r="N1019" s="65"/>
    </row>
    <row r="1020" spans="1:14">
      <c r="A1020" s="106"/>
      <c r="B1020" s="108"/>
      <c r="C1020" s="108"/>
      <c r="D1020" s="108"/>
      <c r="E1020" s="108"/>
      <c r="F1020" s="108"/>
      <c r="G1020" s="109"/>
      <c r="H1020" s="110"/>
      <c r="K1020" s="65"/>
      <c r="L1020" s="65"/>
      <c r="N1020" s="65"/>
    </row>
    <row r="1021" spans="1:14">
      <c r="A1021" s="106"/>
      <c r="B1021" s="108"/>
      <c r="C1021" s="108"/>
      <c r="D1021" s="108"/>
      <c r="E1021" s="108"/>
      <c r="F1021" s="108"/>
      <c r="G1021" s="109"/>
      <c r="H1021" s="110"/>
      <c r="K1021" s="65"/>
      <c r="L1021" s="65"/>
      <c r="N1021" s="65"/>
    </row>
    <row r="1022" spans="1:14">
      <c r="A1022" s="106"/>
      <c r="B1022" s="108"/>
      <c r="C1022" s="108"/>
      <c r="D1022" s="108"/>
      <c r="E1022" s="108"/>
      <c r="F1022" s="108"/>
      <c r="G1022" s="109"/>
      <c r="H1022" s="110"/>
      <c r="K1022" s="65"/>
      <c r="L1022" s="65"/>
      <c r="N1022" s="65"/>
    </row>
    <row r="1023" spans="1:14">
      <c r="A1023" s="106"/>
      <c r="B1023" s="108"/>
      <c r="C1023" s="108"/>
      <c r="D1023" s="108"/>
      <c r="E1023" s="108"/>
      <c r="F1023" s="108"/>
      <c r="G1023" s="109"/>
      <c r="H1023" s="110"/>
      <c r="K1023" s="65"/>
      <c r="L1023" s="65"/>
      <c r="N1023" s="65"/>
    </row>
    <row r="1024" spans="1:14">
      <c r="A1024" s="106"/>
      <c r="B1024" s="108"/>
      <c r="C1024" s="108"/>
      <c r="D1024" s="108"/>
      <c r="E1024" s="108"/>
      <c r="F1024" s="108"/>
      <c r="G1024" s="109"/>
      <c r="H1024" s="110"/>
      <c r="K1024" s="65"/>
      <c r="L1024" s="65"/>
      <c r="N1024" s="65"/>
    </row>
    <row r="1025" spans="1:14">
      <c r="A1025" s="106"/>
      <c r="B1025" s="108"/>
      <c r="C1025" s="108"/>
      <c r="D1025" s="108"/>
      <c r="E1025" s="108"/>
      <c r="F1025" s="108"/>
      <c r="G1025" s="109"/>
      <c r="H1025" s="110"/>
      <c r="K1025" s="65"/>
      <c r="L1025" s="65"/>
      <c r="N1025" s="65"/>
    </row>
    <row r="1026" spans="1:14">
      <c r="A1026" s="106"/>
      <c r="B1026" s="108"/>
      <c r="C1026" s="108"/>
      <c r="D1026" s="108"/>
      <c r="E1026" s="108"/>
      <c r="F1026" s="108"/>
      <c r="G1026" s="109"/>
      <c r="H1026" s="110"/>
      <c r="K1026" s="65"/>
      <c r="L1026" s="65"/>
      <c r="N1026" s="65"/>
    </row>
    <row r="1027" spans="1:14">
      <c r="A1027" s="106"/>
      <c r="B1027" s="108"/>
      <c r="C1027" s="108"/>
      <c r="D1027" s="108"/>
      <c r="E1027" s="108"/>
      <c r="F1027" s="108"/>
      <c r="G1027" s="109"/>
      <c r="H1027" s="110"/>
      <c r="K1027" s="65"/>
      <c r="L1027" s="65"/>
      <c r="N1027" s="65"/>
    </row>
    <row r="1028" spans="1:14">
      <c r="A1028" s="106"/>
      <c r="B1028" s="108"/>
      <c r="C1028" s="108"/>
      <c r="D1028" s="108"/>
      <c r="E1028" s="108"/>
      <c r="F1028" s="108"/>
      <c r="G1028" s="109"/>
      <c r="H1028" s="110"/>
      <c r="K1028" s="65"/>
      <c r="L1028" s="65"/>
      <c r="N1028" s="65"/>
    </row>
    <row r="1029" spans="1:14">
      <c r="A1029" s="106"/>
      <c r="B1029" s="108"/>
      <c r="C1029" s="108"/>
      <c r="D1029" s="108"/>
      <c r="E1029" s="108"/>
      <c r="F1029" s="108"/>
      <c r="G1029" s="109"/>
      <c r="H1029" s="110"/>
      <c r="K1029" s="65"/>
      <c r="L1029" s="65"/>
      <c r="N1029" s="65"/>
    </row>
    <row r="1030" spans="1:14">
      <c r="A1030" s="106"/>
      <c r="B1030" s="108"/>
      <c r="C1030" s="108"/>
      <c r="D1030" s="108"/>
      <c r="E1030" s="108"/>
      <c r="F1030" s="108"/>
      <c r="G1030" s="109"/>
      <c r="H1030" s="110"/>
      <c r="K1030" s="65"/>
      <c r="L1030" s="65"/>
      <c r="N1030" s="65"/>
    </row>
    <row r="1031" spans="1:14">
      <c r="A1031" s="106"/>
      <c r="B1031" s="108"/>
      <c r="C1031" s="108"/>
      <c r="D1031" s="108"/>
      <c r="E1031" s="108"/>
      <c r="F1031" s="108"/>
      <c r="G1031" s="109"/>
      <c r="H1031" s="110"/>
      <c r="K1031" s="65"/>
      <c r="L1031" s="65"/>
      <c r="N1031" s="65"/>
    </row>
    <row r="1032" spans="1:14">
      <c r="A1032" s="106"/>
      <c r="B1032" s="108"/>
      <c r="C1032" s="108"/>
      <c r="D1032" s="108"/>
      <c r="E1032" s="108"/>
      <c r="F1032" s="108"/>
      <c r="G1032" s="109"/>
      <c r="H1032" s="110"/>
      <c r="K1032" s="65"/>
      <c r="L1032" s="65"/>
      <c r="N1032" s="65"/>
    </row>
    <row r="1033" spans="1:14">
      <c r="A1033" s="106"/>
      <c r="B1033" s="108"/>
      <c r="C1033" s="108"/>
      <c r="D1033" s="108"/>
      <c r="E1033" s="108"/>
      <c r="F1033" s="108"/>
      <c r="G1033" s="109"/>
      <c r="H1033" s="110"/>
      <c r="K1033" s="65"/>
      <c r="L1033" s="65"/>
      <c r="N1033" s="65"/>
    </row>
    <row r="1034" spans="1:14">
      <c r="A1034" s="106"/>
      <c r="B1034" s="108"/>
      <c r="C1034" s="108"/>
      <c r="D1034" s="108"/>
      <c r="E1034" s="108"/>
      <c r="F1034" s="108"/>
      <c r="G1034" s="109"/>
      <c r="H1034" s="110"/>
      <c r="K1034" s="65"/>
      <c r="L1034" s="65"/>
      <c r="N1034" s="65"/>
    </row>
    <row r="1035" spans="1:14">
      <c r="A1035" s="106"/>
      <c r="B1035" s="108"/>
      <c r="C1035" s="108"/>
      <c r="D1035" s="108"/>
      <c r="E1035" s="108"/>
      <c r="F1035" s="108"/>
      <c r="G1035" s="109"/>
      <c r="H1035" s="110"/>
      <c r="K1035" s="65"/>
      <c r="L1035" s="65"/>
      <c r="N1035" s="65"/>
    </row>
    <row r="1036" spans="1:14">
      <c r="A1036" s="106"/>
      <c r="B1036" s="108"/>
      <c r="C1036" s="108"/>
      <c r="D1036" s="108"/>
      <c r="E1036" s="108"/>
      <c r="F1036" s="108"/>
      <c r="G1036" s="109"/>
      <c r="H1036" s="110"/>
      <c r="K1036" s="65"/>
      <c r="L1036" s="65"/>
      <c r="N1036" s="65"/>
    </row>
    <row r="1037" spans="1:14">
      <c r="A1037" s="106"/>
      <c r="B1037" s="108"/>
      <c r="C1037" s="108"/>
      <c r="D1037" s="108"/>
      <c r="E1037" s="108"/>
      <c r="F1037" s="108"/>
      <c r="G1037" s="109"/>
      <c r="H1037" s="110"/>
      <c r="K1037" s="65"/>
      <c r="L1037" s="65"/>
      <c r="N1037" s="65"/>
    </row>
    <row r="1038" spans="1:14">
      <c r="A1038" s="106"/>
      <c r="B1038" s="108"/>
      <c r="C1038" s="108"/>
      <c r="D1038" s="108"/>
      <c r="E1038" s="108"/>
      <c r="F1038" s="108"/>
      <c r="G1038" s="109"/>
      <c r="H1038" s="110"/>
      <c r="K1038" s="65"/>
      <c r="L1038" s="65"/>
      <c r="N1038" s="65"/>
    </row>
    <row r="1039" spans="1:14">
      <c r="A1039" s="106"/>
      <c r="B1039" s="108"/>
      <c r="C1039" s="108"/>
      <c r="D1039" s="108"/>
      <c r="E1039" s="108"/>
      <c r="F1039" s="108"/>
      <c r="G1039" s="109"/>
      <c r="H1039" s="110"/>
      <c r="K1039" s="65"/>
      <c r="L1039" s="65"/>
      <c r="N1039" s="65"/>
    </row>
    <row r="1040" spans="1:14">
      <c r="A1040" s="106"/>
      <c r="B1040" s="108"/>
      <c r="C1040" s="108"/>
      <c r="D1040" s="108"/>
      <c r="E1040" s="108"/>
      <c r="F1040" s="108"/>
      <c r="G1040" s="109"/>
      <c r="H1040" s="110"/>
      <c r="K1040" s="65"/>
      <c r="L1040" s="65"/>
      <c r="N1040" s="65"/>
    </row>
    <row r="1041" spans="1:14">
      <c r="A1041" s="106"/>
      <c r="B1041" s="108"/>
      <c r="C1041" s="108"/>
      <c r="D1041" s="108"/>
      <c r="E1041" s="108"/>
      <c r="F1041" s="108"/>
      <c r="G1041" s="109"/>
      <c r="H1041" s="110"/>
      <c r="K1041" s="65"/>
      <c r="L1041" s="65"/>
      <c r="N1041" s="65"/>
    </row>
    <row r="1042" spans="1:14">
      <c r="A1042" s="106"/>
      <c r="B1042" s="108"/>
      <c r="C1042" s="108"/>
      <c r="D1042" s="108"/>
      <c r="E1042" s="108"/>
      <c r="F1042" s="108"/>
      <c r="G1042" s="109"/>
      <c r="H1042" s="110"/>
      <c r="K1042" s="65"/>
      <c r="L1042" s="65"/>
      <c r="N1042" s="65"/>
    </row>
    <row r="1043" spans="1:14">
      <c r="A1043" s="106"/>
      <c r="B1043" s="108"/>
      <c r="C1043" s="108"/>
      <c r="D1043" s="108"/>
      <c r="E1043" s="108"/>
      <c r="F1043" s="108"/>
      <c r="G1043" s="109"/>
      <c r="H1043" s="110"/>
      <c r="K1043" s="65"/>
      <c r="L1043" s="65"/>
      <c r="N1043" s="65"/>
    </row>
    <row r="1044" spans="1:14">
      <c r="A1044" s="106"/>
      <c r="B1044" s="108"/>
      <c r="C1044" s="108"/>
      <c r="D1044" s="108"/>
      <c r="E1044" s="108"/>
      <c r="F1044" s="108"/>
      <c r="G1044" s="109"/>
      <c r="H1044" s="110"/>
      <c r="K1044" s="65"/>
      <c r="L1044" s="65"/>
      <c r="N1044" s="65"/>
    </row>
    <row r="1045" spans="1:14">
      <c r="A1045" s="106"/>
      <c r="B1045" s="108"/>
      <c r="C1045" s="108"/>
      <c r="D1045" s="108"/>
      <c r="E1045" s="108"/>
      <c r="F1045" s="108"/>
      <c r="G1045" s="109"/>
      <c r="H1045" s="110"/>
      <c r="K1045" s="65"/>
      <c r="L1045" s="65"/>
      <c r="N1045" s="65"/>
    </row>
    <row r="1046" spans="1:14">
      <c r="A1046" s="106"/>
      <c r="B1046" s="108"/>
      <c r="C1046" s="108"/>
      <c r="D1046" s="108"/>
      <c r="E1046" s="108"/>
      <c r="F1046" s="108"/>
      <c r="G1046" s="109"/>
      <c r="H1046" s="110"/>
      <c r="K1046" s="65"/>
      <c r="L1046" s="65"/>
      <c r="N1046" s="65"/>
    </row>
    <row r="1047" spans="1:14">
      <c r="A1047" s="106"/>
      <c r="B1047" s="108"/>
      <c r="C1047" s="108"/>
      <c r="D1047" s="108"/>
      <c r="E1047" s="108"/>
      <c r="F1047" s="108"/>
      <c r="G1047" s="109"/>
      <c r="H1047" s="110"/>
      <c r="K1047" s="65"/>
      <c r="L1047" s="65"/>
      <c r="N1047" s="65"/>
    </row>
    <row r="1048" spans="1:14">
      <c r="A1048" s="106"/>
      <c r="B1048" s="108"/>
      <c r="C1048" s="108"/>
      <c r="D1048" s="108"/>
      <c r="E1048" s="108"/>
      <c r="F1048" s="108"/>
      <c r="G1048" s="109"/>
      <c r="H1048" s="110"/>
      <c r="K1048" s="65"/>
      <c r="L1048" s="65"/>
      <c r="N1048" s="65"/>
    </row>
    <row r="1049" spans="1:14">
      <c r="A1049" s="106"/>
      <c r="B1049" s="108"/>
      <c r="C1049" s="108"/>
      <c r="D1049" s="108"/>
      <c r="E1049" s="108"/>
      <c r="F1049" s="108"/>
      <c r="G1049" s="109"/>
      <c r="H1049" s="110"/>
      <c r="K1049" s="65"/>
      <c r="L1049" s="65"/>
      <c r="N1049" s="65"/>
    </row>
    <row r="1050" spans="1:14">
      <c r="A1050" s="106"/>
      <c r="B1050" s="108"/>
      <c r="C1050" s="108"/>
      <c r="D1050" s="108"/>
      <c r="E1050" s="108"/>
      <c r="F1050" s="108"/>
      <c r="G1050" s="109"/>
      <c r="H1050" s="110"/>
      <c r="K1050" s="65"/>
      <c r="L1050" s="65"/>
      <c r="N1050" s="65"/>
    </row>
    <row r="1051" spans="1:14">
      <c r="A1051" s="106"/>
      <c r="B1051" s="108"/>
      <c r="C1051" s="108"/>
      <c r="D1051" s="108"/>
      <c r="E1051" s="108"/>
      <c r="F1051" s="108"/>
      <c r="G1051" s="109"/>
      <c r="H1051" s="110"/>
      <c r="K1051" s="65"/>
      <c r="L1051" s="65"/>
      <c r="N1051" s="65"/>
    </row>
    <row r="1052" spans="1:14">
      <c r="A1052" s="106"/>
      <c r="B1052" s="108"/>
      <c r="C1052" s="108"/>
      <c r="D1052" s="108"/>
      <c r="E1052" s="108"/>
      <c r="F1052" s="108"/>
      <c r="G1052" s="109"/>
      <c r="H1052" s="110"/>
      <c r="K1052" s="65"/>
      <c r="L1052" s="65"/>
      <c r="N1052" s="65"/>
    </row>
    <row r="1053" spans="1:14">
      <c r="A1053" s="106"/>
      <c r="B1053" s="108"/>
      <c r="C1053" s="108"/>
      <c r="D1053" s="108"/>
      <c r="E1053" s="108"/>
      <c r="F1053" s="108"/>
      <c r="G1053" s="109"/>
      <c r="H1053" s="110"/>
      <c r="K1053" s="65"/>
      <c r="L1053" s="65"/>
      <c r="N1053" s="65"/>
    </row>
    <row r="1054" spans="1:14">
      <c r="A1054" s="106"/>
      <c r="B1054" s="108"/>
      <c r="C1054" s="108"/>
      <c r="D1054" s="108"/>
      <c r="E1054" s="108"/>
      <c r="F1054" s="108"/>
      <c r="G1054" s="109"/>
      <c r="H1054" s="110"/>
      <c r="K1054" s="65"/>
      <c r="L1054" s="65"/>
      <c r="N1054" s="65"/>
    </row>
    <row r="1055" spans="1:14">
      <c r="A1055" s="106"/>
      <c r="B1055" s="108"/>
      <c r="C1055" s="108"/>
      <c r="D1055" s="108"/>
      <c r="E1055" s="108"/>
      <c r="F1055" s="108"/>
      <c r="G1055" s="109"/>
      <c r="H1055" s="110"/>
      <c r="K1055" s="65"/>
      <c r="L1055" s="65"/>
      <c r="N1055" s="65"/>
    </row>
    <row r="1056" spans="1:14">
      <c r="A1056" s="106"/>
      <c r="B1056" s="108"/>
      <c r="C1056" s="108"/>
      <c r="D1056" s="108"/>
      <c r="E1056" s="108"/>
      <c r="F1056" s="108"/>
      <c r="G1056" s="109"/>
      <c r="H1056" s="110"/>
      <c r="K1056" s="65"/>
      <c r="L1056" s="65"/>
      <c r="N1056" s="65"/>
    </row>
    <row r="1057" spans="1:14">
      <c r="A1057" s="106"/>
      <c r="B1057" s="108"/>
      <c r="C1057" s="108"/>
      <c r="D1057" s="108"/>
      <c r="E1057" s="108"/>
      <c r="F1057" s="108"/>
      <c r="G1057" s="109"/>
      <c r="H1057" s="110"/>
      <c r="K1057" s="65"/>
      <c r="L1057" s="65"/>
      <c r="N1057" s="65"/>
    </row>
    <row r="1058" spans="1:14">
      <c r="A1058" s="106"/>
      <c r="B1058" s="108"/>
      <c r="C1058" s="108"/>
      <c r="D1058" s="108"/>
      <c r="E1058" s="108"/>
      <c r="F1058" s="108"/>
      <c r="G1058" s="109"/>
      <c r="H1058" s="110"/>
      <c r="K1058" s="65"/>
      <c r="L1058" s="65"/>
      <c r="N1058" s="65"/>
    </row>
    <row r="1059" spans="1:14">
      <c r="A1059" s="106"/>
      <c r="B1059" s="108"/>
      <c r="C1059" s="108"/>
      <c r="D1059" s="108"/>
      <c r="E1059" s="108"/>
      <c r="F1059" s="108"/>
      <c r="G1059" s="109"/>
      <c r="H1059" s="110"/>
      <c r="K1059" s="65"/>
      <c r="L1059" s="65"/>
      <c r="N1059" s="65"/>
    </row>
    <row r="1060" spans="1:14">
      <c r="A1060" s="106"/>
      <c r="B1060" s="108"/>
      <c r="C1060" s="108"/>
      <c r="D1060" s="108"/>
      <c r="E1060" s="108"/>
      <c r="F1060" s="108"/>
      <c r="G1060" s="109"/>
      <c r="H1060" s="110"/>
      <c r="K1060" s="65"/>
      <c r="L1060" s="65"/>
      <c r="N1060" s="65"/>
    </row>
    <row r="1061" spans="1:14">
      <c r="A1061" s="106"/>
      <c r="B1061" s="108"/>
      <c r="C1061" s="108"/>
      <c r="D1061" s="108"/>
      <c r="E1061" s="108"/>
      <c r="F1061" s="108"/>
      <c r="G1061" s="109"/>
      <c r="H1061" s="110"/>
      <c r="K1061" s="65"/>
      <c r="L1061" s="65"/>
      <c r="N1061" s="65"/>
    </row>
    <row r="1062" spans="1:14">
      <c r="A1062" s="106"/>
      <c r="B1062" s="108"/>
      <c r="C1062" s="108"/>
      <c r="D1062" s="108"/>
      <c r="E1062" s="108"/>
      <c r="F1062" s="108"/>
      <c r="G1062" s="109"/>
      <c r="H1062" s="110"/>
      <c r="K1062" s="65"/>
      <c r="L1062" s="65"/>
      <c r="N1062" s="65"/>
    </row>
    <row r="1063" spans="1:14">
      <c r="A1063" s="106"/>
      <c r="B1063" s="108"/>
      <c r="C1063" s="108"/>
      <c r="D1063" s="108"/>
      <c r="E1063" s="108"/>
      <c r="F1063" s="108"/>
      <c r="G1063" s="109"/>
      <c r="H1063" s="110"/>
      <c r="K1063" s="65"/>
      <c r="L1063" s="65"/>
      <c r="N1063" s="65"/>
    </row>
    <row r="1064" spans="1:14">
      <c r="A1064" s="106"/>
      <c r="B1064" s="108"/>
      <c r="C1064" s="108"/>
      <c r="D1064" s="108"/>
      <c r="E1064" s="108"/>
      <c r="F1064" s="108"/>
      <c r="G1064" s="109"/>
      <c r="H1064" s="110"/>
      <c r="K1064" s="65"/>
      <c r="L1064" s="65"/>
      <c r="N1064" s="65"/>
    </row>
    <row r="1065" spans="1:14">
      <c r="A1065" s="106"/>
      <c r="B1065" s="108"/>
      <c r="C1065" s="108"/>
      <c r="D1065" s="108"/>
      <c r="E1065" s="108"/>
      <c r="F1065" s="108"/>
      <c r="G1065" s="109"/>
      <c r="H1065" s="110"/>
      <c r="K1065" s="65"/>
      <c r="L1065" s="65"/>
      <c r="N1065" s="65"/>
    </row>
    <row r="1066" spans="1:14">
      <c r="A1066" s="106"/>
      <c r="B1066" s="108"/>
      <c r="C1066" s="108"/>
      <c r="D1066" s="108"/>
      <c r="E1066" s="108"/>
      <c r="F1066" s="108"/>
      <c r="G1066" s="109"/>
      <c r="H1066" s="110"/>
      <c r="K1066" s="65"/>
      <c r="L1066" s="65"/>
      <c r="N1066" s="65"/>
    </row>
    <row r="1067" spans="1:14">
      <c r="A1067" s="106"/>
      <c r="B1067" s="108"/>
      <c r="C1067" s="108"/>
      <c r="D1067" s="108"/>
      <c r="E1067" s="108"/>
      <c r="F1067" s="108"/>
      <c r="G1067" s="109"/>
      <c r="H1067" s="110"/>
      <c r="K1067" s="65"/>
      <c r="L1067" s="65"/>
      <c r="N1067" s="65"/>
    </row>
    <row r="1068" spans="1:14">
      <c r="A1068" s="106"/>
      <c r="B1068" s="108"/>
      <c r="C1068" s="108"/>
      <c r="D1068" s="108"/>
      <c r="E1068" s="108"/>
      <c r="F1068" s="108"/>
      <c r="G1068" s="109"/>
      <c r="H1068" s="110"/>
      <c r="K1068" s="65"/>
      <c r="L1068" s="65"/>
      <c r="N1068" s="65"/>
    </row>
    <row r="1069" spans="1:14">
      <c r="A1069" s="106"/>
      <c r="B1069" s="108"/>
      <c r="C1069" s="108"/>
      <c r="D1069" s="108"/>
      <c r="E1069" s="108"/>
      <c r="F1069" s="108"/>
      <c r="G1069" s="109"/>
      <c r="H1069" s="110"/>
      <c r="K1069" s="65"/>
      <c r="L1069" s="65"/>
      <c r="N1069" s="65"/>
    </row>
    <row r="1070" spans="1:14">
      <c r="A1070" s="106"/>
      <c r="B1070" s="108"/>
      <c r="C1070" s="108"/>
      <c r="D1070" s="108"/>
      <c r="E1070" s="108"/>
      <c r="F1070" s="108"/>
      <c r="G1070" s="109"/>
      <c r="H1070" s="110"/>
      <c r="K1070" s="65"/>
      <c r="L1070" s="65"/>
      <c r="N1070" s="65"/>
    </row>
    <row r="1071" spans="1:14">
      <c r="A1071" s="106"/>
      <c r="B1071" s="108"/>
      <c r="C1071" s="108"/>
      <c r="D1071" s="108"/>
      <c r="E1071" s="108"/>
      <c r="F1071" s="108"/>
      <c r="G1071" s="109"/>
      <c r="H1071" s="110"/>
      <c r="K1071" s="65"/>
      <c r="L1071" s="65"/>
      <c r="N1071" s="65"/>
    </row>
    <row r="1072" spans="1:14">
      <c r="A1072" s="106"/>
      <c r="B1072" s="108"/>
      <c r="C1072" s="108"/>
      <c r="D1072" s="108"/>
      <c r="E1072" s="108"/>
      <c r="F1072" s="108"/>
      <c r="G1072" s="109"/>
      <c r="H1072" s="110"/>
      <c r="K1072" s="65"/>
      <c r="L1072" s="65"/>
      <c r="N1072" s="65"/>
    </row>
    <row r="1073" spans="1:14">
      <c r="A1073" s="106"/>
      <c r="B1073" s="108"/>
      <c r="C1073" s="108"/>
      <c r="D1073" s="108"/>
      <c r="E1073" s="108"/>
      <c r="F1073" s="108"/>
      <c r="G1073" s="109"/>
      <c r="H1073" s="110"/>
      <c r="K1073" s="65"/>
      <c r="L1073" s="65"/>
      <c r="N1073" s="65"/>
    </row>
    <row r="1074" spans="1:14">
      <c r="A1074" s="106"/>
      <c r="B1074" s="108"/>
      <c r="C1074" s="108"/>
      <c r="D1074" s="108"/>
      <c r="E1074" s="108"/>
      <c r="F1074" s="108"/>
      <c r="G1074" s="109"/>
      <c r="H1074" s="110"/>
      <c r="K1074" s="65"/>
      <c r="L1074" s="65"/>
      <c r="N1074" s="65"/>
    </row>
    <row r="1075" spans="1:14">
      <c r="A1075" s="106"/>
      <c r="B1075" s="108"/>
      <c r="C1075" s="108"/>
      <c r="D1075" s="108"/>
      <c r="E1075" s="108"/>
      <c r="F1075" s="108"/>
      <c r="G1075" s="109"/>
      <c r="H1075" s="110"/>
      <c r="K1075" s="65"/>
      <c r="L1075" s="65"/>
      <c r="N1075" s="65"/>
    </row>
    <row r="1076" spans="1:14">
      <c r="A1076" s="106"/>
      <c r="B1076" s="108"/>
      <c r="C1076" s="108"/>
      <c r="D1076" s="108"/>
      <c r="E1076" s="108"/>
      <c r="F1076" s="108"/>
      <c r="G1076" s="109"/>
      <c r="H1076" s="110"/>
      <c r="K1076" s="65"/>
      <c r="L1076" s="65"/>
      <c r="N1076" s="65"/>
    </row>
    <row r="1077" spans="1:14">
      <c r="A1077" s="106"/>
      <c r="B1077" s="108"/>
      <c r="C1077" s="108"/>
      <c r="D1077" s="108"/>
      <c r="E1077" s="108"/>
      <c r="F1077" s="108"/>
      <c r="G1077" s="109"/>
      <c r="H1077" s="110"/>
      <c r="K1077" s="65"/>
      <c r="L1077" s="65"/>
      <c r="N1077" s="65"/>
    </row>
    <row r="1078" spans="1:14">
      <c r="A1078" s="106"/>
      <c r="B1078" s="108"/>
      <c r="C1078" s="108"/>
      <c r="D1078" s="108"/>
      <c r="E1078" s="108"/>
      <c r="F1078" s="108"/>
      <c r="G1078" s="109"/>
      <c r="H1078" s="110"/>
      <c r="K1078" s="65"/>
      <c r="L1078" s="65"/>
      <c r="N1078" s="65"/>
    </row>
    <row r="1079" spans="1:14">
      <c r="A1079" s="106"/>
      <c r="B1079" s="108"/>
      <c r="C1079" s="108"/>
      <c r="D1079" s="108"/>
      <c r="E1079" s="108"/>
      <c r="F1079" s="108"/>
      <c r="G1079" s="109"/>
      <c r="H1079" s="110"/>
      <c r="K1079" s="65"/>
      <c r="L1079" s="65"/>
      <c r="N1079" s="65"/>
    </row>
    <row r="1080" spans="1:14">
      <c r="A1080" s="106"/>
      <c r="B1080" s="108"/>
      <c r="C1080" s="108"/>
      <c r="D1080" s="108"/>
      <c r="E1080" s="108"/>
      <c r="F1080" s="108"/>
      <c r="G1080" s="109"/>
      <c r="H1080" s="110"/>
      <c r="K1080" s="65"/>
      <c r="L1080" s="65"/>
      <c r="N1080" s="65"/>
    </row>
    <row r="1081" spans="1:14">
      <c r="A1081" s="106"/>
      <c r="B1081" s="108"/>
      <c r="C1081" s="108"/>
      <c r="D1081" s="108"/>
      <c r="E1081" s="108"/>
      <c r="F1081" s="108"/>
      <c r="G1081" s="109"/>
      <c r="H1081" s="110"/>
      <c r="K1081" s="65"/>
      <c r="L1081" s="65"/>
      <c r="N1081" s="65"/>
    </row>
    <row r="1082" spans="1:14">
      <c r="A1082" s="106"/>
      <c r="B1082" s="108"/>
      <c r="C1082" s="108"/>
      <c r="D1082" s="108"/>
      <c r="E1082" s="108"/>
      <c r="F1082" s="108"/>
      <c r="G1082" s="109"/>
      <c r="H1082" s="110"/>
      <c r="K1082" s="65"/>
      <c r="L1082" s="65"/>
      <c r="N1082" s="65"/>
    </row>
    <row r="1083" spans="1:14">
      <c r="A1083" s="106"/>
      <c r="B1083" s="108"/>
      <c r="C1083" s="108"/>
      <c r="D1083" s="108"/>
      <c r="E1083" s="108"/>
      <c r="F1083" s="108"/>
      <c r="G1083" s="109"/>
      <c r="H1083" s="110"/>
      <c r="K1083" s="65"/>
      <c r="L1083" s="65"/>
      <c r="N1083" s="65"/>
    </row>
    <row r="1084" spans="1:14">
      <c r="A1084" s="106"/>
      <c r="B1084" s="108"/>
      <c r="C1084" s="108"/>
      <c r="D1084" s="108"/>
      <c r="E1084" s="108"/>
      <c r="F1084" s="108"/>
      <c r="G1084" s="109"/>
      <c r="H1084" s="110"/>
      <c r="K1084" s="65"/>
      <c r="L1084" s="65"/>
      <c r="N1084" s="65"/>
    </row>
    <row r="1085" spans="1:14">
      <c r="A1085" s="106"/>
      <c r="B1085" s="108"/>
      <c r="C1085" s="108"/>
      <c r="D1085" s="108"/>
      <c r="E1085" s="108"/>
      <c r="F1085" s="108"/>
      <c r="G1085" s="109"/>
      <c r="H1085" s="110"/>
      <c r="K1085" s="65"/>
      <c r="L1085" s="65"/>
      <c r="N1085" s="65"/>
    </row>
    <row r="1086" spans="1:14">
      <c r="A1086" s="106"/>
      <c r="B1086" s="108"/>
      <c r="C1086" s="108"/>
      <c r="D1086" s="108"/>
      <c r="E1086" s="108"/>
      <c r="F1086" s="108"/>
      <c r="G1086" s="109"/>
      <c r="H1086" s="110"/>
      <c r="K1086" s="65"/>
      <c r="L1086" s="65"/>
      <c r="N1086" s="65"/>
    </row>
    <row r="1087" spans="1:14">
      <c r="A1087" s="106"/>
      <c r="B1087" s="108"/>
      <c r="C1087" s="108"/>
      <c r="D1087" s="108"/>
      <c r="E1087" s="108"/>
      <c r="F1087" s="108"/>
      <c r="G1087" s="109"/>
      <c r="H1087" s="110"/>
      <c r="K1087" s="65"/>
      <c r="L1087" s="65"/>
      <c r="N1087" s="65"/>
    </row>
    <row r="1088" spans="1:14">
      <c r="A1088" s="106"/>
      <c r="B1088" s="108"/>
      <c r="C1088" s="108"/>
      <c r="D1088" s="108"/>
      <c r="E1088" s="108"/>
      <c r="F1088" s="108"/>
      <c r="G1088" s="109"/>
      <c r="H1088" s="110"/>
      <c r="K1088" s="65"/>
      <c r="L1088" s="65"/>
      <c r="N1088" s="65"/>
    </row>
    <row r="1089" spans="1:14">
      <c r="A1089" s="106"/>
      <c r="B1089" s="108"/>
      <c r="C1089" s="108"/>
      <c r="D1089" s="108"/>
      <c r="E1089" s="108"/>
      <c r="F1089" s="108"/>
      <c r="G1089" s="109"/>
      <c r="H1089" s="110"/>
      <c r="K1089" s="65"/>
      <c r="L1089" s="65"/>
      <c r="N1089" s="65"/>
    </row>
    <row r="1090" spans="1:14">
      <c r="A1090" s="106"/>
      <c r="B1090" s="108"/>
      <c r="C1090" s="108"/>
      <c r="D1090" s="108"/>
      <c r="E1090" s="108"/>
      <c r="F1090" s="108"/>
      <c r="G1090" s="109"/>
      <c r="H1090" s="110"/>
      <c r="K1090" s="65"/>
      <c r="L1090" s="65"/>
      <c r="N1090" s="65"/>
    </row>
    <row r="1091" spans="1:14">
      <c r="A1091" s="106"/>
      <c r="B1091" s="108"/>
      <c r="C1091" s="108"/>
      <c r="D1091" s="108"/>
      <c r="E1091" s="108"/>
      <c r="F1091" s="108"/>
      <c r="G1091" s="109"/>
      <c r="H1091" s="110"/>
      <c r="K1091" s="65"/>
      <c r="L1091" s="65"/>
      <c r="N1091" s="65"/>
    </row>
    <row r="1092" spans="1:14">
      <c r="A1092" s="106"/>
      <c r="B1092" s="108"/>
      <c r="C1092" s="108"/>
      <c r="D1092" s="108"/>
      <c r="E1092" s="108"/>
      <c r="F1092" s="108"/>
      <c r="G1092" s="109"/>
      <c r="H1092" s="110"/>
      <c r="K1092" s="65"/>
      <c r="L1092" s="65"/>
      <c r="N1092" s="65"/>
    </row>
    <row r="1093" spans="1:14">
      <c r="A1093" s="106"/>
      <c r="B1093" s="108"/>
      <c r="C1093" s="108"/>
      <c r="D1093" s="108"/>
      <c r="E1093" s="108"/>
      <c r="F1093" s="108"/>
      <c r="G1093" s="109"/>
      <c r="H1093" s="110"/>
      <c r="K1093" s="65"/>
      <c r="L1093" s="65"/>
      <c r="N1093" s="65"/>
    </row>
    <row r="1094" spans="1:14">
      <c r="A1094" s="106"/>
      <c r="B1094" s="108"/>
      <c r="C1094" s="108"/>
      <c r="D1094" s="108"/>
      <c r="E1094" s="108"/>
      <c r="F1094" s="108"/>
      <c r="G1094" s="109"/>
      <c r="H1094" s="110"/>
      <c r="K1094" s="65"/>
      <c r="L1094" s="65"/>
      <c r="N1094" s="65"/>
    </row>
    <row r="1095" spans="1:14">
      <c r="A1095" s="106"/>
      <c r="B1095" s="108"/>
      <c r="C1095" s="108"/>
      <c r="D1095" s="108"/>
      <c r="E1095" s="108"/>
      <c r="F1095" s="108"/>
      <c r="G1095" s="109"/>
      <c r="H1095" s="110"/>
      <c r="K1095" s="65"/>
      <c r="L1095" s="65"/>
      <c r="N1095" s="65"/>
    </row>
    <row r="1096" spans="1:14">
      <c r="A1096" s="106"/>
      <c r="B1096" s="108"/>
      <c r="C1096" s="108"/>
      <c r="D1096" s="108"/>
      <c r="E1096" s="108"/>
      <c r="F1096" s="108"/>
      <c r="G1096" s="109"/>
      <c r="H1096" s="110"/>
      <c r="K1096" s="65"/>
      <c r="L1096" s="65"/>
      <c r="N1096" s="65"/>
    </row>
    <row r="1097" spans="1:14">
      <c r="A1097" s="106"/>
      <c r="B1097" s="108"/>
      <c r="C1097" s="108"/>
      <c r="D1097" s="108"/>
      <c r="E1097" s="108"/>
      <c r="F1097" s="108"/>
      <c r="G1097" s="109"/>
      <c r="H1097" s="110"/>
      <c r="K1097" s="65"/>
      <c r="L1097" s="65"/>
      <c r="N1097" s="65"/>
    </row>
    <row r="1098" spans="1:14">
      <c r="A1098" s="106"/>
      <c r="B1098" s="108"/>
      <c r="C1098" s="108"/>
      <c r="D1098" s="108"/>
      <c r="E1098" s="108"/>
      <c r="F1098" s="108"/>
      <c r="G1098" s="109"/>
      <c r="H1098" s="110"/>
      <c r="K1098" s="65"/>
      <c r="L1098" s="65"/>
      <c r="N1098" s="65"/>
    </row>
    <row r="1099" spans="1:14">
      <c r="A1099" s="106"/>
      <c r="B1099" s="108"/>
      <c r="C1099" s="108"/>
      <c r="D1099" s="108"/>
      <c r="E1099" s="108"/>
      <c r="F1099" s="108"/>
      <c r="G1099" s="109"/>
      <c r="H1099" s="110"/>
      <c r="K1099" s="65"/>
      <c r="L1099" s="65"/>
      <c r="N1099" s="65"/>
    </row>
    <row r="1100" spans="1:14">
      <c r="A1100" s="106"/>
      <c r="B1100" s="108"/>
      <c r="C1100" s="108"/>
      <c r="D1100" s="108"/>
      <c r="E1100" s="108"/>
      <c r="F1100" s="108"/>
      <c r="G1100" s="109"/>
      <c r="H1100" s="110"/>
      <c r="K1100" s="65"/>
      <c r="L1100" s="65"/>
      <c r="N1100" s="65"/>
    </row>
    <row r="1101" spans="1:14">
      <c r="A1101" s="106"/>
      <c r="B1101" s="108"/>
      <c r="C1101" s="108"/>
      <c r="D1101" s="108"/>
      <c r="E1101" s="108"/>
      <c r="F1101" s="108"/>
      <c r="G1101" s="109"/>
      <c r="H1101" s="110"/>
      <c r="K1101" s="65"/>
      <c r="L1101" s="65"/>
      <c r="N1101" s="65"/>
    </row>
    <row r="1102" spans="1:14">
      <c r="A1102" s="106"/>
      <c r="B1102" s="108"/>
      <c r="C1102" s="108"/>
      <c r="D1102" s="108"/>
      <c r="E1102" s="108"/>
      <c r="F1102" s="108"/>
      <c r="G1102" s="109"/>
      <c r="H1102" s="110"/>
      <c r="K1102" s="65"/>
      <c r="L1102" s="65"/>
      <c r="N1102" s="65"/>
    </row>
    <row r="1103" spans="1:14">
      <c r="A1103" s="106"/>
      <c r="B1103" s="108"/>
      <c r="C1103" s="108"/>
      <c r="D1103" s="108"/>
      <c r="E1103" s="108"/>
      <c r="F1103" s="108"/>
      <c r="G1103" s="109"/>
      <c r="H1103" s="110"/>
      <c r="K1103" s="65"/>
      <c r="L1103" s="65"/>
      <c r="N1103" s="65"/>
    </row>
    <row r="1104" spans="1:14">
      <c r="A1104" s="106"/>
      <c r="B1104" s="108"/>
      <c r="C1104" s="108"/>
      <c r="D1104" s="108"/>
      <c r="E1104" s="108"/>
      <c r="F1104" s="108"/>
      <c r="G1104" s="109"/>
      <c r="H1104" s="110"/>
      <c r="K1104" s="65"/>
      <c r="L1104" s="65"/>
      <c r="N1104" s="65"/>
    </row>
    <row r="1105" spans="1:14">
      <c r="A1105" s="106"/>
      <c r="B1105" s="108"/>
      <c r="C1105" s="108"/>
      <c r="D1105" s="108"/>
      <c r="E1105" s="108"/>
      <c r="F1105" s="108"/>
      <c r="G1105" s="109"/>
      <c r="H1105" s="110"/>
      <c r="K1105" s="65"/>
      <c r="L1105" s="65"/>
      <c r="N1105" s="65"/>
    </row>
    <row r="1106" spans="1:14">
      <c r="A1106" s="106"/>
      <c r="B1106" s="108"/>
      <c r="C1106" s="108"/>
      <c r="D1106" s="108"/>
      <c r="E1106" s="108"/>
      <c r="F1106" s="108"/>
      <c r="G1106" s="109"/>
      <c r="H1106" s="110"/>
      <c r="K1106" s="65"/>
      <c r="L1106" s="65"/>
      <c r="N1106" s="65"/>
    </row>
    <row r="1107" spans="1:14">
      <c r="A1107" s="106"/>
      <c r="B1107" s="108"/>
      <c r="C1107" s="108"/>
      <c r="D1107" s="108"/>
      <c r="E1107" s="108"/>
      <c r="F1107" s="108"/>
      <c r="G1107" s="109"/>
      <c r="H1107" s="110"/>
      <c r="K1107" s="65"/>
      <c r="L1107" s="65"/>
      <c r="N1107" s="65"/>
    </row>
    <row r="1108" spans="1:14">
      <c r="A1108" s="106"/>
      <c r="B1108" s="108"/>
      <c r="C1108" s="108"/>
      <c r="D1108" s="108"/>
      <c r="E1108" s="108"/>
      <c r="F1108" s="108"/>
      <c r="G1108" s="109"/>
      <c r="H1108" s="110"/>
      <c r="K1108" s="65"/>
      <c r="L1108" s="65"/>
      <c r="N1108" s="65"/>
    </row>
    <row r="1109" spans="1:14">
      <c r="A1109" s="106"/>
      <c r="B1109" s="108"/>
      <c r="C1109" s="108"/>
      <c r="D1109" s="108"/>
      <c r="E1109" s="108"/>
      <c r="F1109" s="108"/>
      <c r="G1109" s="109"/>
      <c r="H1109" s="110"/>
      <c r="K1109" s="65"/>
      <c r="L1109" s="65"/>
      <c r="N1109" s="65"/>
    </row>
    <row r="1110" spans="1:14">
      <c r="A1110" s="106"/>
      <c r="B1110" s="108"/>
      <c r="C1110" s="108"/>
      <c r="D1110" s="108"/>
      <c r="E1110" s="108"/>
      <c r="F1110" s="108"/>
      <c r="G1110" s="109"/>
      <c r="H1110" s="110"/>
      <c r="K1110" s="65"/>
      <c r="L1110" s="65"/>
      <c r="N1110" s="65"/>
    </row>
    <row r="1111" spans="1:14">
      <c r="A1111" s="106"/>
      <c r="B1111" s="108"/>
      <c r="C1111" s="108"/>
      <c r="D1111" s="108"/>
      <c r="E1111" s="108"/>
      <c r="F1111" s="108"/>
      <c r="G1111" s="109"/>
      <c r="H1111" s="110"/>
      <c r="K1111" s="65"/>
      <c r="L1111" s="65"/>
      <c r="N1111" s="65"/>
    </row>
    <row r="1112" spans="1:14">
      <c r="A1112" s="106"/>
      <c r="B1112" s="108"/>
      <c r="C1112" s="108"/>
      <c r="D1112" s="108"/>
      <c r="E1112" s="108"/>
      <c r="F1112" s="108"/>
      <c r="G1112" s="109"/>
      <c r="H1112" s="110"/>
      <c r="K1112" s="65"/>
      <c r="L1112" s="65"/>
      <c r="N1112" s="65"/>
    </row>
    <row r="1113" spans="1:14">
      <c r="A1113" s="106"/>
      <c r="B1113" s="108"/>
      <c r="C1113" s="108"/>
      <c r="D1113" s="108"/>
      <c r="E1113" s="108"/>
      <c r="F1113" s="108"/>
      <c r="G1113" s="109"/>
      <c r="H1113" s="110"/>
      <c r="K1113" s="65"/>
      <c r="L1113" s="65"/>
      <c r="N1113" s="65"/>
    </row>
    <row r="1114" spans="1:14">
      <c r="A1114" s="106"/>
      <c r="B1114" s="108"/>
      <c r="C1114" s="108"/>
      <c r="D1114" s="108"/>
      <c r="E1114" s="108"/>
      <c r="F1114" s="108"/>
      <c r="G1114" s="109"/>
      <c r="H1114" s="110"/>
      <c r="K1114" s="65"/>
      <c r="L1114" s="65"/>
      <c r="N1114" s="65"/>
    </row>
    <row r="1115" spans="1:14">
      <c r="A1115" s="106"/>
      <c r="B1115" s="108"/>
      <c r="C1115" s="108"/>
      <c r="D1115" s="108"/>
      <c r="E1115" s="108"/>
      <c r="F1115" s="108"/>
      <c r="G1115" s="109"/>
      <c r="H1115" s="110"/>
      <c r="K1115" s="65"/>
      <c r="L1115" s="65"/>
      <c r="N1115" s="65"/>
    </row>
    <row r="1116" spans="1:14">
      <c r="A1116" s="106"/>
      <c r="B1116" s="108"/>
      <c r="C1116" s="108"/>
      <c r="D1116" s="108"/>
      <c r="E1116" s="108"/>
      <c r="F1116" s="108"/>
      <c r="G1116" s="109"/>
      <c r="H1116" s="110"/>
      <c r="K1116" s="65"/>
      <c r="L1116" s="65"/>
      <c r="N1116" s="65"/>
    </row>
    <row r="1117" spans="1:14">
      <c r="A1117" s="106"/>
      <c r="B1117" s="108"/>
      <c r="C1117" s="108"/>
      <c r="D1117" s="108"/>
      <c r="E1117" s="108"/>
      <c r="F1117" s="108"/>
      <c r="G1117" s="109"/>
      <c r="H1117" s="110"/>
      <c r="K1117" s="65"/>
      <c r="L1117" s="65"/>
      <c r="N1117" s="65"/>
    </row>
    <row r="1118" spans="1:14">
      <c r="A1118" s="106"/>
      <c r="B1118" s="108"/>
      <c r="C1118" s="108"/>
      <c r="D1118" s="108"/>
      <c r="E1118" s="108"/>
      <c r="F1118" s="108"/>
      <c r="G1118" s="109"/>
      <c r="H1118" s="110"/>
      <c r="K1118" s="65"/>
      <c r="L1118" s="65"/>
      <c r="N1118" s="65"/>
    </row>
    <row r="1119" spans="1:14">
      <c r="A1119" s="106"/>
      <c r="B1119" s="108"/>
      <c r="C1119" s="108"/>
      <c r="D1119" s="108"/>
      <c r="E1119" s="108"/>
      <c r="F1119" s="108"/>
      <c r="G1119" s="109"/>
      <c r="H1119" s="110"/>
      <c r="K1119" s="65"/>
      <c r="L1119" s="65"/>
      <c r="N1119" s="65"/>
    </row>
    <row r="1120" spans="1:14">
      <c r="A1120" s="106"/>
      <c r="B1120" s="108"/>
      <c r="C1120" s="108"/>
      <c r="D1120" s="108"/>
      <c r="E1120" s="108"/>
      <c r="F1120" s="108"/>
      <c r="G1120" s="109"/>
      <c r="H1120" s="110"/>
      <c r="K1120" s="65"/>
      <c r="L1120" s="65"/>
      <c r="N1120" s="65"/>
    </row>
    <row r="1121" spans="1:14">
      <c r="A1121" s="106"/>
      <c r="B1121" s="108"/>
      <c r="C1121" s="108"/>
      <c r="D1121" s="108"/>
      <c r="E1121" s="108"/>
      <c r="F1121" s="108"/>
      <c r="G1121" s="109"/>
      <c r="H1121" s="110"/>
      <c r="K1121" s="65"/>
      <c r="L1121" s="65"/>
      <c r="N1121" s="65"/>
    </row>
    <row r="1122" spans="1:14">
      <c r="A1122" s="106"/>
      <c r="B1122" s="108"/>
      <c r="C1122" s="108"/>
      <c r="D1122" s="108"/>
      <c r="E1122" s="108"/>
      <c r="F1122" s="108"/>
      <c r="G1122" s="109"/>
      <c r="H1122" s="110"/>
      <c r="K1122" s="65"/>
      <c r="L1122" s="65"/>
      <c r="N1122" s="65"/>
    </row>
    <row r="1123" spans="1:14">
      <c r="A1123" s="106"/>
      <c r="B1123" s="108"/>
      <c r="C1123" s="108"/>
      <c r="D1123" s="108"/>
      <c r="E1123" s="108"/>
      <c r="F1123" s="108"/>
      <c r="G1123" s="109"/>
      <c r="H1123" s="110"/>
      <c r="K1123" s="65"/>
      <c r="L1123" s="65"/>
      <c r="N1123" s="65"/>
    </row>
    <row r="1124" spans="1:14">
      <c r="A1124" s="106"/>
      <c r="B1124" s="108"/>
      <c r="C1124" s="108"/>
      <c r="D1124" s="108"/>
      <c r="E1124" s="108"/>
      <c r="F1124" s="108"/>
      <c r="G1124" s="109"/>
      <c r="H1124" s="110"/>
      <c r="K1124" s="65"/>
      <c r="L1124" s="65"/>
      <c r="N1124" s="65"/>
    </row>
    <row r="1125" spans="1:14">
      <c r="A1125" s="106"/>
      <c r="B1125" s="108"/>
      <c r="C1125" s="108"/>
      <c r="D1125" s="108"/>
      <c r="E1125" s="108"/>
      <c r="F1125" s="108"/>
      <c r="G1125" s="109"/>
      <c r="H1125" s="110"/>
      <c r="K1125" s="65"/>
      <c r="L1125" s="65"/>
      <c r="N1125" s="65"/>
    </row>
    <row r="1126" spans="1:14">
      <c r="A1126" s="106"/>
      <c r="B1126" s="108"/>
      <c r="C1126" s="108"/>
      <c r="D1126" s="108"/>
      <c r="E1126" s="108"/>
      <c r="F1126" s="108"/>
      <c r="G1126" s="109"/>
      <c r="H1126" s="110"/>
      <c r="K1126" s="65"/>
      <c r="L1126" s="65"/>
      <c r="N1126" s="65"/>
    </row>
    <row r="1127" spans="1:14">
      <c r="A1127" s="106"/>
      <c r="B1127" s="108"/>
      <c r="C1127" s="108"/>
      <c r="D1127" s="108"/>
      <c r="E1127" s="108"/>
      <c r="F1127" s="108"/>
      <c r="G1127" s="109"/>
      <c r="H1127" s="110"/>
      <c r="K1127" s="65"/>
      <c r="L1127" s="65"/>
      <c r="N1127" s="65"/>
    </row>
    <row r="1128" spans="1:14">
      <c r="A1128" s="106"/>
      <c r="B1128" s="108"/>
      <c r="C1128" s="108"/>
      <c r="D1128" s="108"/>
      <c r="E1128" s="108"/>
      <c r="F1128" s="108"/>
      <c r="G1128" s="109"/>
      <c r="H1128" s="110"/>
      <c r="K1128" s="65"/>
      <c r="L1128" s="65"/>
      <c r="N1128" s="65"/>
    </row>
    <row r="1129" spans="1:14">
      <c r="A1129" s="106"/>
      <c r="B1129" s="108"/>
      <c r="C1129" s="108"/>
      <c r="D1129" s="108"/>
      <c r="E1129" s="108"/>
      <c r="F1129" s="108"/>
      <c r="G1129" s="109"/>
      <c r="H1129" s="110"/>
      <c r="K1129" s="65"/>
      <c r="L1129" s="65"/>
      <c r="N1129" s="65"/>
    </row>
    <row r="1130" spans="1:14">
      <c r="A1130" s="106"/>
      <c r="B1130" s="108"/>
      <c r="C1130" s="108"/>
      <c r="D1130" s="108"/>
      <c r="E1130" s="108"/>
      <c r="F1130" s="108"/>
      <c r="G1130" s="109"/>
      <c r="H1130" s="110"/>
      <c r="K1130" s="65"/>
      <c r="L1130" s="65"/>
      <c r="N1130" s="65"/>
    </row>
    <row r="1131" spans="1:14">
      <c r="A1131" s="106"/>
      <c r="B1131" s="108"/>
      <c r="C1131" s="108"/>
      <c r="D1131" s="108"/>
      <c r="E1131" s="108"/>
      <c r="F1131" s="108"/>
      <c r="G1131" s="109"/>
      <c r="H1131" s="110"/>
      <c r="K1131" s="65"/>
      <c r="L1131" s="65"/>
      <c r="N1131" s="65"/>
    </row>
    <row r="1132" spans="1:14">
      <c r="A1132" s="106"/>
      <c r="B1132" s="108"/>
      <c r="C1132" s="108"/>
      <c r="D1132" s="108"/>
      <c r="E1132" s="108"/>
      <c r="F1132" s="108"/>
      <c r="G1132" s="109"/>
      <c r="H1132" s="110"/>
      <c r="K1132" s="65"/>
      <c r="L1132" s="65"/>
      <c r="N1132" s="65"/>
    </row>
    <row r="1133" spans="1:14">
      <c r="A1133" s="106"/>
      <c r="B1133" s="108"/>
      <c r="C1133" s="108"/>
      <c r="D1133" s="108"/>
      <c r="E1133" s="108"/>
      <c r="F1133" s="108"/>
      <c r="G1133" s="109"/>
      <c r="H1133" s="110"/>
      <c r="K1133" s="65"/>
      <c r="L1133" s="65"/>
      <c r="N1133" s="65"/>
    </row>
    <row r="1134" spans="1:14">
      <c r="A1134" s="106"/>
      <c r="B1134" s="108"/>
      <c r="C1134" s="108"/>
      <c r="D1134" s="108"/>
      <c r="E1134" s="108"/>
      <c r="F1134" s="108"/>
      <c r="G1134" s="109"/>
      <c r="H1134" s="110"/>
      <c r="K1134" s="65"/>
      <c r="L1134" s="65"/>
      <c r="N1134" s="65"/>
    </row>
    <row r="1135" spans="1:14">
      <c r="A1135" s="106"/>
      <c r="B1135" s="108"/>
      <c r="C1135" s="108"/>
      <c r="D1135" s="108"/>
      <c r="E1135" s="108"/>
      <c r="F1135" s="108"/>
      <c r="G1135" s="109"/>
      <c r="H1135" s="110"/>
      <c r="K1135" s="65"/>
      <c r="L1135" s="65"/>
      <c r="N1135" s="65"/>
    </row>
    <row r="1136" spans="1:14">
      <c r="A1136" s="106"/>
      <c r="B1136" s="108"/>
      <c r="C1136" s="108"/>
      <c r="D1136" s="108"/>
      <c r="E1136" s="108"/>
      <c r="F1136" s="108"/>
      <c r="G1136" s="109"/>
      <c r="H1136" s="110"/>
      <c r="K1136" s="65"/>
      <c r="L1136" s="65"/>
      <c r="N1136" s="65"/>
    </row>
    <row r="1137" spans="1:14">
      <c r="A1137" s="106"/>
      <c r="B1137" s="108"/>
      <c r="C1137" s="108"/>
      <c r="D1137" s="108"/>
      <c r="E1137" s="108"/>
      <c r="F1137" s="108"/>
      <c r="G1137" s="109"/>
      <c r="H1137" s="110"/>
      <c r="K1137" s="65"/>
      <c r="L1137" s="65"/>
      <c r="N1137" s="65"/>
    </row>
    <row r="1138" spans="1:14">
      <c r="A1138" s="106"/>
      <c r="B1138" s="108"/>
      <c r="C1138" s="108"/>
      <c r="D1138" s="108"/>
      <c r="E1138" s="108"/>
      <c r="F1138" s="108"/>
      <c r="G1138" s="109"/>
      <c r="H1138" s="110"/>
      <c r="K1138" s="65"/>
      <c r="L1138" s="65"/>
      <c r="N1138" s="65"/>
    </row>
    <row r="1139" spans="1:14">
      <c r="A1139" s="106"/>
      <c r="B1139" s="108"/>
      <c r="C1139" s="108"/>
      <c r="D1139" s="108"/>
      <c r="E1139" s="108"/>
      <c r="F1139" s="108"/>
      <c r="G1139" s="109"/>
      <c r="H1139" s="110"/>
      <c r="K1139" s="65"/>
      <c r="L1139" s="65"/>
      <c r="N1139" s="65"/>
    </row>
    <row r="1140" spans="1:14">
      <c r="A1140" s="106"/>
      <c r="B1140" s="108"/>
      <c r="C1140" s="108"/>
      <c r="D1140" s="108"/>
      <c r="E1140" s="108"/>
      <c r="F1140" s="108"/>
      <c r="G1140" s="109"/>
      <c r="H1140" s="110"/>
      <c r="K1140" s="65"/>
      <c r="L1140" s="65"/>
      <c r="N1140" s="65"/>
    </row>
    <row r="1141" spans="1:14">
      <c r="A1141" s="106"/>
      <c r="B1141" s="108"/>
      <c r="C1141" s="108"/>
      <c r="D1141" s="108"/>
      <c r="E1141" s="108"/>
      <c r="F1141" s="108"/>
      <c r="G1141" s="109"/>
      <c r="H1141" s="110"/>
      <c r="K1141" s="65"/>
      <c r="L1141" s="65"/>
      <c r="N1141" s="65"/>
    </row>
    <row r="1142" spans="1:14">
      <c r="A1142" s="106"/>
      <c r="B1142" s="108"/>
      <c r="C1142" s="108"/>
      <c r="D1142" s="108"/>
      <c r="E1142" s="108"/>
      <c r="F1142" s="108"/>
      <c r="G1142" s="109"/>
      <c r="H1142" s="110"/>
      <c r="K1142" s="65"/>
      <c r="L1142" s="65"/>
      <c r="N1142" s="65"/>
    </row>
    <row r="1143" spans="1:14">
      <c r="A1143" s="106"/>
      <c r="B1143" s="108"/>
      <c r="C1143" s="108"/>
      <c r="D1143" s="108"/>
      <c r="E1143" s="108"/>
      <c r="F1143" s="108"/>
      <c r="G1143" s="109"/>
      <c r="H1143" s="110"/>
      <c r="K1143" s="65"/>
      <c r="L1143" s="65"/>
      <c r="N1143" s="65"/>
    </row>
    <row r="1144" spans="1:14">
      <c r="A1144" s="106"/>
      <c r="B1144" s="108"/>
      <c r="C1144" s="108"/>
      <c r="D1144" s="108"/>
      <c r="E1144" s="108"/>
      <c r="F1144" s="108"/>
      <c r="G1144" s="109"/>
      <c r="H1144" s="110"/>
      <c r="K1144" s="65"/>
      <c r="L1144" s="65"/>
      <c r="N1144" s="65"/>
    </row>
    <row r="1145" spans="1:14">
      <c r="A1145" s="106"/>
      <c r="B1145" s="108"/>
      <c r="C1145" s="108"/>
      <c r="D1145" s="108"/>
      <c r="E1145" s="108"/>
      <c r="F1145" s="108"/>
      <c r="G1145" s="109"/>
      <c r="H1145" s="110"/>
      <c r="K1145" s="65"/>
      <c r="L1145" s="65"/>
      <c r="N1145" s="65"/>
    </row>
    <row r="1146" spans="1:14">
      <c r="A1146" s="106"/>
      <c r="B1146" s="108"/>
      <c r="C1146" s="108"/>
      <c r="D1146" s="108"/>
      <c r="E1146" s="108"/>
      <c r="F1146" s="108"/>
      <c r="G1146" s="109"/>
      <c r="H1146" s="110"/>
      <c r="K1146" s="65"/>
      <c r="L1146" s="65"/>
      <c r="N1146" s="65"/>
    </row>
    <row r="1147" spans="1:14">
      <c r="A1147" s="106"/>
      <c r="B1147" s="108"/>
      <c r="C1147" s="108"/>
      <c r="D1147" s="108"/>
      <c r="E1147" s="108"/>
      <c r="F1147" s="108"/>
      <c r="G1147" s="109"/>
      <c r="H1147" s="110"/>
      <c r="K1147" s="65"/>
      <c r="L1147" s="65"/>
      <c r="N1147" s="65"/>
    </row>
    <row r="1148" spans="1:14">
      <c r="A1148" s="106"/>
      <c r="B1148" s="108"/>
      <c r="C1148" s="108"/>
      <c r="D1148" s="108"/>
      <c r="E1148" s="108"/>
      <c r="F1148" s="108"/>
      <c r="G1148" s="109"/>
      <c r="H1148" s="110"/>
      <c r="K1148" s="65"/>
      <c r="L1148" s="65"/>
      <c r="N1148" s="65"/>
    </row>
    <row r="1149" spans="1:14">
      <c r="A1149" s="106"/>
      <c r="B1149" s="108"/>
      <c r="C1149" s="108"/>
      <c r="D1149" s="108"/>
      <c r="E1149" s="108"/>
      <c r="F1149" s="108"/>
      <c r="G1149" s="109"/>
      <c r="H1149" s="110"/>
      <c r="K1149" s="65"/>
      <c r="L1149" s="65"/>
      <c r="N1149" s="65"/>
    </row>
    <row r="1150" spans="1:14">
      <c r="A1150" s="106"/>
      <c r="B1150" s="108"/>
      <c r="C1150" s="108"/>
      <c r="D1150" s="108"/>
      <c r="E1150" s="108"/>
      <c r="F1150" s="108"/>
      <c r="G1150" s="109"/>
      <c r="H1150" s="110"/>
      <c r="K1150" s="65"/>
      <c r="L1150" s="65"/>
      <c r="N1150" s="65"/>
    </row>
    <row r="1151" spans="1:14">
      <c r="A1151" s="106"/>
      <c r="B1151" s="108"/>
      <c r="C1151" s="108"/>
      <c r="D1151" s="108"/>
      <c r="E1151" s="108"/>
      <c r="F1151" s="108"/>
      <c r="G1151" s="109"/>
      <c r="H1151" s="110"/>
      <c r="K1151" s="65"/>
      <c r="L1151" s="65"/>
      <c r="N1151" s="65"/>
    </row>
    <row r="1152" spans="1:14">
      <c r="A1152" s="106"/>
      <c r="B1152" s="108"/>
      <c r="C1152" s="108"/>
      <c r="D1152" s="108"/>
      <c r="E1152" s="108"/>
      <c r="F1152" s="108"/>
      <c r="G1152" s="109"/>
      <c r="H1152" s="110"/>
      <c r="K1152" s="65"/>
      <c r="L1152" s="65"/>
      <c r="N1152" s="65"/>
    </row>
    <row r="1153" spans="1:14">
      <c r="A1153" s="106"/>
      <c r="B1153" s="108"/>
      <c r="C1153" s="108"/>
      <c r="D1153" s="108"/>
      <c r="E1153" s="108"/>
      <c r="F1153" s="108"/>
      <c r="G1153" s="109"/>
      <c r="H1153" s="110"/>
      <c r="K1153" s="65"/>
      <c r="L1153" s="65"/>
      <c r="N1153" s="65"/>
    </row>
    <row r="1154" spans="1:14">
      <c r="A1154" s="106"/>
      <c r="B1154" s="108"/>
      <c r="C1154" s="108"/>
      <c r="D1154" s="108"/>
      <c r="E1154" s="108"/>
      <c r="F1154" s="108"/>
      <c r="G1154" s="109"/>
      <c r="H1154" s="110"/>
      <c r="K1154" s="65"/>
      <c r="L1154" s="65"/>
      <c r="N1154" s="65"/>
    </row>
    <row r="1155" spans="1:14">
      <c r="A1155" s="106"/>
      <c r="B1155" s="108"/>
      <c r="C1155" s="108"/>
      <c r="D1155" s="108"/>
      <c r="E1155" s="108"/>
      <c r="F1155" s="108"/>
      <c r="G1155" s="109"/>
      <c r="H1155" s="110"/>
      <c r="K1155" s="65"/>
      <c r="L1155" s="65"/>
      <c r="N1155" s="65"/>
    </row>
    <row r="1156" spans="1:14">
      <c r="A1156" s="106"/>
      <c r="B1156" s="108"/>
      <c r="C1156" s="108"/>
      <c r="D1156" s="108"/>
      <c r="E1156" s="108"/>
      <c r="F1156" s="108"/>
      <c r="G1156" s="109"/>
      <c r="H1156" s="110"/>
      <c r="K1156" s="65"/>
      <c r="L1156" s="65"/>
      <c r="N1156" s="65"/>
    </row>
    <row r="1157" spans="1:14">
      <c r="A1157" s="106"/>
      <c r="B1157" s="108"/>
      <c r="C1157" s="108"/>
      <c r="D1157" s="108"/>
      <c r="E1157" s="108"/>
      <c r="F1157" s="108"/>
      <c r="G1157" s="109"/>
      <c r="H1157" s="110"/>
      <c r="K1157" s="65"/>
      <c r="L1157" s="65"/>
      <c r="N1157" s="65"/>
    </row>
    <row r="1158" spans="1:14">
      <c r="A1158" s="106"/>
      <c r="B1158" s="108"/>
      <c r="C1158" s="108"/>
      <c r="D1158" s="108"/>
      <c r="E1158" s="108"/>
      <c r="F1158" s="108"/>
      <c r="G1158" s="109"/>
      <c r="H1158" s="110"/>
      <c r="K1158" s="65"/>
      <c r="L1158" s="65"/>
      <c r="N1158" s="65"/>
    </row>
    <row r="1159" spans="1:14">
      <c r="A1159" s="106"/>
      <c r="B1159" s="108"/>
      <c r="C1159" s="108"/>
      <c r="D1159" s="108"/>
      <c r="E1159" s="108"/>
      <c r="F1159" s="108"/>
      <c r="G1159" s="109"/>
      <c r="H1159" s="110"/>
      <c r="K1159" s="65"/>
      <c r="L1159" s="65"/>
      <c r="N1159" s="65"/>
    </row>
    <row r="1160" spans="1:14">
      <c r="A1160" s="106"/>
      <c r="B1160" s="108"/>
      <c r="C1160" s="108"/>
      <c r="D1160" s="108"/>
      <c r="E1160" s="108"/>
      <c r="F1160" s="108"/>
      <c r="G1160" s="109"/>
      <c r="H1160" s="110"/>
      <c r="K1160" s="65"/>
      <c r="L1160" s="65"/>
      <c r="N1160" s="65"/>
    </row>
    <row r="1161" spans="1:14">
      <c r="A1161" s="106"/>
      <c r="B1161" s="108"/>
      <c r="C1161" s="108"/>
      <c r="D1161" s="108"/>
      <c r="E1161" s="108"/>
      <c r="F1161" s="108"/>
      <c r="G1161" s="109"/>
      <c r="H1161" s="110"/>
      <c r="K1161" s="65"/>
      <c r="L1161" s="65"/>
      <c r="N1161" s="65"/>
    </row>
    <row r="1162" spans="1:14">
      <c r="A1162" s="106"/>
      <c r="B1162" s="108"/>
      <c r="C1162" s="108"/>
      <c r="D1162" s="108"/>
      <c r="E1162" s="108"/>
      <c r="F1162" s="108"/>
      <c r="G1162" s="109"/>
      <c r="H1162" s="110"/>
      <c r="K1162" s="65"/>
      <c r="L1162" s="65"/>
      <c r="N1162" s="65"/>
    </row>
    <row r="1163" spans="1:14">
      <c r="A1163" s="106"/>
      <c r="B1163" s="108"/>
      <c r="C1163" s="108"/>
      <c r="D1163" s="108"/>
      <c r="E1163" s="108"/>
      <c r="F1163" s="108"/>
      <c r="G1163" s="109"/>
      <c r="H1163" s="110"/>
      <c r="K1163" s="65"/>
      <c r="L1163" s="65"/>
      <c r="N1163" s="65"/>
    </row>
    <row r="1164" spans="1:14">
      <c r="A1164" s="106"/>
      <c r="B1164" s="108"/>
      <c r="C1164" s="108"/>
      <c r="D1164" s="108"/>
      <c r="E1164" s="108"/>
      <c r="F1164" s="108"/>
      <c r="G1164" s="109"/>
      <c r="H1164" s="110"/>
      <c r="K1164" s="65"/>
      <c r="L1164" s="65"/>
      <c r="N1164" s="65"/>
    </row>
    <row r="1165" spans="1:14">
      <c r="A1165" s="106"/>
      <c r="B1165" s="108"/>
      <c r="C1165" s="108"/>
      <c r="D1165" s="108"/>
      <c r="E1165" s="108"/>
      <c r="F1165" s="108"/>
      <c r="G1165" s="109"/>
      <c r="H1165" s="110"/>
      <c r="K1165" s="65"/>
      <c r="L1165" s="65"/>
      <c r="N1165" s="65"/>
    </row>
    <row r="1166" spans="1:14">
      <c r="A1166" s="106"/>
      <c r="B1166" s="108"/>
      <c r="C1166" s="108"/>
      <c r="D1166" s="108"/>
      <c r="E1166" s="108"/>
      <c r="F1166" s="108"/>
      <c r="G1166" s="109"/>
      <c r="H1166" s="110"/>
      <c r="K1166" s="65"/>
      <c r="L1166" s="65"/>
      <c r="N1166" s="65"/>
    </row>
    <row r="1167" spans="1:14">
      <c r="A1167" s="106"/>
      <c r="B1167" s="108"/>
      <c r="C1167" s="108"/>
      <c r="D1167" s="108"/>
      <c r="E1167" s="108"/>
      <c r="F1167" s="108"/>
      <c r="G1167" s="109"/>
      <c r="H1167" s="110"/>
      <c r="K1167" s="65"/>
      <c r="L1167" s="65"/>
      <c r="N1167" s="65"/>
    </row>
    <row r="1168" spans="1:14">
      <c r="A1168" s="106"/>
      <c r="B1168" s="108"/>
      <c r="C1168" s="108"/>
      <c r="D1168" s="108"/>
      <c r="E1168" s="108"/>
      <c r="F1168" s="108"/>
      <c r="G1168" s="109"/>
      <c r="H1168" s="110"/>
      <c r="K1168" s="65"/>
      <c r="L1168" s="65"/>
      <c r="N1168" s="65"/>
    </row>
    <row r="1169" spans="1:14">
      <c r="A1169" s="106"/>
      <c r="B1169" s="108"/>
      <c r="C1169" s="108"/>
      <c r="D1169" s="108"/>
      <c r="E1169" s="108"/>
      <c r="F1169" s="108"/>
      <c r="G1169" s="109"/>
      <c r="H1169" s="110"/>
      <c r="K1169" s="65"/>
      <c r="L1169" s="65"/>
      <c r="N1169" s="65"/>
    </row>
    <row r="1170" spans="1:14">
      <c r="A1170" s="106"/>
      <c r="B1170" s="108"/>
      <c r="C1170" s="108"/>
      <c r="D1170" s="108"/>
      <c r="E1170" s="108"/>
      <c r="F1170" s="108"/>
      <c r="G1170" s="109"/>
      <c r="H1170" s="110"/>
      <c r="K1170" s="65"/>
      <c r="L1170" s="65"/>
      <c r="N1170" s="65"/>
    </row>
    <row r="1171" spans="1:14">
      <c r="A1171" s="106"/>
      <c r="B1171" s="108"/>
      <c r="C1171" s="108"/>
      <c r="D1171" s="108"/>
      <c r="E1171" s="108"/>
      <c r="F1171" s="108"/>
      <c r="G1171" s="109"/>
      <c r="H1171" s="110"/>
      <c r="K1171" s="65"/>
      <c r="L1171" s="65"/>
      <c r="N1171" s="65"/>
    </row>
    <row r="1172" spans="1:14">
      <c r="A1172" s="106"/>
      <c r="B1172" s="108"/>
      <c r="C1172" s="108"/>
      <c r="D1172" s="108"/>
      <c r="E1172" s="108"/>
      <c r="F1172" s="108"/>
      <c r="G1172" s="109"/>
      <c r="H1172" s="110"/>
      <c r="K1172" s="65"/>
      <c r="L1172" s="65"/>
      <c r="N1172" s="65"/>
    </row>
    <row r="1173" spans="1:14">
      <c r="A1173" s="106"/>
      <c r="B1173" s="108"/>
      <c r="C1173" s="108"/>
      <c r="D1173" s="108"/>
      <c r="E1173" s="108"/>
      <c r="F1173" s="108"/>
      <c r="G1173" s="109"/>
      <c r="H1173" s="110"/>
      <c r="K1173" s="65"/>
      <c r="L1173" s="65"/>
      <c r="N1173" s="65"/>
    </row>
    <row r="1174" spans="1:14">
      <c r="A1174" s="106"/>
      <c r="B1174" s="108"/>
      <c r="C1174" s="108"/>
      <c r="D1174" s="108"/>
      <c r="E1174" s="108"/>
      <c r="F1174" s="108"/>
      <c r="G1174" s="109"/>
      <c r="H1174" s="110"/>
      <c r="K1174" s="65"/>
      <c r="L1174" s="65"/>
      <c r="N1174" s="65"/>
    </row>
    <row r="1175" spans="1:14">
      <c r="A1175" s="106"/>
      <c r="B1175" s="108"/>
      <c r="C1175" s="108"/>
      <c r="D1175" s="108"/>
      <c r="E1175" s="108"/>
      <c r="F1175" s="108"/>
      <c r="G1175" s="109"/>
      <c r="H1175" s="110"/>
      <c r="K1175" s="65"/>
      <c r="L1175" s="65"/>
      <c r="N1175" s="65"/>
    </row>
    <row r="1176" spans="1:14">
      <c r="A1176" s="106"/>
      <c r="B1176" s="108"/>
      <c r="C1176" s="108"/>
      <c r="D1176" s="108"/>
      <c r="E1176" s="108"/>
      <c r="F1176" s="108"/>
      <c r="G1176" s="109"/>
      <c r="H1176" s="110"/>
      <c r="K1176" s="65"/>
      <c r="L1176" s="65"/>
      <c r="N1176" s="65"/>
    </row>
    <row r="1177" spans="1:14">
      <c r="A1177" s="106"/>
      <c r="B1177" s="108"/>
      <c r="C1177" s="108"/>
      <c r="D1177" s="108"/>
      <c r="E1177" s="108"/>
      <c r="F1177" s="108"/>
      <c r="G1177" s="109"/>
      <c r="H1177" s="110"/>
      <c r="K1177" s="65"/>
      <c r="L1177" s="65"/>
      <c r="N1177" s="65"/>
    </row>
    <row r="1178" spans="1:14">
      <c r="A1178" s="106"/>
      <c r="B1178" s="108"/>
      <c r="C1178" s="108"/>
      <c r="D1178" s="108"/>
      <c r="E1178" s="108"/>
      <c r="F1178" s="108"/>
      <c r="G1178" s="109"/>
      <c r="H1178" s="110"/>
      <c r="K1178" s="65"/>
      <c r="L1178" s="65"/>
      <c r="N1178" s="65"/>
    </row>
    <row r="1179" spans="1:14">
      <c r="A1179" s="106"/>
      <c r="B1179" s="108"/>
      <c r="C1179" s="108"/>
      <c r="D1179" s="108"/>
      <c r="E1179" s="108"/>
      <c r="F1179" s="108"/>
      <c r="G1179" s="109"/>
      <c r="H1179" s="110"/>
      <c r="K1179" s="65"/>
      <c r="L1179" s="65"/>
      <c r="N1179" s="65"/>
    </row>
    <row r="1180" spans="1:14">
      <c r="A1180" s="106"/>
      <c r="B1180" s="108"/>
      <c r="C1180" s="108"/>
      <c r="D1180" s="108"/>
      <c r="E1180" s="108"/>
      <c r="F1180" s="108"/>
      <c r="G1180" s="109"/>
      <c r="H1180" s="110"/>
      <c r="K1180" s="65"/>
      <c r="L1180" s="65"/>
      <c r="N1180" s="65"/>
    </row>
    <row r="1181" spans="1:14">
      <c r="A1181" s="106"/>
      <c r="B1181" s="108"/>
      <c r="C1181" s="108"/>
      <c r="D1181" s="108"/>
      <c r="E1181" s="108"/>
      <c r="F1181" s="108"/>
      <c r="G1181" s="109"/>
      <c r="H1181" s="110"/>
      <c r="K1181" s="65"/>
      <c r="L1181" s="65"/>
      <c r="N1181" s="65"/>
    </row>
    <row r="1182" spans="1:14">
      <c r="A1182" s="106"/>
      <c r="B1182" s="108"/>
      <c r="C1182" s="108"/>
      <c r="D1182" s="108"/>
      <c r="E1182" s="108"/>
      <c r="F1182" s="108"/>
      <c r="G1182" s="109"/>
      <c r="H1182" s="110"/>
      <c r="K1182" s="65"/>
      <c r="L1182" s="65"/>
      <c r="N1182" s="65"/>
    </row>
    <row r="1183" spans="1:14">
      <c r="A1183" s="106"/>
      <c r="B1183" s="108"/>
      <c r="C1183" s="108"/>
      <c r="D1183" s="108"/>
      <c r="E1183" s="108"/>
      <c r="F1183" s="108"/>
      <c r="G1183" s="109"/>
      <c r="H1183" s="110"/>
      <c r="K1183" s="65"/>
      <c r="L1183" s="65"/>
      <c r="N1183" s="65"/>
    </row>
    <row r="1184" spans="1:14">
      <c r="A1184" s="106"/>
      <c r="B1184" s="108"/>
      <c r="C1184" s="108"/>
      <c r="D1184" s="108"/>
      <c r="E1184" s="108"/>
      <c r="F1184" s="108"/>
      <c r="G1184" s="109"/>
      <c r="H1184" s="110"/>
      <c r="K1184" s="65"/>
      <c r="L1184" s="65"/>
      <c r="N1184" s="65"/>
    </row>
    <row r="1185" spans="1:14">
      <c r="A1185" s="106"/>
      <c r="B1185" s="108"/>
      <c r="C1185" s="108"/>
      <c r="D1185" s="108"/>
      <c r="E1185" s="108"/>
      <c r="F1185" s="108"/>
      <c r="G1185" s="109"/>
      <c r="H1185" s="110"/>
      <c r="K1185" s="65"/>
      <c r="L1185" s="65"/>
      <c r="N1185" s="65"/>
    </row>
    <row r="1186" spans="1:14">
      <c r="A1186" s="106"/>
      <c r="B1186" s="108"/>
      <c r="C1186" s="108"/>
      <c r="D1186" s="108"/>
      <c r="E1186" s="108"/>
      <c r="F1186" s="108"/>
      <c r="G1186" s="109"/>
      <c r="H1186" s="110"/>
      <c r="K1186" s="65"/>
      <c r="L1186" s="65"/>
      <c r="N1186" s="65"/>
    </row>
    <row r="1187" spans="1:14">
      <c r="A1187" s="106"/>
      <c r="B1187" s="108"/>
      <c r="C1187" s="108"/>
      <c r="D1187" s="108"/>
      <c r="E1187" s="108"/>
      <c r="F1187" s="108"/>
      <c r="G1187" s="109"/>
      <c r="H1187" s="110"/>
      <c r="K1187" s="65"/>
      <c r="L1187" s="65"/>
      <c r="N1187" s="65"/>
    </row>
    <row r="1188" spans="1:14">
      <c r="A1188" s="106"/>
      <c r="B1188" s="108"/>
      <c r="C1188" s="108"/>
      <c r="D1188" s="108"/>
      <c r="E1188" s="108"/>
      <c r="F1188" s="108"/>
      <c r="G1188" s="109"/>
      <c r="H1188" s="110"/>
      <c r="K1188" s="65"/>
      <c r="L1188" s="65"/>
      <c r="N1188" s="65"/>
    </row>
    <row r="1189" spans="1:14">
      <c r="A1189" s="106"/>
      <c r="B1189" s="108"/>
      <c r="C1189" s="108"/>
      <c r="D1189" s="108"/>
      <c r="E1189" s="108"/>
      <c r="F1189" s="108"/>
      <c r="G1189" s="109"/>
      <c r="H1189" s="110"/>
      <c r="K1189" s="65"/>
      <c r="L1189" s="65"/>
      <c r="N1189" s="65"/>
    </row>
    <row r="1190" spans="1:14">
      <c r="A1190" s="106"/>
      <c r="B1190" s="108"/>
      <c r="C1190" s="108"/>
      <c r="D1190" s="108"/>
      <c r="E1190" s="108"/>
      <c r="F1190" s="108"/>
      <c r="G1190" s="109"/>
      <c r="H1190" s="110"/>
      <c r="K1190" s="65"/>
      <c r="L1190" s="65"/>
      <c r="N1190" s="65"/>
    </row>
    <row r="1191" spans="1:14">
      <c r="A1191" s="106"/>
      <c r="B1191" s="108"/>
      <c r="C1191" s="108"/>
      <c r="D1191" s="108"/>
      <c r="E1191" s="108"/>
      <c r="F1191" s="108"/>
      <c r="G1191" s="109"/>
      <c r="H1191" s="110"/>
      <c r="K1191" s="65"/>
      <c r="L1191" s="65"/>
      <c r="N1191" s="65"/>
    </row>
    <row r="1192" spans="1:14">
      <c r="A1192" s="106"/>
      <c r="B1192" s="108"/>
      <c r="C1192" s="108"/>
      <c r="D1192" s="108"/>
      <c r="E1192" s="108"/>
      <c r="F1192" s="108"/>
      <c r="G1192" s="109"/>
      <c r="H1192" s="110"/>
      <c r="K1192" s="65"/>
      <c r="L1192" s="65"/>
      <c r="N1192" s="65"/>
    </row>
    <row r="1193" spans="1:14">
      <c r="A1193" s="106"/>
      <c r="B1193" s="108"/>
      <c r="C1193" s="108"/>
      <c r="D1193" s="108"/>
      <c r="E1193" s="108"/>
      <c r="F1193" s="108"/>
      <c r="G1193" s="109"/>
      <c r="H1193" s="110"/>
      <c r="K1193" s="65"/>
      <c r="L1193" s="65"/>
      <c r="N1193" s="65"/>
    </row>
    <row r="1194" spans="1:14">
      <c r="A1194" s="106"/>
      <c r="B1194" s="108"/>
      <c r="C1194" s="108"/>
      <c r="D1194" s="108"/>
      <c r="E1194" s="108"/>
      <c r="F1194" s="108"/>
      <c r="G1194" s="109"/>
      <c r="H1194" s="110"/>
      <c r="K1194" s="65"/>
      <c r="L1194" s="65"/>
      <c r="N1194" s="65"/>
    </row>
    <row r="1195" spans="1:14">
      <c r="A1195" s="106"/>
      <c r="B1195" s="108"/>
      <c r="C1195" s="108"/>
      <c r="D1195" s="108"/>
      <c r="E1195" s="108"/>
      <c r="F1195" s="108"/>
      <c r="G1195" s="109"/>
      <c r="H1195" s="110"/>
      <c r="K1195" s="65"/>
      <c r="L1195" s="65"/>
      <c r="N1195" s="65"/>
    </row>
    <row r="1196" spans="1:14">
      <c r="A1196" s="106"/>
      <c r="B1196" s="108"/>
      <c r="C1196" s="108"/>
      <c r="D1196" s="108"/>
      <c r="E1196" s="108"/>
      <c r="F1196" s="108"/>
      <c r="G1196" s="109"/>
      <c r="H1196" s="110"/>
      <c r="K1196" s="65"/>
      <c r="L1196" s="65"/>
      <c r="N1196" s="65"/>
    </row>
    <row r="1197" spans="1:14">
      <c r="A1197" s="106"/>
      <c r="B1197" s="108"/>
      <c r="C1197" s="108"/>
      <c r="D1197" s="108"/>
      <c r="E1197" s="108"/>
      <c r="F1197" s="108"/>
      <c r="G1197" s="109"/>
      <c r="H1197" s="110"/>
      <c r="K1197" s="65"/>
      <c r="L1197" s="65"/>
      <c r="N1197" s="65"/>
    </row>
    <row r="1198" spans="1:14">
      <c r="A1198" s="106"/>
      <c r="B1198" s="108"/>
      <c r="C1198" s="108"/>
      <c r="D1198" s="108"/>
      <c r="E1198" s="108"/>
      <c r="F1198" s="108"/>
      <c r="G1198" s="109"/>
      <c r="H1198" s="110"/>
      <c r="K1198" s="65"/>
      <c r="L1198" s="65"/>
      <c r="N1198" s="65"/>
    </row>
    <row r="1199" spans="1:14">
      <c r="A1199" s="106"/>
      <c r="B1199" s="108"/>
      <c r="C1199" s="108"/>
      <c r="D1199" s="108"/>
      <c r="E1199" s="108"/>
      <c r="F1199" s="108"/>
      <c r="G1199" s="109"/>
      <c r="H1199" s="110"/>
      <c r="K1199" s="65"/>
      <c r="L1199" s="65"/>
      <c r="N1199" s="65"/>
    </row>
    <row r="1200" spans="1:14">
      <c r="A1200" s="106"/>
      <c r="B1200" s="108"/>
      <c r="C1200" s="108"/>
      <c r="D1200" s="108"/>
      <c r="E1200" s="108"/>
      <c r="F1200" s="108"/>
      <c r="G1200" s="109"/>
      <c r="H1200" s="110"/>
      <c r="K1200" s="65"/>
      <c r="L1200" s="65"/>
      <c r="N1200" s="65"/>
    </row>
    <row r="1201" spans="1:14">
      <c r="A1201" s="106"/>
      <c r="B1201" s="108"/>
      <c r="C1201" s="108"/>
      <c r="D1201" s="108"/>
      <c r="E1201" s="108"/>
      <c r="F1201" s="108"/>
      <c r="G1201" s="109"/>
      <c r="H1201" s="110"/>
      <c r="K1201" s="65"/>
      <c r="L1201" s="65"/>
      <c r="N1201" s="65"/>
    </row>
    <row r="1202" spans="1:14">
      <c r="A1202" s="106"/>
      <c r="B1202" s="108"/>
      <c r="C1202" s="108"/>
      <c r="D1202" s="108"/>
      <c r="E1202" s="108"/>
      <c r="F1202" s="108"/>
      <c r="G1202" s="109"/>
      <c r="H1202" s="110"/>
      <c r="K1202" s="65"/>
      <c r="L1202" s="65"/>
      <c r="N1202" s="65"/>
    </row>
    <row r="1203" spans="1:14">
      <c r="A1203" s="106"/>
      <c r="B1203" s="108"/>
      <c r="C1203" s="108"/>
      <c r="D1203" s="108"/>
      <c r="E1203" s="108"/>
      <c r="F1203" s="108"/>
      <c r="G1203" s="109"/>
      <c r="H1203" s="110"/>
      <c r="K1203" s="65"/>
      <c r="L1203" s="65"/>
      <c r="N1203" s="65"/>
    </row>
    <row r="1204" spans="1:14">
      <c r="A1204" s="106"/>
      <c r="B1204" s="108"/>
      <c r="C1204" s="108"/>
      <c r="D1204" s="108"/>
      <c r="E1204" s="108"/>
      <c r="F1204" s="108"/>
      <c r="G1204" s="109"/>
      <c r="H1204" s="110"/>
      <c r="K1204" s="65"/>
      <c r="L1204" s="65"/>
      <c r="N1204" s="65"/>
    </row>
    <row r="1205" spans="1:14">
      <c r="A1205" s="106"/>
      <c r="B1205" s="108"/>
      <c r="C1205" s="108"/>
      <c r="D1205" s="108"/>
      <c r="E1205" s="108"/>
      <c r="F1205" s="108"/>
      <c r="G1205" s="109"/>
      <c r="H1205" s="110"/>
      <c r="K1205" s="65"/>
      <c r="L1205" s="65"/>
      <c r="N1205" s="65"/>
    </row>
    <row r="1206" spans="1:14">
      <c r="A1206" s="106"/>
      <c r="B1206" s="108"/>
      <c r="C1206" s="108"/>
      <c r="D1206" s="108"/>
      <c r="E1206" s="108"/>
      <c r="F1206" s="108"/>
      <c r="G1206" s="109"/>
      <c r="H1206" s="110"/>
      <c r="K1206" s="65"/>
      <c r="L1206" s="65"/>
      <c r="N1206" s="65"/>
    </row>
    <row r="1207" spans="1:14">
      <c r="A1207" s="106"/>
      <c r="B1207" s="108"/>
      <c r="C1207" s="108"/>
      <c r="D1207" s="108"/>
      <c r="E1207" s="108"/>
      <c r="F1207" s="108"/>
      <c r="G1207" s="109"/>
      <c r="H1207" s="110"/>
      <c r="K1207" s="65"/>
      <c r="L1207" s="65"/>
      <c r="N1207" s="65"/>
    </row>
    <row r="1208" spans="1:14">
      <c r="A1208" s="106"/>
      <c r="B1208" s="108"/>
      <c r="C1208" s="108"/>
      <c r="D1208" s="108"/>
      <c r="E1208" s="108"/>
      <c r="F1208" s="108"/>
      <c r="G1208" s="109"/>
      <c r="H1208" s="110"/>
      <c r="K1208" s="65"/>
      <c r="L1208" s="65"/>
      <c r="N1208" s="65"/>
    </row>
    <row r="1209" spans="1:14">
      <c r="A1209" s="106"/>
      <c r="B1209" s="108"/>
      <c r="C1209" s="108"/>
      <c r="D1209" s="108"/>
      <c r="E1209" s="108"/>
      <c r="F1209" s="108"/>
      <c r="G1209" s="109"/>
      <c r="H1209" s="110"/>
      <c r="K1209" s="65"/>
      <c r="L1209" s="65"/>
      <c r="N1209" s="65"/>
    </row>
    <row r="1210" spans="1:14">
      <c r="A1210" s="106"/>
      <c r="B1210" s="108"/>
      <c r="C1210" s="108"/>
      <c r="D1210" s="108"/>
      <c r="E1210" s="108"/>
      <c r="F1210" s="108"/>
      <c r="G1210" s="109"/>
      <c r="H1210" s="110"/>
      <c r="K1210" s="65"/>
      <c r="L1210" s="65"/>
      <c r="N1210" s="65"/>
    </row>
    <row r="1211" spans="1:14">
      <c r="A1211" s="106"/>
      <c r="B1211" s="108"/>
      <c r="C1211" s="108"/>
      <c r="D1211" s="108"/>
      <c r="E1211" s="108"/>
      <c r="F1211" s="108"/>
      <c r="G1211" s="109"/>
      <c r="H1211" s="110"/>
      <c r="K1211" s="65"/>
      <c r="L1211" s="65"/>
      <c r="N1211" s="65"/>
    </row>
    <row r="1212" spans="1:14">
      <c r="A1212" s="106"/>
      <c r="B1212" s="108"/>
      <c r="C1212" s="108"/>
      <c r="D1212" s="108"/>
      <c r="E1212" s="108"/>
      <c r="F1212" s="108"/>
      <c r="G1212" s="109"/>
      <c r="H1212" s="110"/>
      <c r="K1212" s="65"/>
      <c r="L1212" s="65"/>
      <c r="N1212" s="65"/>
    </row>
    <row r="1213" spans="1:14">
      <c r="A1213" s="106"/>
      <c r="B1213" s="108"/>
      <c r="C1213" s="108"/>
      <c r="D1213" s="108"/>
      <c r="E1213" s="108"/>
      <c r="F1213" s="108"/>
      <c r="G1213" s="109"/>
      <c r="H1213" s="110"/>
      <c r="K1213" s="65"/>
      <c r="L1213" s="65"/>
      <c r="N1213" s="65"/>
    </row>
    <row r="1214" spans="1:14">
      <c r="A1214" s="106"/>
      <c r="B1214" s="108"/>
      <c r="C1214" s="108"/>
      <c r="D1214" s="108"/>
      <c r="E1214" s="108"/>
      <c r="F1214" s="108"/>
      <c r="G1214" s="109"/>
      <c r="H1214" s="110"/>
      <c r="K1214" s="65"/>
      <c r="L1214" s="65"/>
      <c r="N1214" s="65"/>
    </row>
    <row r="1215" spans="1:14">
      <c r="A1215" s="106"/>
      <c r="B1215" s="108"/>
      <c r="C1215" s="108"/>
      <c r="D1215" s="108"/>
      <c r="E1215" s="108"/>
      <c r="F1215" s="108"/>
      <c r="G1215" s="109"/>
      <c r="H1215" s="110"/>
      <c r="K1215" s="65"/>
      <c r="L1215" s="65"/>
      <c r="N1215" s="65"/>
    </row>
    <row r="1216" spans="1:14">
      <c r="A1216" s="106"/>
      <c r="B1216" s="108"/>
      <c r="C1216" s="108"/>
      <c r="D1216" s="108"/>
      <c r="E1216" s="108"/>
      <c r="F1216" s="108"/>
      <c r="G1216" s="109"/>
      <c r="H1216" s="110"/>
      <c r="K1216" s="65"/>
      <c r="L1216" s="65"/>
      <c r="N1216" s="65"/>
    </row>
    <row r="1217" spans="1:14">
      <c r="A1217" s="106"/>
      <c r="B1217" s="108"/>
      <c r="C1217" s="108"/>
      <c r="D1217" s="108"/>
      <c r="E1217" s="108"/>
      <c r="F1217" s="108"/>
      <c r="G1217" s="109"/>
      <c r="H1217" s="110"/>
      <c r="K1217" s="65"/>
      <c r="L1217" s="65"/>
      <c r="N1217" s="65"/>
    </row>
    <row r="1218" spans="1:14">
      <c r="A1218" s="106"/>
      <c r="B1218" s="108"/>
      <c r="C1218" s="108"/>
      <c r="D1218" s="108"/>
      <c r="E1218" s="108"/>
      <c r="F1218" s="108"/>
      <c r="G1218" s="109"/>
      <c r="H1218" s="110"/>
      <c r="K1218" s="65"/>
      <c r="L1218" s="65"/>
      <c r="N1218" s="65"/>
    </row>
    <row r="1219" spans="1:14">
      <c r="A1219" s="106"/>
      <c r="B1219" s="108"/>
      <c r="C1219" s="108"/>
      <c r="D1219" s="108"/>
      <c r="E1219" s="108"/>
      <c r="F1219" s="108"/>
      <c r="G1219" s="109"/>
      <c r="H1219" s="110"/>
      <c r="K1219" s="65"/>
      <c r="L1219" s="65"/>
      <c r="N1219" s="65"/>
    </row>
    <row r="1220" spans="1:14">
      <c r="A1220" s="106"/>
      <c r="B1220" s="108"/>
      <c r="C1220" s="108"/>
      <c r="D1220" s="108"/>
      <c r="E1220" s="108"/>
      <c r="F1220" s="108"/>
      <c r="G1220" s="109"/>
      <c r="H1220" s="110"/>
      <c r="K1220" s="65"/>
      <c r="L1220" s="65"/>
      <c r="N1220" s="65"/>
    </row>
    <row r="1221" spans="1:14">
      <c r="A1221" s="106"/>
      <c r="B1221" s="108"/>
      <c r="C1221" s="108"/>
      <c r="D1221" s="108"/>
      <c r="E1221" s="108"/>
      <c r="F1221" s="108"/>
      <c r="G1221" s="109"/>
      <c r="H1221" s="110"/>
      <c r="K1221" s="65"/>
      <c r="L1221" s="65"/>
      <c r="N1221" s="65"/>
    </row>
    <row r="1222" spans="1:14">
      <c r="A1222" s="106"/>
      <c r="B1222" s="108"/>
      <c r="C1222" s="108"/>
      <c r="D1222" s="108"/>
      <c r="E1222" s="108"/>
      <c r="F1222" s="108"/>
      <c r="G1222" s="109"/>
      <c r="H1222" s="110"/>
      <c r="K1222" s="65"/>
      <c r="L1222" s="65"/>
      <c r="N1222" s="65"/>
    </row>
    <row r="1223" spans="1:14">
      <c r="A1223" s="106"/>
      <c r="B1223" s="108"/>
      <c r="C1223" s="108"/>
      <c r="D1223" s="108"/>
      <c r="E1223" s="108"/>
      <c r="F1223" s="108"/>
      <c r="G1223" s="109"/>
      <c r="H1223" s="110"/>
      <c r="K1223" s="65"/>
      <c r="L1223" s="65"/>
      <c r="N1223" s="65"/>
    </row>
    <row r="1224" spans="1:14">
      <c r="A1224" s="106"/>
      <c r="B1224" s="108"/>
      <c r="C1224" s="108"/>
      <c r="D1224" s="108"/>
      <c r="E1224" s="108"/>
      <c r="F1224" s="108"/>
      <c r="G1224" s="109"/>
      <c r="H1224" s="110"/>
      <c r="K1224" s="65"/>
      <c r="L1224" s="65"/>
      <c r="N1224" s="65"/>
    </row>
    <row r="1225" spans="1:14">
      <c r="A1225" s="106"/>
      <c r="B1225" s="108"/>
      <c r="C1225" s="108"/>
      <c r="D1225" s="108"/>
      <c r="E1225" s="108"/>
      <c r="F1225" s="108"/>
      <c r="G1225" s="109"/>
      <c r="H1225" s="110"/>
      <c r="K1225" s="65"/>
      <c r="L1225" s="65"/>
      <c r="N1225" s="65"/>
    </row>
    <row r="1226" spans="1:14">
      <c r="A1226" s="106"/>
      <c r="B1226" s="108"/>
      <c r="C1226" s="108"/>
      <c r="D1226" s="108"/>
      <c r="E1226" s="108"/>
      <c r="F1226" s="108"/>
      <c r="G1226" s="109"/>
      <c r="H1226" s="110"/>
      <c r="K1226" s="65"/>
      <c r="L1226" s="65"/>
      <c r="N1226" s="65"/>
    </row>
    <row r="1227" spans="1:14">
      <c r="A1227" s="106"/>
      <c r="B1227" s="108"/>
      <c r="C1227" s="108"/>
      <c r="D1227" s="108"/>
      <c r="E1227" s="108"/>
      <c r="F1227" s="108"/>
      <c r="G1227" s="109"/>
      <c r="H1227" s="110"/>
      <c r="K1227" s="65"/>
      <c r="L1227" s="65"/>
      <c r="N1227" s="65"/>
    </row>
    <row r="1228" spans="1:14">
      <c r="A1228" s="106"/>
      <c r="B1228" s="108"/>
      <c r="C1228" s="108"/>
      <c r="D1228" s="108"/>
      <c r="E1228" s="108"/>
      <c r="F1228" s="108"/>
      <c r="G1228" s="109"/>
      <c r="H1228" s="110"/>
      <c r="K1228" s="65"/>
      <c r="L1228" s="65"/>
      <c r="N1228" s="65"/>
    </row>
    <row r="1229" spans="1:14">
      <c r="A1229" s="106"/>
      <c r="B1229" s="108"/>
      <c r="C1229" s="108"/>
      <c r="D1229" s="108"/>
      <c r="E1229" s="108"/>
      <c r="F1229" s="108"/>
      <c r="G1229" s="109"/>
      <c r="H1229" s="110"/>
      <c r="K1229" s="65"/>
      <c r="L1229" s="65"/>
      <c r="N1229" s="65"/>
    </row>
    <row r="1230" spans="1:14">
      <c r="A1230" s="106"/>
      <c r="B1230" s="108"/>
      <c r="C1230" s="108"/>
      <c r="D1230" s="108"/>
      <c r="E1230" s="108"/>
      <c r="F1230" s="108"/>
      <c r="G1230" s="109"/>
      <c r="H1230" s="110"/>
      <c r="K1230" s="65"/>
      <c r="L1230" s="65"/>
      <c r="N1230" s="65"/>
    </row>
    <row r="1231" spans="1:14">
      <c r="A1231" s="106"/>
      <c r="B1231" s="108"/>
      <c r="C1231" s="108"/>
      <c r="D1231" s="108"/>
      <c r="E1231" s="108"/>
      <c r="F1231" s="108"/>
      <c r="G1231" s="109"/>
      <c r="H1231" s="110"/>
      <c r="K1231" s="65"/>
      <c r="L1231" s="65"/>
      <c r="N1231" s="65"/>
    </row>
    <row r="1232" spans="1:14">
      <c r="A1232" s="106"/>
      <c r="B1232" s="108"/>
      <c r="C1232" s="108"/>
      <c r="D1232" s="108"/>
      <c r="E1232" s="108"/>
      <c r="F1232" s="108"/>
      <c r="G1232" s="109"/>
      <c r="H1232" s="110"/>
      <c r="K1232" s="65"/>
      <c r="L1232" s="65"/>
      <c r="N1232" s="65"/>
    </row>
    <row r="1233" spans="1:14">
      <c r="A1233" s="106"/>
      <c r="B1233" s="108"/>
      <c r="C1233" s="108"/>
      <c r="D1233" s="108"/>
      <c r="E1233" s="108"/>
      <c r="F1233" s="108"/>
      <c r="G1233" s="109"/>
      <c r="H1233" s="110"/>
      <c r="K1233" s="65"/>
      <c r="L1233" s="65"/>
      <c r="N1233" s="65"/>
    </row>
    <row r="1234" spans="1:14">
      <c r="A1234" s="106"/>
      <c r="B1234" s="108"/>
      <c r="C1234" s="108"/>
      <c r="D1234" s="108"/>
      <c r="E1234" s="108"/>
      <c r="F1234" s="108"/>
      <c r="G1234" s="109"/>
      <c r="H1234" s="110"/>
      <c r="K1234" s="65"/>
      <c r="L1234" s="65"/>
      <c r="N1234" s="65"/>
    </row>
    <row r="1235" spans="1:14">
      <c r="A1235" s="106"/>
      <c r="B1235" s="108"/>
      <c r="C1235" s="108"/>
      <c r="D1235" s="108"/>
      <c r="E1235" s="108"/>
      <c r="F1235" s="108"/>
      <c r="G1235" s="109"/>
      <c r="H1235" s="110"/>
      <c r="K1235" s="65"/>
      <c r="L1235" s="65"/>
      <c r="N1235" s="65"/>
    </row>
    <row r="1236" spans="1:14">
      <c r="A1236" s="106"/>
      <c r="B1236" s="108"/>
      <c r="C1236" s="108"/>
      <c r="D1236" s="108"/>
      <c r="E1236" s="108"/>
      <c r="F1236" s="108"/>
      <c r="G1236" s="109"/>
      <c r="H1236" s="110"/>
      <c r="K1236" s="65"/>
      <c r="L1236" s="65"/>
      <c r="N1236" s="65"/>
    </row>
    <row r="1237" spans="1:14">
      <c r="A1237" s="106"/>
      <c r="B1237" s="108"/>
      <c r="C1237" s="108"/>
      <c r="D1237" s="108"/>
      <c r="E1237" s="108"/>
      <c r="F1237" s="108"/>
      <c r="G1237" s="109"/>
      <c r="H1237" s="110"/>
      <c r="K1237" s="65"/>
      <c r="L1237" s="65"/>
      <c r="N1237" s="65"/>
    </row>
    <row r="1238" spans="1:14">
      <c r="A1238" s="106"/>
      <c r="B1238" s="108"/>
      <c r="C1238" s="108"/>
      <c r="D1238" s="108"/>
      <c r="E1238" s="108"/>
      <c r="F1238" s="108"/>
      <c r="G1238" s="109"/>
      <c r="H1238" s="110"/>
      <c r="K1238" s="65"/>
      <c r="L1238" s="65"/>
      <c r="N1238" s="65"/>
    </row>
    <row r="1239" spans="1:14">
      <c r="A1239" s="106"/>
      <c r="B1239" s="108"/>
      <c r="C1239" s="108"/>
      <c r="D1239" s="108"/>
      <c r="E1239" s="108"/>
      <c r="F1239" s="108"/>
      <c r="G1239" s="109"/>
      <c r="H1239" s="110"/>
      <c r="K1239" s="65"/>
      <c r="L1239" s="65"/>
      <c r="N1239" s="65"/>
    </row>
    <row r="1240" spans="1:14">
      <c r="A1240" s="106"/>
      <c r="B1240" s="108"/>
      <c r="C1240" s="108"/>
      <c r="D1240" s="108"/>
      <c r="E1240" s="108"/>
      <c r="F1240" s="108"/>
      <c r="G1240" s="109"/>
      <c r="H1240" s="110"/>
      <c r="K1240" s="65"/>
      <c r="L1240" s="65"/>
      <c r="N1240" s="65"/>
    </row>
    <row r="1241" spans="1:14">
      <c r="A1241" s="106"/>
      <c r="B1241" s="108"/>
      <c r="C1241" s="108"/>
      <c r="D1241" s="108"/>
      <c r="E1241" s="108"/>
      <c r="F1241" s="108"/>
      <c r="G1241" s="109"/>
      <c r="H1241" s="110"/>
      <c r="K1241" s="65"/>
      <c r="L1241" s="65"/>
      <c r="N1241" s="65"/>
    </row>
    <row r="1242" spans="1:14">
      <c r="A1242" s="106"/>
      <c r="B1242" s="108"/>
      <c r="C1242" s="108"/>
      <c r="D1242" s="108"/>
      <c r="E1242" s="108"/>
      <c r="F1242" s="108"/>
      <c r="G1242" s="109"/>
      <c r="H1242" s="110"/>
      <c r="K1242" s="65"/>
      <c r="L1242" s="65"/>
      <c r="N1242" s="65"/>
    </row>
    <row r="1243" spans="1:14">
      <c r="A1243" s="106"/>
      <c r="B1243" s="108"/>
      <c r="C1243" s="108"/>
      <c r="D1243" s="108"/>
      <c r="E1243" s="108"/>
      <c r="F1243" s="108"/>
      <c r="G1243" s="109"/>
      <c r="H1243" s="110"/>
      <c r="K1243" s="65"/>
      <c r="L1243" s="65"/>
      <c r="N1243" s="65"/>
    </row>
    <row r="1244" spans="1:14">
      <c r="A1244" s="106"/>
      <c r="B1244" s="108"/>
      <c r="C1244" s="108"/>
      <c r="D1244" s="108"/>
      <c r="E1244" s="108"/>
      <c r="F1244" s="108"/>
      <c r="G1244" s="109"/>
      <c r="H1244" s="110"/>
      <c r="K1244" s="65"/>
      <c r="L1244" s="65"/>
      <c r="N1244" s="65"/>
    </row>
    <row r="1245" spans="1:14">
      <c r="A1245" s="106"/>
      <c r="B1245" s="108"/>
      <c r="C1245" s="108"/>
      <c r="D1245" s="108"/>
      <c r="E1245" s="108"/>
      <c r="F1245" s="108"/>
      <c r="G1245" s="109"/>
      <c r="H1245" s="110"/>
      <c r="K1245" s="65"/>
      <c r="L1245" s="65"/>
      <c r="N1245" s="65"/>
    </row>
    <row r="1246" spans="1:14">
      <c r="A1246" s="106"/>
      <c r="B1246" s="108"/>
      <c r="C1246" s="108"/>
      <c r="D1246" s="108"/>
      <c r="E1246" s="108"/>
      <c r="F1246" s="108"/>
      <c r="G1246" s="109"/>
      <c r="H1246" s="110"/>
      <c r="K1246" s="65"/>
      <c r="L1246" s="65"/>
      <c r="N1246" s="65"/>
    </row>
    <row r="1247" spans="1:14">
      <c r="A1247" s="106"/>
      <c r="B1247" s="108"/>
      <c r="C1247" s="108"/>
      <c r="D1247" s="108"/>
      <c r="E1247" s="108"/>
      <c r="F1247" s="108"/>
      <c r="G1247" s="109"/>
      <c r="H1247" s="110"/>
      <c r="K1247" s="65"/>
      <c r="L1247" s="65"/>
      <c r="N1247" s="65"/>
    </row>
    <row r="1248" spans="1:14">
      <c r="A1248" s="106"/>
      <c r="B1248" s="108"/>
      <c r="C1248" s="108"/>
      <c r="D1248" s="108"/>
      <c r="E1248" s="108"/>
      <c r="F1248" s="108"/>
      <c r="G1248" s="109"/>
      <c r="H1248" s="110"/>
      <c r="K1248" s="65"/>
      <c r="L1248" s="65"/>
      <c r="N1248" s="65"/>
    </row>
    <row r="1249" spans="1:14">
      <c r="A1249" s="106"/>
      <c r="B1249" s="108"/>
      <c r="C1249" s="108"/>
      <c r="D1249" s="108"/>
      <c r="E1249" s="108"/>
      <c r="F1249" s="108"/>
      <c r="G1249" s="109"/>
      <c r="H1249" s="110"/>
      <c r="K1249" s="65"/>
      <c r="L1249" s="65"/>
      <c r="N1249" s="65"/>
    </row>
    <row r="1250" spans="1:14">
      <c r="A1250" s="106"/>
      <c r="B1250" s="108"/>
      <c r="C1250" s="108"/>
      <c r="D1250" s="108"/>
      <c r="E1250" s="108"/>
      <c r="F1250" s="108"/>
      <c r="G1250" s="109"/>
      <c r="H1250" s="110"/>
      <c r="K1250" s="65"/>
      <c r="L1250" s="65"/>
      <c r="N1250" s="65"/>
    </row>
    <row r="1251" spans="1:14">
      <c r="A1251" s="106"/>
      <c r="B1251" s="108"/>
      <c r="C1251" s="108"/>
      <c r="D1251" s="108"/>
      <c r="E1251" s="108"/>
      <c r="F1251" s="108"/>
      <c r="G1251" s="109"/>
      <c r="H1251" s="110"/>
      <c r="K1251" s="65"/>
      <c r="L1251" s="65"/>
      <c r="N1251" s="65"/>
    </row>
    <row r="1252" spans="1:14">
      <c r="A1252" s="106"/>
      <c r="B1252" s="108"/>
      <c r="C1252" s="108"/>
      <c r="D1252" s="108"/>
      <c r="E1252" s="108"/>
      <c r="F1252" s="108"/>
      <c r="G1252" s="109"/>
      <c r="H1252" s="110"/>
      <c r="K1252" s="65"/>
      <c r="L1252" s="65"/>
      <c r="N1252" s="65"/>
    </row>
    <row r="1253" spans="1:14">
      <c r="A1253" s="106"/>
      <c r="B1253" s="108"/>
      <c r="C1253" s="108"/>
      <c r="D1253" s="108"/>
      <c r="E1253" s="108"/>
      <c r="F1253" s="108"/>
      <c r="G1253" s="109"/>
      <c r="H1253" s="110"/>
      <c r="K1253" s="65"/>
      <c r="L1253" s="65"/>
      <c r="N1253" s="65"/>
    </row>
    <row r="1254" spans="1:14">
      <c r="A1254" s="106"/>
      <c r="B1254" s="108"/>
      <c r="C1254" s="108"/>
      <c r="D1254" s="108"/>
      <c r="E1254" s="108"/>
      <c r="F1254" s="108"/>
      <c r="G1254" s="109"/>
      <c r="H1254" s="110"/>
      <c r="K1254" s="65"/>
      <c r="L1254" s="65"/>
      <c r="N1254" s="65"/>
    </row>
    <row r="1255" spans="1:14">
      <c r="A1255" s="106"/>
      <c r="B1255" s="108"/>
      <c r="C1255" s="108"/>
      <c r="D1255" s="108"/>
      <c r="E1255" s="108"/>
      <c r="F1255" s="108"/>
      <c r="G1255" s="109"/>
      <c r="H1255" s="110"/>
      <c r="K1255" s="65"/>
      <c r="L1255" s="65"/>
      <c r="N1255" s="65"/>
    </row>
    <row r="1256" spans="1:14">
      <c r="A1256" s="106"/>
      <c r="B1256" s="108"/>
      <c r="C1256" s="108"/>
      <c r="D1256" s="108"/>
      <c r="E1256" s="108"/>
      <c r="F1256" s="108"/>
      <c r="G1256" s="109"/>
      <c r="H1256" s="110"/>
      <c r="K1256" s="65"/>
      <c r="L1256" s="65"/>
      <c r="N1256" s="65"/>
    </row>
    <row r="1257" spans="1:14">
      <c r="A1257" s="106"/>
      <c r="B1257" s="108"/>
      <c r="C1257" s="108"/>
      <c r="D1257" s="108"/>
      <c r="E1257" s="108"/>
      <c r="F1257" s="108"/>
      <c r="G1257" s="109"/>
      <c r="H1257" s="110"/>
      <c r="K1257" s="65"/>
      <c r="L1257" s="65"/>
      <c r="N1257" s="65"/>
    </row>
    <row r="1258" spans="1:14">
      <c r="A1258" s="106"/>
      <c r="B1258" s="108"/>
      <c r="C1258" s="108"/>
      <c r="D1258" s="108"/>
      <c r="E1258" s="108"/>
      <c r="F1258" s="108"/>
      <c r="G1258" s="109"/>
      <c r="H1258" s="110"/>
      <c r="K1258" s="65"/>
      <c r="L1258" s="65"/>
      <c r="N1258" s="65"/>
    </row>
    <row r="1259" spans="1:14">
      <c r="A1259" s="106"/>
      <c r="B1259" s="108"/>
      <c r="C1259" s="108"/>
      <c r="D1259" s="108"/>
      <c r="E1259" s="108"/>
      <c r="F1259" s="108"/>
      <c r="G1259" s="109"/>
      <c r="H1259" s="110"/>
      <c r="K1259" s="65"/>
      <c r="L1259" s="65"/>
      <c r="N1259" s="65"/>
    </row>
    <row r="1260" spans="1:14">
      <c r="A1260" s="106"/>
      <c r="B1260" s="108"/>
      <c r="C1260" s="108"/>
      <c r="D1260" s="108"/>
      <c r="E1260" s="108"/>
      <c r="F1260" s="108"/>
      <c r="G1260" s="109"/>
      <c r="H1260" s="110"/>
      <c r="K1260" s="65"/>
      <c r="L1260" s="65"/>
      <c r="N1260" s="65"/>
    </row>
    <row r="1261" spans="1:14">
      <c r="A1261" s="106"/>
      <c r="B1261" s="108"/>
      <c r="C1261" s="108"/>
      <c r="D1261" s="108"/>
      <c r="E1261" s="108"/>
      <c r="F1261" s="108"/>
      <c r="G1261" s="109"/>
      <c r="H1261" s="110"/>
      <c r="K1261" s="65"/>
      <c r="L1261" s="65"/>
      <c r="N1261" s="65"/>
    </row>
    <row r="1262" spans="1:14">
      <c r="A1262" s="106"/>
      <c r="B1262" s="108"/>
      <c r="C1262" s="108"/>
      <c r="D1262" s="108"/>
      <c r="E1262" s="108"/>
      <c r="F1262" s="108"/>
      <c r="G1262" s="109"/>
      <c r="H1262" s="110"/>
      <c r="K1262" s="65"/>
      <c r="L1262" s="65"/>
      <c r="N1262" s="65"/>
    </row>
    <row r="1263" spans="1:14">
      <c r="A1263" s="106"/>
      <c r="B1263" s="108"/>
      <c r="C1263" s="108"/>
      <c r="D1263" s="108"/>
      <c r="E1263" s="108"/>
      <c r="F1263" s="108"/>
      <c r="G1263" s="109"/>
      <c r="H1263" s="110"/>
      <c r="K1263" s="65"/>
      <c r="L1263" s="65"/>
      <c r="N1263" s="65"/>
    </row>
    <row r="1264" spans="1:14">
      <c r="A1264" s="106"/>
      <c r="B1264" s="108"/>
      <c r="C1264" s="108"/>
      <c r="D1264" s="108"/>
      <c r="E1264" s="108"/>
      <c r="F1264" s="108"/>
      <c r="G1264" s="109"/>
      <c r="H1264" s="110"/>
      <c r="K1264" s="65"/>
      <c r="L1264" s="65"/>
      <c r="N1264" s="65"/>
    </row>
    <row r="1265" spans="1:14">
      <c r="A1265" s="106"/>
      <c r="B1265" s="108"/>
      <c r="C1265" s="108"/>
      <c r="D1265" s="108"/>
      <c r="E1265" s="108"/>
      <c r="F1265" s="108"/>
      <c r="G1265" s="109"/>
      <c r="H1265" s="110"/>
      <c r="K1265" s="65"/>
      <c r="L1265" s="65"/>
      <c r="N1265" s="65"/>
    </row>
    <row r="1266" spans="1:14">
      <c r="A1266" s="106"/>
      <c r="B1266" s="108"/>
      <c r="C1266" s="108"/>
      <c r="D1266" s="108"/>
      <c r="E1266" s="108"/>
      <c r="F1266" s="108"/>
      <c r="G1266" s="109"/>
      <c r="H1266" s="110"/>
      <c r="K1266" s="65"/>
      <c r="L1266" s="65"/>
      <c r="N1266" s="65"/>
    </row>
    <row r="1267" spans="1:14">
      <c r="A1267" s="106"/>
      <c r="B1267" s="108"/>
      <c r="C1267" s="108"/>
      <c r="D1267" s="108"/>
      <c r="E1267" s="108"/>
      <c r="F1267" s="108"/>
      <c r="G1267" s="109"/>
      <c r="H1267" s="110"/>
      <c r="K1267" s="65"/>
      <c r="L1267" s="65"/>
      <c r="N1267" s="65"/>
    </row>
    <row r="1268" spans="1:14">
      <c r="A1268" s="106"/>
      <c r="B1268" s="108"/>
      <c r="C1268" s="108"/>
      <c r="D1268" s="108"/>
      <c r="E1268" s="108"/>
      <c r="F1268" s="108"/>
      <c r="G1268" s="109"/>
      <c r="H1268" s="110"/>
      <c r="K1268" s="65"/>
      <c r="L1268" s="65"/>
      <c r="N1268" s="65"/>
    </row>
    <row r="1269" spans="1:14">
      <c r="A1269" s="106"/>
      <c r="B1269" s="108"/>
      <c r="C1269" s="108"/>
      <c r="D1269" s="108"/>
      <c r="E1269" s="108"/>
      <c r="F1269" s="108"/>
      <c r="G1269" s="109"/>
      <c r="H1269" s="110"/>
      <c r="K1269" s="65"/>
      <c r="L1269" s="65"/>
      <c r="N1269" s="65"/>
    </row>
    <row r="1270" spans="1:14">
      <c r="A1270" s="106"/>
      <c r="B1270" s="108"/>
      <c r="C1270" s="108"/>
      <c r="D1270" s="108"/>
      <c r="E1270" s="108"/>
      <c r="F1270" s="108"/>
      <c r="G1270" s="109"/>
      <c r="H1270" s="110"/>
      <c r="K1270" s="65"/>
      <c r="L1270" s="65"/>
      <c r="N1270" s="65"/>
    </row>
    <row r="1271" spans="1:14">
      <c r="A1271" s="106"/>
      <c r="B1271" s="108"/>
      <c r="C1271" s="108"/>
      <c r="D1271" s="108"/>
      <c r="E1271" s="108"/>
      <c r="F1271" s="108"/>
      <c r="G1271" s="109"/>
      <c r="H1271" s="110"/>
      <c r="K1271" s="65"/>
      <c r="L1271" s="65"/>
      <c r="N1271" s="65"/>
    </row>
    <row r="1272" spans="1:14">
      <c r="A1272" s="106"/>
      <c r="B1272" s="108"/>
      <c r="C1272" s="108"/>
      <c r="D1272" s="108"/>
      <c r="E1272" s="108"/>
      <c r="F1272" s="108"/>
      <c r="G1272" s="109"/>
      <c r="H1272" s="110"/>
      <c r="K1272" s="65"/>
      <c r="L1272" s="65"/>
      <c r="N1272" s="65"/>
    </row>
    <row r="1273" spans="1:14">
      <c r="A1273" s="106"/>
      <c r="B1273" s="108"/>
      <c r="C1273" s="108"/>
      <c r="D1273" s="108"/>
      <c r="E1273" s="108"/>
      <c r="F1273" s="108"/>
      <c r="G1273" s="109"/>
      <c r="H1273" s="110"/>
      <c r="K1273" s="65"/>
      <c r="L1273" s="65"/>
      <c r="N1273" s="65"/>
    </row>
    <row r="1274" spans="1:14">
      <c r="A1274" s="106"/>
      <c r="B1274" s="108"/>
      <c r="C1274" s="108"/>
      <c r="D1274" s="108"/>
      <c r="E1274" s="108"/>
      <c r="F1274" s="108"/>
      <c r="G1274" s="109"/>
      <c r="H1274" s="110"/>
      <c r="K1274" s="65"/>
      <c r="L1274" s="65"/>
      <c r="N1274" s="65"/>
    </row>
    <row r="1275" spans="1:14">
      <c r="A1275" s="106"/>
      <c r="B1275" s="108"/>
      <c r="C1275" s="108"/>
      <c r="D1275" s="108"/>
      <c r="E1275" s="108"/>
      <c r="F1275" s="108"/>
      <c r="G1275" s="109"/>
      <c r="H1275" s="110"/>
      <c r="K1275" s="65"/>
      <c r="L1275" s="65"/>
      <c r="N1275" s="65"/>
    </row>
    <row r="1276" spans="1:14">
      <c r="A1276" s="106"/>
      <c r="B1276" s="108"/>
      <c r="C1276" s="108"/>
      <c r="D1276" s="108"/>
      <c r="E1276" s="108"/>
      <c r="F1276" s="108"/>
      <c r="G1276" s="109"/>
      <c r="H1276" s="110"/>
      <c r="K1276" s="65"/>
      <c r="L1276" s="65"/>
      <c r="N1276" s="65"/>
    </row>
    <row r="1277" spans="1:14">
      <c r="A1277" s="106"/>
      <c r="B1277" s="108"/>
      <c r="C1277" s="108"/>
      <c r="D1277" s="108"/>
      <c r="E1277" s="108"/>
      <c r="F1277" s="108"/>
      <c r="G1277" s="109"/>
      <c r="H1277" s="110"/>
      <c r="K1277" s="65"/>
      <c r="L1277" s="65"/>
      <c r="N1277" s="65"/>
    </row>
    <row r="1278" spans="1:14">
      <c r="A1278" s="106"/>
      <c r="B1278" s="108"/>
      <c r="C1278" s="108"/>
      <c r="D1278" s="108"/>
      <c r="E1278" s="108"/>
      <c r="F1278" s="108"/>
      <c r="G1278" s="109"/>
      <c r="H1278" s="110"/>
      <c r="K1278" s="65"/>
      <c r="L1278" s="65"/>
      <c r="N1278" s="65"/>
    </row>
    <row r="1279" spans="1:14">
      <c r="A1279" s="106"/>
      <c r="B1279" s="108"/>
      <c r="C1279" s="108"/>
      <c r="D1279" s="108"/>
      <c r="E1279" s="108"/>
      <c r="F1279" s="108"/>
      <c r="G1279" s="109"/>
      <c r="H1279" s="110"/>
      <c r="K1279" s="65"/>
      <c r="L1279" s="65"/>
      <c r="N1279" s="65"/>
    </row>
    <row r="1280" spans="1:14">
      <c r="A1280" s="106"/>
      <c r="B1280" s="108"/>
      <c r="C1280" s="108"/>
      <c r="D1280" s="108"/>
      <c r="E1280" s="108"/>
      <c r="F1280" s="108"/>
      <c r="G1280" s="109"/>
      <c r="H1280" s="110"/>
      <c r="K1280" s="65"/>
      <c r="L1280" s="65"/>
      <c r="N1280" s="65"/>
    </row>
    <row r="1281" spans="1:14">
      <c r="A1281" s="106"/>
      <c r="B1281" s="108"/>
      <c r="C1281" s="108"/>
      <c r="D1281" s="108"/>
      <c r="E1281" s="108"/>
      <c r="F1281" s="108"/>
      <c r="G1281" s="109"/>
      <c r="H1281" s="110"/>
      <c r="K1281" s="65"/>
      <c r="L1281" s="65"/>
      <c r="N1281" s="65"/>
    </row>
    <row r="1282" spans="1:14">
      <c r="A1282" s="106"/>
      <c r="B1282" s="108"/>
      <c r="C1282" s="108"/>
      <c r="D1282" s="108"/>
      <c r="E1282" s="108"/>
      <c r="F1282" s="108"/>
      <c r="G1282" s="109"/>
      <c r="H1282" s="110"/>
      <c r="K1282" s="65"/>
      <c r="L1282" s="65"/>
      <c r="N1282" s="65"/>
    </row>
    <row r="1283" spans="1:14">
      <c r="A1283" s="106"/>
      <c r="B1283" s="108"/>
      <c r="C1283" s="108"/>
      <c r="D1283" s="108"/>
      <c r="E1283" s="108"/>
      <c r="F1283" s="108"/>
      <c r="G1283" s="109"/>
      <c r="H1283" s="110"/>
      <c r="K1283" s="65"/>
      <c r="L1283" s="65"/>
      <c r="N1283" s="65"/>
    </row>
    <row r="1284" spans="1:14">
      <c r="A1284" s="106"/>
      <c r="B1284" s="108"/>
      <c r="C1284" s="108"/>
      <c r="D1284" s="108"/>
      <c r="E1284" s="108"/>
      <c r="F1284" s="108"/>
      <c r="G1284" s="109"/>
      <c r="H1284" s="110"/>
      <c r="K1284" s="65"/>
      <c r="L1284" s="65"/>
      <c r="N1284" s="65"/>
    </row>
    <row r="1285" spans="1:14">
      <c r="A1285" s="106"/>
      <c r="B1285" s="108"/>
      <c r="C1285" s="108"/>
      <c r="D1285" s="108"/>
      <c r="E1285" s="108"/>
      <c r="F1285" s="108"/>
      <c r="G1285" s="109"/>
      <c r="H1285" s="110"/>
      <c r="K1285" s="65"/>
      <c r="L1285" s="65"/>
      <c r="N1285" s="65"/>
    </row>
    <row r="1286" spans="1:14">
      <c r="A1286" s="106"/>
      <c r="B1286" s="108"/>
      <c r="C1286" s="108"/>
      <c r="D1286" s="108"/>
      <c r="E1286" s="108"/>
      <c r="F1286" s="108"/>
      <c r="G1286" s="109"/>
      <c r="H1286" s="110"/>
      <c r="K1286" s="65"/>
      <c r="L1286" s="65"/>
      <c r="N1286" s="65"/>
    </row>
    <row r="1287" spans="1:14">
      <c r="A1287" s="106"/>
      <c r="B1287" s="108"/>
      <c r="C1287" s="108"/>
      <c r="D1287" s="108"/>
      <c r="E1287" s="108"/>
      <c r="F1287" s="108"/>
      <c r="G1287" s="109"/>
      <c r="H1287" s="110"/>
      <c r="K1287" s="65"/>
      <c r="L1287" s="65"/>
      <c r="N1287" s="65"/>
    </row>
    <row r="1288" spans="1:14">
      <c r="A1288" s="106"/>
      <c r="B1288" s="108"/>
      <c r="C1288" s="108"/>
      <c r="D1288" s="108"/>
      <c r="E1288" s="108"/>
      <c r="F1288" s="108"/>
      <c r="G1288" s="109"/>
      <c r="H1288" s="110"/>
      <c r="K1288" s="65"/>
      <c r="L1288" s="65"/>
      <c r="N1288" s="65"/>
    </row>
    <row r="1289" spans="1:14">
      <c r="A1289" s="106"/>
      <c r="B1289" s="108"/>
      <c r="C1289" s="108"/>
      <c r="D1289" s="108"/>
      <c r="E1289" s="108"/>
      <c r="F1289" s="108"/>
      <c r="G1289" s="109"/>
      <c r="H1289" s="110"/>
      <c r="K1289" s="65"/>
      <c r="L1289" s="65"/>
      <c r="N1289" s="65"/>
    </row>
    <row r="1290" spans="1:14">
      <c r="A1290" s="106"/>
      <c r="B1290" s="108"/>
      <c r="C1290" s="108"/>
      <c r="D1290" s="108"/>
      <c r="E1290" s="108"/>
      <c r="F1290" s="108"/>
      <c r="G1290" s="109"/>
      <c r="H1290" s="110"/>
      <c r="K1290" s="65"/>
      <c r="L1290" s="65"/>
      <c r="N1290" s="65"/>
    </row>
    <row r="1291" spans="1:14">
      <c r="A1291" s="106"/>
      <c r="B1291" s="108"/>
      <c r="C1291" s="108"/>
      <c r="D1291" s="108"/>
      <c r="E1291" s="108"/>
      <c r="F1291" s="108"/>
      <c r="G1291" s="109"/>
      <c r="H1291" s="110"/>
      <c r="K1291" s="65"/>
      <c r="L1291" s="65"/>
      <c r="N1291" s="65"/>
    </row>
    <row r="1292" spans="1:14">
      <c r="A1292" s="106"/>
      <c r="B1292" s="108"/>
      <c r="C1292" s="108"/>
      <c r="D1292" s="108"/>
      <c r="E1292" s="108"/>
      <c r="F1292" s="108"/>
      <c r="G1292" s="109"/>
      <c r="H1292" s="110"/>
      <c r="K1292" s="65"/>
      <c r="L1292" s="65"/>
      <c r="N1292" s="65"/>
    </row>
    <row r="1293" spans="1:14">
      <c r="A1293" s="106"/>
      <c r="B1293" s="108"/>
      <c r="C1293" s="108"/>
      <c r="D1293" s="108"/>
      <c r="E1293" s="108"/>
      <c r="F1293" s="108"/>
      <c r="G1293" s="109"/>
      <c r="H1293" s="110"/>
      <c r="K1293" s="65"/>
      <c r="L1293" s="65"/>
      <c r="N1293" s="65"/>
    </row>
    <row r="1294" spans="1:14">
      <c r="A1294" s="106"/>
      <c r="B1294" s="108"/>
      <c r="C1294" s="108"/>
      <c r="D1294" s="108"/>
      <c r="E1294" s="108"/>
      <c r="F1294" s="108"/>
      <c r="G1294" s="109"/>
      <c r="H1294" s="110"/>
      <c r="K1294" s="65"/>
      <c r="L1294" s="65"/>
      <c r="N1294" s="65"/>
    </row>
    <row r="1295" spans="1:14">
      <c r="A1295" s="106"/>
      <c r="B1295" s="108"/>
      <c r="C1295" s="108"/>
      <c r="D1295" s="108"/>
      <c r="E1295" s="108"/>
      <c r="F1295" s="108"/>
      <c r="G1295" s="109"/>
      <c r="H1295" s="110"/>
      <c r="K1295" s="65"/>
      <c r="L1295" s="65"/>
      <c r="N1295" s="65"/>
    </row>
    <row r="1296" spans="1:14">
      <c r="A1296" s="106"/>
      <c r="B1296" s="108"/>
      <c r="C1296" s="108"/>
      <c r="D1296" s="108"/>
      <c r="E1296" s="108"/>
      <c r="F1296" s="108"/>
      <c r="G1296" s="109"/>
      <c r="H1296" s="110"/>
      <c r="K1296" s="65"/>
      <c r="L1296" s="65"/>
      <c r="N1296" s="65"/>
    </row>
    <row r="1297" spans="1:14">
      <c r="A1297" s="106"/>
      <c r="B1297" s="108"/>
      <c r="C1297" s="108"/>
      <c r="D1297" s="108"/>
      <c r="E1297" s="108"/>
      <c r="F1297" s="108"/>
      <c r="G1297" s="109"/>
      <c r="H1297" s="110"/>
      <c r="K1297" s="65"/>
      <c r="L1297" s="65"/>
      <c r="N1297" s="65"/>
    </row>
    <row r="1298" spans="1:14">
      <c r="A1298" s="106"/>
      <c r="B1298" s="108"/>
      <c r="C1298" s="108"/>
      <c r="D1298" s="108"/>
      <c r="E1298" s="108"/>
      <c r="F1298" s="108"/>
      <c r="G1298" s="109"/>
      <c r="H1298" s="110"/>
      <c r="K1298" s="65"/>
      <c r="L1298" s="65"/>
      <c r="N1298" s="65"/>
    </row>
    <row r="1299" spans="1:14">
      <c r="A1299" s="106"/>
      <c r="B1299" s="108"/>
      <c r="C1299" s="108"/>
      <c r="D1299" s="108"/>
      <c r="E1299" s="108"/>
      <c r="F1299" s="108"/>
      <c r="G1299" s="109"/>
      <c r="H1299" s="110"/>
      <c r="K1299" s="65"/>
      <c r="L1299" s="65"/>
      <c r="N1299" s="65"/>
    </row>
    <row r="1300" spans="1:14">
      <c r="A1300" s="106"/>
      <c r="B1300" s="108"/>
      <c r="C1300" s="108"/>
      <c r="D1300" s="108"/>
      <c r="E1300" s="108"/>
      <c r="F1300" s="108"/>
      <c r="G1300" s="109"/>
      <c r="H1300" s="110"/>
      <c r="K1300" s="65"/>
      <c r="L1300" s="65"/>
      <c r="N1300" s="65"/>
    </row>
    <row r="1301" spans="1:14">
      <c r="A1301" s="106"/>
      <c r="B1301" s="108"/>
      <c r="C1301" s="108"/>
      <c r="D1301" s="108"/>
      <c r="E1301" s="108"/>
      <c r="F1301" s="108"/>
      <c r="G1301" s="109"/>
      <c r="H1301" s="110"/>
      <c r="K1301" s="65"/>
      <c r="L1301" s="65"/>
      <c r="N1301" s="65"/>
    </row>
    <row r="1302" spans="1:14">
      <c r="A1302" s="106"/>
      <c r="B1302" s="108"/>
      <c r="C1302" s="108"/>
      <c r="D1302" s="108"/>
      <c r="E1302" s="108"/>
      <c r="F1302" s="108"/>
      <c r="G1302" s="109"/>
      <c r="H1302" s="110"/>
      <c r="K1302" s="65"/>
      <c r="L1302" s="65"/>
      <c r="N1302" s="65"/>
    </row>
    <row r="1303" spans="1:14">
      <c r="A1303" s="106"/>
      <c r="B1303" s="108"/>
      <c r="C1303" s="108"/>
      <c r="D1303" s="108"/>
      <c r="E1303" s="108"/>
      <c r="F1303" s="108"/>
      <c r="G1303" s="109"/>
      <c r="H1303" s="110"/>
      <c r="K1303" s="65"/>
      <c r="L1303" s="65"/>
      <c r="N1303" s="65"/>
    </row>
    <row r="1304" spans="1:14">
      <c r="A1304" s="106"/>
      <c r="B1304" s="108"/>
      <c r="C1304" s="108"/>
      <c r="D1304" s="108"/>
      <c r="E1304" s="108"/>
      <c r="F1304" s="108"/>
      <c r="G1304" s="109"/>
      <c r="H1304" s="110"/>
      <c r="K1304" s="65"/>
      <c r="L1304" s="65"/>
      <c r="N1304" s="65"/>
    </row>
    <row r="1305" spans="1:14">
      <c r="A1305" s="106"/>
      <c r="B1305" s="108"/>
      <c r="C1305" s="108"/>
      <c r="D1305" s="108"/>
      <c r="E1305" s="108"/>
      <c r="F1305" s="108"/>
      <c r="G1305" s="109"/>
      <c r="H1305" s="110"/>
      <c r="K1305" s="65"/>
      <c r="L1305" s="65"/>
      <c r="N1305" s="65"/>
    </row>
    <row r="1306" spans="1:14">
      <c r="A1306" s="106"/>
      <c r="B1306" s="108"/>
      <c r="C1306" s="108"/>
      <c r="D1306" s="108"/>
      <c r="E1306" s="108"/>
      <c r="F1306" s="108"/>
      <c r="G1306" s="109"/>
      <c r="H1306" s="110"/>
      <c r="K1306" s="65"/>
      <c r="L1306" s="65"/>
      <c r="N1306" s="65"/>
    </row>
    <row r="1307" spans="1:14">
      <c r="A1307" s="106"/>
      <c r="B1307" s="108"/>
      <c r="C1307" s="108"/>
      <c r="D1307" s="108"/>
      <c r="E1307" s="108"/>
      <c r="F1307" s="108"/>
      <c r="G1307" s="109"/>
      <c r="H1307" s="110"/>
      <c r="K1307" s="65"/>
      <c r="L1307" s="65"/>
      <c r="N1307" s="65"/>
    </row>
    <row r="1308" spans="1:14">
      <c r="A1308" s="106"/>
      <c r="B1308" s="108"/>
      <c r="C1308" s="108"/>
      <c r="D1308" s="108"/>
      <c r="E1308" s="108"/>
      <c r="F1308" s="108"/>
      <c r="G1308" s="109"/>
      <c r="H1308" s="110"/>
      <c r="K1308" s="65"/>
      <c r="L1308" s="65"/>
      <c r="N1308" s="65"/>
    </row>
    <row r="1309" spans="1:14">
      <c r="A1309" s="106"/>
      <c r="B1309" s="108"/>
      <c r="C1309" s="108"/>
      <c r="D1309" s="108"/>
      <c r="E1309" s="108"/>
      <c r="F1309" s="108"/>
      <c r="G1309" s="109"/>
      <c r="H1309" s="110"/>
      <c r="K1309" s="65"/>
      <c r="L1309" s="65"/>
      <c r="N1309" s="65"/>
    </row>
    <row r="1310" spans="1:14">
      <c r="A1310" s="106"/>
      <c r="B1310" s="108"/>
      <c r="C1310" s="108"/>
      <c r="D1310" s="108"/>
      <c r="E1310" s="108"/>
      <c r="F1310" s="108"/>
      <c r="G1310" s="109"/>
      <c r="H1310" s="110"/>
      <c r="K1310" s="65"/>
      <c r="L1310" s="65"/>
      <c r="N1310" s="65"/>
    </row>
    <row r="1311" spans="1:14">
      <c r="A1311" s="106"/>
      <c r="B1311" s="108"/>
      <c r="C1311" s="108"/>
      <c r="D1311" s="108"/>
      <c r="E1311" s="108"/>
      <c r="F1311" s="108"/>
      <c r="G1311" s="109"/>
      <c r="H1311" s="110"/>
      <c r="K1311" s="65"/>
      <c r="L1311" s="65"/>
      <c r="N1311" s="65"/>
    </row>
    <row r="1312" spans="1:14">
      <c r="A1312" s="106"/>
      <c r="B1312" s="108"/>
      <c r="C1312" s="108"/>
      <c r="D1312" s="108"/>
      <c r="E1312" s="108"/>
      <c r="F1312" s="108"/>
      <c r="G1312" s="109"/>
      <c r="H1312" s="110"/>
      <c r="K1312" s="65"/>
      <c r="L1312" s="65"/>
      <c r="N1312" s="65"/>
    </row>
    <row r="1313" spans="1:14">
      <c r="A1313" s="106"/>
      <c r="B1313" s="108"/>
      <c r="C1313" s="108"/>
      <c r="D1313" s="108"/>
      <c r="E1313" s="108"/>
      <c r="F1313" s="108"/>
      <c r="G1313" s="109"/>
      <c r="H1313" s="110"/>
      <c r="K1313" s="65"/>
      <c r="L1313" s="65"/>
      <c r="N1313" s="65"/>
    </row>
    <row r="1314" spans="1:14">
      <c r="A1314" s="106"/>
      <c r="B1314" s="108"/>
      <c r="C1314" s="108"/>
      <c r="D1314" s="108"/>
      <c r="E1314" s="108"/>
      <c r="F1314" s="108"/>
      <c r="G1314" s="109"/>
      <c r="H1314" s="110"/>
      <c r="K1314" s="65"/>
      <c r="L1314" s="65"/>
      <c r="N1314" s="65"/>
    </row>
    <row r="1315" spans="1:14">
      <c r="A1315" s="106"/>
      <c r="B1315" s="108"/>
      <c r="C1315" s="108"/>
      <c r="D1315" s="108"/>
      <c r="E1315" s="108"/>
      <c r="F1315" s="108"/>
      <c r="G1315" s="109"/>
      <c r="H1315" s="110"/>
      <c r="K1315" s="65"/>
      <c r="L1315" s="65"/>
      <c r="N1315" s="65"/>
    </row>
    <row r="1316" spans="1:14">
      <c r="A1316" s="106"/>
      <c r="B1316" s="108"/>
      <c r="C1316" s="108"/>
      <c r="D1316" s="108"/>
      <c r="E1316" s="108"/>
      <c r="F1316" s="108"/>
      <c r="G1316" s="109"/>
      <c r="H1316" s="110"/>
      <c r="K1316" s="65"/>
      <c r="L1316" s="65"/>
      <c r="N1316" s="65"/>
    </row>
    <row r="1317" spans="1:14">
      <c r="A1317" s="106"/>
      <c r="B1317" s="108"/>
      <c r="C1317" s="108"/>
      <c r="D1317" s="108"/>
      <c r="E1317" s="108"/>
      <c r="F1317" s="108"/>
      <c r="G1317" s="109"/>
      <c r="H1317" s="110"/>
      <c r="K1317" s="65"/>
      <c r="L1317" s="65"/>
      <c r="N1317" s="65"/>
    </row>
    <row r="1318" spans="1:14">
      <c r="A1318" s="106"/>
      <c r="B1318" s="108"/>
      <c r="C1318" s="108"/>
      <c r="D1318" s="108"/>
      <c r="E1318" s="108"/>
      <c r="F1318" s="108"/>
      <c r="G1318" s="109"/>
      <c r="H1318" s="110"/>
      <c r="K1318" s="65"/>
      <c r="L1318" s="65"/>
      <c r="N1318" s="65"/>
    </row>
    <row r="1319" spans="1:14">
      <c r="A1319" s="106"/>
      <c r="B1319" s="108"/>
      <c r="C1319" s="108"/>
      <c r="D1319" s="108"/>
      <c r="E1319" s="108"/>
      <c r="F1319" s="108"/>
      <c r="G1319" s="109"/>
      <c r="H1319" s="110"/>
      <c r="K1319" s="65"/>
      <c r="L1319" s="65"/>
      <c r="N1319" s="65"/>
    </row>
    <row r="1320" spans="1:14">
      <c r="A1320" s="106"/>
      <c r="B1320" s="108"/>
      <c r="C1320" s="108"/>
      <c r="D1320" s="108"/>
      <c r="E1320" s="108"/>
      <c r="F1320" s="108"/>
      <c r="G1320" s="109"/>
      <c r="H1320" s="110"/>
      <c r="K1320" s="65"/>
      <c r="L1320" s="65"/>
      <c r="N1320" s="65"/>
    </row>
    <row r="1321" spans="1:14">
      <c r="A1321" s="106"/>
      <c r="B1321" s="108"/>
      <c r="C1321" s="108"/>
      <c r="D1321" s="108"/>
      <c r="E1321" s="108"/>
      <c r="F1321" s="108"/>
      <c r="G1321" s="109"/>
      <c r="H1321" s="110"/>
      <c r="K1321" s="65"/>
      <c r="L1321" s="65"/>
      <c r="N1321" s="65"/>
    </row>
    <row r="1322" spans="1:14">
      <c r="A1322" s="106"/>
      <c r="B1322" s="108"/>
      <c r="C1322" s="108"/>
      <c r="D1322" s="108"/>
      <c r="E1322" s="108"/>
      <c r="F1322" s="108"/>
      <c r="G1322" s="109"/>
      <c r="H1322" s="110"/>
      <c r="K1322" s="65"/>
      <c r="L1322" s="65"/>
      <c r="N1322" s="65"/>
    </row>
    <row r="1323" spans="1:14">
      <c r="A1323" s="106"/>
      <c r="B1323" s="108"/>
      <c r="C1323" s="108"/>
      <c r="D1323" s="108"/>
      <c r="E1323" s="108"/>
      <c r="F1323" s="108"/>
      <c r="G1323" s="109"/>
      <c r="H1323" s="110"/>
      <c r="K1323" s="65"/>
      <c r="L1323" s="65"/>
      <c r="N1323" s="65"/>
    </row>
    <row r="1324" spans="1:14">
      <c r="A1324" s="106"/>
      <c r="B1324" s="108"/>
      <c r="C1324" s="108"/>
      <c r="D1324" s="108"/>
      <c r="E1324" s="108"/>
      <c r="F1324" s="108"/>
      <c r="G1324" s="109"/>
      <c r="H1324" s="110"/>
      <c r="K1324" s="65"/>
      <c r="L1324" s="65"/>
      <c r="N1324" s="65"/>
    </row>
    <row r="1325" spans="1:14">
      <c r="A1325" s="106"/>
      <c r="B1325" s="108"/>
      <c r="C1325" s="108"/>
      <c r="D1325" s="108"/>
      <c r="E1325" s="108"/>
      <c r="F1325" s="108"/>
      <c r="G1325" s="109"/>
      <c r="H1325" s="110"/>
      <c r="K1325" s="65"/>
      <c r="L1325" s="65"/>
      <c r="N1325" s="65"/>
    </row>
    <row r="1326" spans="1:14">
      <c r="A1326" s="106"/>
      <c r="B1326" s="108"/>
      <c r="C1326" s="108"/>
      <c r="D1326" s="108"/>
      <c r="E1326" s="108"/>
      <c r="F1326" s="108"/>
      <c r="G1326" s="109"/>
      <c r="H1326" s="110"/>
      <c r="K1326" s="65"/>
      <c r="L1326" s="65"/>
      <c r="N1326" s="65"/>
    </row>
    <row r="1327" spans="1:14">
      <c r="A1327" s="106"/>
      <c r="B1327" s="108"/>
      <c r="C1327" s="108"/>
      <c r="D1327" s="108"/>
      <c r="E1327" s="108"/>
      <c r="F1327" s="108"/>
      <c r="G1327" s="109"/>
      <c r="H1327" s="110"/>
      <c r="K1327" s="65"/>
      <c r="L1327" s="65"/>
      <c r="N1327" s="65"/>
    </row>
    <row r="1328" spans="1:14">
      <c r="A1328" s="106"/>
      <c r="B1328" s="108"/>
      <c r="C1328" s="108"/>
      <c r="D1328" s="108"/>
      <c r="E1328" s="108"/>
      <c r="F1328" s="108"/>
      <c r="G1328" s="109"/>
      <c r="H1328" s="110"/>
      <c r="K1328" s="65"/>
      <c r="L1328" s="65"/>
      <c r="N1328" s="65"/>
    </row>
    <row r="1329" spans="1:14">
      <c r="A1329" s="106"/>
      <c r="B1329" s="108"/>
      <c r="C1329" s="108"/>
      <c r="D1329" s="108"/>
      <c r="E1329" s="108"/>
      <c r="F1329" s="108"/>
      <c r="G1329" s="109"/>
      <c r="H1329" s="110"/>
      <c r="K1329" s="65"/>
      <c r="L1329" s="65"/>
      <c r="N1329" s="65"/>
    </row>
    <row r="1330" spans="1:14">
      <c r="A1330" s="106"/>
      <c r="B1330" s="108"/>
      <c r="C1330" s="108"/>
      <c r="D1330" s="108"/>
      <c r="E1330" s="108"/>
      <c r="F1330" s="108"/>
      <c r="G1330" s="109"/>
      <c r="H1330" s="110"/>
      <c r="K1330" s="65"/>
      <c r="L1330" s="65"/>
      <c r="N1330" s="65"/>
    </row>
    <row r="1331" spans="1:14">
      <c r="A1331" s="106"/>
      <c r="B1331" s="108"/>
      <c r="C1331" s="108"/>
      <c r="D1331" s="108"/>
      <c r="E1331" s="108"/>
      <c r="F1331" s="108"/>
      <c r="G1331" s="109"/>
      <c r="H1331" s="110"/>
      <c r="K1331" s="65"/>
      <c r="L1331" s="65"/>
      <c r="N1331" s="65"/>
    </row>
    <row r="1332" spans="1:14">
      <c r="A1332" s="106"/>
      <c r="B1332" s="108"/>
      <c r="C1332" s="108"/>
      <c r="D1332" s="108"/>
      <c r="E1332" s="108"/>
      <c r="F1332" s="108"/>
      <c r="G1332" s="109"/>
      <c r="H1332" s="110"/>
      <c r="K1332" s="65"/>
      <c r="L1332" s="65"/>
      <c r="N1332" s="65"/>
    </row>
    <row r="1333" spans="1:14">
      <c r="A1333" s="106"/>
      <c r="B1333" s="108"/>
      <c r="C1333" s="108"/>
      <c r="D1333" s="108"/>
      <c r="E1333" s="108"/>
      <c r="F1333" s="108"/>
      <c r="G1333" s="109"/>
      <c r="H1333" s="110"/>
      <c r="K1333" s="65"/>
      <c r="L1333" s="65"/>
      <c r="N1333" s="65"/>
    </row>
    <row r="1334" spans="1:14">
      <c r="A1334" s="106"/>
      <c r="B1334" s="108"/>
      <c r="C1334" s="108"/>
      <c r="D1334" s="108"/>
      <c r="E1334" s="108"/>
      <c r="F1334" s="108"/>
      <c r="G1334" s="109"/>
      <c r="H1334" s="110"/>
      <c r="K1334" s="65"/>
      <c r="L1334" s="65"/>
      <c r="N1334" s="65"/>
    </row>
    <row r="1335" spans="1:14">
      <c r="A1335" s="106"/>
      <c r="B1335" s="108"/>
      <c r="C1335" s="108"/>
      <c r="D1335" s="108"/>
      <c r="E1335" s="108"/>
      <c r="F1335" s="108"/>
      <c r="G1335" s="109"/>
      <c r="H1335" s="110"/>
      <c r="K1335" s="65"/>
      <c r="L1335" s="65"/>
      <c r="N1335" s="65"/>
    </row>
    <row r="1336" spans="1:14">
      <c r="A1336" s="106"/>
      <c r="B1336" s="108"/>
      <c r="C1336" s="108"/>
      <c r="D1336" s="108"/>
      <c r="E1336" s="108"/>
      <c r="F1336" s="108"/>
      <c r="G1336" s="109"/>
      <c r="H1336" s="110"/>
      <c r="K1336" s="65"/>
      <c r="L1336" s="65"/>
      <c r="N1336" s="65"/>
    </row>
    <row r="1337" spans="1:14">
      <c r="A1337" s="106"/>
      <c r="B1337" s="108"/>
      <c r="C1337" s="108"/>
      <c r="D1337" s="108"/>
      <c r="E1337" s="108"/>
      <c r="F1337" s="108"/>
      <c r="G1337" s="109"/>
      <c r="H1337" s="110"/>
      <c r="K1337" s="65"/>
      <c r="L1337" s="65"/>
      <c r="N1337" s="65"/>
    </row>
    <row r="1338" spans="1:14">
      <c r="A1338" s="106"/>
      <c r="B1338" s="108"/>
      <c r="C1338" s="108"/>
      <c r="D1338" s="108"/>
      <c r="E1338" s="108"/>
      <c r="F1338" s="108"/>
      <c r="G1338" s="109"/>
      <c r="H1338" s="110"/>
      <c r="K1338" s="65"/>
      <c r="L1338" s="65"/>
      <c r="N1338" s="65"/>
    </row>
    <row r="1339" spans="1:14">
      <c r="A1339" s="106"/>
      <c r="B1339" s="108"/>
      <c r="C1339" s="108"/>
      <c r="D1339" s="108"/>
      <c r="E1339" s="108"/>
      <c r="F1339" s="108"/>
      <c r="G1339" s="109"/>
      <c r="H1339" s="110"/>
      <c r="K1339" s="65"/>
      <c r="L1339" s="65"/>
      <c r="N1339" s="65"/>
    </row>
    <row r="1340" spans="1:14">
      <c r="A1340" s="106"/>
      <c r="B1340" s="108"/>
      <c r="C1340" s="108"/>
      <c r="D1340" s="108"/>
      <c r="E1340" s="108"/>
      <c r="F1340" s="108"/>
      <c r="G1340" s="109"/>
      <c r="H1340" s="110"/>
      <c r="K1340" s="65"/>
      <c r="L1340" s="65"/>
      <c r="N1340" s="65"/>
    </row>
    <row r="1341" spans="1:14">
      <c r="A1341" s="106"/>
      <c r="B1341" s="108"/>
      <c r="C1341" s="108"/>
      <c r="D1341" s="108"/>
      <c r="E1341" s="108"/>
      <c r="F1341" s="108"/>
      <c r="G1341" s="109"/>
      <c r="H1341" s="110"/>
      <c r="K1341" s="65"/>
      <c r="L1341" s="65"/>
      <c r="N1341" s="65"/>
    </row>
    <row r="1342" spans="1:14">
      <c r="A1342" s="106"/>
      <c r="B1342" s="108"/>
      <c r="C1342" s="108"/>
      <c r="D1342" s="108"/>
      <c r="E1342" s="108"/>
      <c r="F1342" s="108"/>
      <c r="G1342" s="109"/>
      <c r="H1342" s="110"/>
      <c r="K1342" s="65"/>
      <c r="L1342" s="65"/>
      <c r="N1342" s="65"/>
    </row>
    <row r="1343" spans="1:14">
      <c r="A1343" s="106"/>
      <c r="B1343" s="108"/>
      <c r="C1343" s="108"/>
      <c r="D1343" s="108"/>
      <c r="E1343" s="108"/>
      <c r="F1343" s="108"/>
      <c r="G1343" s="109"/>
      <c r="H1343" s="110"/>
      <c r="K1343" s="65"/>
      <c r="L1343" s="65"/>
      <c r="N1343" s="65"/>
    </row>
    <row r="1344" spans="1:14">
      <c r="A1344" s="106"/>
      <c r="B1344" s="108"/>
      <c r="C1344" s="108"/>
      <c r="D1344" s="108"/>
      <c r="E1344" s="108"/>
      <c r="F1344" s="108"/>
      <c r="G1344" s="109"/>
      <c r="H1344" s="110"/>
      <c r="K1344" s="65"/>
      <c r="L1344" s="65"/>
      <c r="N1344" s="65"/>
    </row>
    <row r="1345" spans="1:14">
      <c r="A1345" s="106"/>
      <c r="B1345" s="108"/>
      <c r="C1345" s="108"/>
      <c r="D1345" s="108"/>
      <c r="E1345" s="108"/>
      <c r="F1345" s="108"/>
      <c r="G1345" s="109"/>
      <c r="H1345" s="110"/>
      <c r="K1345" s="65"/>
      <c r="L1345" s="65"/>
      <c r="N1345" s="65"/>
    </row>
    <row r="1346" spans="1:14">
      <c r="A1346" s="106"/>
      <c r="B1346" s="108"/>
      <c r="C1346" s="108"/>
      <c r="D1346" s="108"/>
      <c r="E1346" s="108"/>
      <c r="F1346" s="108"/>
      <c r="G1346" s="109"/>
      <c r="H1346" s="110"/>
      <c r="K1346" s="65"/>
      <c r="L1346" s="65"/>
      <c r="N1346" s="65"/>
    </row>
    <row r="1347" spans="1:14">
      <c r="A1347" s="106"/>
      <c r="B1347" s="108"/>
      <c r="C1347" s="108"/>
      <c r="D1347" s="108"/>
      <c r="E1347" s="108"/>
      <c r="F1347" s="108"/>
      <c r="G1347" s="109"/>
      <c r="H1347" s="110"/>
      <c r="K1347" s="65"/>
      <c r="L1347" s="65"/>
      <c r="N1347" s="65"/>
    </row>
    <row r="1348" spans="1:14">
      <c r="A1348" s="106"/>
      <c r="B1348" s="108"/>
      <c r="C1348" s="108"/>
      <c r="D1348" s="108"/>
      <c r="E1348" s="108"/>
      <c r="F1348" s="108"/>
      <c r="G1348" s="109"/>
      <c r="H1348" s="110"/>
      <c r="K1348" s="65"/>
      <c r="L1348" s="65"/>
      <c r="N1348" s="65"/>
    </row>
    <row r="1349" spans="1:14">
      <c r="A1349" s="106"/>
      <c r="B1349" s="108"/>
      <c r="C1349" s="108"/>
      <c r="D1349" s="108"/>
      <c r="E1349" s="108"/>
      <c r="F1349" s="108"/>
      <c r="G1349" s="109"/>
      <c r="H1349" s="110"/>
      <c r="K1349" s="65"/>
      <c r="L1349" s="65"/>
      <c r="N1349" s="65"/>
    </row>
    <row r="1350" spans="1:14">
      <c r="A1350" s="106"/>
      <c r="B1350" s="108"/>
      <c r="C1350" s="108"/>
      <c r="D1350" s="108"/>
      <c r="E1350" s="108"/>
      <c r="F1350" s="108"/>
      <c r="G1350" s="109"/>
      <c r="H1350" s="110"/>
      <c r="K1350" s="65"/>
      <c r="L1350" s="65"/>
      <c r="N1350" s="65"/>
    </row>
    <row r="1351" spans="1:14">
      <c r="A1351" s="106"/>
      <c r="B1351" s="108"/>
      <c r="C1351" s="108"/>
      <c r="D1351" s="108"/>
      <c r="E1351" s="108"/>
      <c r="F1351" s="108"/>
      <c r="G1351" s="109"/>
      <c r="H1351" s="110"/>
      <c r="K1351" s="65"/>
      <c r="L1351" s="65"/>
      <c r="N1351" s="65"/>
    </row>
    <row r="1352" spans="1:14">
      <c r="A1352" s="106"/>
      <c r="B1352" s="108"/>
      <c r="C1352" s="108"/>
      <c r="D1352" s="108"/>
      <c r="E1352" s="108"/>
      <c r="F1352" s="108"/>
      <c r="G1352" s="109"/>
      <c r="H1352" s="110"/>
      <c r="K1352" s="65"/>
      <c r="L1352" s="65"/>
      <c r="N1352" s="65"/>
    </row>
    <row r="1353" spans="1:14">
      <c r="A1353" s="106"/>
      <c r="B1353" s="108"/>
      <c r="C1353" s="108"/>
      <c r="D1353" s="108"/>
      <c r="E1353" s="108"/>
      <c r="F1353" s="108"/>
      <c r="G1353" s="109"/>
      <c r="H1353" s="110"/>
      <c r="K1353" s="65"/>
      <c r="L1353" s="65"/>
      <c r="N1353" s="65"/>
    </row>
    <row r="1354" spans="1:14">
      <c r="A1354" s="106"/>
      <c r="B1354" s="108"/>
      <c r="C1354" s="108"/>
      <c r="D1354" s="108"/>
      <c r="E1354" s="108"/>
      <c r="F1354" s="108"/>
      <c r="G1354" s="109"/>
      <c r="H1354" s="110"/>
      <c r="K1354" s="65"/>
      <c r="L1354" s="65"/>
      <c r="N1354" s="65"/>
    </row>
    <row r="1355" spans="1:14">
      <c r="A1355" s="106"/>
      <c r="B1355" s="108"/>
      <c r="C1355" s="108"/>
      <c r="D1355" s="108"/>
      <c r="E1355" s="108"/>
      <c r="F1355" s="108"/>
      <c r="G1355" s="109"/>
      <c r="H1355" s="110"/>
      <c r="K1355" s="65"/>
      <c r="L1355" s="65"/>
      <c r="N1355" s="65"/>
    </row>
    <row r="1356" spans="1:14">
      <c r="A1356" s="106"/>
      <c r="B1356" s="108"/>
      <c r="C1356" s="108"/>
      <c r="D1356" s="108"/>
      <c r="E1356" s="108"/>
      <c r="F1356" s="108"/>
      <c r="G1356" s="109"/>
      <c r="H1356" s="110"/>
      <c r="K1356" s="65"/>
      <c r="L1356" s="65"/>
      <c r="N1356" s="65"/>
    </row>
    <row r="1357" spans="1:14">
      <c r="A1357" s="106"/>
      <c r="B1357" s="108"/>
      <c r="C1357" s="108"/>
      <c r="D1357" s="108"/>
      <c r="E1357" s="108"/>
      <c r="F1357" s="108"/>
      <c r="G1357" s="109"/>
      <c r="H1357" s="110"/>
      <c r="K1357" s="65"/>
      <c r="L1357" s="65"/>
      <c r="N1357" s="65"/>
    </row>
    <row r="1358" spans="1:14">
      <c r="A1358" s="106"/>
      <c r="B1358" s="108"/>
      <c r="C1358" s="108"/>
      <c r="D1358" s="108"/>
      <c r="E1358" s="108"/>
      <c r="F1358" s="108"/>
      <c r="G1358" s="109"/>
      <c r="H1358" s="110"/>
      <c r="K1358" s="65"/>
      <c r="L1358" s="65"/>
      <c r="N1358" s="65"/>
    </row>
    <row r="1359" spans="1:14">
      <c r="A1359" s="106"/>
      <c r="B1359" s="108"/>
      <c r="C1359" s="108"/>
      <c r="D1359" s="108"/>
      <c r="E1359" s="108"/>
      <c r="F1359" s="108"/>
      <c r="G1359" s="109"/>
      <c r="H1359" s="110"/>
      <c r="K1359" s="65"/>
      <c r="L1359" s="65"/>
      <c r="N1359" s="65"/>
    </row>
    <row r="1360" spans="1:14">
      <c r="A1360" s="106"/>
      <c r="B1360" s="108"/>
      <c r="C1360" s="108"/>
      <c r="D1360" s="108"/>
      <c r="E1360" s="108"/>
      <c r="F1360" s="108"/>
      <c r="G1360" s="109"/>
      <c r="H1360" s="110"/>
      <c r="K1360" s="65"/>
      <c r="L1360" s="65"/>
      <c r="N1360" s="65"/>
    </row>
    <row r="1361" spans="1:14">
      <c r="A1361" s="106"/>
      <c r="B1361" s="108"/>
      <c r="C1361" s="108"/>
      <c r="D1361" s="108"/>
      <c r="E1361" s="108"/>
      <c r="F1361" s="108"/>
      <c r="G1361" s="109"/>
      <c r="H1361" s="110"/>
      <c r="K1361" s="65"/>
      <c r="L1361" s="65"/>
      <c r="N1361" s="65"/>
    </row>
    <row r="1362" spans="1:14">
      <c r="A1362" s="106"/>
      <c r="B1362" s="108"/>
      <c r="C1362" s="108"/>
      <c r="D1362" s="108"/>
      <c r="E1362" s="108"/>
      <c r="F1362" s="108"/>
      <c r="G1362" s="109"/>
      <c r="H1362" s="110"/>
      <c r="K1362" s="65"/>
      <c r="L1362" s="65"/>
      <c r="N1362" s="65"/>
    </row>
    <row r="1363" spans="1:14">
      <c r="A1363" s="106"/>
      <c r="B1363" s="108"/>
      <c r="C1363" s="108"/>
      <c r="D1363" s="108"/>
      <c r="E1363" s="108"/>
      <c r="F1363" s="108"/>
      <c r="G1363" s="109"/>
      <c r="H1363" s="110"/>
      <c r="K1363" s="65"/>
      <c r="L1363" s="65"/>
      <c r="N1363" s="65"/>
    </row>
    <row r="1364" spans="1:14">
      <c r="A1364" s="106"/>
      <c r="B1364" s="108"/>
      <c r="C1364" s="108"/>
      <c r="D1364" s="108"/>
      <c r="E1364" s="108"/>
      <c r="F1364" s="108"/>
      <c r="G1364" s="109"/>
      <c r="H1364" s="110"/>
      <c r="K1364" s="65"/>
      <c r="L1364" s="65"/>
      <c r="N1364" s="65"/>
    </row>
    <row r="1365" spans="1:14">
      <c r="A1365" s="106"/>
      <c r="B1365" s="108"/>
      <c r="C1365" s="108"/>
      <c r="D1365" s="108"/>
      <c r="E1365" s="108"/>
      <c r="F1365" s="108"/>
      <c r="G1365" s="109"/>
      <c r="H1365" s="110"/>
      <c r="K1365" s="65"/>
      <c r="L1365" s="65"/>
      <c r="N1365" s="65"/>
    </row>
    <row r="1366" spans="1:14">
      <c r="A1366" s="106"/>
      <c r="B1366" s="108"/>
      <c r="C1366" s="108"/>
      <c r="D1366" s="108"/>
      <c r="E1366" s="108"/>
      <c r="F1366" s="108"/>
      <c r="G1366" s="109"/>
      <c r="H1366" s="110"/>
      <c r="K1366" s="65"/>
      <c r="L1366" s="65"/>
      <c r="N1366" s="65"/>
    </row>
    <row r="1367" spans="1:14">
      <c r="A1367" s="106"/>
      <c r="B1367" s="108"/>
      <c r="C1367" s="108"/>
      <c r="D1367" s="108"/>
      <c r="E1367" s="108"/>
      <c r="F1367" s="108"/>
      <c r="G1367" s="109"/>
      <c r="H1367" s="110"/>
      <c r="K1367" s="65"/>
      <c r="L1367" s="65"/>
      <c r="N1367" s="65"/>
    </row>
    <row r="1368" spans="1:14">
      <c r="A1368" s="106"/>
      <c r="B1368" s="108"/>
      <c r="C1368" s="108"/>
      <c r="D1368" s="108"/>
      <c r="E1368" s="108"/>
      <c r="F1368" s="108"/>
      <c r="G1368" s="109"/>
      <c r="H1368" s="110"/>
      <c r="K1368" s="65"/>
      <c r="L1368" s="65"/>
      <c r="N1368" s="65"/>
    </row>
    <row r="1369" spans="1:14">
      <c r="A1369" s="106"/>
      <c r="B1369" s="108"/>
      <c r="C1369" s="108"/>
      <c r="D1369" s="108"/>
      <c r="E1369" s="108"/>
      <c r="F1369" s="108"/>
      <c r="G1369" s="109"/>
      <c r="H1369" s="110"/>
      <c r="K1369" s="65"/>
      <c r="L1369" s="65"/>
      <c r="N1369" s="65"/>
    </row>
    <row r="1370" spans="1:14">
      <c r="A1370" s="106"/>
      <c r="B1370" s="108"/>
      <c r="C1370" s="108"/>
      <c r="D1370" s="108"/>
      <c r="E1370" s="108"/>
      <c r="F1370" s="108"/>
      <c r="G1370" s="109"/>
      <c r="H1370" s="110"/>
      <c r="K1370" s="65"/>
      <c r="L1370" s="65"/>
      <c r="N1370" s="65"/>
    </row>
    <row r="1371" spans="1:14">
      <c r="A1371" s="106"/>
      <c r="B1371" s="108"/>
      <c r="C1371" s="108"/>
      <c r="D1371" s="108"/>
      <c r="E1371" s="108"/>
      <c r="F1371" s="108"/>
      <c r="G1371" s="109"/>
      <c r="H1371" s="110"/>
      <c r="K1371" s="65"/>
      <c r="L1371" s="65"/>
      <c r="N1371" s="65"/>
    </row>
    <row r="1372" spans="1:14">
      <c r="A1372" s="106"/>
      <c r="B1372" s="108"/>
      <c r="C1372" s="108"/>
      <c r="D1372" s="108"/>
      <c r="E1372" s="108"/>
      <c r="F1372" s="108"/>
      <c r="G1372" s="109"/>
      <c r="H1372" s="110"/>
      <c r="K1372" s="65"/>
      <c r="L1372" s="65"/>
      <c r="N1372" s="65"/>
    </row>
    <row r="1373" spans="1:14">
      <c r="A1373" s="106"/>
      <c r="B1373" s="108"/>
      <c r="C1373" s="108"/>
      <c r="D1373" s="108"/>
      <c r="E1373" s="108"/>
      <c r="F1373" s="108"/>
      <c r="G1373" s="109"/>
      <c r="H1373" s="110"/>
      <c r="K1373" s="65"/>
      <c r="L1373" s="65"/>
      <c r="N1373" s="65"/>
    </row>
    <row r="1374" spans="1:14">
      <c r="A1374" s="106"/>
      <c r="B1374" s="108"/>
      <c r="C1374" s="108"/>
      <c r="D1374" s="108"/>
      <c r="E1374" s="108"/>
      <c r="F1374" s="108"/>
      <c r="G1374" s="109"/>
      <c r="H1374" s="110"/>
      <c r="K1374" s="65"/>
      <c r="L1374" s="65"/>
      <c r="N1374" s="65"/>
    </row>
    <row r="1375" spans="1:14">
      <c r="A1375" s="106"/>
      <c r="B1375" s="108"/>
      <c r="C1375" s="108"/>
      <c r="D1375" s="108"/>
      <c r="E1375" s="108"/>
      <c r="F1375" s="108"/>
      <c r="G1375" s="109"/>
      <c r="H1375" s="110"/>
      <c r="K1375" s="65"/>
      <c r="L1375" s="65"/>
      <c r="N1375" s="65"/>
    </row>
    <row r="1376" spans="1:14">
      <c r="A1376" s="106"/>
      <c r="B1376" s="108"/>
      <c r="C1376" s="108"/>
      <c r="D1376" s="108"/>
      <c r="E1376" s="108"/>
      <c r="F1376" s="108"/>
      <c r="G1376" s="109"/>
      <c r="H1376" s="110"/>
      <c r="K1376" s="65"/>
      <c r="L1376" s="65"/>
      <c r="N1376" s="65"/>
    </row>
    <row r="1377" spans="1:14">
      <c r="A1377" s="106"/>
      <c r="B1377" s="108"/>
      <c r="C1377" s="108"/>
      <c r="D1377" s="108"/>
      <c r="E1377" s="108"/>
      <c r="F1377" s="108"/>
      <c r="G1377" s="109"/>
      <c r="H1377" s="110"/>
      <c r="K1377" s="65"/>
      <c r="L1377" s="65"/>
      <c r="N1377" s="65"/>
    </row>
    <row r="1378" spans="1:14">
      <c r="A1378" s="106"/>
      <c r="B1378" s="108"/>
      <c r="C1378" s="108"/>
      <c r="D1378" s="108"/>
      <c r="E1378" s="108"/>
      <c r="F1378" s="108"/>
      <c r="G1378" s="109"/>
      <c r="H1378" s="110"/>
      <c r="K1378" s="65"/>
      <c r="L1378" s="65"/>
      <c r="N1378" s="65"/>
    </row>
    <row r="1379" spans="1:14">
      <c r="A1379" s="106"/>
      <c r="B1379" s="108"/>
      <c r="C1379" s="108"/>
      <c r="D1379" s="108"/>
      <c r="E1379" s="108"/>
      <c r="F1379" s="108"/>
      <c r="G1379" s="109"/>
      <c r="H1379" s="110"/>
      <c r="K1379" s="65"/>
      <c r="L1379" s="65"/>
      <c r="N1379" s="65"/>
    </row>
    <row r="1380" spans="1:14">
      <c r="A1380" s="106"/>
      <c r="B1380" s="108"/>
      <c r="C1380" s="108"/>
      <c r="D1380" s="108"/>
      <c r="E1380" s="108"/>
      <c r="F1380" s="108"/>
      <c r="G1380" s="109"/>
      <c r="H1380" s="110"/>
      <c r="K1380" s="65"/>
      <c r="L1380" s="65"/>
      <c r="N1380" s="65"/>
    </row>
    <row r="1381" spans="1:14">
      <c r="A1381" s="106"/>
      <c r="B1381" s="108"/>
      <c r="C1381" s="108"/>
      <c r="D1381" s="108"/>
      <c r="E1381" s="108"/>
      <c r="F1381" s="108"/>
      <c r="G1381" s="109"/>
      <c r="H1381" s="110"/>
      <c r="K1381" s="65"/>
      <c r="L1381" s="65"/>
      <c r="N1381" s="65"/>
    </row>
    <row r="1382" spans="1:14">
      <c r="A1382" s="106"/>
      <c r="B1382" s="108"/>
      <c r="C1382" s="108"/>
      <c r="D1382" s="108"/>
      <c r="E1382" s="108"/>
      <c r="F1382" s="108"/>
      <c r="G1382" s="109"/>
      <c r="H1382" s="110"/>
      <c r="K1382" s="65"/>
      <c r="L1382" s="65"/>
      <c r="N1382" s="65"/>
    </row>
    <row r="1383" spans="1:14">
      <c r="A1383" s="106"/>
      <c r="B1383" s="108"/>
      <c r="C1383" s="108"/>
      <c r="D1383" s="108"/>
      <c r="E1383" s="108"/>
      <c r="F1383" s="108"/>
      <c r="G1383" s="109"/>
      <c r="H1383" s="110"/>
      <c r="K1383" s="65"/>
      <c r="L1383" s="65"/>
      <c r="N1383" s="65"/>
    </row>
    <row r="1384" spans="1:14">
      <c r="A1384" s="106"/>
      <c r="B1384" s="108"/>
      <c r="C1384" s="108"/>
      <c r="D1384" s="108"/>
      <c r="E1384" s="108"/>
      <c r="F1384" s="108"/>
      <c r="G1384" s="109"/>
      <c r="H1384" s="110"/>
      <c r="K1384" s="65"/>
      <c r="L1384" s="65"/>
      <c r="N1384" s="65"/>
    </row>
    <row r="1385" spans="1:14">
      <c r="A1385" s="106"/>
      <c r="B1385" s="108"/>
      <c r="C1385" s="108"/>
      <c r="D1385" s="108"/>
      <c r="E1385" s="108"/>
      <c r="F1385" s="108"/>
      <c r="G1385" s="109"/>
      <c r="H1385" s="110"/>
      <c r="K1385" s="65"/>
      <c r="L1385" s="65"/>
      <c r="N1385" s="65"/>
    </row>
    <row r="1386" spans="1:14">
      <c r="A1386" s="106"/>
      <c r="B1386" s="108"/>
      <c r="C1386" s="108"/>
      <c r="D1386" s="108"/>
      <c r="E1386" s="108"/>
      <c r="F1386" s="108"/>
      <c r="G1386" s="109"/>
      <c r="H1386" s="110"/>
      <c r="K1386" s="65"/>
      <c r="L1386" s="65"/>
      <c r="N1386" s="65"/>
    </row>
    <row r="1387" spans="1:14">
      <c r="A1387" s="106"/>
      <c r="B1387" s="108"/>
      <c r="C1387" s="108"/>
      <c r="D1387" s="108"/>
      <c r="E1387" s="108"/>
      <c r="F1387" s="108"/>
      <c r="G1387" s="109"/>
      <c r="H1387" s="110"/>
      <c r="K1387" s="65"/>
      <c r="L1387" s="65"/>
      <c r="N1387" s="65"/>
    </row>
    <row r="1388" spans="1:14">
      <c r="A1388" s="106"/>
      <c r="B1388" s="108"/>
      <c r="C1388" s="108"/>
      <c r="D1388" s="108"/>
      <c r="E1388" s="108"/>
      <c r="F1388" s="108"/>
      <c r="G1388" s="109"/>
      <c r="H1388" s="110"/>
      <c r="K1388" s="65"/>
      <c r="L1388" s="65"/>
      <c r="N1388" s="65"/>
    </row>
    <row r="1389" spans="1:14">
      <c r="A1389" s="106"/>
      <c r="B1389" s="108"/>
      <c r="C1389" s="108"/>
      <c r="D1389" s="108"/>
      <c r="E1389" s="108"/>
      <c r="F1389" s="108"/>
      <c r="G1389" s="109"/>
      <c r="H1389" s="110"/>
      <c r="K1389" s="65"/>
      <c r="L1389" s="65"/>
      <c r="N1389" s="65"/>
    </row>
    <row r="1390" spans="1:14">
      <c r="A1390" s="106"/>
      <c r="B1390" s="108"/>
      <c r="C1390" s="108"/>
      <c r="D1390" s="108"/>
      <c r="E1390" s="108"/>
      <c r="F1390" s="108"/>
      <c r="G1390" s="109"/>
      <c r="H1390" s="110"/>
      <c r="K1390" s="65"/>
      <c r="L1390" s="65"/>
      <c r="N1390" s="65"/>
    </row>
    <row r="1391" spans="1:14">
      <c r="A1391" s="106"/>
      <c r="B1391" s="108"/>
      <c r="C1391" s="108"/>
      <c r="D1391" s="108"/>
      <c r="E1391" s="108"/>
      <c r="F1391" s="108"/>
      <c r="G1391" s="109"/>
      <c r="H1391" s="110"/>
      <c r="K1391" s="65"/>
      <c r="L1391" s="65"/>
      <c r="N1391" s="65"/>
    </row>
    <row r="1392" spans="1:14">
      <c r="A1392" s="106"/>
      <c r="B1392" s="108"/>
      <c r="C1392" s="108"/>
      <c r="D1392" s="108"/>
      <c r="E1392" s="108"/>
      <c r="F1392" s="108"/>
      <c r="G1392" s="109"/>
      <c r="H1392" s="110"/>
      <c r="K1392" s="65"/>
      <c r="L1392" s="65"/>
      <c r="N1392" s="65"/>
    </row>
    <row r="1393" spans="1:14">
      <c r="A1393" s="106"/>
      <c r="B1393" s="108"/>
      <c r="C1393" s="108"/>
      <c r="D1393" s="108"/>
      <c r="E1393" s="108"/>
      <c r="F1393" s="108"/>
      <c r="G1393" s="109"/>
      <c r="H1393" s="110"/>
      <c r="K1393" s="65"/>
      <c r="L1393" s="65"/>
      <c r="N1393" s="65"/>
    </row>
    <row r="1394" spans="1:14">
      <c r="A1394" s="106"/>
      <c r="B1394" s="108"/>
      <c r="C1394" s="108"/>
      <c r="D1394" s="108"/>
      <c r="E1394" s="108"/>
      <c r="F1394" s="108"/>
      <c r="G1394" s="109"/>
      <c r="H1394" s="110"/>
      <c r="K1394" s="65"/>
      <c r="L1394" s="65"/>
      <c r="N1394" s="65"/>
    </row>
    <row r="1395" spans="1:14">
      <c r="A1395" s="106"/>
      <c r="B1395" s="108"/>
      <c r="C1395" s="108"/>
      <c r="D1395" s="108"/>
      <c r="E1395" s="108"/>
      <c r="F1395" s="108"/>
      <c r="G1395" s="109"/>
      <c r="H1395" s="110"/>
      <c r="K1395" s="65"/>
      <c r="L1395" s="65"/>
      <c r="N1395" s="65"/>
    </row>
    <row r="1396" spans="1:14">
      <c r="A1396" s="106"/>
      <c r="B1396" s="108"/>
      <c r="C1396" s="108"/>
      <c r="D1396" s="108"/>
      <c r="E1396" s="108"/>
      <c r="F1396" s="108"/>
      <c r="G1396" s="109"/>
      <c r="H1396" s="110"/>
      <c r="K1396" s="65"/>
      <c r="L1396" s="65"/>
      <c r="N1396" s="65"/>
    </row>
    <row r="1397" spans="1:14">
      <c r="A1397" s="106"/>
      <c r="B1397" s="108"/>
      <c r="C1397" s="108"/>
      <c r="D1397" s="108"/>
      <c r="E1397" s="108"/>
      <c r="F1397" s="108"/>
      <c r="G1397" s="109"/>
      <c r="H1397" s="110"/>
      <c r="K1397" s="65"/>
      <c r="L1397" s="65"/>
      <c r="N1397" s="65"/>
    </row>
    <row r="1398" spans="1:14">
      <c r="A1398" s="106"/>
      <c r="B1398" s="108"/>
      <c r="C1398" s="108"/>
      <c r="D1398" s="108"/>
      <c r="E1398" s="108"/>
      <c r="F1398" s="108"/>
      <c r="G1398" s="109"/>
      <c r="H1398" s="110"/>
      <c r="K1398" s="65"/>
      <c r="L1398" s="65"/>
      <c r="N1398" s="65"/>
    </row>
    <row r="1399" spans="1:14">
      <c r="A1399" s="106"/>
      <c r="B1399" s="108"/>
      <c r="C1399" s="108"/>
      <c r="D1399" s="108"/>
      <c r="E1399" s="108"/>
      <c r="F1399" s="108"/>
      <c r="G1399" s="109"/>
      <c r="H1399" s="110"/>
      <c r="K1399" s="65"/>
      <c r="L1399" s="65"/>
      <c r="N1399" s="65"/>
    </row>
    <row r="1400" spans="1:14">
      <c r="A1400" s="106"/>
      <c r="B1400" s="108"/>
      <c r="C1400" s="108"/>
      <c r="D1400" s="108"/>
      <c r="E1400" s="108"/>
      <c r="F1400" s="108"/>
      <c r="G1400" s="109"/>
      <c r="H1400" s="110"/>
      <c r="K1400" s="65"/>
      <c r="L1400" s="65"/>
      <c r="N1400" s="65"/>
    </row>
    <row r="1401" spans="1:14">
      <c r="A1401" s="106"/>
      <c r="B1401" s="108"/>
      <c r="C1401" s="108"/>
      <c r="D1401" s="108"/>
      <c r="E1401" s="108"/>
      <c r="F1401" s="108"/>
      <c r="G1401" s="109"/>
      <c r="H1401" s="110"/>
      <c r="K1401" s="65"/>
      <c r="L1401" s="65"/>
      <c r="N1401" s="65"/>
    </row>
    <row r="1402" spans="1:14">
      <c r="A1402" s="106"/>
      <c r="B1402" s="108"/>
      <c r="C1402" s="108"/>
      <c r="D1402" s="108"/>
      <c r="E1402" s="108"/>
      <c r="F1402" s="108"/>
      <c r="G1402" s="109"/>
      <c r="H1402" s="110"/>
      <c r="K1402" s="65"/>
      <c r="L1402" s="65"/>
      <c r="N1402" s="65"/>
    </row>
    <row r="1403" spans="1:14">
      <c r="A1403" s="106"/>
      <c r="B1403" s="108"/>
      <c r="C1403" s="108"/>
      <c r="D1403" s="108"/>
      <c r="E1403" s="108"/>
      <c r="F1403" s="108"/>
      <c r="G1403" s="109"/>
      <c r="H1403" s="110"/>
      <c r="K1403" s="65"/>
      <c r="L1403" s="65"/>
      <c r="N1403" s="65"/>
    </row>
    <row r="1404" spans="1:14">
      <c r="A1404" s="106"/>
      <c r="B1404" s="108"/>
      <c r="C1404" s="108"/>
      <c r="D1404" s="108"/>
      <c r="E1404" s="108"/>
      <c r="F1404" s="108"/>
      <c r="G1404" s="109"/>
      <c r="H1404" s="110"/>
      <c r="K1404" s="65"/>
      <c r="L1404" s="65"/>
      <c r="N1404" s="65"/>
    </row>
    <row r="1405" spans="1:14">
      <c r="A1405" s="106"/>
      <c r="B1405" s="108"/>
      <c r="C1405" s="108"/>
      <c r="D1405" s="108"/>
      <c r="E1405" s="108"/>
      <c r="F1405" s="108"/>
      <c r="G1405" s="109"/>
      <c r="H1405" s="110"/>
      <c r="K1405" s="65"/>
      <c r="L1405" s="65"/>
      <c r="N1405" s="65"/>
    </row>
    <row r="1406" spans="1:14">
      <c r="A1406" s="106"/>
      <c r="B1406" s="108"/>
      <c r="C1406" s="108"/>
      <c r="D1406" s="108"/>
      <c r="E1406" s="108"/>
      <c r="F1406" s="108"/>
      <c r="G1406" s="109"/>
      <c r="H1406" s="110"/>
      <c r="K1406" s="65"/>
      <c r="L1406" s="65"/>
      <c r="N1406" s="65"/>
    </row>
    <row r="1407" spans="1:14">
      <c r="A1407" s="106"/>
      <c r="B1407" s="108"/>
      <c r="C1407" s="108"/>
      <c r="D1407" s="108"/>
      <c r="E1407" s="108"/>
      <c r="F1407" s="108"/>
      <c r="G1407" s="109"/>
      <c r="H1407" s="110"/>
      <c r="K1407" s="65"/>
      <c r="L1407" s="65"/>
      <c r="N1407" s="65"/>
    </row>
    <row r="1408" spans="1:14">
      <c r="A1408" s="106"/>
      <c r="B1408" s="108"/>
      <c r="C1408" s="108"/>
      <c r="D1408" s="108"/>
      <c r="E1408" s="108"/>
      <c r="F1408" s="108"/>
      <c r="G1408" s="109"/>
      <c r="H1408" s="110"/>
      <c r="K1408" s="65"/>
      <c r="L1408" s="65"/>
      <c r="N1408" s="65"/>
    </row>
    <row r="1409" spans="1:14">
      <c r="A1409" s="106"/>
      <c r="B1409" s="108"/>
      <c r="C1409" s="108"/>
      <c r="D1409" s="108"/>
      <c r="E1409" s="108"/>
      <c r="F1409" s="108"/>
      <c r="G1409" s="109"/>
      <c r="H1409" s="110"/>
      <c r="K1409" s="65"/>
      <c r="L1409" s="65"/>
      <c r="N1409" s="65"/>
    </row>
    <row r="1410" spans="1:14">
      <c r="A1410" s="106"/>
      <c r="B1410" s="108"/>
      <c r="C1410" s="108"/>
      <c r="D1410" s="108"/>
      <c r="E1410" s="108"/>
      <c r="F1410" s="108"/>
      <c r="G1410" s="109"/>
      <c r="H1410" s="110"/>
      <c r="K1410" s="65"/>
      <c r="L1410" s="65"/>
      <c r="N1410" s="65"/>
    </row>
    <row r="1411" spans="1:14">
      <c r="A1411" s="106"/>
      <c r="B1411" s="108"/>
      <c r="C1411" s="108"/>
      <c r="D1411" s="108"/>
      <c r="E1411" s="108"/>
      <c r="F1411" s="108"/>
      <c r="G1411" s="109"/>
      <c r="H1411" s="110"/>
      <c r="K1411" s="65"/>
      <c r="L1411" s="65"/>
      <c r="N1411" s="65"/>
    </row>
    <row r="1412" spans="1:14">
      <c r="A1412" s="106"/>
      <c r="B1412" s="108"/>
      <c r="C1412" s="108"/>
      <c r="D1412" s="108"/>
      <c r="E1412" s="108"/>
      <c r="F1412" s="108"/>
      <c r="G1412" s="109"/>
      <c r="H1412" s="110"/>
      <c r="K1412" s="65"/>
      <c r="L1412" s="65"/>
      <c r="N1412" s="65"/>
    </row>
    <row r="1413" spans="1:14">
      <c r="A1413" s="106"/>
      <c r="B1413" s="108"/>
      <c r="C1413" s="108"/>
      <c r="D1413" s="108"/>
      <c r="E1413" s="108"/>
      <c r="F1413" s="108"/>
      <c r="G1413" s="109"/>
      <c r="H1413" s="110"/>
      <c r="K1413" s="65"/>
      <c r="L1413" s="65"/>
      <c r="N1413" s="65"/>
    </row>
    <row r="1414" spans="1:14">
      <c r="A1414" s="106"/>
      <c r="B1414" s="108"/>
      <c r="C1414" s="108"/>
      <c r="D1414" s="108"/>
      <c r="E1414" s="108"/>
      <c r="F1414" s="108"/>
      <c r="G1414" s="109"/>
      <c r="H1414" s="110"/>
      <c r="K1414" s="65"/>
      <c r="L1414" s="65"/>
      <c r="N1414" s="65"/>
    </row>
    <row r="1415" spans="1:14">
      <c r="A1415" s="106"/>
      <c r="B1415" s="108"/>
      <c r="C1415" s="108"/>
      <c r="D1415" s="108"/>
      <c r="E1415" s="108"/>
      <c r="F1415" s="108"/>
      <c r="G1415" s="109"/>
      <c r="H1415" s="110"/>
      <c r="K1415" s="65"/>
      <c r="L1415" s="65"/>
      <c r="N1415" s="65"/>
    </row>
    <row r="1416" spans="1:14">
      <c r="A1416" s="106"/>
      <c r="B1416" s="108"/>
      <c r="C1416" s="108"/>
      <c r="D1416" s="108"/>
      <c r="E1416" s="108"/>
      <c r="F1416" s="108"/>
      <c r="G1416" s="109"/>
      <c r="H1416" s="110"/>
      <c r="K1416" s="65"/>
      <c r="L1416" s="65"/>
      <c r="N1416" s="65"/>
    </row>
    <row r="1417" spans="1:14">
      <c r="A1417" s="106"/>
      <c r="B1417" s="108"/>
      <c r="C1417" s="108"/>
      <c r="D1417" s="108"/>
      <c r="E1417" s="108"/>
      <c r="F1417" s="108"/>
      <c r="G1417" s="109"/>
      <c r="H1417" s="110"/>
      <c r="K1417" s="65"/>
      <c r="L1417" s="65"/>
      <c r="N1417" s="65"/>
    </row>
    <row r="1418" spans="1:14">
      <c r="A1418" s="106"/>
      <c r="B1418" s="108"/>
      <c r="C1418" s="108"/>
      <c r="D1418" s="108"/>
      <c r="E1418" s="108"/>
      <c r="F1418" s="108"/>
      <c r="G1418" s="109"/>
      <c r="H1418" s="110"/>
      <c r="K1418" s="65"/>
      <c r="L1418" s="65"/>
      <c r="N1418" s="65"/>
    </row>
    <row r="1419" spans="1:14">
      <c r="A1419" s="106"/>
      <c r="B1419" s="108"/>
      <c r="C1419" s="108"/>
      <c r="D1419" s="108"/>
      <c r="E1419" s="108"/>
      <c r="F1419" s="108"/>
      <c r="G1419" s="109"/>
      <c r="H1419" s="110"/>
      <c r="K1419" s="65"/>
      <c r="L1419" s="65"/>
      <c r="N1419" s="65"/>
    </row>
    <row r="1420" spans="1:14">
      <c r="A1420" s="106"/>
      <c r="B1420" s="108"/>
      <c r="C1420" s="108"/>
      <c r="D1420" s="108"/>
      <c r="E1420" s="108"/>
      <c r="F1420" s="108"/>
      <c r="G1420" s="109"/>
      <c r="H1420" s="110"/>
      <c r="K1420" s="65"/>
      <c r="L1420" s="65"/>
      <c r="N1420" s="65"/>
    </row>
    <row r="1421" spans="1:14">
      <c r="A1421" s="106"/>
      <c r="B1421" s="108"/>
      <c r="C1421" s="108"/>
      <c r="D1421" s="108"/>
      <c r="E1421" s="108"/>
      <c r="F1421" s="108"/>
      <c r="G1421" s="109"/>
      <c r="H1421" s="110"/>
      <c r="K1421" s="65"/>
      <c r="L1421" s="65"/>
      <c r="N1421" s="65"/>
    </row>
    <row r="1422" spans="1:14">
      <c r="A1422" s="106"/>
      <c r="B1422" s="108"/>
      <c r="C1422" s="108"/>
      <c r="D1422" s="108"/>
      <c r="E1422" s="108"/>
      <c r="F1422" s="108"/>
      <c r="G1422" s="109"/>
      <c r="H1422" s="110"/>
      <c r="K1422" s="65"/>
      <c r="L1422" s="65"/>
      <c r="N1422" s="65"/>
    </row>
    <row r="1423" spans="1:14">
      <c r="A1423" s="106"/>
      <c r="B1423" s="108"/>
      <c r="C1423" s="108"/>
      <c r="D1423" s="108"/>
      <c r="E1423" s="108"/>
      <c r="F1423" s="108"/>
      <c r="G1423" s="109"/>
      <c r="H1423" s="110"/>
      <c r="K1423" s="65"/>
      <c r="L1423" s="65"/>
      <c r="N1423" s="65"/>
    </row>
    <row r="1424" spans="1:14">
      <c r="A1424" s="106"/>
      <c r="B1424" s="108"/>
      <c r="C1424" s="108"/>
      <c r="D1424" s="108"/>
      <c r="E1424" s="108"/>
      <c r="F1424" s="108"/>
      <c r="G1424" s="109"/>
      <c r="H1424" s="110"/>
      <c r="K1424" s="65"/>
      <c r="L1424" s="65"/>
      <c r="N1424" s="65"/>
    </row>
    <row r="1425" spans="1:14">
      <c r="A1425" s="106"/>
      <c r="B1425" s="108"/>
      <c r="C1425" s="108"/>
      <c r="D1425" s="108"/>
      <c r="E1425" s="108"/>
      <c r="F1425" s="108"/>
      <c r="G1425" s="109"/>
      <c r="H1425" s="110"/>
      <c r="K1425" s="65"/>
      <c r="L1425" s="65"/>
      <c r="N1425" s="65"/>
    </row>
    <row r="1426" spans="1:14">
      <c r="A1426" s="106"/>
      <c r="B1426" s="108"/>
      <c r="C1426" s="108"/>
      <c r="D1426" s="108"/>
      <c r="E1426" s="108"/>
      <c r="F1426" s="108"/>
      <c r="G1426" s="109"/>
      <c r="H1426" s="110"/>
      <c r="K1426" s="65"/>
      <c r="L1426" s="65"/>
      <c r="N1426" s="65"/>
    </row>
    <row r="1427" spans="1:14">
      <c r="A1427" s="106"/>
      <c r="B1427" s="108"/>
      <c r="C1427" s="108"/>
      <c r="D1427" s="108"/>
      <c r="E1427" s="108"/>
      <c r="F1427" s="108"/>
      <c r="G1427" s="109"/>
      <c r="H1427" s="110"/>
      <c r="K1427" s="65"/>
      <c r="L1427" s="65"/>
      <c r="N1427" s="65"/>
    </row>
    <row r="1428" spans="1:14">
      <c r="A1428" s="106"/>
      <c r="B1428" s="108"/>
      <c r="C1428" s="108"/>
      <c r="D1428" s="108"/>
      <c r="E1428" s="108"/>
      <c r="F1428" s="108"/>
      <c r="G1428" s="109"/>
      <c r="H1428" s="110"/>
      <c r="K1428" s="65"/>
      <c r="L1428" s="65"/>
      <c r="N1428" s="65"/>
    </row>
    <row r="1429" spans="1:14">
      <c r="A1429" s="106"/>
      <c r="B1429" s="108"/>
      <c r="C1429" s="108"/>
      <c r="D1429" s="108"/>
      <c r="E1429" s="108"/>
      <c r="F1429" s="108"/>
      <c r="G1429" s="109"/>
      <c r="H1429" s="110"/>
      <c r="K1429" s="65"/>
      <c r="L1429" s="65"/>
      <c r="N1429" s="65"/>
    </row>
    <row r="1430" spans="1:14">
      <c r="A1430" s="106"/>
      <c r="B1430" s="108"/>
      <c r="C1430" s="108"/>
      <c r="D1430" s="108"/>
      <c r="E1430" s="108"/>
      <c r="F1430" s="108"/>
      <c r="G1430" s="109"/>
      <c r="H1430" s="110"/>
      <c r="K1430" s="65"/>
      <c r="L1430" s="65"/>
      <c r="N1430" s="65"/>
    </row>
    <row r="1431" spans="1:14">
      <c r="A1431" s="106"/>
      <c r="B1431" s="108"/>
      <c r="C1431" s="108"/>
      <c r="D1431" s="108"/>
      <c r="E1431" s="108"/>
      <c r="F1431" s="108"/>
      <c r="G1431" s="109"/>
      <c r="H1431" s="110"/>
      <c r="K1431" s="65"/>
      <c r="L1431" s="65"/>
      <c r="N1431" s="65"/>
    </row>
    <row r="1432" spans="1:14">
      <c r="A1432" s="106"/>
      <c r="B1432" s="108"/>
      <c r="C1432" s="108"/>
      <c r="D1432" s="108"/>
      <c r="E1432" s="108"/>
      <c r="F1432" s="108"/>
      <c r="G1432" s="109"/>
      <c r="H1432" s="110"/>
      <c r="K1432" s="65"/>
      <c r="L1432" s="65"/>
      <c r="N1432" s="65"/>
    </row>
    <row r="1433" spans="1:14">
      <c r="A1433" s="106"/>
      <c r="B1433" s="108"/>
      <c r="C1433" s="108"/>
      <c r="D1433" s="108"/>
      <c r="E1433" s="108"/>
      <c r="F1433" s="108"/>
      <c r="G1433" s="109"/>
      <c r="H1433" s="110"/>
      <c r="K1433" s="65"/>
      <c r="L1433" s="65"/>
      <c r="N1433" s="65"/>
    </row>
    <row r="1434" spans="1:14">
      <c r="A1434" s="106"/>
      <c r="B1434" s="108"/>
      <c r="C1434" s="108"/>
      <c r="D1434" s="108"/>
      <c r="E1434" s="108"/>
      <c r="F1434" s="108"/>
      <c r="G1434" s="109"/>
      <c r="H1434" s="110"/>
      <c r="K1434" s="65"/>
      <c r="L1434" s="65"/>
      <c r="N1434" s="65"/>
    </row>
    <row r="1435" spans="1:14">
      <c r="A1435" s="106"/>
      <c r="B1435" s="108"/>
      <c r="C1435" s="108"/>
      <c r="D1435" s="108"/>
      <c r="E1435" s="108"/>
      <c r="F1435" s="108"/>
      <c r="G1435" s="109"/>
      <c r="H1435" s="110"/>
      <c r="K1435" s="65"/>
      <c r="L1435" s="65"/>
      <c r="N1435" s="65"/>
    </row>
    <row r="1436" spans="1:14">
      <c r="A1436" s="106"/>
      <c r="B1436" s="108"/>
      <c r="C1436" s="108"/>
      <c r="D1436" s="108"/>
      <c r="E1436" s="108"/>
      <c r="F1436" s="108"/>
      <c r="G1436" s="109"/>
      <c r="H1436" s="110"/>
      <c r="K1436" s="65"/>
      <c r="L1436" s="65"/>
      <c r="N1436" s="65"/>
    </row>
    <row r="1437" spans="1:14">
      <c r="A1437" s="106"/>
      <c r="B1437" s="108"/>
      <c r="C1437" s="108"/>
      <c r="D1437" s="108"/>
      <c r="E1437" s="108"/>
      <c r="F1437" s="108"/>
      <c r="G1437" s="109"/>
      <c r="H1437" s="110"/>
      <c r="K1437" s="65"/>
      <c r="L1437" s="65"/>
      <c r="N1437" s="65"/>
    </row>
    <row r="1438" spans="1:14">
      <c r="A1438" s="106"/>
      <c r="B1438" s="108"/>
      <c r="C1438" s="108"/>
      <c r="D1438" s="108"/>
      <c r="E1438" s="108"/>
      <c r="F1438" s="108"/>
      <c r="G1438" s="109"/>
      <c r="H1438" s="110"/>
      <c r="K1438" s="65"/>
      <c r="L1438" s="65"/>
      <c r="N1438" s="65"/>
    </row>
    <row r="1439" spans="1:14">
      <c r="A1439" s="106"/>
      <c r="B1439" s="108"/>
      <c r="C1439" s="108"/>
      <c r="D1439" s="108"/>
      <c r="E1439" s="108"/>
      <c r="F1439" s="108"/>
      <c r="G1439" s="109"/>
      <c r="H1439" s="110"/>
      <c r="K1439" s="65"/>
      <c r="L1439" s="65"/>
      <c r="N1439" s="65"/>
    </row>
    <row r="1440" spans="1:14">
      <c r="A1440" s="106"/>
      <c r="B1440" s="108"/>
      <c r="C1440" s="108"/>
      <c r="D1440" s="108"/>
      <c r="E1440" s="108"/>
      <c r="F1440" s="108"/>
      <c r="G1440" s="109"/>
      <c r="H1440" s="110"/>
      <c r="K1440" s="65"/>
      <c r="L1440" s="65"/>
      <c r="N1440" s="65"/>
    </row>
    <row r="1441" spans="1:14">
      <c r="A1441" s="106"/>
      <c r="B1441" s="108"/>
      <c r="C1441" s="108"/>
      <c r="D1441" s="108"/>
      <c r="E1441" s="108"/>
      <c r="F1441" s="108"/>
      <c r="G1441" s="109"/>
      <c r="H1441" s="110"/>
      <c r="K1441" s="65"/>
      <c r="L1441" s="65"/>
      <c r="N1441" s="65"/>
    </row>
    <row r="1442" spans="1:14">
      <c r="A1442" s="106"/>
      <c r="B1442" s="108"/>
      <c r="C1442" s="108"/>
      <c r="D1442" s="108"/>
      <c r="E1442" s="108"/>
      <c r="F1442" s="108"/>
      <c r="G1442" s="109"/>
      <c r="H1442" s="110"/>
      <c r="K1442" s="65"/>
      <c r="L1442" s="65"/>
      <c r="N1442" s="65"/>
    </row>
    <row r="1443" spans="1:14">
      <c r="A1443" s="106"/>
      <c r="B1443" s="108"/>
      <c r="C1443" s="108"/>
      <c r="D1443" s="108"/>
      <c r="E1443" s="108"/>
      <c r="F1443" s="108"/>
      <c r="G1443" s="109"/>
      <c r="H1443" s="110"/>
      <c r="K1443" s="65"/>
      <c r="L1443" s="65"/>
      <c r="N1443" s="65"/>
    </row>
    <row r="1444" spans="1:14">
      <c r="A1444" s="106"/>
      <c r="B1444" s="108"/>
      <c r="C1444" s="108"/>
      <c r="D1444" s="108"/>
      <c r="E1444" s="108"/>
      <c r="F1444" s="108"/>
      <c r="G1444" s="109"/>
      <c r="H1444" s="110"/>
      <c r="K1444" s="65"/>
      <c r="L1444" s="65"/>
      <c r="N1444" s="65"/>
    </row>
    <row r="1445" spans="1:14">
      <c r="A1445" s="106"/>
      <c r="B1445" s="108"/>
      <c r="C1445" s="108"/>
      <c r="D1445" s="108"/>
      <c r="E1445" s="108"/>
      <c r="F1445" s="108"/>
      <c r="G1445" s="109"/>
      <c r="H1445" s="110"/>
      <c r="K1445" s="65"/>
      <c r="L1445" s="65"/>
      <c r="N1445" s="65"/>
    </row>
    <row r="1446" spans="1:14">
      <c r="A1446" s="106"/>
      <c r="B1446" s="108"/>
      <c r="C1446" s="108"/>
      <c r="D1446" s="108"/>
      <c r="E1446" s="108"/>
      <c r="F1446" s="108"/>
      <c r="G1446" s="109"/>
      <c r="H1446" s="110"/>
      <c r="K1446" s="65"/>
      <c r="L1446" s="65"/>
      <c r="N1446" s="65"/>
    </row>
    <row r="1447" spans="1:14">
      <c r="A1447" s="106"/>
      <c r="B1447" s="108"/>
      <c r="C1447" s="108"/>
      <c r="D1447" s="108"/>
      <c r="E1447" s="108"/>
      <c r="F1447" s="108"/>
      <c r="G1447" s="109"/>
      <c r="H1447" s="110"/>
      <c r="K1447" s="65"/>
      <c r="L1447" s="65"/>
      <c r="N1447" s="65"/>
    </row>
    <row r="1448" spans="1:14">
      <c r="A1448" s="106"/>
      <c r="B1448" s="108"/>
      <c r="C1448" s="108"/>
      <c r="D1448" s="108"/>
      <c r="E1448" s="108"/>
      <c r="F1448" s="108"/>
      <c r="G1448" s="109"/>
      <c r="H1448" s="110"/>
      <c r="K1448" s="65"/>
      <c r="L1448" s="65"/>
      <c r="N1448" s="65"/>
    </row>
    <row r="1449" spans="1:14">
      <c r="A1449" s="106"/>
      <c r="B1449" s="108"/>
      <c r="C1449" s="108"/>
      <c r="D1449" s="108"/>
      <c r="E1449" s="108"/>
      <c r="F1449" s="108"/>
      <c r="G1449" s="109"/>
      <c r="H1449" s="110"/>
      <c r="K1449" s="65"/>
      <c r="L1449" s="65"/>
      <c r="N1449" s="65"/>
    </row>
    <row r="1450" spans="1:14">
      <c r="A1450" s="106"/>
      <c r="B1450" s="108"/>
      <c r="C1450" s="108"/>
      <c r="D1450" s="108"/>
      <c r="E1450" s="108"/>
      <c r="F1450" s="108"/>
      <c r="G1450" s="109"/>
      <c r="H1450" s="110"/>
      <c r="K1450" s="65"/>
      <c r="L1450" s="65"/>
      <c r="N1450" s="65"/>
    </row>
    <row r="1451" spans="1:14">
      <c r="A1451" s="106"/>
      <c r="B1451" s="108"/>
      <c r="C1451" s="108"/>
      <c r="D1451" s="108"/>
      <c r="E1451" s="108"/>
      <c r="F1451" s="108"/>
      <c r="G1451" s="109"/>
      <c r="H1451" s="110"/>
      <c r="K1451" s="65"/>
      <c r="L1451" s="65"/>
      <c r="N1451" s="65"/>
    </row>
    <row r="1452" spans="1:14">
      <c r="A1452" s="106"/>
      <c r="B1452" s="108"/>
      <c r="C1452" s="108"/>
      <c r="D1452" s="108"/>
      <c r="E1452" s="108"/>
      <c r="F1452" s="108"/>
      <c r="G1452" s="109"/>
      <c r="H1452" s="110"/>
      <c r="K1452" s="65"/>
      <c r="L1452" s="65"/>
      <c r="N1452" s="65"/>
    </row>
    <row r="1453" spans="1:14">
      <c r="A1453" s="106"/>
      <c r="B1453" s="108"/>
      <c r="C1453" s="108"/>
      <c r="D1453" s="108"/>
      <c r="E1453" s="108"/>
      <c r="F1453" s="108"/>
      <c r="G1453" s="109"/>
      <c r="H1453" s="110"/>
      <c r="K1453" s="65"/>
      <c r="L1453" s="65"/>
      <c r="N1453" s="65"/>
    </row>
    <row r="1454" spans="1:14">
      <c r="A1454" s="106"/>
      <c r="B1454" s="108"/>
      <c r="C1454" s="108"/>
      <c r="D1454" s="108"/>
      <c r="E1454" s="108"/>
      <c r="F1454" s="108"/>
      <c r="G1454" s="109"/>
      <c r="H1454" s="110"/>
      <c r="K1454" s="65"/>
      <c r="L1454" s="65"/>
      <c r="N1454" s="65"/>
    </row>
    <row r="1455" spans="1:14">
      <c r="A1455" s="106"/>
      <c r="B1455" s="108"/>
      <c r="C1455" s="108"/>
      <c r="D1455" s="108"/>
      <c r="E1455" s="108"/>
      <c r="F1455" s="108"/>
      <c r="G1455" s="109"/>
      <c r="H1455" s="110"/>
      <c r="K1455" s="65"/>
      <c r="L1455" s="65"/>
      <c r="N1455" s="65"/>
    </row>
    <row r="1456" spans="1:14">
      <c r="A1456" s="106"/>
      <c r="B1456" s="108"/>
      <c r="C1456" s="108"/>
      <c r="D1456" s="108"/>
      <c r="E1456" s="108"/>
      <c r="F1456" s="108"/>
      <c r="G1456" s="109"/>
      <c r="H1456" s="110"/>
      <c r="K1456" s="65"/>
      <c r="L1456" s="65"/>
      <c r="N1456" s="65"/>
    </row>
    <row r="1457" spans="1:14">
      <c r="A1457" s="106"/>
      <c r="B1457" s="108"/>
      <c r="C1457" s="108"/>
      <c r="D1457" s="108"/>
      <c r="E1457" s="108"/>
      <c r="F1457" s="108"/>
      <c r="G1457" s="109"/>
      <c r="H1457" s="110"/>
      <c r="K1457" s="65"/>
      <c r="L1457" s="65"/>
      <c r="N1457" s="65"/>
    </row>
    <row r="1458" spans="1:14">
      <c r="A1458" s="106"/>
      <c r="B1458" s="108"/>
      <c r="C1458" s="108"/>
      <c r="D1458" s="108"/>
      <c r="E1458" s="108"/>
      <c r="F1458" s="108"/>
      <c r="G1458" s="109"/>
      <c r="H1458" s="110"/>
      <c r="K1458" s="65"/>
      <c r="L1458" s="65"/>
      <c r="N1458" s="65"/>
    </row>
    <row r="1459" spans="1:14">
      <c r="A1459" s="106"/>
      <c r="B1459" s="108"/>
      <c r="C1459" s="108"/>
      <c r="D1459" s="108"/>
      <c r="E1459" s="108"/>
      <c r="F1459" s="108"/>
      <c r="G1459" s="109"/>
      <c r="H1459" s="110"/>
      <c r="K1459" s="65"/>
      <c r="L1459" s="65"/>
      <c r="N1459" s="65"/>
    </row>
    <row r="1460" spans="1:14">
      <c r="A1460" s="106"/>
      <c r="B1460" s="108"/>
      <c r="C1460" s="108"/>
      <c r="D1460" s="108"/>
      <c r="E1460" s="108"/>
      <c r="F1460" s="108"/>
      <c r="G1460" s="109"/>
      <c r="H1460" s="110"/>
      <c r="K1460" s="65"/>
      <c r="L1460" s="65"/>
      <c r="N1460" s="65"/>
    </row>
    <row r="1461" spans="1:14">
      <c r="A1461" s="106"/>
      <c r="B1461" s="108"/>
      <c r="C1461" s="108"/>
      <c r="D1461" s="108"/>
      <c r="E1461" s="108"/>
      <c r="F1461" s="108"/>
      <c r="G1461" s="109"/>
      <c r="H1461" s="110"/>
      <c r="K1461" s="65"/>
      <c r="L1461" s="65"/>
      <c r="N1461" s="65"/>
    </row>
    <row r="1462" spans="1:14">
      <c r="A1462" s="106"/>
      <c r="B1462" s="108"/>
      <c r="C1462" s="108"/>
      <c r="D1462" s="108"/>
      <c r="E1462" s="108"/>
      <c r="F1462" s="108"/>
      <c r="G1462" s="109"/>
      <c r="H1462" s="110"/>
      <c r="K1462" s="65"/>
      <c r="L1462" s="65"/>
      <c r="N1462" s="65"/>
    </row>
    <row r="1463" spans="1:14">
      <c r="A1463" s="106"/>
      <c r="B1463" s="108"/>
      <c r="C1463" s="108"/>
      <c r="D1463" s="108"/>
      <c r="E1463" s="108"/>
      <c r="F1463" s="108"/>
      <c r="G1463" s="109"/>
      <c r="H1463" s="110"/>
      <c r="K1463" s="65"/>
      <c r="L1463" s="65"/>
      <c r="N1463" s="65"/>
    </row>
    <row r="1464" spans="1:14">
      <c r="A1464" s="106"/>
      <c r="B1464" s="108"/>
      <c r="C1464" s="108"/>
      <c r="D1464" s="108"/>
      <c r="E1464" s="108"/>
      <c r="F1464" s="108"/>
      <c r="G1464" s="109"/>
      <c r="H1464" s="110"/>
      <c r="K1464" s="65"/>
      <c r="L1464" s="65"/>
      <c r="N1464" s="65"/>
    </row>
    <row r="1465" spans="1:14">
      <c r="A1465" s="106"/>
      <c r="B1465" s="108"/>
      <c r="C1465" s="108"/>
      <c r="D1465" s="108"/>
      <c r="E1465" s="108"/>
      <c r="F1465" s="108"/>
      <c r="G1465" s="109"/>
      <c r="H1465" s="110"/>
      <c r="K1465" s="65"/>
      <c r="L1465" s="65"/>
      <c r="N1465" s="65"/>
    </row>
    <row r="1466" spans="1:14">
      <c r="A1466" s="106"/>
      <c r="B1466" s="108"/>
      <c r="C1466" s="108"/>
      <c r="D1466" s="108"/>
      <c r="E1466" s="108"/>
      <c r="F1466" s="108"/>
      <c r="G1466" s="109"/>
      <c r="H1466" s="110"/>
      <c r="K1466" s="65"/>
      <c r="L1466" s="65"/>
      <c r="N1466" s="65"/>
    </row>
    <row r="1467" spans="1:14">
      <c r="A1467" s="106"/>
      <c r="B1467" s="108"/>
      <c r="C1467" s="108"/>
      <c r="D1467" s="108"/>
      <c r="E1467" s="108"/>
      <c r="F1467" s="108"/>
      <c r="G1467" s="109"/>
      <c r="H1467" s="110"/>
      <c r="K1467" s="65"/>
      <c r="L1467" s="65"/>
      <c r="N1467" s="65"/>
    </row>
    <row r="1468" spans="1:14">
      <c r="A1468" s="106"/>
      <c r="B1468" s="108"/>
      <c r="C1468" s="108"/>
      <c r="D1468" s="108"/>
      <c r="E1468" s="108"/>
      <c r="F1468" s="108"/>
      <c r="G1468" s="109"/>
      <c r="H1468" s="110"/>
      <c r="K1468" s="65"/>
      <c r="L1468" s="65"/>
      <c r="N1468" s="65"/>
    </row>
    <row r="1469" spans="1:14">
      <c r="A1469" s="106"/>
      <c r="B1469" s="108"/>
      <c r="C1469" s="108"/>
      <c r="D1469" s="108"/>
      <c r="E1469" s="108"/>
      <c r="F1469" s="108"/>
      <c r="G1469" s="109"/>
      <c r="H1469" s="110"/>
      <c r="K1469" s="65"/>
      <c r="L1469" s="65"/>
      <c r="N1469" s="65"/>
    </row>
    <row r="1470" spans="1:14">
      <c r="A1470" s="106"/>
      <c r="B1470" s="108"/>
      <c r="C1470" s="108"/>
      <c r="D1470" s="108"/>
      <c r="E1470" s="108"/>
      <c r="F1470" s="108"/>
      <c r="G1470" s="109"/>
      <c r="H1470" s="110"/>
      <c r="K1470" s="65"/>
      <c r="L1470" s="65"/>
      <c r="N1470" s="65"/>
    </row>
    <row r="1471" spans="1:14">
      <c r="A1471" s="106"/>
      <c r="B1471" s="108"/>
      <c r="C1471" s="108"/>
      <c r="D1471" s="108"/>
      <c r="E1471" s="108"/>
      <c r="F1471" s="108"/>
      <c r="G1471" s="109"/>
      <c r="H1471" s="110"/>
      <c r="K1471" s="65"/>
      <c r="L1471" s="65"/>
      <c r="N1471" s="65"/>
    </row>
    <row r="1472" spans="1:14">
      <c r="A1472" s="106"/>
      <c r="B1472" s="108"/>
      <c r="C1472" s="108"/>
      <c r="D1472" s="108"/>
      <c r="E1472" s="108"/>
      <c r="F1472" s="108"/>
      <c r="G1472" s="109"/>
      <c r="H1472" s="110"/>
      <c r="K1472" s="65"/>
      <c r="L1472" s="65"/>
      <c r="N1472" s="65"/>
    </row>
    <row r="1473" spans="1:14">
      <c r="A1473" s="106"/>
      <c r="B1473" s="108"/>
      <c r="C1473" s="108"/>
      <c r="D1473" s="108"/>
      <c r="E1473" s="108"/>
      <c r="F1473" s="108"/>
      <c r="G1473" s="109"/>
      <c r="H1473" s="110"/>
      <c r="K1473" s="65"/>
      <c r="L1473" s="65"/>
      <c r="N1473" s="65"/>
    </row>
    <row r="1474" spans="1:14">
      <c r="A1474" s="106"/>
      <c r="B1474" s="108"/>
      <c r="C1474" s="108"/>
      <c r="D1474" s="108"/>
      <c r="E1474" s="108"/>
      <c r="F1474" s="108"/>
      <c r="G1474" s="109"/>
      <c r="H1474" s="110"/>
      <c r="K1474" s="65"/>
      <c r="L1474" s="65"/>
      <c r="N1474" s="65"/>
    </row>
    <row r="1475" spans="1:14">
      <c r="A1475" s="106"/>
      <c r="B1475" s="108"/>
      <c r="C1475" s="108"/>
      <c r="D1475" s="108"/>
      <c r="E1475" s="108"/>
      <c r="F1475" s="108"/>
      <c r="G1475" s="109"/>
      <c r="H1475" s="110"/>
      <c r="K1475" s="65"/>
      <c r="L1475" s="65"/>
      <c r="N1475" s="65"/>
    </row>
    <row r="1476" spans="1:14">
      <c r="A1476" s="106"/>
      <c r="B1476" s="108"/>
      <c r="C1476" s="108"/>
      <c r="D1476" s="108"/>
      <c r="E1476" s="108"/>
      <c r="F1476" s="108"/>
      <c r="G1476" s="109"/>
      <c r="H1476" s="110"/>
      <c r="K1476" s="65"/>
      <c r="L1476" s="65"/>
      <c r="N1476" s="65"/>
    </row>
    <row r="1477" spans="1:14">
      <c r="A1477" s="106"/>
      <c r="B1477" s="108"/>
      <c r="C1477" s="108"/>
      <c r="D1477" s="108"/>
      <c r="E1477" s="108"/>
      <c r="F1477" s="108"/>
      <c r="G1477" s="109"/>
      <c r="H1477" s="110"/>
      <c r="K1477" s="65"/>
      <c r="L1477" s="65"/>
      <c r="N1477" s="65"/>
    </row>
    <row r="1478" spans="1:14">
      <c r="A1478" s="106"/>
      <c r="B1478" s="108"/>
      <c r="C1478" s="108"/>
      <c r="D1478" s="108"/>
      <c r="E1478" s="108"/>
      <c r="F1478" s="108"/>
      <c r="G1478" s="109"/>
      <c r="H1478" s="110"/>
      <c r="K1478" s="65"/>
      <c r="L1478" s="65"/>
      <c r="N1478" s="65"/>
    </row>
    <row r="1479" spans="1:14">
      <c r="A1479" s="106"/>
      <c r="B1479" s="108"/>
      <c r="C1479" s="108"/>
      <c r="D1479" s="108"/>
      <c r="E1479" s="108"/>
      <c r="F1479" s="108"/>
      <c r="G1479" s="109"/>
      <c r="H1479" s="110"/>
      <c r="K1479" s="65"/>
      <c r="L1479" s="65"/>
      <c r="N1479" s="65"/>
    </row>
    <row r="1480" spans="1:14">
      <c r="A1480" s="106"/>
      <c r="B1480" s="108"/>
      <c r="C1480" s="108"/>
      <c r="D1480" s="108"/>
      <c r="E1480" s="108"/>
      <c r="F1480" s="108"/>
      <c r="G1480" s="109"/>
      <c r="H1480" s="110"/>
      <c r="K1480" s="65"/>
      <c r="L1480" s="65"/>
      <c r="N1480" s="65"/>
    </row>
    <row r="1481" spans="1:14">
      <c r="A1481" s="106"/>
      <c r="B1481" s="108"/>
      <c r="C1481" s="108"/>
      <c r="D1481" s="108"/>
      <c r="E1481" s="108"/>
      <c r="F1481" s="108"/>
      <c r="G1481" s="109"/>
      <c r="H1481" s="110"/>
      <c r="K1481" s="65"/>
      <c r="L1481" s="65"/>
      <c r="N1481" s="65"/>
    </row>
    <row r="1482" spans="1:14">
      <c r="A1482" s="106"/>
      <c r="B1482" s="108"/>
      <c r="C1482" s="108"/>
      <c r="D1482" s="108"/>
      <c r="E1482" s="108"/>
      <c r="F1482" s="108"/>
      <c r="G1482" s="109"/>
      <c r="H1482" s="110"/>
      <c r="K1482" s="65"/>
      <c r="L1482" s="65"/>
      <c r="N1482" s="65"/>
    </row>
    <row r="1483" spans="1:14">
      <c r="A1483" s="106"/>
      <c r="B1483" s="108"/>
      <c r="C1483" s="108"/>
      <c r="D1483" s="108"/>
      <c r="E1483" s="108"/>
      <c r="F1483" s="108"/>
      <c r="G1483" s="109"/>
      <c r="H1483" s="110"/>
      <c r="K1483" s="65"/>
      <c r="L1483" s="65"/>
      <c r="N1483" s="65"/>
    </row>
    <row r="1484" spans="1:14">
      <c r="A1484" s="106"/>
      <c r="B1484" s="108"/>
      <c r="C1484" s="108"/>
      <c r="D1484" s="108"/>
      <c r="E1484" s="108"/>
      <c r="F1484" s="108"/>
      <c r="G1484" s="109"/>
      <c r="H1484" s="110"/>
      <c r="K1484" s="65"/>
      <c r="L1484" s="65"/>
      <c r="N1484" s="65"/>
    </row>
    <row r="1485" spans="1:14">
      <c r="A1485" s="106"/>
      <c r="B1485" s="108"/>
      <c r="C1485" s="108"/>
      <c r="D1485" s="108"/>
      <c r="E1485" s="108"/>
      <c r="F1485" s="108"/>
      <c r="G1485" s="109"/>
      <c r="H1485" s="110"/>
      <c r="K1485" s="65"/>
      <c r="L1485" s="65"/>
      <c r="N1485" s="65"/>
    </row>
    <row r="1486" spans="1:14">
      <c r="A1486" s="106"/>
      <c r="B1486" s="108"/>
      <c r="C1486" s="108"/>
      <c r="D1486" s="108"/>
      <c r="E1486" s="108"/>
      <c r="F1486" s="108"/>
      <c r="G1486" s="109"/>
      <c r="H1486" s="110"/>
      <c r="K1486" s="65"/>
      <c r="L1486" s="65"/>
      <c r="N1486" s="65"/>
    </row>
    <row r="1487" spans="1:14">
      <c r="A1487" s="106"/>
      <c r="B1487" s="108"/>
      <c r="C1487" s="108"/>
      <c r="D1487" s="108"/>
      <c r="E1487" s="108"/>
      <c r="F1487" s="108"/>
      <c r="G1487" s="109"/>
      <c r="H1487" s="110"/>
      <c r="K1487" s="65"/>
      <c r="L1487" s="65"/>
      <c r="N1487" s="65"/>
    </row>
    <row r="1488" spans="1:14">
      <c r="A1488" s="106"/>
      <c r="B1488" s="108"/>
      <c r="C1488" s="108"/>
      <c r="D1488" s="108"/>
      <c r="E1488" s="108"/>
      <c r="F1488" s="108"/>
      <c r="G1488" s="109"/>
      <c r="H1488" s="110"/>
      <c r="K1488" s="65"/>
      <c r="L1488" s="65"/>
      <c r="N1488" s="65"/>
    </row>
    <row r="1489" spans="1:14">
      <c r="A1489" s="106"/>
      <c r="B1489" s="108"/>
      <c r="C1489" s="108"/>
      <c r="D1489" s="108"/>
      <c r="E1489" s="108"/>
      <c r="F1489" s="108"/>
      <c r="G1489" s="109"/>
      <c r="H1489" s="110"/>
      <c r="K1489" s="65"/>
      <c r="L1489" s="65"/>
      <c r="N1489" s="65"/>
    </row>
    <row r="1490" spans="1:14">
      <c r="A1490" s="106"/>
      <c r="B1490" s="108"/>
      <c r="C1490" s="108"/>
      <c r="D1490" s="108"/>
      <c r="E1490" s="108"/>
      <c r="F1490" s="108"/>
      <c r="G1490" s="109"/>
      <c r="H1490" s="110"/>
      <c r="K1490" s="65"/>
      <c r="L1490" s="65"/>
      <c r="N1490" s="65"/>
    </row>
    <row r="1491" spans="1:14">
      <c r="A1491" s="106"/>
      <c r="B1491" s="108"/>
      <c r="C1491" s="108"/>
      <c r="D1491" s="108"/>
      <c r="E1491" s="108"/>
      <c r="F1491" s="108"/>
      <c r="G1491" s="109"/>
      <c r="H1491" s="110"/>
      <c r="K1491" s="65"/>
      <c r="L1491" s="65"/>
      <c r="N1491" s="65"/>
    </row>
    <row r="1492" spans="1:14">
      <c r="A1492" s="106"/>
      <c r="B1492" s="108"/>
      <c r="C1492" s="108"/>
      <c r="D1492" s="108"/>
      <c r="E1492" s="108"/>
      <c r="F1492" s="108"/>
      <c r="G1492" s="109"/>
      <c r="H1492" s="110"/>
      <c r="K1492" s="65"/>
      <c r="L1492" s="65"/>
      <c r="N1492" s="65"/>
    </row>
    <row r="1493" spans="1:14">
      <c r="A1493" s="106"/>
      <c r="B1493" s="108"/>
      <c r="C1493" s="108"/>
      <c r="D1493" s="108"/>
      <c r="E1493" s="108"/>
      <c r="F1493" s="108"/>
      <c r="G1493" s="109"/>
      <c r="H1493" s="110"/>
      <c r="K1493" s="65"/>
      <c r="L1493" s="65"/>
      <c r="N1493" s="65"/>
    </row>
    <row r="1494" spans="1:14">
      <c r="A1494" s="106"/>
      <c r="B1494" s="108"/>
      <c r="C1494" s="108"/>
      <c r="D1494" s="108"/>
      <c r="E1494" s="108"/>
      <c r="F1494" s="108"/>
      <c r="G1494" s="109"/>
      <c r="H1494" s="110"/>
      <c r="K1494" s="65"/>
      <c r="L1494" s="65"/>
      <c r="N1494" s="65"/>
    </row>
    <row r="1495" spans="1:14">
      <c r="A1495" s="106"/>
      <c r="B1495" s="108"/>
      <c r="C1495" s="108"/>
      <c r="D1495" s="108"/>
      <c r="E1495" s="108"/>
      <c r="F1495" s="108"/>
      <c r="G1495" s="109"/>
      <c r="H1495" s="110"/>
      <c r="K1495" s="65"/>
      <c r="L1495" s="65"/>
      <c r="N1495" s="65"/>
    </row>
    <row r="1496" spans="1:14">
      <c r="A1496" s="106"/>
      <c r="B1496" s="108"/>
      <c r="C1496" s="108"/>
      <c r="D1496" s="108"/>
      <c r="E1496" s="108"/>
      <c r="F1496" s="108"/>
      <c r="G1496" s="109"/>
      <c r="H1496" s="110"/>
      <c r="K1496" s="65"/>
      <c r="L1496" s="65"/>
      <c r="N1496" s="65"/>
    </row>
    <row r="1497" spans="1:14">
      <c r="A1497" s="106"/>
      <c r="B1497" s="108"/>
      <c r="C1497" s="108"/>
      <c r="D1497" s="108"/>
      <c r="E1497" s="108"/>
      <c r="F1497" s="108"/>
      <c r="G1497" s="109"/>
      <c r="H1497" s="110"/>
      <c r="K1497" s="65"/>
      <c r="L1497" s="65"/>
      <c r="N1497" s="65"/>
    </row>
    <row r="1498" spans="1:14">
      <c r="A1498" s="106"/>
      <c r="B1498" s="108"/>
      <c r="C1498" s="108"/>
      <c r="D1498" s="108"/>
      <c r="E1498" s="108"/>
      <c r="F1498" s="108"/>
      <c r="G1498" s="109"/>
      <c r="H1498" s="110"/>
      <c r="K1498" s="65"/>
      <c r="L1498" s="65"/>
      <c r="N1498" s="65"/>
    </row>
    <row r="1499" spans="1:14">
      <c r="A1499" s="106"/>
      <c r="B1499" s="108"/>
      <c r="C1499" s="108"/>
      <c r="D1499" s="108"/>
      <c r="E1499" s="108"/>
      <c r="F1499" s="108"/>
      <c r="G1499" s="109"/>
      <c r="H1499" s="110"/>
      <c r="K1499" s="65"/>
      <c r="L1499" s="65"/>
      <c r="N1499" s="65"/>
    </row>
    <row r="1500" spans="1:14">
      <c r="A1500" s="106"/>
      <c r="B1500" s="108"/>
      <c r="C1500" s="108"/>
      <c r="D1500" s="108"/>
      <c r="E1500" s="108"/>
      <c r="F1500" s="108"/>
      <c r="G1500" s="109"/>
      <c r="H1500" s="110"/>
      <c r="K1500" s="65"/>
      <c r="L1500" s="65"/>
      <c r="N1500" s="65"/>
    </row>
    <row r="1501" spans="1:14">
      <c r="A1501" s="106"/>
      <c r="B1501" s="108"/>
      <c r="C1501" s="108"/>
      <c r="D1501" s="108"/>
      <c r="E1501" s="108"/>
      <c r="F1501" s="108"/>
      <c r="G1501" s="109"/>
      <c r="H1501" s="110"/>
      <c r="K1501" s="65"/>
      <c r="L1501" s="65"/>
      <c r="N1501" s="65"/>
    </row>
    <row r="1502" spans="1:14">
      <c r="A1502" s="106"/>
      <c r="B1502" s="108"/>
      <c r="C1502" s="108"/>
      <c r="D1502" s="108"/>
      <c r="E1502" s="108"/>
      <c r="F1502" s="108"/>
      <c r="G1502" s="109"/>
      <c r="H1502" s="110"/>
      <c r="K1502" s="65"/>
      <c r="L1502" s="65"/>
      <c r="N1502" s="65"/>
    </row>
    <row r="1503" spans="1:14">
      <c r="A1503" s="106"/>
      <c r="B1503" s="108"/>
      <c r="C1503" s="108"/>
      <c r="D1503" s="108"/>
      <c r="E1503" s="108"/>
      <c r="F1503" s="108"/>
      <c r="G1503" s="109"/>
      <c r="H1503" s="110"/>
      <c r="K1503" s="65"/>
      <c r="L1503" s="65"/>
      <c r="N1503" s="65"/>
    </row>
    <row r="1504" spans="1:14">
      <c r="A1504" s="106"/>
      <c r="B1504" s="108"/>
      <c r="C1504" s="108"/>
      <c r="D1504" s="108"/>
      <c r="E1504" s="108"/>
      <c r="F1504" s="108"/>
      <c r="G1504" s="109"/>
      <c r="H1504" s="110"/>
      <c r="K1504" s="65"/>
      <c r="L1504" s="65"/>
      <c r="N1504" s="65"/>
    </row>
    <row r="1505" spans="1:14">
      <c r="A1505" s="106"/>
      <c r="B1505" s="108"/>
      <c r="C1505" s="108"/>
      <c r="D1505" s="108"/>
      <c r="E1505" s="108"/>
      <c r="F1505" s="108"/>
      <c r="G1505" s="109"/>
      <c r="H1505" s="110"/>
      <c r="K1505" s="65"/>
      <c r="L1505" s="65"/>
      <c r="N1505" s="65"/>
    </row>
    <row r="1506" spans="1:14">
      <c r="A1506" s="106"/>
      <c r="B1506" s="108"/>
      <c r="C1506" s="108"/>
      <c r="D1506" s="108"/>
      <c r="E1506" s="108"/>
      <c r="F1506" s="108"/>
      <c r="G1506" s="109"/>
      <c r="H1506" s="110"/>
      <c r="K1506" s="65"/>
      <c r="L1506" s="65"/>
      <c r="N1506" s="65"/>
    </row>
    <row r="1507" spans="1:14">
      <c r="A1507" s="106"/>
      <c r="B1507" s="108"/>
      <c r="C1507" s="108"/>
      <c r="D1507" s="108"/>
      <c r="E1507" s="108"/>
      <c r="F1507" s="108"/>
      <c r="G1507" s="109"/>
      <c r="H1507" s="110"/>
      <c r="K1507" s="65"/>
      <c r="L1507" s="65"/>
      <c r="N1507" s="65"/>
    </row>
    <row r="1508" spans="1:14">
      <c r="A1508" s="106"/>
      <c r="B1508" s="108"/>
      <c r="C1508" s="108"/>
      <c r="D1508" s="108"/>
      <c r="E1508" s="108"/>
      <c r="F1508" s="108"/>
      <c r="G1508" s="109"/>
      <c r="H1508" s="110"/>
      <c r="K1508" s="65"/>
      <c r="L1508" s="65"/>
      <c r="N1508" s="65"/>
    </row>
    <row r="1509" spans="1:14">
      <c r="A1509" s="106"/>
      <c r="B1509" s="108"/>
      <c r="C1509" s="108"/>
      <c r="D1509" s="108"/>
      <c r="E1509" s="108"/>
      <c r="F1509" s="108"/>
      <c r="G1509" s="109"/>
      <c r="H1509" s="110"/>
      <c r="K1509" s="65"/>
      <c r="L1509" s="65"/>
      <c r="N1509" s="65"/>
    </row>
    <row r="1510" spans="1:14">
      <c r="A1510" s="106"/>
      <c r="B1510" s="108"/>
      <c r="C1510" s="108"/>
      <c r="D1510" s="108"/>
      <c r="E1510" s="108"/>
      <c r="F1510" s="108"/>
      <c r="G1510" s="109"/>
      <c r="H1510" s="110"/>
      <c r="K1510" s="65"/>
      <c r="L1510" s="65"/>
      <c r="N1510" s="65"/>
    </row>
    <row r="1511" spans="1:14">
      <c r="A1511" s="106"/>
      <c r="B1511" s="108"/>
      <c r="C1511" s="108"/>
      <c r="D1511" s="108"/>
      <c r="E1511" s="108"/>
      <c r="F1511" s="108"/>
      <c r="G1511" s="109"/>
      <c r="H1511" s="110"/>
      <c r="K1511" s="65"/>
      <c r="L1511" s="65"/>
      <c r="N1511" s="65"/>
    </row>
    <row r="1512" spans="1:14">
      <c r="A1512" s="106"/>
      <c r="B1512" s="108"/>
      <c r="C1512" s="108"/>
      <c r="D1512" s="108"/>
      <c r="E1512" s="108"/>
      <c r="F1512" s="108"/>
      <c r="G1512" s="109"/>
      <c r="H1512" s="110"/>
      <c r="K1512" s="65"/>
      <c r="L1512" s="65"/>
      <c r="N1512" s="65"/>
    </row>
    <row r="1513" spans="1:14">
      <c r="A1513" s="106"/>
      <c r="B1513" s="108"/>
      <c r="C1513" s="108"/>
      <c r="D1513" s="108"/>
      <c r="E1513" s="108"/>
      <c r="F1513" s="108"/>
      <c r="G1513" s="109"/>
      <c r="H1513" s="110"/>
      <c r="K1513" s="65"/>
      <c r="L1513" s="65"/>
      <c r="N1513" s="65"/>
    </row>
    <row r="1514" spans="1:14">
      <c r="A1514" s="106"/>
      <c r="B1514" s="108"/>
      <c r="C1514" s="108"/>
      <c r="D1514" s="108"/>
      <c r="E1514" s="108"/>
      <c r="F1514" s="108"/>
      <c r="G1514" s="109"/>
      <c r="H1514" s="110"/>
      <c r="K1514" s="65"/>
      <c r="L1514" s="65"/>
      <c r="N1514" s="65"/>
    </row>
    <row r="1515" spans="1:14">
      <c r="A1515" s="106"/>
      <c r="B1515" s="108"/>
      <c r="C1515" s="108"/>
      <c r="D1515" s="108"/>
      <c r="E1515" s="108"/>
      <c r="F1515" s="108"/>
      <c r="G1515" s="109"/>
      <c r="H1515" s="110"/>
      <c r="K1515" s="65"/>
      <c r="L1515" s="65"/>
      <c r="N1515" s="65"/>
    </row>
    <row r="1516" spans="1:14">
      <c r="A1516" s="106"/>
      <c r="B1516" s="108"/>
      <c r="C1516" s="108"/>
      <c r="D1516" s="108"/>
      <c r="E1516" s="108"/>
      <c r="F1516" s="108"/>
      <c r="G1516" s="109"/>
      <c r="H1516" s="110"/>
      <c r="K1516" s="65"/>
      <c r="L1516" s="65"/>
      <c r="N1516" s="65"/>
    </row>
    <row r="1517" spans="1:14">
      <c r="A1517" s="106"/>
      <c r="B1517" s="108"/>
      <c r="C1517" s="108"/>
      <c r="D1517" s="108"/>
      <c r="E1517" s="108"/>
      <c r="F1517" s="108"/>
      <c r="G1517" s="109"/>
      <c r="H1517" s="110"/>
      <c r="K1517" s="65"/>
      <c r="L1517" s="65"/>
      <c r="N1517" s="65"/>
    </row>
    <row r="1518" spans="1:14">
      <c r="A1518" s="106"/>
      <c r="B1518" s="108"/>
      <c r="C1518" s="108"/>
      <c r="D1518" s="108"/>
      <c r="E1518" s="108"/>
      <c r="F1518" s="108"/>
      <c r="G1518" s="109"/>
      <c r="H1518" s="110"/>
      <c r="K1518" s="65"/>
      <c r="L1518" s="65"/>
      <c r="N1518" s="65"/>
    </row>
    <row r="1519" spans="1:14">
      <c r="A1519" s="106"/>
      <c r="B1519" s="108"/>
      <c r="C1519" s="108"/>
      <c r="D1519" s="108"/>
      <c r="E1519" s="108"/>
      <c r="F1519" s="108"/>
      <c r="G1519" s="109"/>
      <c r="H1519" s="110"/>
      <c r="K1519" s="65"/>
      <c r="L1519" s="65"/>
      <c r="N1519" s="65"/>
    </row>
    <row r="1520" spans="1:14">
      <c r="A1520" s="106"/>
      <c r="B1520" s="108"/>
      <c r="C1520" s="108"/>
      <c r="D1520" s="108"/>
      <c r="E1520" s="108"/>
      <c r="F1520" s="108"/>
      <c r="G1520" s="109"/>
      <c r="H1520" s="110"/>
      <c r="K1520" s="65"/>
      <c r="L1520" s="65"/>
      <c r="N1520" s="65"/>
    </row>
    <row r="1521" spans="1:14">
      <c r="A1521" s="106"/>
      <c r="B1521" s="108"/>
      <c r="C1521" s="108"/>
      <c r="D1521" s="108"/>
      <c r="E1521" s="108"/>
      <c r="F1521" s="108"/>
      <c r="G1521" s="109"/>
      <c r="H1521" s="110"/>
      <c r="K1521" s="65"/>
      <c r="L1521" s="65"/>
      <c r="N1521" s="65"/>
    </row>
    <row r="1522" spans="1:14">
      <c r="A1522" s="106"/>
      <c r="B1522" s="108"/>
      <c r="C1522" s="108"/>
      <c r="D1522" s="108"/>
      <c r="E1522" s="108"/>
      <c r="F1522" s="108"/>
      <c r="G1522" s="109"/>
      <c r="H1522" s="110"/>
      <c r="K1522" s="65"/>
      <c r="L1522" s="65"/>
      <c r="N1522" s="65"/>
    </row>
    <row r="1523" spans="1:14">
      <c r="A1523" s="106"/>
      <c r="B1523" s="108"/>
      <c r="C1523" s="108"/>
      <c r="D1523" s="108"/>
      <c r="E1523" s="108"/>
      <c r="F1523" s="108"/>
      <c r="G1523" s="109"/>
      <c r="H1523" s="110"/>
      <c r="K1523" s="65"/>
      <c r="L1523" s="65"/>
      <c r="N1523" s="65"/>
    </row>
    <row r="1524" spans="1:14">
      <c r="A1524" s="106"/>
      <c r="B1524" s="108"/>
      <c r="C1524" s="108"/>
      <c r="D1524" s="108"/>
      <c r="E1524" s="108"/>
      <c r="F1524" s="108"/>
      <c r="G1524" s="109"/>
      <c r="H1524" s="110"/>
      <c r="K1524" s="65"/>
      <c r="L1524" s="65"/>
      <c r="N1524" s="65"/>
    </row>
    <row r="1525" spans="1:14">
      <c r="A1525" s="106"/>
      <c r="B1525" s="108"/>
      <c r="C1525" s="108"/>
      <c r="D1525" s="108"/>
      <c r="E1525" s="108"/>
      <c r="F1525" s="108"/>
      <c r="G1525" s="109"/>
      <c r="H1525" s="110"/>
      <c r="K1525" s="65"/>
      <c r="L1525" s="65"/>
      <c r="N1525" s="65"/>
    </row>
    <row r="1526" spans="1:14">
      <c r="A1526" s="106"/>
      <c r="B1526" s="108"/>
      <c r="C1526" s="108"/>
      <c r="D1526" s="108"/>
      <c r="E1526" s="108"/>
      <c r="F1526" s="108"/>
      <c r="G1526" s="109"/>
      <c r="H1526" s="110"/>
      <c r="K1526" s="65"/>
      <c r="L1526" s="65"/>
      <c r="N1526" s="65"/>
    </row>
    <row r="1527" spans="1:14">
      <c r="A1527" s="106"/>
      <c r="B1527" s="108"/>
      <c r="C1527" s="108"/>
      <c r="D1527" s="108"/>
      <c r="E1527" s="108"/>
      <c r="F1527" s="108"/>
      <c r="G1527" s="109"/>
      <c r="H1527" s="110"/>
      <c r="K1527" s="65"/>
      <c r="L1527" s="65"/>
      <c r="N1527" s="65"/>
    </row>
    <row r="1528" spans="1:14">
      <c r="A1528" s="106"/>
      <c r="B1528" s="108"/>
      <c r="C1528" s="108"/>
      <c r="D1528" s="108"/>
      <c r="E1528" s="108"/>
      <c r="F1528" s="108"/>
      <c r="G1528" s="109"/>
      <c r="H1528" s="110"/>
      <c r="K1528" s="65"/>
      <c r="L1528" s="65"/>
      <c r="N1528" s="65"/>
    </row>
    <row r="1529" spans="1:14">
      <c r="A1529" s="106"/>
      <c r="B1529" s="108"/>
      <c r="C1529" s="108"/>
      <c r="D1529" s="108"/>
      <c r="E1529" s="108"/>
      <c r="F1529" s="108"/>
      <c r="G1529" s="109"/>
      <c r="H1529" s="110"/>
      <c r="K1529" s="65"/>
      <c r="L1529" s="65"/>
      <c r="N1529" s="65"/>
    </row>
    <row r="1530" spans="1:14">
      <c r="A1530" s="106"/>
      <c r="B1530" s="108"/>
      <c r="C1530" s="108"/>
      <c r="D1530" s="108"/>
      <c r="E1530" s="108"/>
      <c r="F1530" s="108"/>
      <c r="G1530" s="109"/>
      <c r="H1530" s="110"/>
      <c r="K1530" s="65"/>
      <c r="L1530" s="65"/>
      <c r="N1530" s="65"/>
    </row>
    <row r="1531" spans="1:14">
      <c r="A1531" s="106"/>
      <c r="B1531" s="108"/>
      <c r="C1531" s="108"/>
      <c r="D1531" s="108"/>
      <c r="E1531" s="108"/>
      <c r="F1531" s="108"/>
      <c r="G1531" s="109"/>
      <c r="H1531" s="110"/>
      <c r="K1531" s="65"/>
      <c r="L1531" s="65"/>
      <c r="N1531" s="65"/>
    </row>
    <row r="1532" spans="1:14">
      <c r="A1532" s="106"/>
      <c r="B1532" s="108"/>
      <c r="C1532" s="108"/>
      <c r="D1532" s="108"/>
      <c r="E1532" s="108"/>
      <c r="F1532" s="108"/>
      <c r="G1532" s="109"/>
      <c r="H1532" s="110"/>
      <c r="K1532" s="65"/>
      <c r="L1532" s="65"/>
      <c r="N1532" s="65"/>
    </row>
    <row r="1533" spans="1:14">
      <c r="A1533" s="106"/>
      <c r="B1533" s="108"/>
      <c r="C1533" s="108"/>
      <c r="D1533" s="108"/>
      <c r="E1533" s="108"/>
      <c r="F1533" s="108"/>
      <c r="G1533" s="109"/>
      <c r="H1533" s="110"/>
      <c r="K1533" s="65"/>
      <c r="L1533" s="65"/>
      <c r="N1533" s="65"/>
    </row>
    <row r="1534" spans="1:14">
      <c r="A1534" s="106"/>
      <c r="B1534" s="108"/>
      <c r="C1534" s="108"/>
      <c r="D1534" s="108"/>
      <c r="E1534" s="108"/>
      <c r="F1534" s="108"/>
      <c r="G1534" s="109"/>
      <c r="H1534" s="110"/>
      <c r="K1534" s="65"/>
      <c r="L1534" s="65"/>
      <c r="N1534" s="65"/>
    </row>
    <row r="1535" spans="1:14">
      <c r="A1535" s="106"/>
      <c r="B1535" s="108"/>
      <c r="C1535" s="108"/>
      <c r="D1535" s="108"/>
      <c r="E1535" s="108"/>
      <c r="F1535" s="108"/>
      <c r="G1535" s="109"/>
      <c r="H1535" s="110"/>
      <c r="K1535" s="65"/>
      <c r="L1535" s="65"/>
      <c r="N1535" s="65"/>
    </row>
    <row r="1536" spans="1:14">
      <c r="A1536" s="106"/>
      <c r="B1536" s="108"/>
      <c r="C1536" s="108"/>
      <c r="D1536" s="108"/>
      <c r="E1536" s="108"/>
      <c r="F1536" s="108"/>
      <c r="G1536" s="109"/>
      <c r="H1536" s="110"/>
      <c r="K1536" s="65"/>
      <c r="L1536" s="65"/>
      <c r="N1536" s="65"/>
    </row>
    <row r="1537" spans="1:14">
      <c r="A1537" s="106"/>
      <c r="B1537" s="108"/>
      <c r="C1537" s="108"/>
      <c r="D1537" s="108"/>
      <c r="E1537" s="108"/>
      <c r="F1537" s="108"/>
      <c r="G1537" s="109"/>
      <c r="H1537" s="110"/>
      <c r="K1537" s="65"/>
      <c r="L1537" s="65"/>
      <c r="N1537" s="65"/>
    </row>
    <row r="1538" spans="1:14">
      <c r="A1538" s="106"/>
      <c r="B1538" s="108"/>
      <c r="C1538" s="108"/>
      <c r="D1538" s="108"/>
      <c r="E1538" s="108"/>
      <c r="F1538" s="108"/>
      <c r="G1538" s="109"/>
      <c r="H1538" s="110"/>
      <c r="K1538" s="65"/>
      <c r="L1538" s="65"/>
      <c r="N1538" s="65"/>
    </row>
    <row r="1539" spans="1:14">
      <c r="A1539" s="106"/>
      <c r="B1539" s="108"/>
      <c r="C1539" s="108"/>
      <c r="D1539" s="108"/>
      <c r="E1539" s="108"/>
      <c r="F1539" s="108"/>
      <c r="G1539" s="109"/>
      <c r="H1539" s="110"/>
      <c r="K1539" s="65"/>
      <c r="L1539" s="65"/>
      <c r="N1539" s="65"/>
    </row>
    <row r="1540" spans="1:14">
      <c r="A1540" s="106"/>
      <c r="B1540" s="108"/>
      <c r="C1540" s="108"/>
      <c r="D1540" s="108"/>
      <c r="E1540" s="108"/>
      <c r="F1540" s="108"/>
      <c r="G1540" s="109"/>
      <c r="H1540" s="110"/>
      <c r="K1540" s="65"/>
      <c r="L1540" s="65"/>
      <c r="N1540" s="65"/>
    </row>
    <row r="1541" spans="1:14">
      <c r="A1541" s="106"/>
      <c r="B1541" s="108"/>
      <c r="C1541" s="108"/>
      <c r="D1541" s="108"/>
      <c r="E1541" s="108"/>
      <c r="F1541" s="108"/>
      <c r="G1541" s="109"/>
      <c r="H1541" s="110"/>
      <c r="K1541" s="65"/>
      <c r="L1541" s="65"/>
      <c r="N1541" s="65"/>
    </row>
    <row r="1542" spans="1:14">
      <c r="A1542" s="106"/>
      <c r="B1542" s="108"/>
      <c r="C1542" s="108"/>
      <c r="D1542" s="108"/>
      <c r="E1542" s="108"/>
      <c r="F1542" s="108"/>
      <c r="G1542" s="109"/>
      <c r="H1542" s="110"/>
      <c r="K1542" s="65"/>
      <c r="L1542" s="65"/>
      <c r="N1542" s="65"/>
    </row>
    <row r="1543" spans="1:14">
      <c r="A1543" s="106"/>
      <c r="B1543" s="108"/>
      <c r="C1543" s="108"/>
      <c r="D1543" s="108"/>
      <c r="E1543" s="108"/>
      <c r="F1543" s="108"/>
      <c r="G1543" s="109"/>
      <c r="H1543" s="110"/>
      <c r="K1543" s="65"/>
      <c r="L1543" s="65"/>
      <c r="N1543" s="65"/>
    </row>
    <row r="1544" spans="1:14">
      <c r="A1544" s="106"/>
      <c r="B1544" s="108"/>
      <c r="C1544" s="108"/>
      <c r="D1544" s="108"/>
      <c r="E1544" s="108"/>
      <c r="F1544" s="108"/>
      <c r="G1544" s="109"/>
      <c r="H1544" s="110"/>
      <c r="K1544" s="65"/>
      <c r="L1544" s="65"/>
      <c r="N1544" s="65"/>
    </row>
    <row r="1545" spans="1:14">
      <c r="A1545" s="106"/>
      <c r="B1545" s="108"/>
      <c r="C1545" s="108"/>
      <c r="D1545" s="108"/>
      <c r="E1545" s="108"/>
      <c r="F1545" s="108"/>
      <c r="G1545" s="109"/>
      <c r="H1545" s="110"/>
      <c r="K1545" s="65"/>
      <c r="L1545" s="65"/>
      <c r="N1545" s="65"/>
    </row>
    <row r="1546" spans="1:14">
      <c r="A1546" s="106"/>
      <c r="B1546" s="108"/>
      <c r="C1546" s="108"/>
      <c r="D1546" s="108"/>
      <c r="E1546" s="108"/>
      <c r="F1546" s="108"/>
      <c r="G1546" s="109"/>
      <c r="H1546" s="110"/>
      <c r="K1546" s="65"/>
      <c r="L1546" s="65"/>
      <c r="N1546" s="65"/>
    </row>
    <row r="1547" spans="1:14">
      <c r="A1547" s="106"/>
      <c r="B1547" s="108"/>
      <c r="C1547" s="108"/>
      <c r="D1547" s="108"/>
      <c r="E1547" s="108"/>
      <c r="F1547" s="108"/>
      <c r="G1547" s="109"/>
      <c r="H1547" s="110"/>
      <c r="K1547" s="65"/>
      <c r="L1547" s="65"/>
      <c r="N1547" s="65"/>
    </row>
    <row r="1548" spans="1:14">
      <c r="A1548" s="106"/>
      <c r="B1548" s="108"/>
      <c r="C1548" s="108"/>
      <c r="D1548" s="108"/>
      <c r="E1548" s="108"/>
      <c r="F1548" s="108"/>
      <c r="G1548" s="109"/>
      <c r="H1548" s="110"/>
      <c r="K1548" s="65"/>
      <c r="L1548" s="65"/>
      <c r="N1548" s="65"/>
    </row>
    <row r="1549" spans="1:14">
      <c r="A1549" s="106"/>
      <c r="B1549" s="108"/>
      <c r="C1549" s="108"/>
      <c r="D1549" s="108"/>
      <c r="E1549" s="108"/>
      <c r="F1549" s="108"/>
      <c r="G1549" s="109"/>
      <c r="H1549" s="110"/>
      <c r="K1549" s="65"/>
      <c r="L1549" s="65"/>
      <c r="N1549" s="65"/>
    </row>
    <row r="1550" spans="1:14">
      <c r="A1550" s="106"/>
      <c r="B1550" s="108"/>
      <c r="C1550" s="108"/>
      <c r="D1550" s="108"/>
      <c r="E1550" s="108"/>
      <c r="F1550" s="108"/>
      <c r="G1550" s="109"/>
      <c r="H1550" s="110"/>
      <c r="K1550" s="65"/>
      <c r="L1550" s="65"/>
      <c r="N1550" s="65"/>
    </row>
    <row r="1551" spans="1:14">
      <c r="A1551" s="106"/>
      <c r="B1551" s="108"/>
      <c r="C1551" s="108"/>
      <c r="D1551" s="108"/>
      <c r="E1551" s="108"/>
      <c r="F1551" s="108"/>
      <c r="G1551" s="109"/>
      <c r="H1551" s="110"/>
      <c r="K1551" s="65"/>
      <c r="L1551" s="65"/>
      <c r="N1551" s="65"/>
    </row>
    <row r="1552" spans="1:14">
      <c r="A1552" s="106"/>
      <c r="B1552" s="108"/>
      <c r="C1552" s="108"/>
      <c r="D1552" s="108"/>
      <c r="E1552" s="108"/>
      <c r="F1552" s="108"/>
      <c r="G1552" s="109"/>
      <c r="H1552" s="110"/>
      <c r="K1552" s="65"/>
      <c r="L1552" s="65"/>
      <c r="N1552" s="65"/>
    </row>
    <row r="1553" spans="1:14">
      <c r="A1553" s="106"/>
      <c r="B1553" s="108"/>
      <c r="C1553" s="108"/>
      <c r="D1553" s="108"/>
      <c r="E1553" s="108"/>
      <c r="F1553" s="108"/>
      <c r="G1553" s="109"/>
      <c r="H1553" s="110"/>
      <c r="K1553" s="65"/>
      <c r="L1553" s="65"/>
      <c r="N1553" s="65"/>
    </row>
    <row r="1554" spans="1:14">
      <c r="A1554" s="106"/>
      <c r="B1554" s="108"/>
      <c r="C1554" s="108"/>
      <c r="D1554" s="108"/>
      <c r="E1554" s="108"/>
      <c r="F1554" s="108"/>
      <c r="G1554" s="109"/>
      <c r="H1554" s="110"/>
      <c r="K1554" s="65"/>
      <c r="L1554" s="65"/>
      <c r="N1554" s="65"/>
    </row>
    <row r="1555" spans="1:14">
      <c r="A1555" s="106"/>
      <c r="B1555" s="108"/>
      <c r="C1555" s="108"/>
      <c r="D1555" s="108"/>
      <c r="E1555" s="108"/>
      <c r="F1555" s="108"/>
      <c r="G1555" s="109"/>
      <c r="H1555" s="110"/>
      <c r="K1555" s="65"/>
      <c r="L1555" s="65"/>
      <c r="N1555" s="65"/>
    </row>
    <row r="1556" spans="1:14">
      <c r="A1556" s="106"/>
      <c r="B1556" s="108"/>
      <c r="C1556" s="108"/>
      <c r="D1556" s="108"/>
      <c r="E1556" s="108"/>
      <c r="F1556" s="108"/>
      <c r="G1556" s="109"/>
      <c r="H1556" s="110"/>
      <c r="K1556" s="65"/>
      <c r="L1556" s="65"/>
      <c r="N1556" s="65"/>
    </row>
    <row r="1557" spans="1:14">
      <c r="A1557" s="106"/>
      <c r="B1557" s="108"/>
      <c r="C1557" s="108"/>
      <c r="D1557" s="108"/>
      <c r="E1557" s="108"/>
      <c r="F1557" s="108"/>
      <c r="G1557" s="109"/>
      <c r="H1557" s="110"/>
      <c r="K1557" s="65"/>
      <c r="L1557" s="65"/>
      <c r="N1557" s="65"/>
    </row>
    <row r="1558" spans="1:14">
      <c r="A1558" s="106"/>
      <c r="B1558" s="108"/>
      <c r="C1558" s="108"/>
      <c r="D1558" s="108"/>
      <c r="E1558" s="108"/>
      <c r="F1558" s="108"/>
      <c r="G1558" s="109"/>
      <c r="H1558" s="110"/>
      <c r="K1558" s="65"/>
      <c r="L1558" s="65"/>
      <c r="N1558" s="65"/>
    </row>
    <row r="1559" spans="1:14">
      <c r="A1559" s="106"/>
      <c r="B1559" s="108"/>
      <c r="C1559" s="108"/>
      <c r="D1559" s="108"/>
      <c r="E1559" s="108"/>
      <c r="F1559" s="108"/>
      <c r="G1559" s="109"/>
      <c r="H1559" s="110"/>
      <c r="K1559" s="65"/>
      <c r="L1559" s="65"/>
      <c r="N1559" s="65"/>
    </row>
    <row r="1560" spans="1:14">
      <c r="A1560" s="106"/>
      <c r="B1560" s="108"/>
      <c r="C1560" s="108"/>
      <c r="D1560" s="108"/>
      <c r="E1560" s="108"/>
      <c r="F1560" s="108"/>
      <c r="G1560" s="109"/>
      <c r="H1560" s="110"/>
      <c r="K1560" s="65"/>
      <c r="L1560" s="65"/>
      <c r="N1560" s="65"/>
    </row>
    <row r="1561" spans="1:14">
      <c r="A1561" s="106"/>
      <c r="B1561" s="108"/>
      <c r="C1561" s="108"/>
      <c r="D1561" s="108"/>
      <c r="E1561" s="108"/>
      <c r="F1561" s="108"/>
      <c r="G1561" s="109"/>
      <c r="H1561" s="110"/>
      <c r="K1561" s="65"/>
      <c r="L1561" s="65"/>
      <c r="N1561" s="65"/>
    </row>
    <row r="1562" spans="1:14">
      <c r="A1562" s="106"/>
      <c r="B1562" s="108"/>
      <c r="C1562" s="108"/>
      <c r="D1562" s="108"/>
      <c r="E1562" s="108"/>
      <c r="F1562" s="108"/>
      <c r="G1562" s="109"/>
      <c r="H1562" s="110"/>
      <c r="K1562" s="65"/>
      <c r="L1562" s="65"/>
      <c r="N1562" s="65"/>
    </row>
    <row r="1563" spans="1:14">
      <c r="A1563" s="106"/>
      <c r="B1563" s="108"/>
      <c r="C1563" s="108"/>
      <c r="D1563" s="108"/>
      <c r="E1563" s="108"/>
      <c r="F1563" s="108"/>
      <c r="G1563" s="109"/>
      <c r="H1563" s="110"/>
      <c r="K1563" s="65"/>
      <c r="L1563" s="65"/>
      <c r="N1563" s="65"/>
    </row>
    <row r="1564" spans="1:14">
      <c r="A1564" s="106"/>
      <c r="B1564" s="108"/>
      <c r="C1564" s="108"/>
      <c r="D1564" s="108"/>
      <c r="E1564" s="108"/>
      <c r="F1564" s="108"/>
      <c r="G1564" s="109"/>
      <c r="H1564" s="110"/>
      <c r="K1564" s="65"/>
      <c r="L1564" s="65"/>
      <c r="N1564" s="65"/>
    </row>
    <row r="1565" spans="1:14">
      <c r="A1565" s="106"/>
      <c r="B1565" s="108"/>
      <c r="C1565" s="108"/>
      <c r="D1565" s="108"/>
      <c r="E1565" s="108"/>
      <c r="F1565" s="108"/>
      <c r="G1565" s="109"/>
      <c r="H1565" s="110"/>
      <c r="K1565" s="65"/>
      <c r="L1565" s="65"/>
      <c r="N1565" s="65"/>
    </row>
    <row r="1566" spans="1:14">
      <c r="A1566" s="106"/>
      <c r="B1566" s="108"/>
      <c r="C1566" s="108"/>
      <c r="D1566" s="108"/>
      <c r="E1566" s="108"/>
      <c r="F1566" s="108"/>
      <c r="G1566" s="109"/>
      <c r="H1566" s="110"/>
      <c r="K1566" s="65"/>
      <c r="L1566" s="65"/>
      <c r="N1566" s="65"/>
    </row>
    <row r="1567" spans="1:14">
      <c r="A1567" s="106"/>
      <c r="B1567" s="108"/>
      <c r="C1567" s="108"/>
      <c r="D1567" s="108"/>
      <c r="E1567" s="108"/>
      <c r="F1567" s="108"/>
      <c r="G1567" s="109"/>
      <c r="H1567" s="110"/>
      <c r="K1567" s="65"/>
      <c r="L1567" s="65"/>
      <c r="N1567" s="65"/>
    </row>
    <row r="1568" spans="1:14">
      <c r="A1568" s="106"/>
      <c r="B1568" s="108"/>
      <c r="C1568" s="108"/>
      <c r="D1568" s="108"/>
      <c r="E1568" s="108"/>
      <c r="F1568" s="108"/>
      <c r="G1568" s="109"/>
      <c r="H1568" s="110"/>
      <c r="K1568" s="65"/>
      <c r="L1568" s="65"/>
      <c r="N1568" s="65"/>
    </row>
    <row r="1569" spans="1:14">
      <c r="A1569" s="106"/>
      <c r="B1569" s="108"/>
      <c r="C1569" s="108"/>
      <c r="D1569" s="108"/>
      <c r="E1569" s="108"/>
      <c r="F1569" s="108"/>
      <c r="G1569" s="109"/>
      <c r="H1569" s="110"/>
      <c r="K1569" s="65"/>
      <c r="L1569" s="65"/>
      <c r="N1569" s="65"/>
    </row>
    <row r="1570" spans="1:14">
      <c r="A1570" s="106"/>
      <c r="B1570" s="108"/>
      <c r="C1570" s="108"/>
      <c r="D1570" s="108"/>
      <c r="E1570" s="108"/>
      <c r="F1570" s="108"/>
      <c r="G1570" s="109"/>
      <c r="H1570" s="110"/>
      <c r="K1570" s="65"/>
      <c r="L1570" s="65"/>
      <c r="N1570" s="65"/>
    </row>
    <row r="1571" spans="1:14">
      <c r="A1571" s="106"/>
      <c r="B1571" s="108"/>
      <c r="C1571" s="108"/>
      <c r="D1571" s="108"/>
      <c r="E1571" s="108"/>
      <c r="F1571" s="108"/>
      <c r="G1571" s="109"/>
      <c r="H1571" s="110"/>
      <c r="K1571" s="65"/>
      <c r="L1571" s="65"/>
      <c r="N1571" s="65"/>
    </row>
    <row r="1572" spans="1:14">
      <c r="A1572" s="106"/>
      <c r="B1572" s="108"/>
      <c r="C1572" s="108"/>
      <c r="D1572" s="108"/>
      <c r="E1572" s="108"/>
      <c r="F1572" s="108"/>
      <c r="G1572" s="109"/>
      <c r="H1572" s="110"/>
      <c r="K1572" s="65"/>
      <c r="L1572" s="65"/>
      <c r="N1572" s="65"/>
    </row>
    <row r="1573" spans="1:14">
      <c r="A1573" s="106"/>
      <c r="B1573" s="108"/>
      <c r="C1573" s="108"/>
      <c r="D1573" s="108"/>
      <c r="E1573" s="108"/>
      <c r="F1573" s="108"/>
      <c r="G1573" s="109"/>
      <c r="H1573" s="110"/>
      <c r="K1573" s="65"/>
      <c r="L1573" s="65"/>
      <c r="N1573" s="65"/>
    </row>
    <row r="1574" spans="1:14">
      <c r="A1574" s="106"/>
      <c r="B1574" s="108"/>
      <c r="C1574" s="108"/>
      <c r="D1574" s="108"/>
      <c r="E1574" s="108"/>
      <c r="F1574" s="108"/>
      <c r="G1574" s="109"/>
      <c r="H1574" s="110"/>
      <c r="K1574" s="65"/>
      <c r="L1574" s="65"/>
      <c r="N1574" s="65"/>
    </row>
    <row r="1575" spans="1:14">
      <c r="A1575" s="106"/>
      <c r="B1575" s="108"/>
      <c r="C1575" s="108"/>
      <c r="D1575" s="108"/>
      <c r="E1575" s="108"/>
      <c r="F1575" s="108"/>
      <c r="G1575" s="109"/>
      <c r="H1575" s="110"/>
      <c r="K1575" s="65"/>
      <c r="L1575" s="65"/>
      <c r="N1575" s="65"/>
    </row>
    <row r="1576" spans="1:14">
      <c r="A1576" s="106"/>
      <c r="B1576" s="108"/>
      <c r="C1576" s="108"/>
      <c r="D1576" s="108"/>
      <c r="E1576" s="108"/>
      <c r="F1576" s="108"/>
      <c r="G1576" s="109"/>
      <c r="H1576" s="110"/>
      <c r="K1576" s="65"/>
      <c r="L1576" s="65"/>
      <c r="N1576" s="65"/>
    </row>
    <row r="1577" spans="1:14">
      <c r="A1577" s="106"/>
      <c r="B1577" s="108"/>
      <c r="C1577" s="108"/>
      <c r="D1577" s="108"/>
      <c r="E1577" s="108"/>
      <c r="F1577" s="108"/>
      <c r="G1577" s="109"/>
      <c r="H1577" s="110"/>
      <c r="K1577" s="65"/>
      <c r="L1577" s="65"/>
      <c r="N1577" s="65"/>
    </row>
    <row r="1578" spans="1:14">
      <c r="A1578" s="106"/>
      <c r="B1578" s="108"/>
      <c r="C1578" s="108"/>
      <c r="D1578" s="108"/>
      <c r="E1578" s="108"/>
      <c r="F1578" s="108"/>
      <c r="G1578" s="109"/>
      <c r="H1578" s="110"/>
      <c r="K1578" s="65"/>
      <c r="L1578" s="65"/>
      <c r="N1578" s="65"/>
    </row>
    <row r="1579" spans="1:14">
      <c r="A1579" s="106"/>
      <c r="B1579" s="108"/>
      <c r="C1579" s="108"/>
      <c r="D1579" s="108"/>
      <c r="E1579" s="108"/>
      <c r="F1579" s="108"/>
      <c r="G1579" s="109"/>
      <c r="H1579" s="110"/>
      <c r="K1579" s="65"/>
      <c r="L1579" s="65"/>
      <c r="N1579" s="65"/>
    </row>
    <row r="1580" spans="1:14">
      <c r="A1580" s="106"/>
      <c r="B1580" s="108"/>
      <c r="C1580" s="108"/>
      <c r="D1580" s="108"/>
      <c r="E1580" s="108"/>
      <c r="F1580" s="108"/>
      <c r="G1580" s="109"/>
      <c r="H1580" s="110"/>
      <c r="K1580" s="65"/>
      <c r="L1580" s="65"/>
      <c r="N1580" s="65"/>
    </row>
    <row r="1581" spans="1:14">
      <c r="A1581" s="106"/>
      <c r="B1581" s="108"/>
      <c r="C1581" s="108"/>
      <c r="D1581" s="108"/>
      <c r="E1581" s="108"/>
      <c r="F1581" s="108"/>
      <c r="G1581" s="109"/>
      <c r="H1581" s="110"/>
      <c r="K1581" s="65"/>
      <c r="L1581" s="65"/>
      <c r="N1581" s="65"/>
    </row>
    <row r="1582" spans="1:14">
      <c r="A1582" s="106"/>
      <c r="B1582" s="108"/>
      <c r="C1582" s="108"/>
      <c r="D1582" s="108"/>
      <c r="E1582" s="108"/>
      <c r="F1582" s="108"/>
      <c r="G1582" s="109"/>
      <c r="H1582" s="110"/>
      <c r="K1582" s="65"/>
      <c r="L1582" s="65"/>
      <c r="N1582" s="65"/>
    </row>
    <row r="1583" spans="1:14">
      <c r="A1583" s="106"/>
      <c r="B1583" s="108"/>
      <c r="C1583" s="108"/>
      <c r="D1583" s="108"/>
      <c r="E1583" s="108"/>
      <c r="F1583" s="108"/>
      <c r="G1583" s="109"/>
      <c r="H1583" s="110"/>
      <c r="K1583" s="65"/>
      <c r="L1583" s="65"/>
      <c r="N1583" s="65"/>
    </row>
    <row r="1584" spans="1:14">
      <c r="A1584" s="106"/>
      <c r="B1584" s="108"/>
      <c r="C1584" s="108"/>
      <c r="D1584" s="108"/>
      <c r="E1584" s="108"/>
      <c r="F1584" s="108"/>
      <c r="G1584" s="109"/>
      <c r="H1584" s="110"/>
      <c r="K1584" s="65"/>
      <c r="L1584" s="65"/>
      <c r="N1584" s="65"/>
    </row>
    <row r="1585" spans="1:14">
      <c r="A1585" s="106"/>
      <c r="B1585" s="108"/>
      <c r="C1585" s="108"/>
      <c r="D1585" s="108"/>
      <c r="E1585" s="108"/>
      <c r="F1585" s="108"/>
      <c r="G1585" s="109"/>
      <c r="H1585" s="110"/>
      <c r="K1585" s="65"/>
      <c r="L1585" s="65"/>
      <c r="N1585" s="65"/>
    </row>
    <row r="1586" spans="1:14">
      <c r="A1586" s="106"/>
      <c r="B1586" s="108"/>
      <c r="C1586" s="108"/>
      <c r="D1586" s="108"/>
      <c r="E1586" s="108"/>
      <c r="F1586" s="108"/>
      <c r="G1586" s="109"/>
      <c r="H1586" s="110"/>
      <c r="K1586" s="65"/>
      <c r="L1586" s="65"/>
      <c r="N1586" s="65"/>
    </row>
    <row r="1587" spans="1:14">
      <c r="A1587" s="106"/>
      <c r="B1587" s="108"/>
      <c r="C1587" s="108"/>
      <c r="D1587" s="108"/>
      <c r="E1587" s="108"/>
      <c r="F1587" s="108"/>
      <c r="G1587" s="109"/>
      <c r="H1587" s="110"/>
      <c r="K1587" s="65"/>
      <c r="L1587" s="65"/>
      <c r="N1587" s="65"/>
    </row>
    <row r="1588" spans="1:14">
      <c r="A1588" s="106"/>
      <c r="B1588" s="108"/>
      <c r="C1588" s="108"/>
      <c r="D1588" s="108"/>
      <c r="E1588" s="108"/>
      <c r="F1588" s="108"/>
      <c r="G1588" s="109"/>
      <c r="H1588" s="110"/>
      <c r="K1588" s="65"/>
      <c r="L1588" s="65"/>
      <c r="N1588" s="65"/>
    </row>
    <row r="1589" spans="1:14">
      <c r="A1589" s="106"/>
      <c r="B1589" s="108"/>
      <c r="C1589" s="108"/>
      <c r="D1589" s="108"/>
      <c r="E1589" s="108"/>
      <c r="F1589" s="108"/>
      <c r="G1589" s="109"/>
      <c r="H1589" s="110"/>
      <c r="K1589" s="65"/>
      <c r="L1589" s="65"/>
      <c r="N1589" s="65"/>
    </row>
    <row r="1590" spans="1:14">
      <c r="A1590" s="106"/>
      <c r="B1590" s="108"/>
      <c r="C1590" s="108"/>
      <c r="D1590" s="108"/>
      <c r="E1590" s="108"/>
      <c r="F1590" s="108"/>
      <c r="G1590" s="109"/>
      <c r="H1590" s="110"/>
      <c r="K1590" s="65"/>
      <c r="L1590" s="65"/>
      <c r="N1590" s="65"/>
    </row>
    <row r="1591" spans="1:14">
      <c r="A1591" s="106"/>
      <c r="B1591" s="108"/>
      <c r="C1591" s="108"/>
      <c r="D1591" s="108"/>
      <c r="E1591" s="108"/>
      <c r="F1591" s="108"/>
      <c r="G1591" s="109"/>
      <c r="H1591" s="110"/>
      <c r="K1591" s="65"/>
      <c r="L1591" s="65"/>
      <c r="N1591" s="65"/>
    </row>
    <row r="1592" spans="1:14">
      <c r="A1592" s="106"/>
      <c r="B1592" s="108"/>
      <c r="C1592" s="108"/>
      <c r="D1592" s="108"/>
      <c r="E1592" s="108"/>
      <c r="F1592" s="108"/>
      <c r="G1592" s="109"/>
      <c r="H1592" s="110"/>
      <c r="K1592" s="65"/>
      <c r="L1592" s="65"/>
      <c r="N1592" s="65"/>
    </row>
    <row r="1593" spans="1:14">
      <c r="A1593" s="106"/>
      <c r="B1593" s="108"/>
      <c r="C1593" s="108"/>
      <c r="D1593" s="108"/>
      <c r="E1593" s="108"/>
      <c r="F1593" s="108"/>
      <c r="G1593" s="109"/>
      <c r="H1593" s="110"/>
      <c r="K1593" s="65"/>
      <c r="L1593" s="65"/>
      <c r="N1593" s="65"/>
    </row>
    <row r="1594" spans="1:14">
      <c r="A1594" s="106"/>
      <c r="B1594" s="108"/>
      <c r="C1594" s="108"/>
      <c r="D1594" s="108"/>
      <c r="E1594" s="108"/>
      <c r="F1594" s="108"/>
      <c r="G1594" s="109"/>
      <c r="H1594" s="110"/>
      <c r="K1594" s="65"/>
      <c r="L1594" s="65"/>
      <c r="N1594" s="65"/>
    </row>
    <row r="1595" spans="1:14">
      <c r="A1595" s="106"/>
      <c r="B1595" s="108"/>
      <c r="C1595" s="108"/>
      <c r="D1595" s="108"/>
      <c r="E1595" s="108"/>
      <c r="F1595" s="108"/>
      <c r="G1595" s="109"/>
      <c r="H1595" s="110"/>
      <c r="K1595" s="65"/>
      <c r="L1595" s="65"/>
      <c r="N1595" s="65"/>
    </row>
    <row r="1596" spans="1:14">
      <c r="A1596" s="106"/>
      <c r="B1596" s="108"/>
      <c r="C1596" s="108"/>
      <c r="D1596" s="108"/>
      <c r="E1596" s="108"/>
      <c r="F1596" s="108"/>
      <c r="G1596" s="109"/>
      <c r="H1596" s="110"/>
      <c r="K1596" s="65"/>
      <c r="L1596" s="65"/>
      <c r="N1596" s="65"/>
    </row>
    <row r="1597" spans="1:14">
      <c r="A1597" s="106"/>
      <c r="B1597" s="108"/>
      <c r="C1597" s="108"/>
      <c r="D1597" s="108"/>
      <c r="E1597" s="108"/>
      <c r="F1597" s="108"/>
      <c r="G1597" s="109"/>
      <c r="H1597" s="110"/>
      <c r="K1597" s="65"/>
      <c r="L1597" s="65"/>
      <c r="N1597" s="65"/>
    </row>
    <row r="1598" spans="1:14">
      <c r="A1598" s="106"/>
      <c r="B1598" s="108"/>
      <c r="C1598" s="108"/>
      <c r="D1598" s="108"/>
      <c r="E1598" s="108"/>
      <c r="F1598" s="108"/>
      <c r="G1598" s="109"/>
      <c r="H1598" s="110"/>
      <c r="K1598" s="65"/>
      <c r="L1598" s="65"/>
      <c r="N1598" s="65"/>
    </row>
    <row r="1599" spans="1:14">
      <c r="A1599" s="106"/>
      <c r="B1599" s="108"/>
      <c r="C1599" s="108"/>
      <c r="D1599" s="108"/>
      <c r="E1599" s="108"/>
      <c r="F1599" s="108"/>
      <c r="G1599" s="109"/>
      <c r="H1599" s="110"/>
      <c r="K1599" s="65"/>
      <c r="L1599" s="65"/>
      <c r="N1599" s="65"/>
    </row>
    <row r="1600" spans="1:14">
      <c r="A1600" s="106"/>
      <c r="B1600" s="108"/>
      <c r="C1600" s="108"/>
      <c r="D1600" s="108"/>
      <c r="E1600" s="108"/>
      <c r="F1600" s="108"/>
      <c r="G1600" s="109"/>
      <c r="H1600" s="110"/>
      <c r="K1600" s="65"/>
      <c r="L1600" s="65"/>
      <c r="N1600" s="65"/>
    </row>
    <row r="1601" spans="1:14">
      <c r="A1601" s="106"/>
      <c r="B1601" s="108"/>
      <c r="C1601" s="108"/>
      <c r="D1601" s="108"/>
      <c r="E1601" s="108"/>
      <c r="F1601" s="108"/>
      <c r="G1601" s="109"/>
      <c r="H1601" s="110"/>
      <c r="K1601" s="65"/>
      <c r="L1601" s="65"/>
      <c r="N1601" s="65"/>
    </row>
    <row r="1602" spans="1:14">
      <c r="A1602" s="106"/>
      <c r="B1602" s="108"/>
      <c r="C1602" s="108"/>
      <c r="D1602" s="108"/>
      <c r="E1602" s="108"/>
      <c r="F1602" s="108"/>
      <c r="G1602" s="109"/>
      <c r="H1602" s="110"/>
      <c r="K1602" s="65"/>
      <c r="L1602" s="65"/>
      <c r="N1602" s="65"/>
    </row>
    <row r="1603" spans="1:14">
      <c r="A1603" s="106"/>
      <c r="B1603" s="108"/>
      <c r="C1603" s="108"/>
      <c r="D1603" s="108"/>
      <c r="E1603" s="108"/>
      <c r="F1603" s="108"/>
      <c r="G1603" s="109"/>
      <c r="H1603" s="110"/>
      <c r="K1603" s="65"/>
      <c r="L1603" s="65"/>
      <c r="N1603" s="65"/>
    </row>
    <row r="1604" spans="1:14">
      <c r="A1604" s="106"/>
      <c r="B1604" s="108"/>
      <c r="C1604" s="108"/>
      <c r="D1604" s="108"/>
      <c r="E1604" s="108"/>
      <c r="F1604" s="108"/>
      <c r="G1604" s="109"/>
      <c r="H1604" s="110"/>
      <c r="K1604" s="65"/>
      <c r="L1604" s="65"/>
      <c r="N1604" s="65"/>
    </row>
    <row r="1605" spans="1:14">
      <c r="A1605" s="106"/>
      <c r="B1605" s="108"/>
      <c r="C1605" s="108"/>
      <c r="D1605" s="108"/>
      <c r="E1605" s="108"/>
      <c r="F1605" s="108"/>
      <c r="G1605" s="109"/>
      <c r="H1605" s="110"/>
      <c r="K1605" s="65"/>
      <c r="L1605" s="65"/>
      <c r="N1605" s="65"/>
    </row>
    <row r="1606" spans="1:14">
      <c r="A1606" s="106"/>
      <c r="B1606" s="108"/>
      <c r="C1606" s="108"/>
      <c r="D1606" s="108"/>
      <c r="E1606" s="108"/>
      <c r="F1606" s="108"/>
      <c r="G1606" s="109"/>
      <c r="H1606" s="110"/>
      <c r="K1606" s="65"/>
      <c r="L1606" s="65"/>
      <c r="N1606" s="65"/>
    </row>
    <row r="1607" spans="1:14">
      <c r="A1607" s="106"/>
      <c r="B1607" s="108"/>
      <c r="C1607" s="108"/>
      <c r="D1607" s="108"/>
      <c r="E1607" s="108"/>
      <c r="F1607" s="108"/>
      <c r="G1607" s="109"/>
      <c r="H1607" s="110"/>
      <c r="K1607" s="65"/>
      <c r="L1607" s="65"/>
      <c r="N1607" s="65"/>
    </row>
    <row r="1608" spans="1:14">
      <c r="A1608" s="106"/>
      <c r="B1608" s="108"/>
      <c r="C1608" s="108"/>
      <c r="D1608" s="108"/>
      <c r="E1608" s="108"/>
      <c r="F1608" s="108"/>
      <c r="G1608" s="109"/>
      <c r="H1608" s="110"/>
      <c r="K1608" s="65"/>
      <c r="L1608" s="65"/>
      <c r="N1608" s="65"/>
    </row>
    <row r="1609" spans="1:14">
      <c r="A1609" s="106"/>
      <c r="B1609" s="108"/>
      <c r="C1609" s="108"/>
      <c r="D1609" s="108"/>
      <c r="E1609" s="108"/>
      <c r="F1609" s="108"/>
      <c r="G1609" s="109"/>
      <c r="H1609" s="110"/>
      <c r="K1609" s="65"/>
      <c r="L1609" s="65"/>
      <c r="N1609" s="65"/>
    </row>
    <row r="1610" spans="1:14">
      <c r="A1610" s="106"/>
      <c r="B1610" s="108"/>
      <c r="C1610" s="108"/>
      <c r="D1610" s="108"/>
      <c r="E1610" s="108"/>
      <c r="F1610" s="108"/>
      <c r="G1610" s="109"/>
      <c r="H1610" s="110"/>
      <c r="K1610" s="65"/>
      <c r="L1610" s="65"/>
      <c r="N1610" s="65"/>
    </row>
    <row r="1611" spans="1:14">
      <c r="A1611" s="106"/>
      <c r="B1611" s="108"/>
      <c r="C1611" s="108"/>
      <c r="D1611" s="108"/>
      <c r="E1611" s="108"/>
      <c r="F1611" s="108"/>
      <c r="G1611" s="109"/>
      <c r="H1611" s="110"/>
      <c r="K1611" s="65"/>
      <c r="L1611" s="65"/>
      <c r="N1611" s="65"/>
    </row>
    <row r="1612" spans="1:14">
      <c r="A1612" s="106"/>
      <c r="B1612" s="108"/>
      <c r="C1612" s="108"/>
      <c r="D1612" s="108"/>
      <c r="E1612" s="108"/>
      <c r="F1612" s="108"/>
      <c r="G1612" s="109"/>
      <c r="H1612" s="110"/>
      <c r="K1612" s="65"/>
      <c r="L1612" s="65"/>
      <c r="N1612" s="65"/>
    </row>
    <row r="1613" spans="1:14">
      <c r="A1613" s="106"/>
      <c r="B1613" s="108"/>
      <c r="C1613" s="108"/>
      <c r="D1613" s="108"/>
      <c r="E1613" s="108"/>
      <c r="F1613" s="108"/>
      <c r="G1613" s="109"/>
      <c r="H1613" s="110"/>
      <c r="K1613" s="65"/>
      <c r="L1613" s="65"/>
      <c r="N1613" s="65"/>
    </row>
    <row r="1614" spans="1:14">
      <c r="A1614" s="106"/>
      <c r="B1614" s="108"/>
      <c r="C1614" s="108"/>
      <c r="D1614" s="108"/>
      <c r="E1614" s="108"/>
      <c r="F1614" s="108"/>
      <c r="G1614" s="109"/>
      <c r="H1614" s="110"/>
      <c r="K1614" s="65"/>
      <c r="L1614" s="65"/>
      <c r="N1614" s="65"/>
    </row>
    <row r="1615" spans="1:14">
      <c r="A1615" s="106"/>
      <c r="B1615" s="108"/>
      <c r="C1615" s="108"/>
      <c r="D1615" s="108"/>
      <c r="E1615" s="108"/>
      <c r="F1615" s="108"/>
      <c r="G1615" s="109"/>
      <c r="H1615" s="110"/>
      <c r="K1615" s="65"/>
      <c r="L1615" s="65"/>
      <c r="N1615" s="65"/>
    </row>
    <row r="1616" spans="1:14">
      <c r="A1616" s="106"/>
      <c r="B1616" s="108"/>
      <c r="C1616" s="108"/>
      <c r="D1616" s="108"/>
      <c r="E1616" s="108"/>
      <c r="F1616" s="108"/>
      <c r="G1616" s="109"/>
      <c r="H1616" s="110"/>
      <c r="K1616" s="65"/>
      <c r="L1616" s="65"/>
      <c r="N1616" s="65"/>
    </row>
    <row r="1617" spans="1:14">
      <c r="A1617" s="106"/>
      <c r="B1617" s="108"/>
      <c r="C1617" s="108"/>
      <c r="D1617" s="108"/>
      <c r="E1617" s="108"/>
      <c r="F1617" s="108"/>
      <c r="G1617" s="109"/>
      <c r="H1617" s="110"/>
      <c r="K1617" s="65"/>
      <c r="L1617" s="65"/>
      <c r="N1617" s="65"/>
    </row>
    <row r="1618" spans="1:14">
      <c r="A1618" s="106"/>
      <c r="B1618" s="108"/>
      <c r="C1618" s="108"/>
      <c r="D1618" s="108"/>
      <c r="E1618" s="108"/>
      <c r="F1618" s="108"/>
      <c r="G1618" s="109"/>
      <c r="H1618" s="110"/>
      <c r="K1618" s="65"/>
      <c r="L1618" s="65"/>
      <c r="N1618" s="65"/>
    </row>
    <row r="1619" spans="1:14">
      <c r="A1619" s="106"/>
      <c r="B1619" s="108"/>
      <c r="C1619" s="108"/>
      <c r="D1619" s="108"/>
      <c r="E1619" s="108"/>
      <c r="F1619" s="108"/>
      <c r="G1619" s="109"/>
      <c r="H1619" s="110"/>
      <c r="K1619" s="65"/>
      <c r="L1619" s="65"/>
      <c r="N1619" s="65"/>
    </row>
    <row r="1620" spans="1:14">
      <c r="A1620" s="106"/>
      <c r="B1620" s="108"/>
      <c r="C1620" s="108"/>
      <c r="D1620" s="108"/>
      <c r="E1620" s="108"/>
      <c r="F1620" s="108"/>
      <c r="G1620" s="109"/>
      <c r="H1620" s="110"/>
      <c r="K1620" s="65"/>
      <c r="L1620" s="65"/>
      <c r="N1620" s="65"/>
    </row>
    <row r="1621" spans="1:14">
      <c r="A1621" s="106"/>
      <c r="B1621" s="108"/>
      <c r="C1621" s="108"/>
      <c r="D1621" s="108"/>
      <c r="E1621" s="108"/>
      <c r="F1621" s="108"/>
      <c r="G1621" s="109"/>
      <c r="H1621" s="110"/>
      <c r="K1621" s="65"/>
      <c r="L1621" s="65"/>
      <c r="N1621" s="65"/>
    </row>
    <row r="1622" spans="1:14">
      <c r="A1622" s="106"/>
      <c r="B1622" s="108"/>
      <c r="C1622" s="108"/>
      <c r="D1622" s="108"/>
      <c r="E1622" s="108"/>
      <c r="F1622" s="108"/>
      <c r="G1622" s="109"/>
      <c r="H1622" s="110"/>
      <c r="K1622" s="65"/>
      <c r="L1622" s="65"/>
      <c r="N1622" s="65"/>
    </row>
    <row r="1623" spans="1:14">
      <c r="A1623" s="106"/>
      <c r="B1623" s="108"/>
      <c r="C1623" s="108"/>
      <c r="D1623" s="108"/>
      <c r="E1623" s="108"/>
      <c r="F1623" s="108"/>
      <c r="G1623" s="109"/>
      <c r="H1623" s="110"/>
      <c r="K1623" s="65"/>
      <c r="L1623" s="65"/>
      <c r="N1623" s="65"/>
    </row>
    <row r="1624" spans="1:14">
      <c r="A1624" s="106"/>
      <c r="B1624" s="108"/>
      <c r="C1624" s="108"/>
      <c r="D1624" s="108"/>
      <c r="E1624" s="108"/>
      <c r="F1624" s="108"/>
      <c r="G1624" s="109"/>
      <c r="H1624" s="110"/>
      <c r="K1624" s="65"/>
      <c r="L1624" s="65"/>
      <c r="N1624" s="65"/>
    </row>
    <row r="1625" spans="1:14">
      <c r="A1625" s="106"/>
      <c r="B1625" s="108"/>
      <c r="C1625" s="108"/>
      <c r="D1625" s="108"/>
      <c r="E1625" s="108"/>
      <c r="F1625" s="108"/>
      <c r="G1625" s="109"/>
      <c r="H1625" s="110"/>
      <c r="K1625" s="65"/>
      <c r="L1625" s="65"/>
      <c r="N1625" s="65"/>
    </row>
    <row r="1626" spans="1:14">
      <c r="A1626" s="106"/>
      <c r="B1626" s="108"/>
      <c r="C1626" s="108"/>
      <c r="D1626" s="108"/>
      <c r="E1626" s="108"/>
      <c r="F1626" s="108"/>
      <c r="G1626" s="109"/>
      <c r="H1626" s="110"/>
      <c r="K1626" s="65"/>
      <c r="L1626" s="65"/>
      <c r="N1626" s="65"/>
    </row>
    <row r="1627" spans="1:14">
      <c r="A1627" s="106"/>
      <c r="B1627" s="108"/>
      <c r="C1627" s="108"/>
      <c r="D1627" s="108"/>
      <c r="E1627" s="108"/>
      <c r="F1627" s="108"/>
      <c r="G1627" s="109"/>
      <c r="H1627" s="110"/>
      <c r="K1627" s="65"/>
      <c r="L1627" s="65"/>
      <c r="N1627" s="65"/>
    </row>
    <row r="1628" spans="1:14">
      <c r="A1628" s="106"/>
      <c r="B1628" s="108"/>
      <c r="C1628" s="108"/>
      <c r="D1628" s="108"/>
      <c r="E1628" s="108"/>
      <c r="F1628" s="108"/>
      <c r="G1628" s="109"/>
      <c r="H1628" s="110"/>
      <c r="K1628" s="65"/>
      <c r="L1628" s="65"/>
      <c r="N1628" s="65"/>
    </row>
    <row r="1629" spans="1:14">
      <c r="A1629" s="106"/>
      <c r="B1629" s="108"/>
      <c r="C1629" s="108"/>
      <c r="D1629" s="108"/>
      <c r="E1629" s="108"/>
      <c r="F1629" s="108"/>
      <c r="G1629" s="109"/>
      <c r="H1629" s="110"/>
      <c r="K1629" s="65"/>
      <c r="L1629" s="65"/>
      <c r="N1629" s="65"/>
    </row>
    <row r="1630" spans="1:14">
      <c r="A1630" s="106"/>
      <c r="B1630" s="108"/>
      <c r="C1630" s="108"/>
      <c r="D1630" s="108"/>
      <c r="E1630" s="108"/>
      <c r="F1630" s="108"/>
      <c r="G1630" s="109"/>
      <c r="H1630" s="110"/>
      <c r="K1630" s="65"/>
      <c r="L1630" s="65"/>
      <c r="N1630" s="65"/>
    </row>
    <row r="1631" spans="1:14">
      <c r="A1631" s="106"/>
      <c r="B1631" s="108"/>
      <c r="C1631" s="108"/>
      <c r="D1631" s="108"/>
      <c r="E1631" s="108"/>
      <c r="F1631" s="108"/>
      <c r="G1631" s="109"/>
      <c r="H1631" s="110"/>
      <c r="K1631" s="65"/>
      <c r="L1631" s="65"/>
      <c r="N1631" s="65"/>
    </row>
    <row r="1632" spans="1:14">
      <c r="A1632" s="106"/>
      <c r="B1632" s="108"/>
      <c r="C1632" s="108"/>
      <c r="D1632" s="108"/>
      <c r="E1632" s="108"/>
      <c r="F1632" s="108"/>
      <c r="G1632" s="109"/>
      <c r="H1632" s="110"/>
      <c r="K1632" s="65"/>
      <c r="L1632" s="65"/>
      <c r="N1632" s="65"/>
    </row>
    <row r="1633" spans="1:14">
      <c r="A1633" s="106"/>
      <c r="B1633" s="108"/>
      <c r="C1633" s="108"/>
      <c r="D1633" s="108"/>
      <c r="E1633" s="108"/>
      <c r="F1633" s="108"/>
      <c r="G1633" s="109"/>
      <c r="H1633" s="110"/>
      <c r="K1633" s="65"/>
      <c r="L1633" s="65"/>
      <c r="N1633" s="65"/>
    </row>
    <row r="1634" spans="1:14">
      <c r="A1634" s="106"/>
      <c r="B1634" s="108"/>
      <c r="C1634" s="108"/>
      <c r="D1634" s="108"/>
      <c r="E1634" s="108"/>
      <c r="F1634" s="108"/>
      <c r="G1634" s="109"/>
      <c r="H1634" s="110"/>
      <c r="K1634" s="65"/>
      <c r="L1634" s="65"/>
      <c r="N1634" s="65"/>
    </row>
    <row r="1635" spans="1:14">
      <c r="A1635" s="106"/>
      <c r="B1635" s="108"/>
      <c r="C1635" s="108"/>
      <c r="D1635" s="108"/>
      <c r="E1635" s="108"/>
      <c r="F1635" s="108"/>
      <c r="G1635" s="109"/>
      <c r="H1635" s="110"/>
      <c r="K1635" s="65"/>
      <c r="L1635" s="65"/>
      <c r="N1635" s="65"/>
    </row>
    <row r="1636" spans="1:14">
      <c r="A1636" s="106"/>
      <c r="B1636" s="108"/>
      <c r="C1636" s="108"/>
      <c r="D1636" s="108"/>
      <c r="E1636" s="108"/>
      <c r="F1636" s="108"/>
      <c r="G1636" s="109"/>
      <c r="H1636" s="110"/>
      <c r="K1636" s="65"/>
      <c r="L1636" s="65"/>
      <c r="N1636" s="65"/>
    </row>
    <row r="1637" spans="1:14">
      <c r="A1637" s="106"/>
      <c r="B1637" s="108"/>
      <c r="C1637" s="108"/>
      <c r="D1637" s="108"/>
      <c r="E1637" s="108"/>
      <c r="F1637" s="108"/>
      <c r="G1637" s="109"/>
      <c r="H1637" s="110"/>
      <c r="K1637" s="65"/>
      <c r="L1637" s="65"/>
      <c r="N1637" s="65"/>
    </row>
    <row r="1638" spans="1:14">
      <c r="A1638" s="106"/>
      <c r="B1638" s="108"/>
      <c r="C1638" s="108"/>
      <c r="D1638" s="108"/>
      <c r="E1638" s="108"/>
      <c r="F1638" s="108"/>
      <c r="G1638" s="109"/>
      <c r="H1638" s="110"/>
      <c r="K1638" s="65"/>
      <c r="L1638" s="65"/>
      <c r="N1638" s="65"/>
    </row>
    <row r="1639" spans="1:14">
      <c r="A1639" s="106"/>
      <c r="B1639" s="108"/>
      <c r="C1639" s="108"/>
      <c r="D1639" s="108"/>
      <c r="E1639" s="108"/>
      <c r="F1639" s="108"/>
      <c r="G1639" s="109"/>
      <c r="H1639" s="110"/>
      <c r="K1639" s="65"/>
      <c r="L1639" s="65"/>
      <c r="N1639" s="65"/>
    </row>
    <row r="1640" spans="1:14">
      <c r="A1640" s="106"/>
      <c r="B1640" s="108"/>
      <c r="C1640" s="108"/>
      <c r="D1640" s="108"/>
      <c r="E1640" s="108"/>
      <c r="F1640" s="108"/>
      <c r="G1640" s="109"/>
      <c r="H1640" s="110"/>
      <c r="K1640" s="65"/>
      <c r="L1640" s="65"/>
      <c r="N1640" s="65"/>
    </row>
    <row r="1641" spans="1:14">
      <c r="A1641" s="106"/>
      <c r="B1641" s="108"/>
      <c r="C1641" s="108"/>
      <c r="D1641" s="108"/>
      <c r="E1641" s="108"/>
      <c r="F1641" s="108"/>
      <c r="G1641" s="109"/>
      <c r="H1641" s="110"/>
      <c r="K1641" s="65"/>
      <c r="L1641" s="65"/>
      <c r="N1641" s="65"/>
    </row>
    <row r="1642" spans="1:14">
      <c r="A1642" s="106"/>
      <c r="B1642" s="108"/>
      <c r="C1642" s="108"/>
      <c r="D1642" s="108"/>
      <c r="E1642" s="108"/>
      <c r="F1642" s="108"/>
      <c r="G1642" s="109"/>
      <c r="H1642" s="110"/>
      <c r="K1642" s="65"/>
      <c r="L1642" s="65"/>
      <c r="N1642" s="65"/>
    </row>
    <row r="1643" spans="1:14">
      <c r="A1643" s="106"/>
      <c r="B1643" s="108"/>
      <c r="C1643" s="108"/>
      <c r="D1643" s="108"/>
      <c r="E1643" s="108"/>
      <c r="F1643" s="108"/>
      <c r="G1643" s="109"/>
      <c r="H1643" s="110"/>
      <c r="K1643" s="65"/>
      <c r="L1643" s="65"/>
      <c r="N1643" s="65"/>
    </row>
    <row r="1644" spans="1:14">
      <c r="A1644" s="106"/>
      <c r="B1644" s="108"/>
      <c r="C1644" s="108"/>
      <c r="D1644" s="108"/>
      <c r="E1644" s="108"/>
      <c r="F1644" s="108"/>
      <c r="G1644" s="109"/>
      <c r="H1644" s="110"/>
      <c r="K1644" s="65"/>
      <c r="L1644" s="65"/>
      <c r="N1644" s="65"/>
    </row>
    <row r="1645" spans="1:14">
      <c r="A1645" s="106"/>
      <c r="B1645" s="108"/>
      <c r="C1645" s="108"/>
      <c r="D1645" s="108"/>
      <c r="E1645" s="108"/>
      <c r="F1645" s="108"/>
      <c r="G1645" s="109"/>
      <c r="H1645" s="110"/>
      <c r="K1645" s="65"/>
      <c r="L1645" s="65"/>
      <c r="N1645" s="65"/>
    </row>
    <row r="1646" spans="1:14">
      <c r="A1646" s="106"/>
      <c r="B1646" s="108"/>
      <c r="C1646" s="108"/>
      <c r="D1646" s="108"/>
      <c r="E1646" s="108"/>
      <c r="F1646" s="108"/>
      <c r="G1646" s="109"/>
      <c r="H1646" s="110"/>
      <c r="K1646" s="65"/>
      <c r="L1646" s="65"/>
      <c r="N1646" s="65"/>
    </row>
    <row r="1647" spans="1:14">
      <c r="A1647" s="106"/>
      <c r="B1647" s="108"/>
      <c r="C1647" s="108"/>
      <c r="D1647" s="108"/>
      <c r="E1647" s="108"/>
      <c r="F1647" s="108"/>
      <c r="G1647" s="109"/>
      <c r="H1647" s="110"/>
      <c r="K1647" s="65"/>
      <c r="L1647" s="65"/>
      <c r="N1647" s="65"/>
    </row>
    <row r="1648" spans="1:14">
      <c r="A1648" s="106"/>
      <c r="B1648" s="108"/>
      <c r="C1648" s="108"/>
      <c r="D1648" s="108"/>
      <c r="E1648" s="108"/>
      <c r="F1648" s="108"/>
      <c r="G1648" s="109"/>
      <c r="H1648" s="110"/>
      <c r="K1648" s="65"/>
      <c r="L1648" s="65"/>
      <c r="N1648" s="65"/>
    </row>
    <row r="1649" spans="1:14">
      <c r="A1649" s="106"/>
      <c r="B1649" s="108"/>
      <c r="C1649" s="108"/>
      <c r="D1649" s="108"/>
      <c r="E1649" s="108"/>
      <c r="F1649" s="108"/>
      <c r="G1649" s="109"/>
      <c r="H1649" s="110"/>
      <c r="K1649" s="65"/>
      <c r="L1649" s="65"/>
      <c r="N1649" s="65"/>
    </row>
    <row r="1650" spans="1:14">
      <c r="A1650" s="106"/>
      <c r="B1650" s="108"/>
      <c r="C1650" s="108"/>
      <c r="D1650" s="108"/>
      <c r="E1650" s="108"/>
      <c r="F1650" s="108"/>
      <c r="G1650" s="109"/>
      <c r="H1650" s="110"/>
      <c r="K1650" s="65"/>
      <c r="L1650" s="65"/>
      <c r="N1650" s="65"/>
    </row>
    <row r="1651" spans="1:14">
      <c r="A1651" s="106"/>
      <c r="B1651" s="108"/>
      <c r="C1651" s="108"/>
      <c r="D1651" s="108"/>
      <c r="E1651" s="108"/>
      <c r="F1651" s="108"/>
      <c r="G1651" s="109"/>
      <c r="H1651" s="110"/>
      <c r="K1651" s="65"/>
      <c r="L1651" s="65"/>
      <c r="N1651" s="65"/>
    </row>
    <row r="1652" spans="1:14">
      <c r="A1652" s="106"/>
      <c r="B1652" s="108"/>
      <c r="C1652" s="108"/>
      <c r="D1652" s="108"/>
      <c r="E1652" s="108"/>
      <c r="F1652" s="108"/>
      <c r="G1652" s="109"/>
      <c r="H1652" s="110"/>
      <c r="K1652" s="65"/>
      <c r="L1652" s="65"/>
      <c r="N1652" s="65"/>
    </row>
    <row r="1653" spans="1:14">
      <c r="A1653" s="106"/>
      <c r="B1653" s="108"/>
      <c r="C1653" s="108"/>
      <c r="D1653" s="108"/>
      <c r="E1653" s="108"/>
      <c r="F1653" s="108"/>
      <c r="G1653" s="109"/>
      <c r="H1653" s="110"/>
      <c r="K1653" s="65"/>
      <c r="L1653" s="65"/>
      <c r="N1653" s="65"/>
    </row>
    <row r="1654" spans="1:14">
      <c r="A1654" s="106"/>
      <c r="B1654" s="108"/>
      <c r="C1654" s="108"/>
      <c r="D1654" s="108"/>
      <c r="E1654" s="108"/>
      <c r="F1654" s="108"/>
      <c r="G1654" s="109"/>
      <c r="H1654" s="110"/>
      <c r="K1654" s="65"/>
      <c r="L1654" s="65"/>
      <c r="N1654" s="65"/>
    </row>
    <row r="1655" spans="1:14">
      <c r="A1655" s="106"/>
      <c r="B1655" s="108"/>
      <c r="C1655" s="108"/>
      <c r="D1655" s="108"/>
      <c r="E1655" s="108"/>
      <c r="F1655" s="108"/>
      <c r="G1655" s="109"/>
      <c r="H1655" s="110"/>
      <c r="K1655" s="65"/>
      <c r="L1655" s="65"/>
      <c r="N1655" s="65"/>
    </row>
    <row r="1656" spans="1:14">
      <c r="A1656" s="106"/>
      <c r="B1656" s="108"/>
      <c r="C1656" s="108"/>
      <c r="D1656" s="108"/>
      <c r="E1656" s="108"/>
      <c r="F1656" s="108"/>
      <c r="G1656" s="109"/>
      <c r="H1656" s="110"/>
      <c r="K1656" s="65"/>
      <c r="L1656" s="65"/>
      <c r="N1656" s="65"/>
    </row>
    <row r="1657" spans="1:14">
      <c r="A1657" s="106"/>
      <c r="B1657" s="108"/>
      <c r="C1657" s="108"/>
      <c r="D1657" s="108"/>
      <c r="E1657" s="108"/>
      <c r="F1657" s="108"/>
      <c r="G1657" s="109"/>
      <c r="H1657" s="110"/>
      <c r="K1657" s="65"/>
      <c r="L1657" s="65"/>
      <c r="N1657" s="65"/>
    </row>
    <row r="1658" spans="1:14">
      <c r="A1658" s="106"/>
      <c r="B1658" s="108"/>
      <c r="C1658" s="108"/>
      <c r="D1658" s="108"/>
      <c r="E1658" s="108"/>
      <c r="F1658" s="108"/>
      <c r="G1658" s="109"/>
      <c r="H1658" s="110"/>
      <c r="K1658" s="65"/>
      <c r="L1658" s="65"/>
      <c r="N1658" s="65"/>
    </row>
    <row r="1659" spans="1:14">
      <c r="A1659" s="106"/>
      <c r="B1659" s="108"/>
      <c r="C1659" s="108"/>
      <c r="D1659" s="108"/>
      <c r="E1659" s="108"/>
      <c r="F1659" s="108"/>
      <c r="G1659" s="109"/>
      <c r="H1659" s="110"/>
      <c r="K1659" s="65"/>
      <c r="L1659" s="65"/>
      <c r="N1659" s="65"/>
    </row>
    <row r="1660" spans="1:14">
      <c r="A1660" s="106"/>
      <c r="B1660" s="108"/>
      <c r="C1660" s="108"/>
      <c r="D1660" s="108"/>
      <c r="E1660" s="108"/>
      <c r="F1660" s="108"/>
      <c r="G1660" s="109"/>
      <c r="H1660" s="110"/>
      <c r="K1660" s="65"/>
      <c r="L1660" s="65"/>
      <c r="N1660" s="65"/>
    </row>
    <row r="1661" spans="1:14">
      <c r="A1661" s="106"/>
      <c r="B1661" s="108"/>
      <c r="C1661" s="108"/>
      <c r="D1661" s="108"/>
      <c r="E1661" s="108"/>
      <c r="F1661" s="108"/>
      <c r="G1661" s="109"/>
      <c r="H1661" s="110"/>
      <c r="K1661" s="65"/>
      <c r="L1661" s="65"/>
      <c r="N1661" s="65"/>
    </row>
    <row r="1662" spans="1:14">
      <c r="A1662" s="106"/>
      <c r="B1662" s="108"/>
      <c r="C1662" s="108"/>
      <c r="D1662" s="108"/>
      <c r="E1662" s="108"/>
      <c r="F1662" s="108"/>
      <c r="G1662" s="109"/>
      <c r="H1662" s="110"/>
      <c r="K1662" s="65"/>
      <c r="L1662" s="65"/>
      <c r="N1662" s="65"/>
    </row>
    <row r="1663" spans="1:14">
      <c r="A1663" s="106"/>
      <c r="B1663" s="108"/>
      <c r="C1663" s="108"/>
      <c r="D1663" s="108"/>
      <c r="E1663" s="108"/>
      <c r="F1663" s="108"/>
      <c r="G1663" s="109"/>
      <c r="H1663" s="110"/>
      <c r="K1663" s="65"/>
      <c r="L1663" s="65"/>
      <c r="N1663" s="65"/>
    </row>
    <row r="1664" spans="1:14">
      <c r="A1664" s="106"/>
      <c r="B1664" s="108"/>
      <c r="C1664" s="108"/>
      <c r="D1664" s="108"/>
      <c r="E1664" s="108"/>
      <c r="F1664" s="108"/>
      <c r="G1664" s="109"/>
      <c r="H1664" s="110"/>
      <c r="K1664" s="65"/>
      <c r="L1664" s="65"/>
      <c r="N1664" s="65"/>
    </row>
    <row r="1665" spans="1:14">
      <c r="A1665" s="106"/>
      <c r="B1665" s="108"/>
      <c r="C1665" s="108"/>
      <c r="D1665" s="108"/>
      <c r="E1665" s="108"/>
      <c r="F1665" s="108"/>
      <c r="G1665" s="109"/>
      <c r="H1665" s="110"/>
      <c r="K1665" s="65"/>
      <c r="L1665" s="65"/>
      <c r="N1665" s="65"/>
    </row>
    <row r="1666" spans="1:14">
      <c r="A1666" s="106"/>
      <c r="B1666" s="108"/>
      <c r="C1666" s="108"/>
      <c r="D1666" s="108"/>
      <c r="E1666" s="108"/>
      <c r="F1666" s="108"/>
      <c r="G1666" s="109"/>
      <c r="H1666" s="110"/>
      <c r="K1666" s="65"/>
      <c r="L1666" s="65"/>
      <c r="N1666" s="65"/>
    </row>
    <row r="1667" spans="1:14">
      <c r="A1667" s="106"/>
      <c r="B1667" s="108"/>
      <c r="C1667" s="108"/>
      <c r="D1667" s="108"/>
      <c r="E1667" s="108"/>
      <c r="F1667" s="108"/>
      <c r="G1667" s="109"/>
      <c r="H1667" s="110"/>
      <c r="K1667" s="65"/>
      <c r="L1667" s="65"/>
      <c r="N1667" s="65"/>
    </row>
    <row r="1668" spans="1:14">
      <c r="A1668" s="106"/>
      <c r="B1668" s="108"/>
      <c r="C1668" s="108"/>
      <c r="D1668" s="108"/>
      <c r="E1668" s="108"/>
      <c r="F1668" s="108"/>
      <c r="G1668" s="109"/>
      <c r="H1668" s="110"/>
      <c r="K1668" s="65"/>
      <c r="L1668" s="65"/>
      <c r="N1668" s="65"/>
    </row>
    <row r="1669" spans="1:14">
      <c r="A1669" s="106"/>
      <c r="B1669" s="108"/>
      <c r="C1669" s="108"/>
      <c r="D1669" s="108"/>
      <c r="E1669" s="108"/>
      <c r="F1669" s="108"/>
      <c r="G1669" s="109"/>
      <c r="H1669" s="110"/>
      <c r="K1669" s="65"/>
      <c r="L1669" s="65"/>
      <c r="N1669" s="65"/>
    </row>
    <row r="1670" spans="1:14">
      <c r="A1670" s="106"/>
      <c r="B1670" s="108"/>
      <c r="C1670" s="108"/>
      <c r="D1670" s="108"/>
      <c r="E1670" s="108"/>
      <c r="F1670" s="108"/>
      <c r="G1670" s="109"/>
      <c r="H1670" s="110"/>
      <c r="K1670" s="65"/>
      <c r="L1670" s="65"/>
      <c r="N1670" s="65"/>
    </row>
    <row r="1671" spans="1:14">
      <c r="A1671" s="106"/>
      <c r="B1671" s="108"/>
      <c r="C1671" s="108"/>
      <c r="D1671" s="108"/>
      <c r="E1671" s="108"/>
      <c r="F1671" s="108"/>
      <c r="G1671" s="109"/>
      <c r="H1671" s="110"/>
      <c r="K1671" s="65"/>
      <c r="L1671" s="65"/>
      <c r="N1671" s="65"/>
    </row>
    <row r="1672" spans="1:14">
      <c r="A1672" s="106"/>
      <c r="B1672" s="108"/>
      <c r="C1672" s="108"/>
      <c r="D1672" s="108"/>
      <c r="E1672" s="108"/>
      <c r="F1672" s="108"/>
      <c r="G1672" s="109"/>
      <c r="H1672" s="110"/>
      <c r="K1672" s="65"/>
      <c r="L1672" s="65"/>
      <c r="N1672" s="65"/>
    </row>
    <row r="1673" spans="1:14">
      <c r="A1673" s="106"/>
      <c r="B1673" s="108"/>
      <c r="C1673" s="108"/>
      <c r="D1673" s="108"/>
      <c r="E1673" s="108"/>
      <c r="F1673" s="108"/>
      <c r="G1673" s="109"/>
      <c r="H1673" s="110"/>
      <c r="K1673" s="65"/>
      <c r="L1673" s="65"/>
      <c r="N1673" s="65"/>
    </row>
    <row r="1674" spans="1:14">
      <c r="A1674" s="106"/>
      <c r="B1674" s="108"/>
      <c r="C1674" s="108"/>
      <c r="D1674" s="108"/>
      <c r="E1674" s="108"/>
      <c r="F1674" s="108"/>
      <c r="G1674" s="109"/>
      <c r="H1674" s="110"/>
      <c r="K1674" s="65"/>
      <c r="L1674" s="65"/>
      <c r="N1674" s="65"/>
    </row>
    <row r="1675" spans="1:14">
      <c r="A1675" s="106"/>
      <c r="B1675" s="108"/>
      <c r="C1675" s="108"/>
      <c r="D1675" s="108"/>
      <c r="E1675" s="108"/>
      <c r="F1675" s="108"/>
      <c r="G1675" s="109"/>
      <c r="H1675" s="110"/>
      <c r="K1675" s="65"/>
      <c r="L1675" s="65"/>
      <c r="N1675" s="65"/>
    </row>
    <row r="1676" spans="1:14">
      <c r="A1676" s="106"/>
      <c r="B1676" s="108"/>
      <c r="C1676" s="108"/>
      <c r="D1676" s="108"/>
      <c r="E1676" s="108"/>
      <c r="F1676" s="108"/>
      <c r="G1676" s="109"/>
      <c r="H1676" s="110"/>
      <c r="K1676" s="65"/>
      <c r="L1676" s="65"/>
      <c r="N1676" s="65"/>
    </row>
    <row r="1677" spans="1:14">
      <c r="A1677" s="106"/>
      <c r="B1677" s="108"/>
      <c r="C1677" s="108"/>
      <c r="D1677" s="108"/>
      <c r="E1677" s="108"/>
      <c r="F1677" s="108"/>
      <c r="G1677" s="109"/>
      <c r="H1677" s="110"/>
      <c r="K1677" s="65"/>
      <c r="L1677" s="65"/>
      <c r="N1677" s="65"/>
    </row>
    <row r="1678" spans="1:14">
      <c r="A1678" s="106"/>
      <c r="B1678" s="108"/>
      <c r="C1678" s="108"/>
      <c r="D1678" s="108"/>
      <c r="E1678" s="108"/>
      <c r="F1678" s="108"/>
      <c r="G1678" s="109"/>
      <c r="H1678" s="110"/>
      <c r="K1678" s="65"/>
      <c r="L1678" s="65"/>
      <c r="N1678" s="65"/>
    </row>
    <row r="1679" spans="1:14">
      <c r="A1679" s="106"/>
      <c r="B1679" s="108"/>
      <c r="C1679" s="108"/>
      <c r="D1679" s="108"/>
      <c r="E1679" s="108"/>
      <c r="F1679" s="108"/>
      <c r="G1679" s="109"/>
      <c r="H1679" s="110"/>
      <c r="K1679" s="65"/>
      <c r="L1679" s="65"/>
      <c r="N1679" s="65"/>
    </row>
    <row r="1680" spans="1:14">
      <c r="A1680" s="106"/>
      <c r="B1680" s="108"/>
      <c r="C1680" s="108"/>
      <c r="D1680" s="108"/>
      <c r="E1680" s="108"/>
      <c r="F1680" s="108"/>
      <c r="G1680" s="109"/>
      <c r="H1680" s="110"/>
      <c r="K1680" s="65"/>
      <c r="L1680" s="65"/>
      <c r="N1680" s="65"/>
    </row>
    <row r="1681" spans="1:14">
      <c r="A1681" s="106"/>
      <c r="B1681" s="108"/>
      <c r="C1681" s="108"/>
      <c r="D1681" s="108"/>
      <c r="E1681" s="108"/>
      <c r="F1681" s="108"/>
      <c r="G1681" s="109"/>
      <c r="H1681" s="110"/>
      <c r="K1681" s="65"/>
      <c r="L1681" s="65"/>
      <c r="N1681" s="65"/>
    </row>
    <row r="1682" spans="1:14">
      <c r="A1682" s="106"/>
      <c r="B1682" s="108"/>
      <c r="C1682" s="108"/>
      <c r="D1682" s="108"/>
      <c r="E1682" s="108"/>
      <c r="F1682" s="108"/>
      <c r="G1682" s="109"/>
      <c r="H1682" s="110"/>
      <c r="K1682" s="65"/>
      <c r="L1682" s="65"/>
      <c r="N1682" s="65"/>
    </row>
    <row r="1683" spans="1:14">
      <c r="A1683" s="106"/>
      <c r="B1683" s="108"/>
      <c r="C1683" s="108"/>
      <c r="D1683" s="108"/>
      <c r="E1683" s="108"/>
      <c r="F1683" s="108"/>
      <c r="G1683" s="109"/>
      <c r="H1683" s="110"/>
      <c r="K1683" s="65"/>
      <c r="L1683" s="65"/>
      <c r="N1683" s="65"/>
    </row>
    <row r="1684" spans="1:14">
      <c r="A1684" s="106"/>
      <c r="B1684" s="108"/>
      <c r="C1684" s="108"/>
      <c r="D1684" s="108"/>
      <c r="E1684" s="108"/>
      <c r="F1684" s="108"/>
      <c r="G1684" s="109"/>
      <c r="H1684" s="110"/>
      <c r="K1684" s="65"/>
      <c r="L1684" s="65"/>
      <c r="N1684" s="65"/>
    </row>
    <row r="1685" spans="1:14">
      <c r="A1685" s="106"/>
      <c r="B1685" s="108"/>
      <c r="C1685" s="108"/>
      <c r="D1685" s="108"/>
      <c r="E1685" s="108"/>
      <c r="F1685" s="108"/>
      <c r="G1685" s="109"/>
      <c r="H1685" s="110"/>
      <c r="K1685" s="65"/>
      <c r="L1685" s="65"/>
      <c r="N1685" s="65"/>
    </row>
    <row r="1686" spans="1:14">
      <c r="A1686" s="106"/>
      <c r="B1686" s="108"/>
      <c r="C1686" s="108"/>
      <c r="D1686" s="108"/>
      <c r="E1686" s="108"/>
      <c r="F1686" s="108"/>
      <c r="G1686" s="109"/>
      <c r="H1686" s="110"/>
      <c r="K1686" s="65"/>
      <c r="L1686" s="65"/>
      <c r="N1686" s="65"/>
    </row>
    <row r="1687" spans="1:14">
      <c r="A1687" s="106"/>
      <c r="B1687" s="108"/>
      <c r="C1687" s="108"/>
      <c r="D1687" s="108"/>
      <c r="E1687" s="108"/>
      <c r="F1687" s="108"/>
      <c r="G1687" s="109"/>
      <c r="H1687" s="110"/>
      <c r="K1687" s="65"/>
      <c r="L1687" s="65"/>
      <c r="N1687" s="65"/>
    </row>
    <row r="1688" spans="1:14">
      <c r="A1688" s="106"/>
      <c r="B1688" s="108"/>
      <c r="C1688" s="108"/>
      <c r="D1688" s="108"/>
      <c r="E1688" s="108"/>
      <c r="F1688" s="108"/>
      <c r="G1688" s="109"/>
      <c r="H1688" s="110"/>
      <c r="K1688" s="65"/>
      <c r="L1688" s="65"/>
      <c r="N1688" s="65"/>
    </row>
    <row r="1689" spans="1:14">
      <c r="A1689" s="106"/>
      <c r="B1689" s="108"/>
      <c r="C1689" s="108"/>
      <c r="D1689" s="108"/>
      <c r="E1689" s="108"/>
      <c r="F1689" s="108"/>
      <c r="G1689" s="109"/>
      <c r="H1689" s="110"/>
      <c r="K1689" s="65"/>
      <c r="L1689" s="65"/>
      <c r="N1689" s="65"/>
    </row>
    <row r="1690" spans="1:14">
      <c r="A1690" s="106"/>
      <c r="B1690" s="108"/>
      <c r="C1690" s="108"/>
      <c r="D1690" s="108"/>
      <c r="E1690" s="108"/>
      <c r="F1690" s="108"/>
      <c r="G1690" s="109"/>
      <c r="H1690" s="110"/>
      <c r="K1690" s="65"/>
      <c r="L1690" s="65"/>
      <c r="N1690" s="65"/>
    </row>
    <row r="1691" spans="1:14">
      <c r="A1691" s="106"/>
      <c r="B1691" s="108"/>
      <c r="C1691" s="108"/>
      <c r="D1691" s="108"/>
      <c r="E1691" s="108"/>
      <c r="F1691" s="108"/>
      <c r="G1691" s="109"/>
      <c r="H1691" s="110"/>
      <c r="K1691" s="65"/>
      <c r="L1691" s="65"/>
      <c r="N1691" s="65"/>
    </row>
    <row r="1692" spans="1:14">
      <c r="A1692" s="106"/>
      <c r="B1692" s="108"/>
      <c r="C1692" s="108"/>
      <c r="D1692" s="108"/>
      <c r="E1692" s="108"/>
      <c r="F1692" s="108"/>
      <c r="G1692" s="109"/>
      <c r="H1692" s="110"/>
      <c r="K1692" s="65"/>
      <c r="L1692" s="65"/>
      <c r="N1692" s="65"/>
    </row>
    <row r="1693" spans="1:14">
      <c r="A1693" s="106"/>
      <c r="B1693" s="108"/>
      <c r="C1693" s="108"/>
      <c r="D1693" s="108"/>
      <c r="E1693" s="108"/>
      <c r="F1693" s="108"/>
      <c r="G1693" s="109"/>
      <c r="H1693" s="110"/>
      <c r="K1693" s="65"/>
      <c r="L1693" s="65"/>
      <c r="N1693" s="65"/>
    </row>
    <row r="1694" spans="1:14">
      <c r="A1694" s="106"/>
      <c r="B1694" s="108"/>
      <c r="C1694" s="108"/>
      <c r="D1694" s="108"/>
      <c r="E1694" s="108"/>
      <c r="F1694" s="108"/>
      <c r="G1694" s="109"/>
      <c r="H1694" s="110"/>
      <c r="K1694" s="65"/>
      <c r="L1694" s="65"/>
      <c r="N1694" s="65"/>
    </row>
    <row r="1695" spans="1:14">
      <c r="A1695" s="106"/>
      <c r="B1695" s="108"/>
      <c r="C1695" s="108"/>
      <c r="D1695" s="108"/>
      <c r="E1695" s="108"/>
      <c r="F1695" s="108"/>
      <c r="G1695" s="109"/>
      <c r="H1695" s="110"/>
      <c r="K1695" s="65"/>
      <c r="L1695" s="65"/>
      <c r="N1695" s="65"/>
    </row>
    <row r="1696" spans="1:14">
      <c r="A1696" s="106"/>
      <c r="B1696" s="108"/>
      <c r="C1696" s="108"/>
      <c r="D1696" s="108"/>
      <c r="E1696" s="108"/>
      <c r="F1696" s="108"/>
      <c r="G1696" s="109"/>
      <c r="H1696" s="110"/>
      <c r="K1696" s="65"/>
      <c r="L1696" s="65"/>
      <c r="N1696" s="65"/>
    </row>
    <row r="1697" spans="1:14">
      <c r="A1697" s="106"/>
      <c r="B1697" s="108"/>
      <c r="C1697" s="108"/>
      <c r="D1697" s="108"/>
      <c r="E1697" s="108"/>
      <c r="F1697" s="108"/>
      <c r="G1697" s="109"/>
      <c r="H1697" s="110"/>
      <c r="K1697" s="65"/>
      <c r="L1697" s="65"/>
      <c r="N1697" s="65"/>
    </row>
    <row r="1698" spans="1:14">
      <c r="A1698" s="106"/>
      <c r="B1698" s="108"/>
      <c r="C1698" s="108"/>
      <c r="D1698" s="108"/>
      <c r="E1698" s="108"/>
      <c r="F1698" s="108"/>
      <c r="G1698" s="109"/>
      <c r="H1698" s="110"/>
      <c r="K1698" s="65"/>
      <c r="L1698" s="65"/>
      <c r="N1698" s="65"/>
    </row>
    <row r="1699" spans="1:14">
      <c r="A1699" s="106"/>
      <c r="B1699" s="108"/>
      <c r="C1699" s="108"/>
      <c r="D1699" s="108"/>
      <c r="E1699" s="108"/>
      <c r="F1699" s="108"/>
      <c r="G1699" s="109"/>
      <c r="H1699" s="110"/>
      <c r="K1699" s="65"/>
      <c r="L1699" s="65"/>
      <c r="N1699" s="65"/>
    </row>
    <row r="1700" spans="1:14">
      <c r="A1700" s="106"/>
      <c r="B1700" s="108"/>
      <c r="C1700" s="108"/>
      <c r="D1700" s="108"/>
      <c r="E1700" s="108"/>
      <c r="F1700" s="108"/>
      <c r="G1700" s="109"/>
      <c r="H1700" s="110"/>
      <c r="K1700" s="65"/>
      <c r="L1700" s="65"/>
      <c r="N1700" s="65"/>
    </row>
    <row r="1701" spans="1:14">
      <c r="A1701" s="106"/>
      <c r="B1701" s="108"/>
      <c r="C1701" s="108"/>
      <c r="D1701" s="108"/>
      <c r="E1701" s="108"/>
      <c r="F1701" s="108"/>
      <c r="G1701" s="109"/>
      <c r="H1701" s="110"/>
      <c r="K1701" s="65"/>
      <c r="L1701" s="65"/>
      <c r="N1701" s="65"/>
    </row>
    <row r="1702" spans="1:14">
      <c r="A1702" s="106"/>
      <c r="B1702" s="108"/>
      <c r="C1702" s="108"/>
      <c r="D1702" s="108"/>
      <c r="E1702" s="108"/>
      <c r="F1702" s="108"/>
      <c r="G1702" s="109"/>
      <c r="H1702" s="110"/>
      <c r="K1702" s="65"/>
      <c r="L1702" s="65"/>
      <c r="N1702" s="65"/>
    </row>
    <row r="1703" spans="1:14">
      <c r="A1703" s="106"/>
      <c r="B1703" s="108"/>
      <c r="C1703" s="108"/>
      <c r="D1703" s="108"/>
      <c r="E1703" s="108"/>
      <c r="F1703" s="108"/>
      <c r="G1703" s="109"/>
      <c r="H1703" s="110"/>
      <c r="K1703" s="65"/>
      <c r="L1703" s="65"/>
      <c r="N1703" s="65"/>
    </row>
    <row r="1704" spans="1:14">
      <c r="A1704" s="106"/>
      <c r="B1704" s="108"/>
      <c r="C1704" s="108"/>
      <c r="D1704" s="108"/>
      <c r="E1704" s="108"/>
      <c r="F1704" s="108"/>
      <c r="G1704" s="109"/>
      <c r="H1704" s="110"/>
      <c r="K1704" s="65"/>
      <c r="L1704" s="65"/>
      <c r="N1704" s="65"/>
    </row>
    <row r="1705" spans="1:14">
      <c r="A1705" s="106"/>
      <c r="B1705" s="108"/>
      <c r="C1705" s="108"/>
      <c r="D1705" s="108"/>
      <c r="E1705" s="108"/>
      <c r="F1705" s="108"/>
      <c r="G1705" s="109"/>
      <c r="H1705" s="110"/>
      <c r="K1705" s="65"/>
      <c r="L1705" s="65"/>
      <c r="N1705" s="65"/>
    </row>
    <row r="1706" spans="1:14">
      <c r="A1706" s="106"/>
      <c r="B1706" s="108"/>
      <c r="C1706" s="108"/>
      <c r="D1706" s="108"/>
      <c r="E1706" s="108"/>
      <c r="F1706" s="108"/>
      <c r="G1706" s="109"/>
      <c r="H1706" s="110"/>
      <c r="K1706" s="65"/>
      <c r="L1706" s="65"/>
      <c r="N1706" s="65"/>
    </row>
    <row r="1707" spans="1:14">
      <c r="A1707" s="106"/>
      <c r="B1707" s="108"/>
      <c r="C1707" s="108"/>
      <c r="D1707" s="108"/>
      <c r="E1707" s="108"/>
      <c r="F1707" s="108"/>
      <c r="G1707" s="109"/>
      <c r="H1707" s="110"/>
      <c r="K1707" s="65"/>
      <c r="L1707" s="65"/>
      <c r="N1707" s="65"/>
    </row>
    <row r="1708" spans="1:14">
      <c r="A1708" s="106"/>
      <c r="B1708" s="108"/>
      <c r="C1708" s="108"/>
      <c r="D1708" s="108"/>
      <c r="E1708" s="108"/>
      <c r="F1708" s="108"/>
      <c r="G1708" s="109"/>
      <c r="H1708" s="110"/>
      <c r="K1708" s="65"/>
      <c r="L1708" s="65"/>
      <c r="N1708" s="65"/>
    </row>
    <row r="1709" spans="1:14">
      <c r="A1709" s="106"/>
      <c r="B1709" s="108"/>
      <c r="C1709" s="108"/>
      <c r="D1709" s="108"/>
      <c r="E1709" s="108"/>
      <c r="F1709" s="108"/>
      <c r="G1709" s="109"/>
      <c r="H1709" s="110"/>
      <c r="K1709" s="65"/>
      <c r="L1709" s="65"/>
      <c r="N1709" s="65"/>
    </row>
    <row r="1710" spans="1:14">
      <c r="A1710" s="106"/>
      <c r="B1710" s="108"/>
      <c r="C1710" s="108"/>
      <c r="D1710" s="108"/>
      <c r="E1710" s="108"/>
      <c r="F1710" s="108"/>
      <c r="G1710" s="109"/>
      <c r="H1710" s="110"/>
      <c r="K1710" s="65"/>
      <c r="L1710" s="65"/>
      <c r="N1710" s="65"/>
    </row>
    <row r="1711" spans="1:14">
      <c r="A1711" s="106"/>
      <c r="B1711" s="108"/>
      <c r="C1711" s="108"/>
      <c r="D1711" s="108"/>
      <c r="E1711" s="108"/>
      <c r="F1711" s="108"/>
      <c r="G1711" s="109"/>
      <c r="H1711" s="110"/>
      <c r="K1711" s="65"/>
      <c r="L1711" s="65"/>
      <c r="N1711" s="65"/>
    </row>
    <row r="1712" spans="1:14">
      <c r="A1712" s="106"/>
      <c r="B1712" s="108"/>
      <c r="C1712" s="108"/>
      <c r="D1712" s="108"/>
      <c r="E1712" s="108"/>
      <c r="F1712" s="108"/>
      <c r="G1712" s="109"/>
      <c r="H1712" s="110"/>
      <c r="K1712" s="65"/>
      <c r="L1712" s="65"/>
      <c r="N1712" s="65"/>
    </row>
    <row r="1713" spans="1:14">
      <c r="A1713" s="106"/>
      <c r="B1713" s="108"/>
      <c r="C1713" s="108"/>
      <c r="D1713" s="108"/>
      <c r="E1713" s="108"/>
      <c r="F1713" s="108"/>
      <c r="G1713" s="109"/>
      <c r="H1713" s="110"/>
      <c r="K1713" s="65"/>
      <c r="L1713" s="65"/>
      <c r="N1713" s="65"/>
    </row>
    <row r="1714" spans="1:14">
      <c r="A1714" s="106"/>
      <c r="B1714" s="108"/>
      <c r="C1714" s="108"/>
      <c r="D1714" s="108"/>
      <c r="E1714" s="108"/>
      <c r="F1714" s="108"/>
      <c r="G1714" s="109"/>
      <c r="H1714" s="110"/>
      <c r="K1714" s="65"/>
      <c r="L1714" s="65"/>
      <c r="N1714" s="65"/>
    </row>
    <row r="1715" spans="1:14">
      <c r="A1715" s="106"/>
      <c r="B1715" s="108"/>
      <c r="C1715" s="108"/>
      <c r="D1715" s="108"/>
      <c r="E1715" s="108"/>
      <c r="F1715" s="108"/>
      <c r="G1715" s="109"/>
      <c r="H1715" s="110"/>
      <c r="K1715" s="65"/>
      <c r="L1715" s="65"/>
      <c r="N1715" s="65"/>
    </row>
    <row r="1716" spans="1:14">
      <c r="A1716" s="106"/>
      <c r="B1716" s="108"/>
      <c r="C1716" s="108"/>
      <c r="D1716" s="108"/>
      <c r="E1716" s="108"/>
      <c r="F1716" s="108"/>
      <c r="G1716" s="109"/>
      <c r="H1716" s="110"/>
      <c r="K1716" s="65"/>
      <c r="L1716" s="65"/>
      <c r="N1716" s="65"/>
    </row>
    <row r="1717" spans="1:14">
      <c r="A1717" s="106"/>
      <c r="B1717" s="108"/>
      <c r="C1717" s="108"/>
      <c r="D1717" s="108"/>
      <c r="E1717" s="108"/>
      <c r="F1717" s="108"/>
      <c r="G1717" s="109"/>
      <c r="H1717" s="110"/>
      <c r="K1717" s="65"/>
      <c r="L1717" s="65"/>
      <c r="N1717" s="65"/>
    </row>
    <row r="1718" spans="1:14">
      <c r="A1718" s="106"/>
      <c r="B1718" s="108"/>
      <c r="C1718" s="108"/>
      <c r="D1718" s="108"/>
      <c r="E1718" s="108"/>
      <c r="F1718" s="108"/>
      <c r="G1718" s="109"/>
      <c r="H1718" s="110"/>
      <c r="K1718" s="65"/>
      <c r="L1718" s="65"/>
      <c r="N1718" s="65"/>
    </row>
    <row r="1719" spans="1:14">
      <c r="A1719" s="106"/>
      <c r="B1719" s="108"/>
      <c r="C1719" s="108"/>
      <c r="D1719" s="108"/>
      <c r="E1719" s="108"/>
      <c r="F1719" s="108"/>
      <c r="G1719" s="109"/>
      <c r="H1719" s="110"/>
      <c r="K1719" s="65"/>
      <c r="L1719" s="65"/>
      <c r="N1719" s="65"/>
    </row>
    <row r="1720" spans="1:14">
      <c r="A1720" s="106"/>
      <c r="B1720" s="108"/>
      <c r="C1720" s="108"/>
      <c r="D1720" s="108"/>
      <c r="E1720" s="108"/>
      <c r="F1720" s="108"/>
      <c r="G1720" s="109"/>
      <c r="H1720" s="110"/>
      <c r="K1720" s="65"/>
      <c r="L1720" s="65"/>
      <c r="N1720" s="65"/>
    </row>
    <row r="1721" spans="1:14">
      <c r="A1721" s="106"/>
      <c r="B1721" s="108"/>
      <c r="C1721" s="108"/>
      <c r="D1721" s="108"/>
      <c r="E1721" s="108"/>
      <c r="F1721" s="108"/>
      <c r="G1721" s="109"/>
      <c r="H1721" s="110"/>
      <c r="K1721" s="65"/>
      <c r="L1721" s="65"/>
      <c r="N1721" s="65"/>
    </row>
    <row r="1722" spans="1:14">
      <c r="A1722" s="106"/>
      <c r="B1722" s="108"/>
      <c r="C1722" s="108"/>
      <c r="D1722" s="108"/>
      <c r="E1722" s="108"/>
      <c r="F1722" s="108"/>
      <c r="G1722" s="109"/>
      <c r="H1722" s="110"/>
      <c r="K1722" s="65"/>
      <c r="L1722" s="65"/>
      <c r="N1722" s="65"/>
    </row>
    <row r="1723" spans="1:14">
      <c r="A1723" s="106"/>
      <c r="B1723" s="108"/>
      <c r="C1723" s="108"/>
      <c r="D1723" s="108"/>
      <c r="E1723" s="108"/>
      <c r="F1723" s="108"/>
      <c r="G1723" s="109"/>
      <c r="H1723" s="110"/>
      <c r="K1723" s="65"/>
      <c r="L1723" s="65"/>
      <c r="N1723" s="65"/>
    </row>
    <row r="1724" spans="1:14">
      <c r="A1724" s="106"/>
      <c r="B1724" s="108"/>
      <c r="C1724" s="108"/>
      <c r="D1724" s="108"/>
      <c r="E1724" s="108"/>
      <c r="F1724" s="108"/>
      <c r="G1724" s="109"/>
      <c r="H1724" s="110"/>
      <c r="K1724" s="65"/>
      <c r="L1724" s="65"/>
      <c r="N1724" s="65"/>
    </row>
    <row r="1725" spans="1:14">
      <c r="A1725" s="106"/>
      <c r="B1725" s="108"/>
      <c r="C1725" s="108"/>
      <c r="D1725" s="108"/>
      <c r="E1725" s="108"/>
      <c r="F1725" s="108"/>
      <c r="G1725" s="109"/>
      <c r="H1725" s="110"/>
      <c r="K1725" s="65"/>
      <c r="L1725" s="65"/>
      <c r="N1725" s="65"/>
    </row>
    <row r="1726" spans="1:14">
      <c r="A1726" s="106"/>
      <c r="B1726" s="108"/>
      <c r="C1726" s="108"/>
      <c r="D1726" s="108"/>
      <c r="E1726" s="108"/>
      <c r="F1726" s="108"/>
      <c r="G1726" s="109"/>
      <c r="H1726" s="110"/>
      <c r="K1726" s="65"/>
      <c r="L1726" s="65"/>
      <c r="N1726" s="65"/>
    </row>
    <row r="1727" spans="1:14">
      <c r="A1727" s="106"/>
      <c r="B1727" s="108"/>
      <c r="C1727" s="108"/>
      <c r="D1727" s="108"/>
      <c r="E1727" s="108"/>
      <c r="F1727" s="108"/>
      <c r="G1727" s="109"/>
      <c r="H1727" s="110"/>
      <c r="K1727" s="65"/>
      <c r="L1727" s="65"/>
      <c r="N1727" s="65"/>
    </row>
    <row r="1728" spans="1:14">
      <c r="A1728" s="106"/>
      <c r="B1728" s="108"/>
      <c r="C1728" s="108"/>
      <c r="D1728" s="108"/>
      <c r="E1728" s="108"/>
      <c r="F1728" s="108"/>
      <c r="G1728" s="109"/>
      <c r="H1728" s="110"/>
      <c r="K1728" s="65"/>
      <c r="L1728" s="65"/>
      <c r="N1728" s="65"/>
    </row>
    <row r="1729" spans="1:14">
      <c r="A1729" s="106"/>
      <c r="B1729" s="108"/>
      <c r="C1729" s="108"/>
      <c r="D1729" s="108"/>
      <c r="E1729" s="108"/>
      <c r="F1729" s="108"/>
      <c r="G1729" s="109"/>
      <c r="H1729" s="110"/>
      <c r="K1729" s="65"/>
      <c r="L1729" s="65"/>
      <c r="N1729" s="65"/>
    </row>
    <row r="1730" spans="1:14">
      <c r="A1730" s="106"/>
      <c r="B1730" s="108"/>
      <c r="C1730" s="108"/>
      <c r="D1730" s="108"/>
      <c r="E1730" s="108"/>
      <c r="F1730" s="108"/>
      <c r="G1730" s="109"/>
      <c r="H1730" s="110"/>
      <c r="K1730" s="65"/>
      <c r="L1730" s="65"/>
      <c r="N1730" s="65"/>
    </row>
    <row r="1731" spans="1:14">
      <c r="A1731" s="106"/>
      <c r="B1731" s="108"/>
      <c r="C1731" s="108"/>
      <c r="D1731" s="108"/>
      <c r="E1731" s="108"/>
      <c r="F1731" s="108"/>
      <c r="G1731" s="109"/>
      <c r="H1731" s="110"/>
      <c r="K1731" s="65"/>
      <c r="L1731" s="65"/>
      <c r="N1731" s="65"/>
    </row>
    <row r="1732" spans="1:14">
      <c r="A1732" s="106"/>
      <c r="B1732" s="108"/>
      <c r="C1732" s="108"/>
      <c r="D1732" s="108"/>
      <c r="E1732" s="108"/>
      <c r="F1732" s="108"/>
      <c r="G1732" s="109"/>
      <c r="H1732" s="110"/>
      <c r="K1732" s="65"/>
      <c r="L1732" s="65"/>
      <c r="N1732" s="65"/>
    </row>
    <row r="1733" spans="1:14">
      <c r="A1733" s="106"/>
      <c r="B1733" s="108"/>
      <c r="C1733" s="108"/>
      <c r="D1733" s="108"/>
      <c r="E1733" s="108"/>
      <c r="F1733" s="108"/>
      <c r="G1733" s="109"/>
      <c r="H1733" s="110"/>
      <c r="K1733" s="65"/>
      <c r="L1733" s="65"/>
      <c r="N1733" s="65"/>
    </row>
    <row r="1734" spans="1:14">
      <c r="A1734" s="106"/>
      <c r="B1734" s="108"/>
      <c r="C1734" s="108"/>
      <c r="D1734" s="108"/>
      <c r="E1734" s="108"/>
      <c r="F1734" s="108"/>
      <c r="G1734" s="109"/>
      <c r="H1734" s="110"/>
      <c r="K1734" s="65"/>
      <c r="L1734" s="65"/>
      <c r="N1734" s="65"/>
    </row>
    <row r="1735" spans="1:14">
      <c r="A1735" s="106"/>
      <c r="B1735" s="108"/>
      <c r="C1735" s="108"/>
      <c r="D1735" s="108"/>
      <c r="E1735" s="108"/>
      <c r="F1735" s="108"/>
      <c r="G1735" s="109"/>
      <c r="H1735" s="110"/>
      <c r="K1735" s="65"/>
      <c r="L1735" s="65"/>
      <c r="N1735" s="65"/>
    </row>
    <row r="1736" spans="1:14">
      <c r="A1736" s="106"/>
      <c r="B1736" s="108"/>
      <c r="C1736" s="108"/>
      <c r="D1736" s="108"/>
      <c r="E1736" s="108"/>
      <c r="F1736" s="108"/>
      <c r="G1736" s="109"/>
      <c r="H1736" s="110"/>
      <c r="K1736" s="65"/>
      <c r="L1736" s="65"/>
      <c r="N1736" s="65"/>
    </row>
    <row r="1737" spans="1:14">
      <c r="A1737" s="106"/>
      <c r="B1737" s="108"/>
      <c r="C1737" s="108"/>
      <c r="D1737" s="108"/>
      <c r="E1737" s="108"/>
      <c r="F1737" s="108"/>
      <c r="G1737" s="109"/>
      <c r="H1737" s="110"/>
      <c r="K1737" s="65"/>
      <c r="L1737" s="65"/>
      <c r="N1737" s="65"/>
    </row>
    <row r="1738" spans="1:14">
      <c r="A1738" s="106"/>
      <c r="B1738" s="108"/>
      <c r="C1738" s="108"/>
      <c r="D1738" s="108"/>
      <c r="E1738" s="108"/>
      <c r="F1738" s="108"/>
      <c r="G1738" s="109"/>
      <c r="H1738" s="110"/>
      <c r="K1738" s="65"/>
      <c r="L1738" s="65"/>
      <c r="N1738" s="65"/>
    </row>
    <row r="1739" spans="1:14">
      <c r="A1739" s="106"/>
      <c r="B1739" s="108"/>
      <c r="C1739" s="108"/>
      <c r="D1739" s="108"/>
      <c r="E1739" s="108"/>
      <c r="F1739" s="108"/>
      <c r="G1739" s="109"/>
      <c r="H1739" s="110"/>
      <c r="K1739" s="65"/>
      <c r="L1739" s="65"/>
      <c r="N1739" s="65"/>
    </row>
    <row r="1740" spans="1:14">
      <c r="A1740" s="106"/>
      <c r="B1740" s="108"/>
      <c r="C1740" s="108"/>
      <c r="D1740" s="108"/>
      <c r="E1740" s="108"/>
      <c r="F1740" s="108"/>
      <c r="G1740" s="109"/>
      <c r="H1740" s="110"/>
      <c r="K1740" s="65"/>
      <c r="L1740" s="65"/>
      <c r="N1740" s="65"/>
    </row>
    <row r="1741" spans="1:14">
      <c r="A1741" s="106"/>
      <c r="B1741" s="108"/>
      <c r="C1741" s="108"/>
      <c r="D1741" s="108"/>
      <c r="E1741" s="108"/>
      <c r="F1741" s="108"/>
      <c r="G1741" s="109"/>
      <c r="H1741" s="110"/>
      <c r="K1741" s="65"/>
      <c r="L1741" s="65"/>
      <c r="N1741" s="65"/>
    </row>
    <row r="1742" spans="1:14">
      <c r="A1742" s="106"/>
      <c r="B1742" s="108"/>
      <c r="C1742" s="108"/>
      <c r="D1742" s="108"/>
      <c r="E1742" s="108"/>
      <c r="F1742" s="108"/>
      <c r="G1742" s="109"/>
      <c r="H1742" s="110"/>
      <c r="K1742" s="65"/>
      <c r="L1742" s="65"/>
      <c r="N1742" s="65"/>
    </row>
    <row r="1743" spans="1:14">
      <c r="A1743" s="106"/>
      <c r="B1743" s="108"/>
      <c r="C1743" s="108"/>
      <c r="D1743" s="108"/>
      <c r="E1743" s="108"/>
      <c r="F1743" s="108"/>
      <c r="G1743" s="109"/>
      <c r="H1743" s="110"/>
      <c r="K1743" s="65"/>
      <c r="L1743" s="65"/>
      <c r="N1743" s="65"/>
    </row>
    <row r="1744" spans="1:14">
      <c r="A1744" s="106"/>
      <c r="B1744" s="108"/>
      <c r="C1744" s="108"/>
      <c r="D1744" s="108"/>
      <c r="E1744" s="108"/>
      <c r="F1744" s="108"/>
      <c r="G1744" s="109"/>
      <c r="H1744" s="110"/>
      <c r="K1744" s="65"/>
      <c r="L1744" s="65"/>
      <c r="N1744" s="65"/>
    </row>
    <row r="1745" spans="1:14">
      <c r="A1745" s="106"/>
      <c r="B1745" s="108"/>
      <c r="C1745" s="108"/>
      <c r="D1745" s="108"/>
      <c r="E1745" s="108"/>
      <c r="F1745" s="108"/>
      <c r="G1745" s="109"/>
      <c r="H1745" s="110"/>
      <c r="K1745" s="65"/>
      <c r="L1745" s="65"/>
      <c r="N1745" s="65"/>
    </row>
    <row r="1746" spans="1:14">
      <c r="A1746" s="106"/>
      <c r="B1746" s="108"/>
      <c r="C1746" s="108"/>
      <c r="D1746" s="108"/>
      <c r="E1746" s="108"/>
      <c r="F1746" s="108"/>
      <c r="G1746" s="109"/>
      <c r="H1746" s="110"/>
      <c r="K1746" s="65"/>
      <c r="L1746" s="65"/>
      <c r="N1746" s="65"/>
    </row>
    <row r="1747" spans="1:14">
      <c r="A1747" s="106"/>
      <c r="B1747" s="108"/>
      <c r="C1747" s="108"/>
      <c r="D1747" s="108"/>
      <c r="E1747" s="108"/>
      <c r="F1747" s="108"/>
      <c r="G1747" s="109"/>
      <c r="H1747" s="110"/>
      <c r="K1747" s="65"/>
      <c r="L1747" s="65"/>
      <c r="N1747" s="65"/>
    </row>
    <row r="1748" spans="1:14">
      <c r="A1748" s="106"/>
      <c r="B1748" s="108"/>
      <c r="C1748" s="108"/>
      <c r="D1748" s="108"/>
      <c r="E1748" s="108"/>
      <c r="F1748" s="108"/>
      <c r="G1748" s="109"/>
      <c r="H1748" s="110"/>
      <c r="K1748" s="65"/>
      <c r="L1748" s="65"/>
      <c r="N1748" s="65"/>
    </row>
    <row r="1749" spans="1:14">
      <c r="A1749" s="106"/>
      <c r="B1749" s="108"/>
      <c r="C1749" s="108"/>
      <c r="D1749" s="108"/>
      <c r="E1749" s="108"/>
      <c r="F1749" s="108"/>
      <c r="G1749" s="109"/>
      <c r="H1749" s="110"/>
      <c r="K1749" s="65"/>
      <c r="L1749" s="65"/>
      <c r="N1749" s="65"/>
    </row>
    <row r="1750" spans="1:14">
      <c r="A1750" s="106"/>
      <c r="B1750" s="108"/>
      <c r="C1750" s="108"/>
      <c r="D1750" s="108"/>
      <c r="E1750" s="108"/>
      <c r="F1750" s="108"/>
      <c r="G1750" s="109"/>
      <c r="H1750" s="110"/>
      <c r="K1750" s="65"/>
      <c r="L1750" s="65"/>
      <c r="N1750" s="65"/>
    </row>
    <row r="1751" spans="1:14">
      <c r="A1751" s="106"/>
      <c r="B1751" s="108"/>
      <c r="C1751" s="108"/>
      <c r="D1751" s="108"/>
      <c r="E1751" s="108"/>
      <c r="F1751" s="108"/>
      <c r="G1751" s="109"/>
      <c r="H1751" s="110"/>
      <c r="K1751" s="65"/>
      <c r="L1751" s="65"/>
      <c r="N1751" s="65"/>
    </row>
    <row r="1752" spans="1:14">
      <c r="A1752" s="106"/>
      <c r="B1752" s="108"/>
      <c r="C1752" s="108"/>
      <c r="D1752" s="108"/>
      <c r="E1752" s="108"/>
      <c r="F1752" s="108"/>
      <c r="G1752" s="109"/>
      <c r="H1752" s="110"/>
      <c r="K1752" s="65"/>
      <c r="L1752" s="65"/>
      <c r="N1752" s="65"/>
    </row>
    <row r="1753" spans="1:14">
      <c r="A1753" s="106"/>
      <c r="B1753" s="108"/>
      <c r="C1753" s="108"/>
      <c r="D1753" s="108"/>
      <c r="E1753" s="108"/>
      <c r="F1753" s="108"/>
      <c r="G1753" s="109"/>
      <c r="H1753" s="110"/>
      <c r="K1753" s="65"/>
      <c r="L1753" s="65"/>
      <c r="N1753" s="65"/>
    </row>
    <row r="1754" spans="1:14">
      <c r="A1754" s="106"/>
      <c r="B1754" s="108"/>
      <c r="C1754" s="108"/>
      <c r="D1754" s="108"/>
      <c r="E1754" s="108"/>
      <c r="F1754" s="108"/>
      <c r="G1754" s="109"/>
      <c r="H1754" s="110"/>
      <c r="K1754" s="65"/>
      <c r="L1754" s="65"/>
      <c r="N1754" s="65"/>
    </row>
    <row r="1755" spans="1:14">
      <c r="A1755" s="106"/>
      <c r="B1755" s="108"/>
      <c r="C1755" s="108"/>
      <c r="D1755" s="108"/>
      <c r="E1755" s="108"/>
      <c r="F1755" s="108"/>
      <c r="G1755" s="109"/>
      <c r="H1755" s="110"/>
      <c r="K1755" s="65"/>
      <c r="L1755" s="65"/>
      <c r="N1755" s="65"/>
    </row>
    <row r="1756" spans="1:14">
      <c r="A1756" s="106"/>
      <c r="B1756" s="108"/>
      <c r="C1756" s="108"/>
      <c r="D1756" s="108"/>
      <c r="E1756" s="108"/>
      <c r="F1756" s="108"/>
      <c r="G1756" s="109"/>
      <c r="H1756" s="110"/>
      <c r="K1756" s="65"/>
      <c r="L1756" s="65"/>
      <c r="N1756" s="65"/>
    </row>
    <row r="1757" spans="1:14">
      <c r="A1757" s="106"/>
      <c r="B1757" s="108"/>
      <c r="C1757" s="108"/>
      <c r="D1757" s="108"/>
      <c r="E1757" s="108"/>
      <c r="F1757" s="108"/>
      <c r="G1757" s="109"/>
      <c r="H1757" s="110"/>
      <c r="K1757" s="65"/>
      <c r="L1757" s="65"/>
      <c r="N1757" s="65"/>
    </row>
    <row r="1758" spans="1:14">
      <c r="A1758" s="106"/>
      <c r="B1758" s="108"/>
      <c r="C1758" s="108"/>
      <c r="D1758" s="108"/>
      <c r="E1758" s="108"/>
      <c r="F1758" s="108"/>
      <c r="G1758" s="109"/>
      <c r="H1758" s="110"/>
      <c r="K1758" s="65"/>
      <c r="L1758" s="65"/>
      <c r="N1758" s="65"/>
    </row>
    <row r="1759" spans="1:14">
      <c r="A1759" s="106"/>
      <c r="B1759" s="108"/>
      <c r="C1759" s="108"/>
      <c r="D1759" s="108"/>
      <c r="E1759" s="108"/>
      <c r="F1759" s="108"/>
      <c r="G1759" s="109"/>
      <c r="H1759" s="110"/>
      <c r="K1759" s="65"/>
      <c r="L1759" s="65"/>
      <c r="N1759" s="65"/>
    </row>
    <row r="1760" spans="1:14">
      <c r="A1760" s="106"/>
      <c r="B1760" s="108"/>
      <c r="C1760" s="108"/>
      <c r="D1760" s="108"/>
      <c r="E1760" s="108"/>
      <c r="F1760" s="108"/>
      <c r="G1760" s="109"/>
      <c r="H1760" s="110"/>
      <c r="K1760" s="65"/>
      <c r="L1760" s="65"/>
      <c r="N1760" s="65"/>
    </row>
    <row r="1761" spans="1:14">
      <c r="A1761" s="106"/>
      <c r="B1761" s="108"/>
      <c r="C1761" s="108"/>
      <c r="D1761" s="108"/>
      <c r="E1761" s="108"/>
      <c r="F1761" s="108"/>
      <c r="G1761" s="109"/>
      <c r="H1761" s="110"/>
      <c r="K1761" s="65"/>
      <c r="L1761" s="65"/>
      <c r="N1761" s="65"/>
    </row>
    <row r="1762" spans="1:14">
      <c r="A1762" s="106"/>
      <c r="B1762" s="108"/>
      <c r="C1762" s="108"/>
      <c r="D1762" s="108"/>
      <c r="E1762" s="108"/>
      <c r="F1762" s="108"/>
      <c r="G1762" s="109"/>
      <c r="H1762" s="110"/>
      <c r="K1762" s="65"/>
      <c r="L1762" s="65"/>
      <c r="N1762" s="65"/>
    </row>
    <row r="1763" spans="1:14">
      <c r="A1763" s="106"/>
      <c r="B1763" s="108"/>
      <c r="C1763" s="108"/>
      <c r="D1763" s="108"/>
      <c r="E1763" s="108"/>
      <c r="F1763" s="108"/>
      <c r="G1763" s="109"/>
      <c r="H1763" s="110"/>
      <c r="K1763" s="65"/>
      <c r="L1763" s="65"/>
      <c r="N1763" s="65"/>
    </row>
    <row r="1764" spans="1:14">
      <c r="A1764" s="106"/>
      <c r="B1764" s="108"/>
      <c r="C1764" s="108"/>
      <c r="D1764" s="108"/>
      <c r="E1764" s="108"/>
      <c r="F1764" s="108"/>
      <c r="G1764" s="109"/>
      <c r="H1764" s="110"/>
      <c r="K1764" s="65"/>
      <c r="L1764" s="65"/>
      <c r="N1764" s="65"/>
    </row>
    <row r="1765" spans="1:14">
      <c r="A1765" s="106"/>
      <c r="B1765" s="108"/>
      <c r="C1765" s="108"/>
      <c r="D1765" s="108"/>
      <c r="E1765" s="108"/>
      <c r="F1765" s="108"/>
      <c r="G1765" s="109"/>
      <c r="H1765" s="110"/>
      <c r="K1765" s="65"/>
      <c r="L1765" s="65"/>
      <c r="N1765" s="65"/>
    </row>
    <row r="1766" spans="1:14">
      <c r="A1766" s="106"/>
      <c r="B1766" s="108"/>
      <c r="C1766" s="108"/>
      <c r="D1766" s="108"/>
      <c r="E1766" s="108"/>
      <c r="F1766" s="108"/>
      <c r="G1766" s="109"/>
      <c r="H1766" s="110"/>
      <c r="K1766" s="65"/>
      <c r="L1766" s="65"/>
      <c r="N1766" s="65"/>
    </row>
    <row r="1767" spans="1:14">
      <c r="A1767" s="106"/>
      <c r="B1767" s="108"/>
      <c r="C1767" s="108"/>
      <c r="D1767" s="108"/>
      <c r="E1767" s="108"/>
      <c r="F1767" s="108"/>
      <c r="G1767" s="109"/>
      <c r="H1767" s="110"/>
      <c r="K1767" s="65"/>
      <c r="L1767" s="65"/>
      <c r="N1767" s="65"/>
    </row>
    <row r="1768" spans="1:14">
      <c r="A1768" s="106"/>
      <c r="B1768" s="108"/>
      <c r="C1768" s="108"/>
      <c r="D1768" s="108"/>
      <c r="E1768" s="108"/>
      <c r="F1768" s="108"/>
      <c r="G1768" s="109"/>
      <c r="H1768" s="110"/>
      <c r="K1768" s="65"/>
      <c r="L1768" s="65"/>
      <c r="N1768" s="65"/>
    </row>
    <row r="1769" spans="1:14">
      <c r="A1769" s="106"/>
      <c r="B1769" s="108"/>
      <c r="C1769" s="108"/>
      <c r="D1769" s="108"/>
      <c r="E1769" s="108"/>
      <c r="F1769" s="108"/>
      <c r="G1769" s="109"/>
      <c r="H1769" s="110"/>
      <c r="K1769" s="65"/>
      <c r="L1769" s="65"/>
      <c r="N1769" s="65"/>
    </row>
    <row r="1770" spans="1:14">
      <c r="A1770" s="106"/>
      <c r="B1770" s="108"/>
      <c r="C1770" s="108"/>
      <c r="D1770" s="108"/>
      <c r="E1770" s="108"/>
      <c r="F1770" s="108"/>
      <c r="G1770" s="109"/>
      <c r="H1770" s="110"/>
      <c r="K1770" s="65"/>
      <c r="L1770" s="65"/>
      <c r="N1770" s="65"/>
    </row>
    <row r="1771" spans="1:14">
      <c r="A1771" s="106"/>
      <c r="B1771" s="108"/>
      <c r="C1771" s="108"/>
      <c r="D1771" s="108"/>
      <c r="E1771" s="108"/>
      <c r="F1771" s="108"/>
      <c r="G1771" s="109"/>
      <c r="H1771" s="110"/>
      <c r="K1771" s="65"/>
      <c r="L1771" s="65"/>
      <c r="N1771" s="65"/>
    </row>
    <row r="1772" spans="1:14">
      <c r="A1772" s="106"/>
      <c r="B1772" s="108"/>
      <c r="C1772" s="108"/>
      <c r="D1772" s="108"/>
      <c r="E1772" s="108"/>
      <c r="F1772" s="108"/>
      <c r="G1772" s="109"/>
      <c r="H1772" s="110"/>
      <c r="K1772" s="65"/>
      <c r="L1772" s="65"/>
      <c r="N1772" s="65"/>
    </row>
    <row r="1773" spans="1:14">
      <c r="A1773" s="106"/>
      <c r="B1773" s="108"/>
      <c r="C1773" s="108"/>
      <c r="D1773" s="108"/>
      <c r="E1773" s="108"/>
      <c r="F1773" s="108"/>
      <c r="G1773" s="109"/>
      <c r="H1773" s="110"/>
      <c r="K1773" s="65"/>
      <c r="L1773" s="65"/>
      <c r="N1773" s="65"/>
    </row>
    <row r="1774" spans="1:14">
      <c r="A1774" s="106"/>
      <c r="B1774" s="108"/>
      <c r="C1774" s="108"/>
      <c r="D1774" s="108"/>
      <c r="E1774" s="108"/>
      <c r="F1774" s="108"/>
      <c r="G1774" s="109"/>
      <c r="H1774" s="110"/>
      <c r="K1774" s="65"/>
      <c r="L1774" s="65"/>
      <c r="N1774" s="65"/>
    </row>
    <row r="1775" spans="1:14">
      <c r="A1775" s="106"/>
      <c r="B1775" s="108"/>
      <c r="C1775" s="108"/>
      <c r="D1775" s="108"/>
      <c r="E1775" s="108"/>
      <c r="F1775" s="108"/>
      <c r="G1775" s="109"/>
      <c r="H1775" s="110"/>
      <c r="K1775" s="65"/>
      <c r="L1775" s="65"/>
      <c r="N1775" s="65"/>
    </row>
    <row r="1776" spans="1:14">
      <c r="A1776" s="106"/>
      <c r="B1776" s="108"/>
      <c r="C1776" s="108"/>
      <c r="D1776" s="108"/>
      <c r="E1776" s="108"/>
      <c r="F1776" s="108"/>
      <c r="G1776" s="109"/>
      <c r="H1776" s="110"/>
      <c r="K1776" s="65"/>
      <c r="L1776" s="65"/>
      <c r="N1776" s="65"/>
    </row>
    <row r="1777" spans="1:14">
      <c r="A1777" s="106"/>
      <c r="B1777" s="108"/>
      <c r="C1777" s="108"/>
      <c r="D1777" s="108"/>
      <c r="E1777" s="108"/>
      <c r="F1777" s="108"/>
      <c r="G1777" s="109"/>
      <c r="H1777" s="110"/>
      <c r="K1777" s="65"/>
      <c r="L1777" s="65"/>
      <c r="N1777" s="65"/>
    </row>
    <row r="1778" spans="1:14">
      <c r="A1778" s="106"/>
      <c r="B1778" s="108"/>
      <c r="C1778" s="108"/>
      <c r="D1778" s="108"/>
      <c r="E1778" s="108"/>
      <c r="F1778" s="108"/>
      <c r="G1778" s="109"/>
      <c r="H1778" s="110"/>
      <c r="K1778" s="65"/>
      <c r="L1778" s="65"/>
      <c r="N1778" s="65"/>
    </row>
    <row r="1779" spans="1:14">
      <c r="A1779" s="106"/>
      <c r="B1779" s="108"/>
      <c r="C1779" s="108"/>
      <c r="D1779" s="108"/>
      <c r="E1779" s="108"/>
      <c r="F1779" s="108"/>
      <c r="G1779" s="109"/>
      <c r="H1779" s="110"/>
      <c r="K1779" s="65"/>
      <c r="L1779" s="65"/>
      <c r="N1779" s="65"/>
    </row>
    <row r="1780" spans="1:14">
      <c r="A1780" s="106"/>
      <c r="B1780" s="108"/>
      <c r="C1780" s="108"/>
      <c r="D1780" s="108"/>
      <c r="E1780" s="108"/>
      <c r="F1780" s="108"/>
      <c r="G1780" s="109"/>
      <c r="H1780" s="110"/>
      <c r="K1780" s="65"/>
      <c r="L1780" s="65"/>
      <c r="N1780" s="65"/>
    </row>
    <row r="1781" spans="1:14">
      <c r="A1781" s="106"/>
      <c r="B1781" s="108"/>
      <c r="C1781" s="108"/>
      <c r="D1781" s="108"/>
      <c r="E1781" s="108"/>
      <c r="F1781" s="108"/>
      <c r="G1781" s="109"/>
      <c r="H1781" s="110"/>
      <c r="K1781" s="65"/>
      <c r="L1781" s="65"/>
      <c r="N1781" s="65"/>
    </row>
    <row r="1782" spans="1:14">
      <c r="A1782" s="106"/>
      <c r="B1782" s="108"/>
      <c r="C1782" s="108"/>
      <c r="D1782" s="108"/>
      <c r="E1782" s="108"/>
      <c r="F1782" s="108"/>
      <c r="G1782" s="109"/>
      <c r="H1782" s="110"/>
      <c r="K1782" s="65"/>
      <c r="L1782" s="65"/>
      <c r="N1782" s="65"/>
    </row>
    <row r="1783" spans="1:14">
      <c r="A1783" s="106"/>
      <c r="B1783" s="108"/>
      <c r="C1783" s="108"/>
      <c r="D1783" s="108"/>
      <c r="E1783" s="108"/>
      <c r="F1783" s="108"/>
      <c r="G1783" s="109"/>
      <c r="H1783" s="110"/>
      <c r="K1783" s="65"/>
      <c r="L1783" s="65"/>
      <c r="N1783" s="65"/>
    </row>
    <row r="1784" spans="1:14">
      <c r="A1784" s="106"/>
      <c r="B1784" s="108"/>
      <c r="C1784" s="108"/>
      <c r="D1784" s="108"/>
      <c r="E1784" s="108"/>
      <c r="F1784" s="108"/>
      <c r="G1784" s="109"/>
      <c r="H1784" s="110"/>
      <c r="K1784" s="65"/>
      <c r="L1784" s="65"/>
      <c r="N1784" s="65"/>
    </row>
    <row r="1785" spans="1:14">
      <c r="A1785" s="106"/>
      <c r="B1785" s="108"/>
      <c r="C1785" s="108"/>
      <c r="D1785" s="108"/>
      <c r="E1785" s="108"/>
      <c r="F1785" s="108"/>
      <c r="G1785" s="109"/>
      <c r="H1785" s="110"/>
      <c r="K1785" s="65"/>
      <c r="L1785" s="65"/>
      <c r="N1785" s="65"/>
    </row>
    <row r="1786" spans="1:14">
      <c r="A1786" s="106"/>
      <c r="B1786" s="108"/>
      <c r="C1786" s="108"/>
      <c r="D1786" s="108"/>
      <c r="E1786" s="108"/>
      <c r="F1786" s="108"/>
      <c r="G1786" s="109"/>
      <c r="H1786" s="110"/>
      <c r="K1786" s="65"/>
      <c r="L1786" s="65"/>
      <c r="N1786" s="65"/>
    </row>
    <row r="1787" spans="1:14">
      <c r="A1787" s="106"/>
      <c r="B1787" s="108"/>
      <c r="C1787" s="108"/>
      <c r="D1787" s="108"/>
      <c r="E1787" s="108"/>
      <c r="F1787" s="108"/>
      <c r="G1787" s="109"/>
      <c r="H1787" s="110"/>
      <c r="K1787" s="65"/>
      <c r="L1787" s="65"/>
      <c r="N1787" s="65"/>
    </row>
    <row r="1788" spans="1:14">
      <c r="A1788" s="106"/>
      <c r="B1788" s="108"/>
      <c r="C1788" s="108"/>
      <c r="D1788" s="108"/>
      <c r="E1788" s="108"/>
      <c r="F1788" s="108"/>
      <c r="G1788" s="109"/>
      <c r="H1788" s="110"/>
      <c r="K1788" s="65"/>
      <c r="L1788" s="65"/>
      <c r="N1788" s="65"/>
    </row>
    <row r="1789" spans="1:14">
      <c r="A1789" s="106"/>
      <c r="B1789" s="108"/>
      <c r="C1789" s="108"/>
      <c r="D1789" s="108"/>
      <c r="E1789" s="108"/>
      <c r="F1789" s="108"/>
      <c r="G1789" s="109"/>
      <c r="H1789" s="110"/>
      <c r="K1789" s="65"/>
      <c r="L1789" s="65"/>
      <c r="N1789" s="65"/>
    </row>
    <row r="1790" spans="1:14">
      <c r="A1790" s="106"/>
      <c r="B1790" s="108"/>
      <c r="C1790" s="108"/>
      <c r="D1790" s="108"/>
      <c r="E1790" s="108"/>
      <c r="F1790" s="108"/>
      <c r="G1790" s="109"/>
      <c r="H1790" s="110"/>
      <c r="K1790" s="65"/>
      <c r="L1790" s="65"/>
      <c r="N1790" s="65"/>
    </row>
    <row r="1791" spans="1:14">
      <c r="A1791" s="106"/>
      <c r="B1791" s="108"/>
      <c r="C1791" s="108"/>
      <c r="D1791" s="108"/>
      <c r="E1791" s="108"/>
      <c r="F1791" s="108"/>
      <c r="G1791" s="109"/>
      <c r="H1791" s="110"/>
      <c r="K1791" s="65"/>
      <c r="L1791" s="65"/>
      <c r="N1791" s="65"/>
    </row>
    <row r="1792" spans="1:14">
      <c r="A1792" s="106"/>
      <c r="B1792" s="108"/>
      <c r="C1792" s="108"/>
      <c r="D1792" s="108"/>
      <c r="E1792" s="108"/>
      <c r="F1792" s="108"/>
      <c r="G1792" s="109"/>
      <c r="H1792" s="110"/>
      <c r="K1792" s="65"/>
      <c r="L1792" s="65"/>
      <c r="N1792" s="65"/>
    </row>
    <row r="1793" spans="1:14">
      <c r="A1793" s="106"/>
      <c r="B1793" s="108"/>
      <c r="C1793" s="108"/>
      <c r="D1793" s="108"/>
      <c r="E1793" s="108"/>
      <c r="F1793" s="108"/>
      <c r="G1793" s="109"/>
      <c r="H1793" s="110"/>
      <c r="K1793" s="65"/>
      <c r="L1793" s="65"/>
      <c r="N1793" s="65"/>
    </row>
    <row r="1794" spans="1:14">
      <c r="A1794" s="106"/>
      <c r="B1794" s="108"/>
      <c r="C1794" s="108"/>
      <c r="D1794" s="108"/>
      <c r="E1794" s="108"/>
      <c r="F1794" s="108"/>
      <c r="G1794" s="109"/>
      <c r="H1794" s="110"/>
      <c r="K1794" s="65"/>
      <c r="L1794" s="65"/>
      <c r="N1794" s="65"/>
    </row>
    <row r="1795" spans="1:14">
      <c r="A1795" s="106"/>
      <c r="B1795" s="108"/>
      <c r="C1795" s="108"/>
      <c r="D1795" s="108"/>
      <c r="E1795" s="108"/>
      <c r="F1795" s="108"/>
      <c r="G1795" s="109"/>
      <c r="H1795" s="110"/>
      <c r="K1795" s="65"/>
      <c r="L1795" s="65"/>
      <c r="N1795" s="65"/>
    </row>
    <row r="1796" spans="1:14">
      <c r="A1796" s="106"/>
      <c r="B1796" s="108"/>
      <c r="C1796" s="108"/>
      <c r="D1796" s="108"/>
      <c r="E1796" s="108"/>
      <c r="F1796" s="108"/>
      <c r="G1796" s="109"/>
      <c r="H1796" s="110"/>
      <c r="K1796" s="65"/>
      <c r="L1796" s="65"/>
      <c r="N1796" s="65"/>
    </row>
    <row r="1797" spans="1:14">
      <c r="A1797" s="106"/>
      <c r="B1797" s="108"/>
      <c r="C1797" s="108"/>
      <c r="D1797" s="108"/>
      <c r="E1797" s="108"/>
      <c r="F1797" s="108"/>
      <c r="G1797" s="109"/>
      <c r="H1797" s="110"/>
      <c r="K1797" s="65"/>
      <c r="L1797" s="65"/>
      <c r="N1797" s="65"/>
    </row>
    <row r="1798" spans="1:14">
      <c r="A1798" s="106"/>
      <c r="B1798" s="108"/>
      <c r="C1798" s="108"/>
      <c r="D1798" s="108"/>
      <c r="E1798" s="108"/>
      <c r="F1798" s="108"/>
      <c r="G1798" s="109"/>
      <c r="H1798" s="110"/>
      <c r="K1798" s="65"/>
      <c r="L1798" s="65"/>
      <c r="N1798" s="65"/>
    </row>
    <row r="1799" spans="1:14">
      <c r="A1799" s="106"/>
      <c r="B1799" s="108"/>
      <c r="C1799" s="108"/>
      <c r="D1799" s="108"/>
      <c r="E1799" s="108"/>
      <c r="F1799" s="108"/>
      <c r="G1799" s="109"/>
      <c r="H1799" s="110"/>
      <c r="K1799" s="65"/>
      <c r="L1799" s="65"/>
      <c r="N1799" s="65"/>
    </row>
    <row r="1800" spans="1:14">
      <c r="A1800" s="106"/>
      <c r="B1800" s="108"/>
      <c r="C1800" s="108"/>
      <c r="D1800" s="108"/>
      <c r="E1800" s="108"/>
      <c r="F1800" s="108"/>
      <c r="G1800" s="109"/>
      <c r="H1800" s="110"/>
      <c r="K1800" s="65"/>
      <c r="L1800" s="65"/>
      <c r="N1800" s="65"/>
    </row>
    <row r="1801" spans="1:14">
      <c r="A1801" s="106"/>
      <c r="B1801" s="108"/>
      <c r="C1801" s="108"/>
      <c r="D1801" s="108"/>
      <c r="E1801" s="108"/>
      <c r="F1801" s="108"/>
      <c r="G1801" s="109"/>
      <c r="H1801" s="110"/>
      <c r="K1801" s="65"/>
      <c r="L1801" s="65"/>
      <c r="N1801" s="65"/>
    </row>
    <row r="1802" spans="1:14">
      <c r="A1802" s="106"/>
      <c r="B1802" s="108"/>
      <c r="C1802" s="108"/>
      <c r="D1802" s="108"/>
      <c r="E1802" s="108"/>
      <c r="F1802" s="108"/>
      <c r="G1802" s="109"/>
      <c r="H1802" s="110"/>
      <c r="K1802" s="65"/>
      <c r="L1802" s="65"/>
      <c r="N1802" s="65"/>
    </row>
    <row r="1803" spans="1:14">
      <c r="A1803" s="106"/>
      <c r="B1803" s="108"/>
      <c r="C1803" s="108"/>
      <c r="D1803" s="108"/>
      <c r="E1803" s="108"/>
      <c r="F1803" s="108"/>
      <c r="G1803" s="109"/>
      <c r="H1803" s="110"/>
      <c r="K1803" s="65"/>
      <c r="L1803" s="65"/>
      <c r="N1803" s="65"/>
    </row>
    <row r="1804" spans="1:14">
      <c r="A1804" s="106"/>
      <c r="B1804" s="108"/>
      <c r="C1804" s="108"/>
      <c r="D1804" s="108"/>
      <c r="E1804" s="108"/>
      <c r="F1804" s="108"/>
      <c r="G1804" s="109"/>
      <c r="H1804" s="110"/>
      <c r="K1804" s="65"/>
      <c r="L1804" s="65"/>
      <c r="N1804" s="65"/>
    </row>
    <row r="1805" spans="1:14">
      <c r="A1805" s="106"/>
      <c r="B1805" s="108"/>
      <c r="C1805" s="108"/>
      <c r="D1805" s="108"/>
      <c r="E1805" s="108"/>
      <c r="F1805" s="108"/>
      <c r="G1805" s="109"/>
      <c r="H1805" s="110"/>
      <c r="K1805" s="65"/>
      <c r="L1805" s="65"/>
      <c r="N1805" s="65"/>
    </row>
    <row r="1806" spans="1:14">
      <c r="A1806" s="106"/>
      <c r="B1806" s="108"/>
      <c r="C1806" s="108"/>
      <c r="D1806" s="108"/>
      <c r="E1806" s="108"/>
      <c r="F1806" s="108"/>
      <c r="G1806" s="109"/>
      <c r="H1806" s="110"/>
      <c r="K1806" s="65"/>
      <c r="L1806" s="65"/>
      <c r="N1806" s="65"/>
    </row>
    <row r="1807" spans="1:14">
      <c r="A1807" s="106"/>
      <c r="B1807" s="108"/>
      <c r="C1807" s="108"/>
      <c r="D1807" s="108"/>
      <c r="E1807" s="108"/>
      <c r="F1807" s="108"/>
      <c r="G1807" s="109"/>
      <c r="H1807" s="110"/>
      <c r="K1807" s="65"/>
      <c r="L1807" s="65"/>
      <c r="N1807" s="65"/>
    </row>
    <row r="1808" spans="1:14">
      <c r="A1808" s="106"/>
      <c r="B1808" s="108"/>
      <c r="C1808" s="108"/>
      <c r="D1808" s="108"/>
      <c r="E1808" s="108"/>
      <c r="F1808" s="108"/>
      <c r="G1808" s="109"/>
      <c r="H1808" s="110"/>
      <c r="K1808" s="65"/>
      <c r="L1808" s="65"/>
      <c r="N1808" s="65"/>
    </row>
    <row r="1809" spans="1:14">
      <c r="A1809" s="106"/>
      <c r="B1809" s="108"/>
      <c r="C1809" s="108"/>
      <c r="D1809" s="108"/>
      <c r="E1809" s="108"/>
      <c r="F1809" s="108"/>
      <c r="G1809" s="109"/>
      <c r="H1809" s="110"/>
      <c r="K1809" s="65"/>
      <c r="L1809" s="65"/>
      <c r="N1809" s="65"/>
    </row>
    <row r="1810" spans="1:14">
      <c r="A1810" s="106"/>
      <c r="B1810" s="108"/>
      <c r="C1810" s="108"/>
      <c r="D1810" s="108"/>
      <c r="E1810" s="108"/>
      <c r="F1810" s="108"/>
      <c r="G1810" s="109"/>
      <c r="H1810" s="110"/>
      <c r="K1810" s="65"/>
      <c r="L1810" s="65"/>
      <c r="N1810" s="65"/>
    </row>
    <row r="1811" spans="1:14">
      <c r="A1811" s="106"/>
      <c r="B1811" s="108"/>
      <c r="C1811" s="108"/>
      <c r="D1811" s="108"/>
      <c r="E1811" s="108"/>
      <c r="F1811" s="108"/>
      <c r="G1811" s="109"/>
      <c r="H1811" s="110"/>
      <c r="K1811" s="65"/>
      <c r="L1811" s="65"/>
      <c r="N1811" s="65"/>
    </row>
    <row r="1812" spans="1:14">
      <c r="A1812" s="106"/>
      <c r="B1812" s="108"/>
      <c r="C1812" s="108"/>
      <c r="D1812" s="108"/>
      <c r="E1812" s="108"/>
      <c r="F1812" s="108"/>
      <c r="G1812" s="109"/>
      <c r="H1812" s="110"/>
      <c r="K1812" s="65"/>
      <c r="L1812" s="65"/>
      <c r="N1812" s="65"/>
    </row>
    <row r="1813" spans="1:14">
      <c r="A1813" s="106"/>
      <c r="B1813" s="108"/>
      <c r="C1813" s="108"/>
      <c r="D1813" s="108"/>
      <c r="E1813" s="108"/>
      <c r="F1813" s="108"/>
      <c r="G1813" s="109"/>
      <c r="H1813" s="110"/>
      <c r="K1813" s="65"/>
      <c r="L1813" s="65"/>
      <c r="N1813" s="65"/>
    </row>
    <row r="1814" spans="1:14">
      <c r="A1814" s="106"/>
      <c r="B1814" s="108"/>
      <c r="C1814" s="108"/>
      <c r="D1814" s="108"/>
      <c r="E1814" s="108"/>
      <c r="F1814" s="108"/>
      <c r="G1814" s="109"/>
      <c r="H1814" s="110"/>
      <c r="K1814" s="65"/>
      <c r="L1814" s="65"/>
      <c r="N1814" s="65"/>
    </row>
    <row r="1815" spans="1:14">
      <c r="A1815" s="106"/>
      <c r="B1815" s="108"/>
      <c r="C1815" s="108"/>
      <c r="D1815" s="108"/>
      <c r="E1815" s="108"/>
      <c r="F1815" s="108"/>
      <c r="G1815" s="109"/>
      <c r="H1815" s="110"/>
      <c r="K1815" s="65"/>
      <c r="L1815" s="65"/>
      <c r="N1815" s="65"/>
    </row>
    <row r="1816" spans="1:14">
      <c r="A1816" s="106"/>
      <c r="B1816" s="108"/>
      <c r="C1816" s="108"/>
      <c r="D1816" s="108"/>
      <c r="E1816" s="108"/>
      <c r="F1816" s="108"/>
      <c r="G1816" s="109"/>
      <c r="H1816" s="110"/>
      <c r="K1816" s="65"/>
      <c r="L1816" s="65"/>
      <c r="N1816" s="65"/>
    </row>
    <row r="1817" spans="1:14">
      <c r="A1817" s="106"/>
      <c r="B1817" s="108"/>
      <c r="C1817" s="108"/>
      <c r="D1817" s="108"/>
      <c r="E1817" s="108"/>
      <c r="F1817" s="108"/>
      <c r="G1817" s="109"/>
      <c r="H1817" s="110"/>
      <c r="K1817" s="65"/>
      <c r="L1817" s="65"/>
      <c r="N1817" s="65"/>
    </row>
    <row r="1818" spans="1:14">
      <c r="A1818" s="106"/>
      <c r="B1818" s="108"/>
      <c r="C1818" s="108"/>
      <c r="D1818" s="108"/>
      <c r="E1818" s="108"/>
      <c r="F1818" s="108"/>
      <c r="G1818" s="109"/>
      <c r="H1818" s="110"/>
      <c r="K1818" s="65"/>
      <c r="L1818" s="65"/>
      <c r="N1818" s="65"/>
    </row>
    <row r="1819" spans="1:14">
      <c r="A1819" s="106"/>
      <c r="B1819" s="108"/>
      <c r="C1819" s="108"/>
      <c r="D1819" s="108"/>
      <c r="E1819" s="108"/>
      <c r="F1819" s="108"/>
      <c r="G1819" s="109"/>
      <c r="H1819" s="110"/>
      <c r="K1819" s="65"/>
      <c r="L1819" s="65"/>
      <c r="N1819" s="65"/>
    </row>
    <row r="1820" spans="1:14">
      <c r="A1820" s="106"/>
      <c r="B1820" s="108"/>
      <c r="C1820" s="108"/>
      <c r="D1820" s="108"/>
      <c r="E1820" s="108"/>
      <c r="F1820" s="108"/>
      <c r="G1820" s="109"/>
      <c r="H1820" s="110"/>
      <c r="K1820" s="65"/>
      <c r="L1820" s="65"/>
      <c r="N1820" s="65"/>
    </row>
    <row r="1821" spans="1:14">
      <c r="A1821" s="106"/>
      <c r="B1821" s="108"/>
      <c r="C1821" s="108"/>
      <c r="D1821" s="108"/>
      <c r="E1821" s="108"/>
      <c r="F1821" s="108"/>
      <c r="G1821" s="109"/>
      <c r="H1821" s="110"/>
      <c r="K1821" s="65"/>
      <c r="L1821" s="65"/>
      <c r="N1821" s="65"/>
    </row>
    <row r="1822" spans="1:14">
      <c r="A1822" s="106"/>
      <c r="B1822" s="108"/>
      <c r="C1822" s="108"/>
      <c r="D1822" s="108"/>
      <c r="E1822" s="108"/>
      <c r="F1822" s="108"/>
      <c r="G1822" s="109"/>
      <c r="H1822" s="110"/>
      <c r="K1822" s="65"/>
      <c r="L1822" s="65"/>
      <c r="N1822" s="65"/>
    </row>
    <row r="1823" spans="1:14">
      <c r="A1823" s="106"/>
      <c r="B1823" s="108"/>
      <c r="C1823" s="108"/>
      <c r="D1823" s="108"/>
      <c r="E1823" s="108"/>
      <c r="F1823" s="108"/>
      <c r="G1823" s="109"/>
      <c r="H1823" s="110"/>
      <c r="K1823" s="65"/>
      <c r="L1823" s="65"/>
      <c r="N1823" s="65"/>
    </row>
    <row r="1824" spans="1:14">
      <c r="A1824" s="106"/>
      <c r="B1824" s="108"/>
      <c r="C1824" s="108"/>
      <c r="D1824" s="108"/>
      <c r="E1824" s="108"/>
      <c r="F1824" s="108"/>
      <c r="G1824" s="109"/>
      <c r="H1824" s="110"/>
      <c r="K1824" s="65"/>
      <c r="L1824" s="65"/>
      <c r="N1824" s="65"/>
    </row>
    <row r="1825" spans="1:14">
      <c r="A1825" s="106"/>
      <c r="B1825" s="108"/>
      <c r="C1825" s="108"/>
      <c r="D1825" s="108"/>
      <c r="E1825" s="108"/>
      <c r="F1825" s="108"/>
      <c r="G1825" s="109"/>
      <c r="H1825" s="110"/>
      <c r="K1825" s="65"/>
      <c r="L1825" s="65"/>
      <c r="N1825" s="65"/>
    </row>
    <row r="1826" spans="1:14">
      <c r="A1826" s="106"/>
      <c r="B1826" s="108"/>
      <c r="C1826" s="108"/>
      <c r="D1826" s="108"/>
      <c r="E1826" s="108"/>
      <c r="F1826" s="108"/>
      <c r="G1826" s="109"/>
      <c r="H1826" s="110"/>
      <c r="K1826" s="65"/>
      <c r="L1826" s="65"/>
      <c r="N1826" s="65"/>
    </row>
    <row r="1827" spans="1:14">
      <c r="A1827" s="106"/>
      <c r="B1827" s="108"/>
      <c r="C1827" s="108"/>
      <c r="D1827" s="108"/>
      <c r="E1827" s="108"/>
      <c r="F1827" s="108"/>
      <c r="G1827" s="109"/>
      <c r="H1827" s="110"/>
      <c r="K1827" s="65"/>
      <c r="L1827" s="65"/>
      <c r="N1827" s="65"/>
    </row>
    <row r="1828" spans="1:14">
      <c r="A1828" s="106"/>
      <c r="B1828" s="108"/>
      <c r="C1828" s="108"/>
      <c r="D1828" s="108"/>
      <c r="E1828" s="108"/>
      <c r="F1828" s="108"/>
      <c r="G1828" s="109"/>
      <c r="H1828" s="110"/>
      <c r="K1828" s="65"/>
      <c r="L1828" s="65"/>
      <c r="N1828" s="65"/>
    </row>
    <row r="1829" spans="1:14">
      <c r="A1829" s="106"/>
      <c r="B1829" s="108"/>
      <c r="C1829" s="108"/>
      <c r="D1829" s="108"/>
      <c r="E1829" s="108"/>
      <c r="F1829" s="108"/>
      <c r="G1829" s="109"/>
      <c r="H1829" s="110"/>
      <c r="K1829" s="65"/>
      <c r="L1829" s="65"/>
      <c r="N1829" s="65"/>
    </row>
    <row r="1830" spans="1:14">
      <c r="A1830" s="106"/>
      <c r="B1830" s="108"/>
      <c r="C1830" s="108"/>
      <c r="D1830" s="108"/>
      <c r="E1830" s="108"/>
      <c r="F1830" s="108"/>
      <c r="G1830" s="109"/>
      <c r="H1830" s="110"/>
      <c r="K1830" s="65"/>
      <c r="L1830" s="65"/>
      <c r="N1830" s="65"/>
    </row>
    <row r="1831" spans="1:14">
      <c r="A1831" s="106"/>
      <c r="B1831" s="108"/>
      <c r="C1831" s="108"/>
      <c r="D1831" s="108"/>
      <c r="E1831" s="108"/>
      <c r="F1831" s="108"/>
      <c r="G1831" s="109"/>
      <c r="H1831" s="110"/>
      <c r="K1831" s="65"/>
      <c r="L1831" s="65"/>
      <c r="N1831" s="65"/>
    </row>
    <row r="1832" spans="1:14">
      <c r="A1832" s="106"/>
      <c r="B1832" s="108"/>
      <c r="C1832" s="108"/>
      <c r="D1832" s="108"/>
      <c r="E1832" s="108"/>
      <c r="F1832" s="108"/>
      <c r="G1832" s="109"/>
      <c r="H1832" s="110"/>
      <c r="K1832" s="65"/>
      <c r="L1832" s="65"/>
      <c r="N1832" s="65"/>
    </row>
    <row r="1833" spans="1:14">
      <c r="A1833" s="106"/>
      <c r="B1833" s="108"/>
      <c r="C1833" s="108"/>
      <c r="D1833" s="108"/>
      <c r="E1833" s="108"/>
      <c r="F1833" s="108"/>
      <c r="G1833" s="109"/>
      <c r="H1833" s="110"/>
      <c r="K1833" s="65"/>
      <c r="L1833" s="65"/>
      <c r="N1833" s="65"/>
    </row>
    <row r="1834" spans="1:14">
      <c r="A1834" s="106"/>
      <c r="B1834" s="108"/>
      <c r="C1834" s="108"/>
      <c r="D1834" s="108"/>
      <c r="E1834" s="108"/>
      <c r="F1834" s="108"/>
      <c r="G1834" s="109"/>
      <c r="H1834" s="110"/>
      <c r="K1834" s="65"/>
      <c r="L1834" s="65"/>
      <c r="N1834" s="65"/>
    </row>
    <row r="1835" spans="1:14">
      <c r="A1835" s="106"/>
      <c r="B1835" s="108"/>
      <c r="C1835" s="108"/>
      <c r="D1835" s="108"/>
      <c r="E1835" s="108"/>
      <c r="F1835" s="108"/>
      <c r="G1835" s="109"/>
      <c r="H1835" s="110"/>
      <c r="K1835" s="65"/>
      <c r="L1835" s="65"/>
      <c r="N1835" s="65"/>
    </row>
    <row r="1836" spans="1:14">
      <c r="A1836" s="106"/>
      <c r="B1836" s="108"/>
      <c r="C1836" s="108"/>
      <c r="D1836" s="108"/>
      <c r="E1836" s="108"/>
      <c r="F1836" s="108"/>
      <c r="G1836" s="109"/>
      <c r="H1836" s="110"/>
      <c r="K1836" s="65"/>
      <c r="L1836" s="65"/>
      <c r="N1836" s="65"/>
    </row>
    <row r="1837" spans="1:14">
      <c r="A1837" s="106"/>
      <c r="B1837" s="108"/>
      <c r="C1837" s="108"/>
      <c r="D1837" s="108"/>
      <c r="E1837" s="108"/>
      <c r="F1837" s="108"/>
      <c r="G1837" s="109"/>
      <c r="H1837" s="110"/>
      <c r="K1837" s="65"/>
      <c r="L1837" s="65"/>
      <c r="N1837" s="65"/>
    </row>
    <row r="1838" spans="1:14">
      <c r="A1838" s="106"/>
      <c r="B1838" s="108"/>
      <c r="C1838" s="108"/>
      <c r="D1838" s="108"/>
      <c r="E1838" s="108"/>
      <c r="F1838" s="108"/>
      <c r="G1838" s="109"/>
      <c r="H1838" s="110"/>
      <c r="K1838" s="65"/>
      <c r="L1838" s="65"/>
      <c r="N1838" s="65"/>
    </row>
    <row r="1839" spans="1:14">
      <c r="A1839" s="106"/>
      <c r="B1839" s="108"/>
      <c r="C1839" s="108"/>
      <c r="D1839" s="108"/>
      <c r="E1839" s="108"/>
      <c r="F1839" s="108"/>
      <c r="G1839" s="109"/>
      <c r="H1839" s="110"/>
      <c r="K1839" s="65"/>
      <c r="L1839" s="65"/>
      <c r="N1839" s="65"/>
    </row>
    <row r="1840" spans="1:14">
      <c r="A1840" s="106"/>
      <c r="B1840" s="108"/>
      <c r="C1840" s="108"/>
      <c r="D1840" s="108"/>
      <c r="E1840" s="108"/>
      <c r="F1840" s="108"/>
      <c r="G1840" s="109"/>
      <c r="H1840" s="110"/>
      <c r="K1840" s="65"/>
      <c r="L1840" s="65"/>
      <c r="N1840" s="65"/>
    </row>
    <row r="1841" spans="1:14">
      <c r="A1841" s="106"/>
      <c r="B1841" s="108"/>
      <c r="C1841" s="108"/>
      <c r="D1841" s="108"/>
      <c r="E1841" s="108"/>
      <c r="F1841" s="108"/>
      <c r="G1841" s="109"/>
      <c r="H1841" s="110"/>
      <c r="K1841" s="65"/>
      <c r="L1841" s="65"/>
      <c r="N1841" s="65"/>
    </row>
    <row r="1842" spans="1:14">
      <c r="A1842" s="106"/>
      <c r="B1842" s="108"/>
      <c r="C1842" s="108"/>
      <c r="D1842" s="108"/>
      <c r="E1842" s="108"/>
      <c r="F1842" s="108"/>
      <c r="G1842" s="109"/>
      <c r="H1842" s="110"/>
      <c r="K1842" s="65"/>
      <c r="L1842" s="65"/>
      <c r="N1842" s="65"/>
    </row>
    <row r="1843" spans="1:14">
      <c r="A1843" s="106"/>
      <c r="B1843" s="108"/>
      <c r="C1843" s="108"/>
      <c r="D1843" s="108"/>
      <c r="E1843" s="108"/>
      <c r="F1843" s="108"/>
      <c r="G1843" s="109"/>
      <c r="H1843" s="110"/>
      <c r="K1843" s="65"/>
      <c r="L1843" s="65"/>
      <c r="N1843" s="65"/>
    </row>
    <row r="1844" spans="1:14">
      <c r="A1844" s="106"/>
      <c r="B1844" s="108"/>
      <c r="C1844" s="108"/>
      <c r="D1844" s="108"/>
      <c r="E1844" s="108"/>
      <c r="F1844" s="108"/>
      <c r="G1844" s="109"/>
      <c r="H1844" s="110"/>
      <c r="K1844" s="65"/>
      <c r="L1844" s="65"/>
      <c r="N1844" s="65"/>
    </row>
    <row r="1845" spans="1:14">
      <c r="A1845" s="106"/>
      <c r="B1845" s="108"/>
      <c r="C1845" s="108"/>
      <c r="D1845" s="108"/>
      <c r="E1845" s="108"/>
      <c r="F1845" s="108"/>
      <c r="G1845" s="109"/>
      <c r="H1845" s="110"/>
      <c r="K1845" s="65"/>
      <c r="L1845" s="65"/>
      <c r="N1845" s="65"/>
    </row>
    <row r="1846" spans="1:14">
      <c r="A1846" s="106"/>
      <c r="B1846" s="108"/>
      <c r="C1846" s="108"/>
      <c r="D1846" s="108"/>
      <c r="E1846" s="108"/>
      <c r="F1846" s="108"/>
      <c r="G1846" s="109"/>
      <c r="H1846" s="110"/>
      <c r="K1846" s="65"/>
      <c r="L1846" s="65"/>
      <c r="N1846" s="65"/>
    </row>
    <row r="1847" spans="1:14">
      <c r="A1847" s="106"/>
      <c r="B1847" s="108"/>
      <c r="C1847" s="108"/>
      <c r="D1847" s="108"/>
      <c r="E1847" s="108"/>
      <c r="F1847" s="108"/>
      <c r="G1847" s="109"/>
      <c r="H1847" s="110"/>
      <c r="K1847" s="65"/>
      <c r="L1847" s="65"/>
      <c r="N1847" s="65"/>
    </row>
    <row r="1848" spans="1:14">
      <c r="A1848" s="106"/>
      <c r="B1848" s="108"/>
      <c r="C1848" s="108"/>
      <c r="D1848" s="108"/>
      <c r="E1848" s="108"/>
      <c r="F1848" s="108"/>
      <c r="G1848" s="109"/>
      <c r="H1848" s="110"/>
      <c r="K1848" s="65"/>
      <c r="L1848" s="65"/>
      <c r="N1848" s="65"/>
    </row>
    <row r="1849" spans="1:14">
      <c r="A1849" s="106"/>
      <c r="B1849" s="108"/>
      <c r="C1849" s="108"/>
      <c r="D1849" s="108"/>
      <c r="E1849" s="108"/>
      <c r="F1849" s="108"/>
      <c r="G1849" s="109"/>
      <c r="H1849" s="110"/>
      <c r="K1849" s="65"/>
      <c r="L1849" s="65"/>
      <c r="N1849" s="65"/>
    </row>
    <row r="1850" spans="1:14">
      <c r="A1850" s="106"/>
      <c r="B1850" s="108"/>
      <c r="C1850" s="108"/>
      <c r="D1850" s="108"/>
      <c r="E1850" s="108"/>
      <c r="F1850" s="108"/>
      <c r="G1850" s="109"/>
      <c r="H1850" s="110"/>
      <c r="K1850" s="65"/>
      <c r="L1850" s="65"/>
      <c r="N1850" s="65"/>
    </row>
    <row r="1851" spans="1:14">
      <c r="A1851" s="106"/>
      <c r="B1851" s="108"/>
      <c r="C1851" s="108"/>
      <c r="D1851" s="108"/>
      <c r="E1851" s="108"/>
      <c r="F1851" s="108"/>
      <c r="G1851" s="109"/>
      <c r="H1851" s="110"/>
      <c r="K1851" s="65"/>
      <c r="L1851" s="65"/>
      <c r="N1851" s="65"/>
    </row>
    <row r="1852" spans="1:14">
      <c r="A1852" s="106"/>
      <c r="B1852" s="108"/>
      <c r="C1852" s="108"/>
      <c r="D1852" s="108"/>
      <c r="E1852" s="108"/>
      <c r="F1852" s="108"/>
      <c r="G1852" s="109"/>
      <c r="H1852" s="110"/>
      <c r="K1852" s="65"/>
      <c r="L1852" s="65"/>
      <c r="N1852" s="65"/>
    </row>
    <row r="1853" spans="1:14">
      <c r="A1853" s="106"/>
      <c r="B1853" s="108"/>
      <c r="C1853" s="108"/>
      <c r="D1853" s="108"/>
      <c r="E1853" s="108"/>
      <c r="F1853" s="108"/>
      <c r="G1853" s="109"/>
      <c r="H1853" s="110"/>
      <c r="K1853" s="65"/>
      <c r="L1853" s="65"/>
      <c r="N1853" s="65"/>
    </row>
    <row r="1854" spans="1:14">
      <c r="A1854" s="106"/>
      <c r="B1854" s="108"/>
      <c r="C1854" s="108"/>
      <c r="D1854" s="108"/>
      <c r="E1854" s="108"/>
      <c r="F1854" s="108"/>
      <c r="G1854" s="109"/>
      <c r="H1854" s="110"/>
      <c r="K1854" s="65"/>
      <c r="L1854" s="65"/>
      <c r="N1854" s="65"/>
    </row>
    <row r="1855" spans="1:14">
      <c r="A1855" s="106"/>
      <c r="B1855" s="108"/>
      <c r="C1855" s="108"/>
      <c r="D1855" s="108"/>
      <c r="E1855" s="108"/>
      <c r="F1855" s="108"/>
      <c r="G1855" s="109"/>
      <c r="H1855" s="110"/>
      <c r="K1855" s="65"/>
      <c r="L1855" s="65"/>
      <c r="N1855" s="65"/>
    </row>
    <row r="1856" spans="1:14">
      <c r="A1856" s="106"/>
      <c r="B1856" s="108"/>
      <c r="C1856" s="108"/>
      <c r="D1856" s="108"/>
      <c r="E1856" s="108"/>
      <c r="F1856" s="108"/>
      <c r="G1856" s="109"/>
      <c r="H1856" s="110"/>
      <c r="K1856" s="65"/>
      <c r="L1856" s="65"/>
      <c r="N1856" s="65"/>
    </row>
    <row r="1857" spans="1:14">
      <c r="A1857" s="106"/>
      <c r="B1857" s="108"/>
      <c r="C1857" s="108"/>
      <c r="D1857" s="108"/>
      <c r="E1857" s="108"/>
      <c r="F1857" s="108"/>
      <c r="G1857" s="109"/>
      <c r="H1857" s="110"/>
      <c r="K1857" s="65"/>
      <c r="L1857" s="65"/>
      <c r="N1857" s="65"/>
    </row>
    <row r="1858" spans="1:14">
      <c r="A1858" s="106"/>
      <c r="B1858" s="108"/>
      <c r="C1858" s="108"/>
      <c r="D1858" s="108"/>
      <c r="E1858" s="108"/>
      <c r="F1858" s="108"/>
      <c r="G1858" s="109"/>
      <c r="H1858" s="110"/>
      <c r="K1858" s="65"/>
      <c r="L1858" s="65"/>
      <c r="N1858" s="65"/>
    </row>
    <row r="1859" spans="1:14">
      <c r="A1859" s="106"/>
      <c r="B1859" s="108"/>
      <c r="C1859" s="108"/>
      <c r="D1859" s="108"/>
      <c r="E1859" s="108"/>
      <c r="F1859" s="108"/>
      <c r="G1859" s="109"/>
      <c r="H1859" s="110"/>
      <c r="K1859" s="65"/>
      <c r="L1859" s="65"/>
      <c r="N1859" s="65"/>
    </row>
    <row r="1860" spans="1:14">
      <c r="A1860" s="106"/>
      <c r="B1860" s="108"/>
      <c r="C1860" s="108"/>
      <c r="D1860" s="108"/>
      <c r="E1860" s="108"/>
      <c r="F1860" s="108"/>
      <c r="G1860" s="109"/>
      <c r="H1860" s="110"/>
      <c r="K1860" s="65"/>
      <c r="L1860" s="65"/>
      <c r="N1860" s="65"/>
    </row>
    <row r="1861" spans="1:14">
      <c r="A1861" s="106"/>
      <c r="B1861" s="108"/>
      <c r="C1861" s="108"/>
      <c r="D1861" s="108"/>
      <c r="E1861" s="108"/>
      <c r="F1861" s="108"/>
      <c r="G1861" s="109"/>
      <c r="H1861" s="110"/>
      <c r="K1861" s="65"/>
      <c r="L1861" s="65"/>
      <c r="N1861" s="65"/>
    </row>
    <row r="1862" spans="1:14">
      <c r="A1862" s="106"/>
      <c r="B1862" s="108"/>
      <c r="C1862" s="108"/>
      <c r="D1862" s="108"/>
      <c r="E1862" s="108"/>
      <c r="F1862" s="108"/>
      <c r="G1862" s="109"/>
      <c r="H1862" s="110"/>
      <c r="K1862" s="65"/>
      <c r="L1862" s="65"/>
      <c r="N1862" s="65"/>
    </row>
    <row r="1863" spans="1:14">
      <c r="A1863" s="106"/>
      <c r="B1863" s="108"/>
      <c r="C1863" s="108"/>
      <c r="D1863" s="108"/>
      <c r="E1863" s="108"/>
      <c r="F1863" s="108"/>
      <c r="G1863" s="109"/>
      <c r="H1863" s="110"/>
      <c r="K1863" s="65"/>
      <c r="L1863" s="65"/>
      <c r="N1863" s="65"/>
    </row>
    <row r="1864" spans="1:14">
      <c r="A1864" s="106"/>
      <c r="B1864" s="108"/>
      <c r="C1864" s="108"/>
      <c r="D1864" s="108"/>
      <c r="E1864" s="108"/>
      <c r="F1864" s="108"/>
      <c r="G1864" s="109"/>
      <c r="H1864" s="110"/>
      <c r="K1864" s="65"/>
      <c r="L1864" s="65"/>
      <c r="N1864" s="65"/>
    </row>
    <row r="1865" spans="1:14">
      <c r="A1865" s="106"/>
      <c r="B1865" s="108"/>
      <c r="C1865" s="108"/>
      <c r="D1865" s="108"/>
      <c r="E1865" s="108"/>
      <c r="F1865" s="108"/>
      <c r="G1865" s="109"/>
      <c r="H1865" s="110"/>
      <c r="K1865" s="65"/>
      <c r="L1865" s="65"/>
      <c r="N1865" s="65"/>
    </row>
    <row r="1866" spans="1:14">
      <c r="A1866" s="106"/>
      <c r="B1866" s="108"/>
      <c r="C1866" s="108"/>
      <c r="D1866" s="108"/>
      <c r="E1866" s="108"/>
      <c r="F1866" s="108"/>
      <c r="G1866" s="109"/>
      <c r="H1866" s="110"/>
      <c r="K1866" s="65"/>
      <c r="L1866" s="65"/>
      <c r="N1866" s="65"/>
    </row>
    <row r="1867" spans="1:14">
      <c r="A1867" s="106"/>
      <c r="B1867" s="108"/>
      <c r="C1867" s="108"/>
      <c r="D1867" s="108"/>
      <c r="E1867" s="108"/>
      <c r="F1867" s="108"/>
      <c r="G1867" s="109"/>
      <c r="H1867" s="110"/>
      <c r="K1867" s="65"/>
      <c r="L1867" s="65"/>
      <c r="N1867" s="65"/>
    </row>
    <row r="1868" spans="1:14">
      <c r="A1868" s="106"/>
      <c r="B1868" s="108"/>
      <c r="C1868" s="108"/>
      <c r="D1868" s="108"/>
      <c r="E1868" s="108"/>
      <c r="F1868" s="108"/>
      <c r="G1868" s="109"/>
      <c r="H1868" s="110"/>
      <c r="K1868" s="65"/>
      <c r="L1868" s="65"/>
      <c r="N1868" s="65"/>
    </row>
    <row r="1869" spans="1:14">
      <c r="A1869" s="106"/>
      <c r="B1869" s="108"/>
      <c r="C1869" s="108"/>
      <c r="D1869" s="108"/>
      <c r="E1869" s="108"/>
      <c r="F1869" s="108"/>
      <c r="G1869" s="109"/>
      <c r="H1869" s="110"/>
      <c r="K1869" s="65"/>
      <c r="L1869" s="65"/>
      <c r="N1869" s="65"/>
    </row>
    <row r="1870" spans="1:14">
      <c r="A1870" s="106"/>
      <c r="B1870" s="108"/>
      <c r="C1870" s="108"/>
      <c r="D1870" s="108"/>
      <c r="E1870" s="108"/>
      <c r="F1870" s="108"/>
      <c r="G1870" s="109"/>
      <c r="H1870" s="110"/>
      <c r="K1870" s="65"/>
      <c r="L1870" s="65"/>
      <c r="N1870" s="65"/>
    </row>
    <row r="1871" spans="1:14">
      <c r="A1871" s="106"/>
      <c r="B1871" s="108"/>
      <c r="C1871" s="108"/>
      <c r="D1871" s="108"/>
      <c r="E1871" s="108"/>
      <c r="F1871" s="108"/>
      <c r="G1871" s="109"/>
      <c r="H1871" s="110"/>
      <c r="K1871" s="65"/>
      <c r="L1871" s="65"/>
      <c r="N1871" s="65"/>
    </row>
    <row r="1872" spans="1:14">
      <c r="A1872" s="106"/>
      <c r="B1872" s="108"/>
      <c r="C1872" s="108"/>
      <c r="D1872" s="108"/>
      <c r="E1872" s="108"/>
      <c r="F1872" s="108"/>
      <c r="G1872" s="109"/>
      <c r="H1872" s="110"/>
      <c r="K1872" s="65"/>
      <c r="L1872" s="65"/>
      <c r="N1872" s="65"/>
    </row>
    <row r="1873" spans="1:14">
      <c r="A1873" s="106"/>
      <c r="B1873" s="108"/>
      <c r="C1873" s="108"/>
      <c r="D1873" s="108"/>
      <c r="E1873" s="108"/>
      <c r="F1873" s="108"/>
      <c r="G1873" s="109"/>
      <c r="H1873" s="110"/>
      <c r="K1873" s="65"/>
      <c r="L1873" s="65"/>
      <c r="N1873" s="65"/>
    </row>
    <row r="1874" spans="1:14">
      <c r="A1874" s="106"/>
      <c r="B1874" s="108"/>
      <c r="C1874" s="108"/>
      <c r="D1874" s="108"/>
      <c r="E1874" s="108"/>
      <c r="F1874" s="108"/>
      <c r="G1874" s="109"/>
      <c r="H1874" s="110"/>
      <c r="K1874" s="65"/>
      <c r="L1874" s="65"/>
      <c r="N1874" s="65"/>
    </row>
    <row r="1875" spans="1:14">
      <c r="A1875" s="106"/>
      <c r="B1875" s="108"/>
      <c r="C1875" s="108"/>
      <c r="D1875" s="108"/>
      <c r="E1875" s="108"/>
      <c r="F1875" s="108"/>
      <c r="G1875" s="109"/>
      <c r="H1875" s="110"/>
      <c r="K1875" s="65"/>
      <c r="L1875" s="65"/>
      <c r="N1875" s="65"/>
    </row>
    <row r="1876" spans="1:14">
      <c r="A1876" s="106"/>
      <c r="B1876" s="108"/>
      <c r="C1876" s="108"/>
      <c r="D1876" s="108"/>
      <c r="E1876" s="108"/>
      <c r="F1876" s="108"/>
      <c r="G1876" s="109"/>
      <c r="H1876" s="110"/>
      <c r="K1876" s="65"/>
      <c r="L1876" s="65"/>
      <c r="N1876" s="65"/>
    </row>
    <row r="1877" spans="1:14">
      <c r="A1877" s="106"/>
      <c r="B1877" s="108"/>
      <c r="C1877" s="108"/>
      <c r="D1877" s="108"/>
      <c r="E1877" s="108"/>
      <c r="F1877" s="108"/>
      <c r="G1877" s="109"/>
      <c r="H1877" s="110"/>
      <c r="K1877" s="65"/>
      <c r="L1877" s="65"/>
      <c r="N1877" s="65"/>
    </row>
    <row r="1878" spans="1:14">
      <c r="A1878" s="106"/>
      <c r="B1878" s="108"/>
      <c r="C1878" s="108"/>
      <c r="D1878" s="108"/>
      <c r="E1878" s="108"/>
      <c r="F1878" s="108"/>
      <c r="G1878" s="109"/>
      <c r="H1878" s="110"/>
      <c r="K1878" s="65"/>
      <c r="L1878" s="65"/>
      <c r="N1878" s="65"/>
    </row>
    <row r="1879" spans="1:14">
      <c r="A1879" s="106"/>
      <c r="B1879" s="108"/>
      <c r="C1879" s="108"/>
      <c r="D1879" s="108"/>
      <c r="E1879" s="108"/>
      <c r="F1879" s="108"/>
      <c r="G1879" s="109"/>
      <c r="H1879" s="110"/>
      <c r="K1879" s="65"/>
      <c r="L1879" s="65"/>
      <c r="N1879" s="65"/>
    </row>
    <row r="1880" spans="1:14">
      <c r="A1880" s="106"/>
      <c r="B1880" s="108"/>
      <c r="C1880" s="108"/>
      <c r="D1880" s="108"/>
      <c r="E1880" s="108"/>
      <c r="F1880" s="108"/>
      <c r="G1880" s="109"/>
      <c r="H1880" s="110"/>
      <c r="K1880" s="65"/>
      <c r="L1880" s="65"/>
      <c r="N1880" s="65"/>
    </row>
    <row r="1881" spans="1:14">
      <c r="A1881" s="106"/>
      <c r="B1881" s="108"/>
      <c r="C1881" s="108"/>
      <c r="D1881" s="108"/>
      <c r="E1881" s="108"/>
      <c r="F1881" s="108"/>
      <c r="G1881" s="109"/>
      <c r="H1881" s="110"/>
      <c r="K1881" s="65"/>
      <c r="L1881" s="65"/>
      <c r="N1881" s="65"/>
    </row>
    <row r="1882" spans="1:14">
      <c r="A1882" s="106"/>
      <c r="B1882" s="108"/>
      <c r="C1882" s="108"/>
      <c r="D1882" s="108"/>
      <c r="E1882" s="108"/>
      <c r="F1882" s="108"/>
      <c r="G1882" s="109"/>
      <c r="H1882" s="110"/>
      <c r="K1882" s="65"/>
      <c r="L1882" s="65"/>
      <c r="N1882" s="65"/>
    </row>
    <row r="1883" spans="1:14">
      <c r="A1883" s="106"/>
      <c r="B1883" s="108"/>
      <c r="C1883" s="108"/>
      <c r="D1883" s="108"/>
      <c r="E1883" s="108"/>
      <c r="F1883" s="108"/>
      <c r="G1883" s="109"/>
      <c r="H1883" s="110"/>
      <c r="K1883" s="65"/>
      <c r="L1883" s="65"/>
      <c r="N1883" s="65"/>
    </row>
    <row r="1884" spans="1:14">
      <c r="A1884" s="106"/>
      <c r="B1884" s="108"/>
      <c r="C1884" s="108"/>
      <c r="D1884" s="108"/>
      <c r="E1884" s="108"/>
      <c r="F1884" s="108"/>
      <c r="G1884" s="109"/>
      <c r="H1884" s="110"/>
      <c r="K1884" s="65"/>
      <c r="L1884" s="65"/>
      <c r="N1884" s="65"/>
    </row>
    <row r="1885" spans="1:14">
      <c r="A1885" s="106"/>
      <c r="B1885" s="108"/>
      <c r="C1885" s="108"/>
      <c r="D1885" s="108"/>
      <c r="E1885" s="108"/>
      <c r="F1885" s="108"/>
      <c r="G1885" s="109"/>
      <c r="H1885" s="110"/>
      <c r="K1885" s="65"/>
      <c r="L1885" s="65"/>
      <c r="N1885" s="65"/>
    </row>
    <row r="1886" spans="1:14">
      <c r="A1886" s="106"/>
      <c r="B1886" s="108"/>
      <c r="C1886" s="108"/>
      <c r="D1886" s="108"/>
      <c r="E1886" s="108"/>
      <c r="F1886" s="108"/>
      <c r="G1886" s="109"/>
      <c r="H1886" s="110"/>
      <c r="K1886" s="65"/>
      <c r="L1886" s="65"/>
      <c r="N1886" s="65"/>
    </row>
    <row r="1887" spans="1:14">
      <c r="A1887" s="106"/>
      <c r="B1887" s="108"/>
      <c r="C1887" s="108"/>
      <c r="D1887" s="108"/>
      <c r="E1887" s="108"/>
      <c r="F1887" s="108"/>
      <c r="G1887" s="109"/>
      <c r="H1887" s="110"/>
      <c r="K1887" s="65"/>
      <c r="L1887" s="65"/>
      <c r="N1887" s="65"/>
    </row>
    <row r="1888" spans="1:14">
      <c r="A1888" s="106"/>
      <c r="B1888" s="108"/>
      <c r="C1888" s="108"/>
      <c r="D1888" s="108"/>
      <c r="E1888" s="108"/>
      <c r="F1888" s="108"/>
      <c r="G1888" s="109"/>
      <c r="H1888" s="110"/>
      <c r="K1888" s="65"/>
      <c r="L1888" s="65"/>
      <c r="N1888" s="65"/>
    </row>
    <row r="1889" spans="1:14">
      <c r="A1889" s="106"/>
      <c r="B1889" s="108"/>
      <c r="C1889" s="108"/>
      <c r="D1889" s="108"/>
      <c r="E1889" s="108"/>
      <c r="F1889" s="108"/>
      <c r="G1889" s="109"/>
      <c r="H1889" s="110"/>
      <c r="K1889" s="65"/>
      <c r="L1889" s="65"/>
      <c r="N1889" s="65"/>
    </row>
    <row r="1890" spans="1:14">
      <c r="A1890" s="106"/>
      <c r="B1890" s="108"/>
      <c r="C1890" s="108"/>
      <c r="D1890" s="108"/>
      <c r="E1890" s="108"/>
      <c r="F1890" s="108"/>
      <c r="G1890" s="109"/>
      <c r="H1890" s="110"/>
      <c r="K1890" s="65"/>
      <c r="L1890" s="65"/>
      <c r="N1890" s="65"/>
    </row>
    <row r="1891" spans="1:14">
      <c r="A1891" s="106"/>
      <c r="B1891" s="108"/>
      <c r="C1891" s="108"/>
      <c r="D1891" s="108"/>
      <c r="E1891" s="108"/>
      <c r="F1891" s="108"/>
      <c r="G1891" s="109"/>
      <c r="H1891" s="110"/>
      <c r="K1891" s="65"/>
      <c r="L1891" s="65"/>
      <c r="N1891" s="65"/>
    </row>
    <row r="1892" spans="1:14">
      <c r="A1892" s="106"/>
      <c r="B1892" s="108"/>
      <c r="C1892" s="108"/>
      <c r="D1892" s="108"/>
      <c r="E1892" s="108"/>
      <c r="F1892" s="108"/>
      <c r="G1892" s="109"/>
      <c r="H1892" s="110"/>
      <c r="K1892" s="65"/>
      <c r="L1892" s="65"/>
      <c r="N1892" s="65"/>
    </row>
    <row r="1893" spans="1:14">
      <c r="A1893" s="106"/>
      <c r="B1893" s="108"/>
      <c r="C1893" s="108"/>
      <c r="D1893" s="108"/>
      <c r="E1893" s="108"/>
      <c r="F1893" s="108"/>
      <c r="G1893" s="109"/>
      <c r="H1893" s="110"/>
      <c r="K1893" s="65"/>
      <c r="L1893" s="65"/>
      <c r="N1893" s="65"/>
    </row>
    <row r="1894" spans="1:14">
      <c r="A1894" s="106"/>
      <c r="B1894" s="108"/>
      <c r="C1894" s="108"/>
      <c r="D1894" s="108"/>
      <c r="E1894" s="108"/>
      <c r="F1894" s="108"/>
      <c r="G1894" s="109"/>
      <c r="H1894" s="110"/>
      <c r="K1894" s="65"/>
      <c r="L1894" s="65"/>
      <c r="N1894" s="65"/>
    </row>
    <row r="1895" spans="1:14">
      <c r="A1895" s="106"/>
      <c r="B1895" s="108"/>
      <c r="C1895" s="108"/>
      <c r="D1895" s="108"/>
      <c r="E1895" s="108"/>
      <c r="F1895" s="108"/>
      <c r="G1895" s="109"/>
      <c r="H1895" s="110"/>
      <c r="K1895" s="65"/>
      <c r="L1895" s="65"/>
      <c r="N1895" s="65"/>
    </row>
    <row r="1896" spans="1:14">
      <c r="A1896" s="106"/>
      <c r="B1896" s="108"/>
      <c r="C1896" s="108"/>
      <c r="D1896" s="108"/>
      <c r="E1896" s="108"/>
      <c r="F1896" s="108"/>
      <c r="G1896" s="109"/>
      <c r="H1896" s="110"/>
      <c r="K1896" s="65"/>
      <c r="L1896" s="65"/>
      <c r="N1896" s="65"/>
    </row>
    <row r="1897" spans="1:14">
      <c r="A1897" s="106"/>
      <c r="B1897" s="108"/>
      <c r="C1897" s="108"/>
      <c r="D1897" s="108"/>
      <c r="E1897" s="108"/>
      <c r="F1897" s="108"/>
      <c r="G1897" s="109"/>
      <c r="H1897" s="110"/>
      <c r="K1897" s="65"/>
      <c r="L1897" s="65"/>
      <c r="N1897" s="65"/>
    </row>
    <row r="1898" spans="1:14">
      <c r="A1898" s="106"/>
      <c r="B1898" s="108"/>
      <c r="C1898" s="108"/>
      <c r="D1898" s="108"/>
      <c r="E1898" s="108"/>
      <c r="F1898" s="108"/>
      <c r="G1898" s="109"/>
      <c r="H1898" s="110"/>
      <c r="K1898" s="65"/>
      <c r="L1898" s="65"/>
      <c r="N1898" s="65"/>
    </row>
    <row r="1899" spans="1:14">
      <c r="A1899" s="106"/>
      <c r="B1899" s="108"/>
      <c r="C1899" s="108"/>
      <c r="D1899" s="108"/>
      <c r="E1899" s="108"/>
      <c r="F1899" s="108"/>
      <c r="G1899" s="109"/>
      <c r="H1899" s="110"/>
      <c r="K1899" s="65"/>
      <c r="L1899" s="65"/>
      <c r="N1899" s="65"/>
    </row>
    <row r="1900" spans="1:14">
      <c r="A1900" s="106"/>
      <c r="B1900" s="108"/>
      <c r="C1900" s="108"/>
      <c r="D1900" s="108"/>
      <c r="E1900" s="108"/>
      <c r="F1900" s="108"/>
      <c r="G1900" s="109"/>
      <c r="H1900" s="110"/>
      <c r="K1900" s="65"/>
      <c r="L1900" s="65"/>
      <c r="N1900" s="65"/>
    </row>
    <row r="1901" spans="1:14">
      <c r="A1901" s="106"/>
      <c r="B1901" s="108"/>
      <c r="C1901" s="108"/>
      <c r="D1901" s="108"/>
      <c r="E1901" s="108"/>
      <c r="F1901" s="108"/>
      <c r="G1901" s="109"/>
      <c r="H1901" s="110"/>
      <c r="K1901" s="65"/>
      <c r="L1901" s="65"/>
      <c r="N1901" s="65"/>
    </row>
    <row r="1902" spans="1:14">
      <c r="A1902" s="106"/>
      <c r="B1902" s="108"/>
      <c r="C1902" s="108"/>
      <c r="D1902" s="108"/>
      <c r="E1902" s="108"/>
      <c r="F1902" s="108"/>
      <c r="G1902" s="109"/>
      <c r="H1902" s="110"/>
      <c r="K1902" s="65"/>
      <c r="L1902" s="65"/>
      <c r="N1902" s="65"/>
    </row>
    <row r="1903" spans="1:14">
      <c r="A1903" s="106"/>
      <c r="B1903" s="108"/>
      <c r="C1903" s="108"/>
      <c r="D1903" s="108"/>
      <c r="E1903" s="108"/>
      <c r="F1903" s="108"/>
      <c r="G1903" s="109"/>
      <c r="H1903" s="110"/>
      <c r="K1903" s="65"/>
      <c r="L1903" s="65"/>
      <c r="N1903" s="65"/>
    </row>
    <row r="1904" spans="1:14">
      <c r="A1904" s="106"/>
      <c r="B1904" s="108"/>
      <c r="C1904" s="108"/>
      <c r="D1904" s="108"/>
      <c r="E1904" s="108"/>
      <c r="F1904" s="108"/>
      <c r="G1904" s="109"/>
      <c r="H1904" s="110"/>
      <c r="K1904" s="65"/>
      <c r="L1904" s="65"/>
      <c r="N1904" s="65"/>
    </row>
    <row r="1905" spans="1:14">
      <c r="A1905" s="106"/>
      <c r="B1905" s="108"/>
      <c r="C1905" s="108"/>
      <c r="D1905" s="108"/>
      <c r="E1905" s="108"/>
      <c r="F1905" s="108"/>
      <c r="G1905" s="109"/>
      <c r="H1905" s="110"/>
      <c r="K1905" s="65"/>
      <c r="L1905" s="65"/>
      <c r="N1905" s="65"/>
    </row>
    <row r="1906" spans="1:14">
      <c r="A1906" s="106"/>
      <c r="B1906" s="108"/>
      <c r="C1906" s="108"/>
      <c r="D1906" s="108"/>
      <c r="E1906" s="108"/>
      <c r="F1906" s="108"/>
      <c r="G1906" s="109"/>
      <c r="H1906" s="110"/>
      <c r="K1906" s="65"/>
      <c r="L1906" s="65"/>
      <c r="N1906" s="65"/>
    </row>
    <row r="1907" spans="1:14">
      <c r="A1907" s="106"/>
      <c r="B1907" s="108"/>
      <c r="C1907" s="108"/>
      <c r="D1907" s="108"/>
      <c r="E1907" s="108"/>
      <c r="F1907" s="108"/>
      <c r="G1907" s="109"/>
      <c r="H1907" s="110"/>
      <c r="K1907" s="65"/>
      <c r="L1907" s="65"/>
      <c r="N1907" s="65"/>
    </row>
    <row r="1908" spans="1:14">
      <c r="A1908" s="106"/>
      <c r="B1908" s="108"/>
      <c r="C1908" s="108"/>
      <c r="D1908" s="108"/>
      <c r="E1908" s="108"/>
      <c r="F1908" s="108"/>
      <c r="G1908" s="109"/>
      <c r="H1908" s="110"/>
      <c r="K1908" s="65"/>
      <c r="L1908" s="65"/>
      <c r="N1908" s="65"/>
    </row>
    <row r="1909" spans="1:14">
      <c r="A1909" s="106"/>
      <c r="B1909" s="108"/>
      <c r="C1909" s="108"/>
      <c r="D1909" s="108"/>
      <c r="E1909" s="108"/>
      <c r="F1909" s="108"/>
      <c r="G1909" s="109"/>
      <c r="H1909" s="110"/>
      <c r="K1909" s="65"/>
      <c r="L1909" s="65"/>
      <c r="N1909" s="65"/>
    </row>
    <row r="1910" spans="1:14">
      <c r="A1910" s="106"/>
      <c r="B1910" s="108"/>
      <c r="C1910" s="108"/>
      <c r="D1910" s="108"/>
      <c r="E1910" s="108"/>
      <c r="F1910" s="108"/>
      <c r="G1910" s="109"/>
      <c r="H1910" s="110"/>
      <c r="K1910" s="65"/>
      <c r="L1910" s="65"/>
      <c r="N1910" s="65"/>
    </row>
    <row r="1911" spans="1:14">
      <c r="A1911" s="106"/>
      <c r="B1911" s="108"/>
      <c r="C1911" s="108"/>
      <c r="D1911" s="108"/>
      <c r="E1911" s="108"/>
      <c r="F1911" s="108"/>
      <c r="G1911" s="109"/>
      <c r="H1911" s="110"/>
      <c r="K1911" s="65"/>
      <c r="L1911" s="65"/>
      <c r="N1911" s="65"/>
    </row>
    <row r="1912" spans="1:14">
      <c r="A1912" s="106"/>
      <c r="B1912" s="108"/>
      <c r="C1912" s="108"/>
      <c r="D1912" s="108"/>
      <c r="E1912" s="108"/>
      <c r="F1912" s="108"/>
      <c r="G1912" s="109"/>
      <c r="H1912" s="110"/>
      <c r="K1912" s="65"/>
      <c r="L1912" s="65"/>
      <c r="N1912" s="65"/>
    </row>
    <row r="1913" spans="1:14">
      <c r="A1913" s="106"/>
      <c r="B1913" s="108"/>
      <c r="C1913" s="108"/>
      <c r="D1913" s="108"/>
      <c r="E1913" s="108"/>
      <c r="F1913" s="108"/>
      <c r="G1913" s="109"/>
      <c r="H1913" s="110"/>
      <c r="K1913" s="65"/>
      <c r="L1913" s="65"/>
      <c r="N1913" s="65"/>
    </row>
    <row r="1914" spans="1:14">
      <c r="A1914" s="106"/>
      <c r="B1914" s="108"/>
      <c r="C1914" s="108"/>
      <c r="D1914" s="108"/>
      <c r="E1914" s="108"/>
      <c r="F1914" s="108"/>
      <c r="G1914" s="109"/>
      <c r="H1914" s="110"/>
      <c r="K1914" s="65"/>
      <c r="L1914" s="65"/>
      <c r="N1914" s="65"/>
    </row>
    <row r="1915" spans="1:14">
      <c r="A1915" s="106"/>
      <c r="B1915" s="108"/>
      <c r="C1915" s="108"/>
      <c r="D1915" s="108"/>
      <c r="E1915" s="108"/>
      <c r="F1915" s="108"/>
      <c r="G1915" s="109"/>
      <c r="H1915" s="110"/>
      <c r="K1915" s="65"/>
      <c r="L1915" s="65"/>
      <c r="N1915" s="65"/>
    </row>
    <row r="1916" spans="1:14">
      <c r="A1916" s="106"/>
      <c r="B1916" s="108"/>
      <c r="C1916" s="108"/>
      <c r="D1916" s="108"/>
      <c r="E1916" s="108"/>
      <c r="F1916" s="108"/>
      <c r="G1916" s="109"/>
      <c r="H1916" s="110"/>
      <c r="K1916" s="65"/>
      <c r="L1916" s="65"/>
      <c r="N1916" s="65"/>
    </row>
    <row r="1917" spans="1:14">
      <c r="A1917" s="106"/>
      <c r="B1917" s="108"/>
      <c r="C1917" s="108"/>
      <c r="D1917" s="108"/>
      <c r="E1917" s="108"/>
      <c r="F1917" s="108"/>
      <c r="G1917" s="109"/>
      <c r="H1917" s="110"/>
      <c r="K1917" s="65"/>
      <c r="L1917" s="65"/>
      <c r="N1917" s="65"/>
    </row>
    <row r="1918" spans="1:14">
      <c r="A1918" s="106"/>
      <c r="B1918" s="108"/>
      <c r="C1918" s="108"/>
      <c r="D1918" s="108"/>
      <c r="E1918" s="108"/>
      <c r="F1918" s="108"/>
      <c r="G1918" s="109"/>
      <c r="H1918" s="110"/>
      <c r="K1918" s="65"/>
      <c r="L1918" s="65"/>
      <c r="N1918" s="65"/>
    </row>
    <row r="1919" spans="1:14">
      <c r="A1919" s="106"/>
      <c r="B1919" s="108"/>
      <c r="C1919" s="108"/>
      <c r="D1919" s="108"/>
      <c r="E1919" s="108"/>
      <c r="F1919" s="108"/>
      <c r="G1919" s="109"/>
      <c r="H1919" s="110"/>
      <c r="K1919" s="65"/>
      <c r="L1919" s="65"/>
      <c r="N1919" s="65"/>
    </row>
    <row r="1920" spans="1:14">
      <c r="A1920" s="106"/>
      <c r="B1920" s="108"/>
      <c r="C1920" s="108"/>
      <c r="D1920" s="108"/>
      <c r="E1920" s="108"/>
      <c r="F1920" s="108"/>
      <c r="G1920" s="109"/>
      <c r="H1920" s="110"/>
      <c r="K1920" s="65"/>
      <c r="L1920" s="65"/>
      <c r="N1920" s="65"/>
    </row>
    <row r="1921" spans="1:14">
      <c r="A1921" s="106"/>
      <c r="B1921" s="108"/>
      <c r="C1921" s="108"/>
      <c r="D1921" s="108"/>
      <c r="E1921" s="108"/>
      <c r="F1921" s="108"/>
      <c r="G1921" s="109"/>
      <c r="H1921" s="110"/>
      <c r="K1921" s="65"/>
      <c r="L1921" s="65"/>
      <c r="N1921" s="65"/>
    </row>
    <row r="1922" spans="1:14">
      <c r="A1922" s="106"/>
      <c r="B1922" s="108"/>
      <c r="C1922" s="108"/>
      <c r="D1922" s="108"/>
      <c r="E1922" s="108"/>
      <c r="F1922" s="108"/>
      <c r="G1922" s="109"/>
      <c r="H1922" s="110"/>
      <c r="K1922" s="65"/>
      <c r="L1922" s="65"/>
      <c r="N1922" s="65"/>
    </row>
    <row r="1923" spans="1:14">
      <c r="A1923" s="106"/>
      <c r="B1923" s="108"/>
      <c r="C1923" s="108"/>
      <c r="D1923" s="108"/>
      <c r="E1923" s="108"/>
      <c r="F1923" s="108"/>
      <c r="G1923" s="109"/>
      <c r="H1923" s="110"/>
      <c r="K1923" s="65"/>
      <c r="L1923" s="65"/>
      <c r="N1923" s="65"/>
    </row>
    <row r="1924" spans="1:14">
      <c r="A1924" s="106"/>
      <c r="B1924" s="108"/>
      <c r="C1924" s="108"/>
      <c r="D1924" s="108"/>
      <c r="E1924" s="108"/>
      <c r="F1924" s="108"/>
      <c r="G1924" s="109"/>
      <c r="H1924" s="110"/>
      <c r="K1924" s="65"/>
      <c r="L1924" s="65"/>
      <c r="N1924" s="65"/>
    </row>
    <row r="1925" spans="1:14">
      <c r="A1925" s="106"/>
      <c r="B1925" s="108"/>
      <c r="C1925" s="108"/>
      <c r="D1925" s="108"/>
      <c r="E1925" s="108"/>
      <c r="F1925" s="108"/>
      <c r="G1925" s="109"/>
      <c r="H1925" s="110"/>
      <c r="K1925" s="65"/>
      <c r="L1925" s="65"/>
      <c r="N1925" s="65"/>
    </row>
    <row r="1926" spans="1:14">
      <c r="A1926" s="106"/>
      <c r="B1926" s="108"/>
      <c r="C1926" s="108"/>
      <c r="D1926" s="108"/>
      <c r="E1926" s="108"/>
      <c r="F1926" s="108"/>
      <c r="G1926" s="109"/>
      <c r="H1926" s="110"/>
      <c r="K1926" s="65"/>
      <c r="L1926" s="65"/>
      <c r="N1926" s="65"/>
    </row>
    <row r="1927" spans="1:14">
      <c r="A1927" s="106"/>
      <c r="B1927" s="108"/>
      <c r="C1927" s="108"/>
      <c r="D1927" s="108"/>
      <c r="E1927" s="108"/>
      <c r="F1927" s="108"/>
      <c r="G1927" s="109"/>
      <c r="H1927" s="110"/>
      <c r="K1927" s="65"/>
      <c r="L1927" s="65"/>
      <c r="N1927" s="65"/>
    </row>
    <row r="1928" spans="1:14">
      <c r="A1928" s="106"/>
      <c r="B1928" s="108"/>
      <c r="C1928" s="108"/>
      <c r="D1928" s="108"/>
      <c r="E1928" s="108"/>
      <c r="F1928" s="108"/>
      <c r="G1928" s="109"/>
      <c r="H1928" s="110"/>
      <c r="K1928" s="65"/>
      <c r="L1928" s="65"/>
      <c r="N1928" s="65"/>
    </row>
    <row r="1929" spans="1:14">
      <c r="A1929" s="106"/>
      <c r="B1929" s="108"/>
      <c r="C1929" s="108"/>
      <c r="D1929" s="108"/>
      <c r="E1929" s="108"/>
      <c r="F1929" s="108"/>
      <c r="G1929" s="109"/>
      <c r="H1929" s="110"/>
      <c r="K1929" s="65"/>
      <c r="L1929" s="65"/>
      <c r="N1929" s="65"/>
    </row>
    <row r="1930" spans="1:14">
      <c r="A1930" s="106"/>
      <c r="B1930" s="108"/>
      <c r="C1930" s="108"/>
      <c r="D1930" s="108"/>
      <c r="E1930" s="108"/>
      <c r="F1930" s="108"/>
      <c r="G1930" s="109"/>
      <c r="H1930" s="110"/>
      <c r="K1930" s="65"/>
      <c r="L1930" s="65"/>
      <c r="N1930" s="65"/>
    </row>
    <row r="1931" spans="1:14">
      <c r="A1931" s="106"/>
      <c r="B1931" s="108"/>
      <c r="C1931" s="108"/>
      <c r="D1931" s="108"/>
      <c r="E1931" s="108"/>
      <c r="F1931" s="108"/>
      <c r="G1931" s="109"/>
      <c r="H1931" s="110"/>
      <c r="K1931" s="65"/>
      <c r="L1931" s="65"/>
      <c r="N1931" s="65"/>
    </row>
    <row r="1932" spans="1:14">
      <c r="A1932" s="106"/>
      <c r="B1932" s="108"/>
      <c r="C1932" s="108"/>
      <c r="D1932" s="108"/>
      <c r="E1932" s="108"/>
      <c r="F1932" s="108"/>
      <c r="G1932" s="109"/>
      <c r="H1932" s="110"/>
      <c r="K1932" s="65"/>
      <c r="L1932" s="65"/>
      <c r="N1932" s="65"/>
    </row>
    <row r="1933" spans="1:14">
      <c r="A1933" s="106"/>
      <c r="B1933" s="108"/>
      <c r="C1933" s="108"/>
      <c r="D1933" s="108"/>
      <c r="E1933" s="108"/>
      <c r="F1933" s="108"/>
      <c r="G1933" s="109"/>
      <c r="H1933" s="110"/>
      <c r="K1933" s="65"/>
      <c r="L1933" s="65"/>
      <c r="N1933" s="65"/>
    </row>
    <row r="1934" spans="1:14">
      <c r="A1934" s="106"/>
      <c r="B1934" s="108"/>
      <c r="C1934" s="108"/>
      <c r="D1934" s="108"/>
      <c r="E1934" s="108"/>
      <c r="F1934" s="108"/>
      <c r="G1934" s="109"/>
      <c r="H1934" s="110"/>
      <c r="K1934" s="65"/>
      <c r="L1934" s="65"/>
      <c r="N1934" s="65"/>
    </row>
    <row r="1935" spans="1:14">
      <c r="A1935" s="106"/>
      <c r="B1935" s="108"/>
      <c r="C1935" s="108"/>
      <c r="D1935" s="108"/>
      <c r="E1935" s="108"/>
      <c r="F1935" s="108"/>
      <c r="G1935" s="109"/>
      <c r="H1935" s="110"/>
      <c r="K1935" s="65"/>
      <c r="L1935" s="65"/>
      <c r="N1935" s="65"/>
    </row>
    <row r="1936" spans="1:14">
      <c r="A1936" s="106"/>
      <c r="B1936" s="108"/>
      <c r="C1936" s="108"/>
      <c r="D1936" s="108"/>
      <c r="E1936" s="108"/>
      <c r="F1936" s="108"/>
      <c r="G1936" s="109"/>
      <c r="H1936" s="110"/>
      <c r="K1936" s="65"/>
      <c r="L1936" s="65"/>
      <c r="N1936" s="65"/>
    </row>
    <row r="1937" spans="1:14">
      <c r="A1937" s="106"/>
      <c r="B1937" s="108"/>
      <c r="C1937" s="108"/>
      <c r="D1937" s="108"/>
      <c r="E1937" s="108"/>
      <c r="F1937" s="108"/>
      <c r="G1937" s="109"/>
      <c r="H1937" s="110"/>
      <c r="K1937" s="65"/>
      <c r="L1937" s="65"/>
      <c r="N1937" s="65"/>
    </row>
    <row r="1938" spans="1:14">
      <c r="A1938" s="106"/>
      <c r="B1938" s="108"/>
      <c r="C1938" s="108"/>
      <c r="D1938" s="108"/>
      <c r="E1938" s="108"/>
      <c r="F1938" s="108"/>
      <c r="G1938" s="109"/>
      <c r="H1938" s="110"/>
      <c r="K1938" s="65"/>
      <c r="L1938" s="65"/>
      <c r="N1938" s="65"/>
    </row>
    <row r="1939" spans="1:14">
      <c r="A1939" s="106"/>
      <c r="B1939" s="108"/>
      <c r="C1939" s="108"/>
      <c r="D1939" s="108"/>
      <c r="E1939" s="108"/>
      <c r="F1939" s="108"/>
      <c r="G1939" s="109"/>
      <c r="H1939" s="110"/>
      <c r="K1939" s="65"/>
      <c r="L1939" s="65"/>
      <c r="N1939" s="65"/>
    </row>
    <row r="1940" spans="1:14">
      <c r="A1940" s="106"/>
      <c r="B1940" s="108"/>
      <c r="C1940" s="108"/>
      <c r="D1940" s="108"/>
      <c r="E1940" s="108"/>
      <c r="F1940" s="108"/>
      <c r="G1940" s="109"/>
      <c r="H1940" s="110"/>
      <c r="K1940" s="65"/>
      <c r="L1940" s="65"/>
      <c r="N1940" s="65"/>
    </row>
    <row r="1941" spans="1:14">
      <c r="A1941" s="106"/>
      <c r="B1941" s="108"/>
      <c r="C1941" s="108"/>
      <c r="D1941" s="108"/>
      <c r="E1941" s="108"/>
      <c r="F1941" s="108"/>
      <c r="G1941" s="109"/>
      <c r="H1941" s="110"/>
      <c r="K1941" s="65"/>
      <c r="L1941" s="65"/>
      <c r="N1941" s="65"/>
    </row>
    <row r="1942" spans="1:14">
      <c r="A1942" s="106"/>
      <c r="B1942" s="108"/>
      <c r="C1942" s="108"/>
      <c r="D1942" s="108"/>
      <c r="E1942" s="108"/>
      <c r="F1942" s="108"/>
      <c r="G1942" s="109"/>
      <c r="H1942" s="110"/>
      <c r="K1942" s="65"/>
      <c r="L1942" s="65"/>
      <c r="N1942" s="65"/>
    </row>
    <row r="1943" spans="1:14">
      <c r="A1943" s="106"/>
      <c r="B1943" s="108"/>
      <c r="C1943" s="108"/>
      <c r="D1943" s="108"/>
      <c r="E1943" s="108"/>
      <c r="F1943" s="108"/>
      <c r="G1943" s="109"/>
      <c r="H1943" s="110"/>
      <c r="K1943" s="65"/>
      <c r="L1943" s="65"/>
      <c r="N1943" s="65"/>
    </row>
    <row r="1944" spans="1:14">
      <c r="A1944" s="106"/>
      <c r="B1944" s="108"/>
      <c r="C1944" s="108"/>
      <c r="D1944" s="108"/>
      <c r="E1944" s="108"/>
      <c r="F1944" s="108"/>
      <c r="G1944" s="109"/>
      <c r="H1944" s="110"/>
      <c r="K1944" s="65"/>
      <c r="L1944" s="65"/>
      <c r="N1944" s="65"/>
    </row>
    <row r="1945" spans="1:14">
      <c r="A1945" s="106"/>
      <c r="B1945" s="108"/>
      <c r="C1945" s="108"/>
      <c r="D1945" s="108"/>
      <c r="E1945" s="108"/>
      <c r="F1945" s="108"/>
      <c r="G1945" s="109"/>
      <c r="H1945" s="110"/>
      <c r="K1945" s="65"/>
      <c r="L1945" s="65"/>
      <c r="N1945" s="65"/>
    </row>
    <row r="1946" spans="1:14">
      <c r="A1946" s="106"/>
      <c r="B1946" s="108"/>
      <c r="C1946" s="108"/>
      <c r="D1946" s="108"/>
      <c r="E1946" s="108"/>
      <c r="F1946" s="108"/>
      <c r="G1946" s="109"/>
      <c r="H1946" s="110"/>
      <c r="K1946" s="65"/>
      <c r="L1946" s="65"/>
      <c r="N1946" s="65"/>
    </row>
    <row r="1947" spans="1:14">
      <c r="A1947" s="106"/>
      <c r="B1947" s="108"/>
      <c r="C1947" s="108"/>
      <c r="D1947" s="108"/>
      <c r="E1947" s="108"/>
      <c r="F1947" s="108"/>
      <c r="G1947" s="109"/>
      <c r="H1947" s="110"/>
      <c r="K1947" s="65"/>
      <c r="L1947" s="65"/>
      <c r="N1947" s="65"/>
    </row>
    <row r="1948" spans="1:14">
      <c r="A1948" s="106"/>
      <c r="B1948" s="108"/>
      <c r="C1948" s="108"/>
      <c r="D1948" s="108"/>
      <c r="E1948" s="108"/>
      <c r="F1948" s="108"/>
      <c r="G1948" s="109"/>
      <c r="H1948" s="110"/>
      <c r="K1948" s="65"/>
      <c r="L1948" s="65"/>
      <c r="N1948" s="65"/>
    </row>
    <row r="1949" spans="1:14">
      <c r="A1949" s="106"/>
      <c r="B1949" s="108"/>
      <c r="C1949" s="108"/>
      <c r="D1949" s="108"/>
      <c r="E1949" s="108"/>
      <c r="F1949" s="108"/>
      <c r="G1949" s="109"/>
      <c r="H1949" s="110"/>
      <c r="K1949" s="65"/>
      <c r="L1949" s="65"/>
      <c r="N1949" s="65"/>
    </row>
    <row r="1950" spans="1:14">
      <c r="A1950" s="106"/>
      <c r="B1950" s="108"/>
      <c r="C1950" s="108"/>
      <c r="D1950" s="108"/>
      <c r="E1950" s="108"/>
      <c r="F1950" s="108"/>
      <c r="G1950" s="109"/>
      <c r="H1950" s="110"/>
      <c r="K1950" s="65"/>
      <c r="L1950" s="65"/>
      <c r="N1950" s="65"/>
    </row>
    <row r="1951" spans="1:14">
      <c r="A1951" s="106"/>
      <c r="B1951" s="108"/>
      <c r="C1951" s="108"/>
      <c r="D1951" s="108"/>
      <c r="E1951" s="108"/>
      <c r="F1951" s="108"/>
      <c r="G1951" s="109"/>
      <c r="H1951" s="110"/>
      <c r="K1951" s="65"/>
      <c r="L1951" s="65"/>
      <c r="N1951" s="65"/>
    </row>
    <row r="1952" spans="1:14">
      <c r="A1952" s="106"/>
      <c r="B1952" s="108"/>
      <c r="C1952" s="108"/>
      <c r="D1952" s="108"/>
      <c r="E1952" s="108"/>
      <c r="F1952" s="108"/>
      <c r="G1952" s="109"/>
      <c r="H1952" s="110"/>
      <c r="K1952" s="65"/>
      <c r="L1952" s="65"/>
      <c r="N1952" s="65"/>
    </row>
    <row r="1953" spans="1:14">
      <c r="A1953" s="106"/>
      <c r="B1953" s="108"/>
      <c r="C1953" s="108"/>
      <c r="D1953" s="108"/>
      <c r="E1953" s="108"/>
      <c r="F1953" s="108"/>
      <c r="G1953" s="109"/>
      <c r="H1953" s="110"/>
      <c r="K1953" s="65"/>
      <c r="L1953" s="65"/>
      <c r="N1953" s="65"/>
    </row>
    <row r="1954" spans="1:14">
      <c r="A1954" s="106"/>
      <c r="B1954" s="108"/>
      <c r="C1954" s="108"/>
      <c r="D1954" s="108"/>
      <c r="E1954" s="108"/>
      <c r="F1954" s="108"/>
      <c r="G1954" s="109"/>
      <c r="H1954" s="110"/>
      <c r="K1954" s="65"/>
      <c r="L1954" s="65"/>
      <c r="N1954" s="65"/>
    </row>
    <row r="1955" spans="1:14">
      <c r="A1955" s="106"/>
      <c r="B1955" s="108"/>
      <c r="C1955" s="108"/>
      <c r="D1955" s="108"/>
      <c r="E1955" s="108"/>
      <c r="F1955" s="108"/>
      <c r="G1955" s="109"/>
      <c r="H1955" s="110"/>
      <c r="K1955" s="65"/>
      <c r="L1955" s="65"/>
      <c r="N1955" s="65"/>
    </row>
    <row r="1956" spans="1:14">
      <c r="A1956" s="106"/>
      <c r="B1956" s="108"/>
      <c r="C1956" s="108"/>
      <c r="D1956" s="108"/>
      <c r="E1956" s="108"/>
      <c r="F1956" s="108"/>
      <c r="G1956" s="109"/>
      <c r="H1956" s="110"/>
      <c r="K1956" s="65"/>
      <c r="L1956" s="65"/>
      <c r="N1956" s="65"/>
    </row>
    <row r="1957" spans="1:14">
      <c r="A1957" s="106"/>
      <c r="B1957" s="108"/>
      <c r="C1957" s="108"/>
      <c r="D1957" s="108"/>
      <c r="E1957" s="108"/>
      <c r="F1957" s="108"/>
      <c r="G1957" s="109"/>
      <c r="H1957" s="110"/>
      <c r="K1957" s="65"/>
      <c r="L1957" s="65"/>
      <c r="N1957" s="65"/>
    </row>
    <row r="1958" spans="1:14">
      <c r="A1958" s="106"/>
      <c r="B1958" s="108"/>
      <c r="C1958" s="108"/>
      <c r="D1958" s="108"/>
      <c r="E1958" s="108"/>
      <c r="F1958" s="108"/>
      <c r="G1958" s="109"/>
      <c r="H1958" s="110"/>
      <c r="K1958" s="65"/>
      <c r="L1958" s="65"/>
      <c r="N1958" s="65"/>
    </row>
    <row r="1959" spans="1:14">
      <c r="A1959" s="106"/>
      <c r="B1959" s="108"/>
      <c r="C1959" s="108"/>
      <c r="D1959" s="108"/>
      <c r="E1959" s="108"/>
      <c r="F1959" s="108"/>
      <c r="G1959" s="109"/>
      <c r="H1959" s="110"/>
      <c r="K1959" s="65"/>
      <c r="L1959" s="65"/>
      <c r="N1959" s="65"/>
    </row>
    <row r="1960" spans="1:14">
      <c r="A1960" s="106"/>
      <c r="B1960" s="108"/>
      <c r="C1960" s="108"/>
      <c r="D1960" s="108"/>
      <c r="E1960" s="108"/>
      <c r="F1960" s="108"/>
      <c r="G1960" s="109"/>
      <c r="H1960" s="110"/>
      <c r="K1960" s="65"/>
      <c r="L1960" s="65"/>
      <c r="N1960" s="65"/>
    </row>
    <row r="1961" spans="1:14">
      <c r="A1961" s="106"/>
      <c r="B1961" s="108"/>
      <c r="C1961" s="108"/>
      <c r="D1961" s="108"/>
      <c r="E1961" s="108"/>
      <c r="F1961" s="108"/>
      <c r="G1961" s="109"/>
      <c r="H1961" s="110"/>
      <c r="K1961" s="65"/>
      <c r="L1961" s="65"/>
      <c r="N1961" s="65"/>
    </row>
    <row r="1962" spans="1:14">
      <c r="A1962" s="106"/>
      <c r="B1962" s="108"/>
      <c r="C1962" s="108"/>
      <c r="D1962" s="108"/>
      <c r="E1962" s="108"/>
      <c r="F1962" s="108"/>
      <c r="G1962" s="109"/>
      <c r="H1962" s="110"/>
      <c r="K1962" s="65"/>
      <c r="L1962" s="65"/>
      <c r="N1962" s="65"/>
    </row>
    <row r="1963" spans="1:14">
      <c r="A1963" s="106"/>
      <c r="B1963" s="108"/>
      <c r="C1963" s="108"/>
      <c r="D1963" s="108"/>
      <c r="E1963" s="108"/>
      <c r="F1963" s="108"/>
      <c r="G1963" s="109"/>
      <c r="H1963" s="110"/>
      <c r="K1963" s="65"/>
      <c r="L1963" s="65"/>
      <c r="N1963" s="65"/>
    </row>
    <row r="1964" spans="1:14">
      <c r="A1964" s="106"/>
      <c r="B1964" s="108"/>
      <c r="C1964" s="108"/>
      <c r="D1964" s="108"/>
      <c r="E1964" s="108"/>
      <c r="F1964" s="108"/>
      <c r="G1964" s="109"/>
      <c r="H1964" s="110"/>
      <c r="K1964" s="65"/>
      <c r="L1964" s="65"/>
      <c r="N1964" s="65"/>
    </row>
    <row r="1965" spans="1:14">
      <c r="A1965" s="106"/>
      <c r="B1965" s="108"/>
      <c r="C1965" s="108"/>
      <c r="D1965" s="108"/>
      <c r="E1965" s="108"/>
      <c r="F1965" s="108"/>
      <c r="G1965" s="109"/>
      <c r="H1965" s="110"/>
      <c r="K1965" s="65"/>
      <c r="L1965" s="65"/>
      <c r="N1965" s="65"/>
    </row>
    <row r="1966" spans="1:14">
      <c r="A1966" s="106"/>
      <c r="B1966" s="108"/>
      <c r="C1966" s="108"/>
      <c r="D1966" s="108"/>
      <c r="E1966" s="108"/>
      <c r="F1966" s="108"/>
      <c r="G1966" s="109"/>
      <c r="H1966" s="110"/>
      <c r="K1966" s="65"/>
      <c r="L1966" s="65"/>
      <c r="N1966" s="65"/>
    </row>
    <row r="1967" spans="1:14">
      <c r="A1967" s="106"/>
      <c r="B1967" s="108"/>
      <c r="C1967" s="108"/>
      <c r="D1967" s="108"/>
      <c r="E1967" s="108"/>
      <c r="F1967" s="108"/>
      <c r="G1967" s="109"/>
      <c r="H1967" s="110"/>
      <c r="K1967" s="65"/>
      <c r="L1967" s="65"/>
      <c r="N1967" s="65"/>
    </row>
    <row r="1968" spans="1:14">
      <c r="A1968" s="106"/>
      <c r="B1968" s="108"/>
      <c r="C1968" s="108"/>
      <c r="D1968" s="108"/>
      <c r="E1968" s="108"/>
      <c r="F1968" s="108"/>
      <c r="G1968" s="109"/>
      <c r="H1968" s="110"/>
      <c r="K1968" s="65"/>
      <c r="L1968" s="65"/>
      <c r="N1968" s="65"/>
    </row>
    <row r="1969" spans="1:14">
      <c r="A1969" s="106"/>
      <c r="B1969" s="108"/>
      <c r="C1969" s="108"/>
      <c r="D1969" s="108"/>
      <c r="E1969" s="108"/>
      <c r="F1969" s="108"/>
      <c r="G1969" s="109"/>
      <c r="H1969" s="110"/>
      <c r="K1969" s="65"/>
      <c r="L1969" s="65"/>
      <c r="N1969" s="65"/>
    </row>
    <row r="1970" spans="1:14">
      <c r="A1970" s="106"/>
      <c r="B1970" s="108"/>
      <c r="C1970" s="108"/>
      <c r="D1970" s="108"/>
      <c r="E1970" s="108"/>
      <c r="F1970" s="108"/>
      <c r="G1970" s="109"/>
      <c r="H1970" s="110"/>
      <c r="K1970" s="65"/>
      <c r="L1970" s="65"/>
      <c r="N1970" s="65"/>
    </row>
    <row r="1971" spans="1:14">
      <c r="A1971" s="106"/>
      <c r="B1971" s="108"/>
      <c r="C1971" s="108"/>
      <c r="D1971" s="108"/>
      <c r="E1971" s="108"/>
      <c r="F1971" s="108"/>
      <c r="G1971" s="109"/>
      <c r="H1971" s="110"/>
      <c r="K1971" s="65"/>
      <c r="L1971" s="65"/>
      <c r="N1971" s="65"/>
    </row>
    <row r="1972" spans="1:14">
      <c r="A1972" s="106"/>
      <c r="B1972" s="108"/>
      <c r="C1972" s="108"/>
      <c r="D1972" s="108"/>
      <c r="E1972" s="108"/>
      <c r="F1972" s="108"/>
      <c r="G1972" s="109"/>
      <c r="H1972" s="110"/>
      <c r="K1972" s="65"/>
      <c r="L1972" s="65"/>
      <c r="N1972" s="65"/>
    </row>
    <row r="1973" spans="1:14">
      <c r="A1973" s="106"/>
      <c r="B1973" s="108"/>
      <c r="C1973" s="108"/>
      <c r="D1973" s="108"/>
      <c r="E1973" s="108"/>
      <c r="F1973" s="108"/>
      <c r="G1973" s="109"/>
      <c r="H1973" s="110"/>
      <c r="K1973" s="65"/>
      <c r="L1973" s="65"/>
      <c r="N1973" s="65"/>
    </row>
    <row r="1974" spans="1:14">
      <c r="A1974" s="106"/>
      <c r="B1974" s="108"/>
      <c r="C1974" s="108"/>
      <c r="D1974" s="108"/>
      <c r="E1974" s="108"/>
      <c r="F1974" s="108"/>
      <c r="G1974" s="109"/>
      <c r="H1974" s="110"/>
      <c r="K1974" s="65"/>
      <c r="L1974" s="65"/>
      <c r="N1974" s="65"/>
    </row>
    <row r="1975" spans="1:14">
      <c r="A1975" s="106"/>
      <c r="B1975" s="108"/>
      <c r="C1975" s="108"/>
      <c r="D1975" s="108"/>
      <c r="E1975" s="108"/>
      <c r="F1975" s="108"/>
      <c r="G1975" s="109"/>
      <c r="H1975" s="110"/>
      <c r="K1975" s="65"/>
      <c r="L1975" s="65"/>
      <c r="N1975" s="65"/>
    </row>
    <row r="1976" spans="1:14">
      <c r="A1976" s="106"/>
      <c r="B1976" s="108"/>
      <c r="C1976" s="108"/>
      <c r="D1976" s="108"/>
      <c r="E1976" s="108"/>
      <c r="F1976" s="108"/>
      <c r="G1976" s="109"/>
      <c r="H1976" s="110"/>
      <c r="K1976" s="65"/>
      <c r="L1976" s="65"/>
      <c r="N1976" s="65"/>
    </row>
    <row r="1977" spans="1:14">
      <c r="A1977" s="106"/>
      <c r="B1977" s="108"/>
      <c r="C1977" s="108"/>
      <c r="D1977" s="108"/>
      <c r="E1977" s="108"/>
      <c r="F1977" s="108"/>
      <c r="G1977" s="109"/>
      <c r="H1977" s="110"/>
      <c r="K1977" s="65"/>
      <c r="L1977" s="65"/>
      <c r="N1977" s="65"/>
    </row>
    <row r="1978" spans="1:14">
      <c r="A1978" s="106"/>
      <c r="B1978" s="108"/>
      <c r="C1978" s="108"/>
      <c r="D1978" s="108"/>
      <c r="E1978" s="108"/>
      <c r="F1978" s="108"/>
      <c r="G1978" s="109"/>
      <c r="H1978" s="110"/>
      <c r="K1978" s="65"/>
      <c r="L1978" s="65"/>
      <c r="N1978" s="65"/>
    </row>
    <row r="1979" spans="1:14">
      <c r="A1979" s="106"/>
      <c r="B1979" s="108"/>
      <c r="C1979" s="108"/>
      <c r="D1979" s="108"/>
      <c r="E1979" s="108"/>
      <c r="F1979" s="108"/>
      <c r="G1979" s="109"/>
      <c r="H1979" s="110"/>
      <c r="K1979" s="65"/>
      <c r="L1979" s="65"/>
      <c r="N1979" s="65"/>
    </row>
    <row r="1980" spans="1:14">
      <c r="A1980" s="106"/>
      <c r="B1980" s="108"/>
      <c r="C1980" s="108"/>
      <c r="D1980" s="108"/>
      <c r="E1980" s="108"/>
      <c r="F1980" s="108"/>
      <c r="G1980" s="109"/>
      <c r="H1980" s="110"/>
      <c r="K1980" s="65"/>
      <c r="L1980" s="65"/>
      <c r="N1980" s="65"/>
    </row>
    <row r="1981" spans="1:14">
      <c r="A1981" s="106"/>
      <c r="B1981" s="108"/>
      <c r="C1981" s="108"/>
      <c r="D1981" s="108"/>
      <c r="E1981" s="108"/>
      <c r="F1981" s="108"/>
      <c r="G1981" s="109"/>
      <c r="H1981" s="110"/>
      <c r="K1981" s="65"/>
      <c r="L1981" s="65"/>
      <c r="N1981" s="65"/>
    </row>
    <row r="1982" spans="1:14">
      <c r="A1982" s="106"/>
      <c r="B1982" s="108"/>
      <c r="C1982" s="108"/>
      <c r="D1982" s="108"/>
      <c r="E1982" s="108"/>
      <c r="F1982" s="108"/>
      <c r="G1982" s="109"/>
      <c r="H1982" s="110"/>
      <c r="K1982" s="65"/>
      <c r="L1982" s="65"/>
      <c r="N1982" s="65"/>
    </row>
    <row r="1983" spans="1:14">
      <c r="A1983" s="106"/>
      <c r="B1983" s="108"/>
      <c r="C1983" s="108"/>
      <c r="D1983" s="108"/>
      <c r="E1983" s="108"/>
      <c r="F1983" s="108"/>
      <c r="G1983" s="109"/>
      <c r="H1983" s="110"/>
      <c r="K1983" s="65"/>
      <c r="L1983" s="65"/>
      <c r="N1983" s="65"/>
    </row>
    <row r="1984" spans="1:14">
      <c r="A1984" s="106"/>
      <c r="B1984" s="108"/>
      <c r="C1984" s="108"/>
      <c r="D1984" s="108"/>
      <c r="E1984" s="108"/>
      <c r="F1984" s="108"/>
      <c r="G1984" s="109"/>
      <c r="H1984" s="110"/>
      <c r="K1984" s="65"/>
      <c r="L1984" s="65"/>
      <c r="N1984" s="65"/>
    </row>
    <row r="1985" spans="1:14">
      <c r="A1985" s="106"/>
      <c r="B1985" s="108"/>
      <c r="C1985" s="108"/>
      <c r="D1985" s="108"/>
      <c r="E1985" s="108"/>
      <c r="F1985" s="108"/>
      <c r="G1985" s="109"/>
      <c r="H1985" s="110"/>
      <c r="K1985" s="65"/>
      <c r="L1985" s="65"/>
      <c r="N1985" s="65"/>
    </row>
    <row r="1986" spans="1:14">
      <c r="A1986" s="106"/>
      <c r="B1986" s="108"/>
      <c r="C1986" s="108"/>
      <c r="D1986" s="108"/>
      <c r="E1986" s="108"/>
      <c r="F1986" s="108"/>
      <c r="G1986" s="109"/>
      <c r="H1986" s="110"/>
      <c r="K1986" s="65"/>
      <c r="L1986" s="65"/>
      <c r="N1986" s="65"/>
    </row>
    <row r="1987" spans="1:14">
      <c r="A1987" s="106"/>
      <c r="B1987" s="108"/>
      <c r="C1987" s="108"/>
      <c r="D1987" s="108"/>
      <c r="E1987" s="108"/>
      <c r="F1987" s="108"/>
      <c r="G1987" s="109"/>
      <c r="H1987" s="110"/>
      <c r="K1987" s="65"/>
      <c r="L1987" s="65"/>
      <c r="N1987" s="65"/>
    </row>
    <row r="1988" spans="1:14">
      <c r="A1988" s="106"/>
      <c r="B1988" s="108"/>
      <c r="C1988" s="108"/>
      <c r="D1988" s="108"/>
      <c r="E1988" s="108"/>
      <c r="F1988" s="108"/>
      <c r="G1988" s="109"/>
      <c r="H1988" s="110"/>
      <c r="K1988" s="65"/>
      <c r="L1988" s="65"/>
      <c r="N1988" s="65"/>
    </row>
    <row r="1989" spans="1:14">
      <c r="A1989" s="106"/>
      <c r="B1989" s="108"/>
      <c r="C1989" s="108"/>
      <c r="D1989" s="108"/>
      <c r="E1989" s="108"/>
      <c r="F1989" s="108"/>
      <c r="G1989" s="109"/>
      <c r="H1989" s="110"/>
      <c r="K1989" s="65"/>
      <c r="L1989" s="65"/>
      <c r="N1989" s="65"/>
    </row>
    <row r="1990" spans="1:14">
      <c r="A1990" s="106"/>
      <c r="B1990" s="108"/>
      <c r="C1990" s="108"/>
      <c r="D1990" s="108"/>
      <c r="E1990" s="108"/>
      <c r="F1990" s="108"/>
      <c r="G1990" s="109"/>
      <c r="H1990" s="110"/>
      <c r="K1990" s="65"/>
      <c r="L1990" s="65"/>
      <c r="N1990" s="65"/>
    </row>
    <row r="1991" spans="1:14">
      <c r="A1991" s="106"/>
      <c r="B1991" s="108"/>
      <c r="C1991" s="108"/>
      <c r="D1991" s="108"/>
      <c r="E1991" s="108"/>
      <c r="F1991" s="108"/>
      <c r="G1991" s="109"/>
      <c r="H1991" s="110"/>
      <c r="K1991" s="65"/>
      <c r="L1991" s="65"/>
      <c r="N1991" s="65"/>
    </row>
    <row r="1992" spans="1:14">
      <c r="A1992" s="106"/>
      <c r="B1992" s="108"/>
      <c r="C1992" s="108"/>
      <c r="D1992" s="108"/>
      <c r="E1992" s="108"/>
      <c r="F1992" s="108"/>
      <c r="G1992" s="109"/>
      <c r="H1992" s="110"/>
      <c r="K1992" s="65"/>
      <c r="L1992" s="65"/>
      <c r="N1992" s="65"/>
    </row>
    <row r="1993" spans="1:14">
      <c r="A1993" s="106"/>
      <c r="B1993" s="108"/>
      <c r="C1993" s="108"/>
      <c r="D1993" s="108"/>
      <c r="E1993" s="108"/>
      <c r="F1993" s="108"/>
      <c r="G1993" s="109"/>
      <c r="H1993" s="110"/>
      <c r="K1993" s="65"/>
      <c r="L1993" s="65"/>
      <c r="N1993" s="65"/>
    </row>
    <row r="1994" spans="1:14">
      <c r="A1994" s="106"/>
      <c r="B1994" s="108"/>
      <c r="C1994" s="108"/>
      <c r="D1994" s="108"/>
      <c r="E1994" s="108"/>
      <c r="F1994" s="108"/>
      <c r="G1994" s="109"/>
      <c r="H1994" s="110"/>
      <c r="K1994" s="65"/>
      <c r="L1994" s="65"/>
      <c r="N1994" s="65"/>
    </row>
    <row r="1995" spans="1:14">
      <c r="A1995" s="106"/>
      <c r="B1995" s="108"/>
      <c r="C1995" s="108"/>
      <c r="D1995" s="108"/>
      <c r="E1995" s="108"/>
      <c r="F1995" s="108"/>
      <c r="G1995" s="109"/>
      <c r="H1995" s="110"/>
      <c r="K1995" s="65"/>
      <c r="L1995" s="65"/>
      <c r="N1995" s="65"/>
    </row>
    <row r="1996" spans="1:14">
      <c r="A1996" s="106"/>
      <c r="B1996" s="108"/>
      <c r="C1996" s="108"/>
      <c r="D1996" s="108"/>
      <c r="E1996" s="108"/>
      <c r="F1996" s="108"/>
      <c r="G1996" s="109"/>
      <c r="H1996" s="110"/>
      <c r="K1996" s="65"/>
      <c r="L1996" s="65"/>
      <c r="N1996" s="65"/>
    </row>
    <row r="1997" spans="1:14">
      <c r="A1997" s="106"/>
      <c r="B1997" s="108"/>
      <c r="C1997" s="108"/>
      <c r="D1997" s="108"/>
      <c r="E1997" s="108"/>
      <c r="F1997" s="108"/>
      <c r="G1997" s="109"/>
      <c r="H1997" s="110"/>
      <c r="K1997" s="65"/>
      <c r="L1997" s="65"/>
      <c r="N1997" s="65"/>
    </row>
    <row r="1998" spans="1:14">
      <c r="A1998" s="106"/>
      <c r="B1998" s="108"/>
      <c r="C1998" s="108"/>
      <c r="D1998" s="108"/>
      <c r="E1998" s="108"/>
      <c r="F1998" s="108"/>
      <c r="G1998" s="109"/>
      <c r="H1998" s="110"/>
      <c r="K1998" s="65"/>
      <c r="L1998" s="65"/>
      <c r="N1998" s="65"/>
    </row>
    <row r="1999" spans="1:14">
      <c r="A1999" s="106"/>
      <c r="B1999" s="108"/>
      <c r="C1999" s="108"/>
      <c r="D1999" s="108"/>
      <c r="E1999" s="108"/>
      <c r="F1999" s="108"/>
      <c r="G1999" s="109"/>
      <c r="H1999" s="110"/>
      <c r="K1999" s="65"/>
      <c r="L1999" s="65"/>
      <c r="N1999" s="65"/>
    </row>
    <row r="2000" spans="1:14">
      <c r="A2000" s="106"/>
      <c r="B2000" s="108"/>
      <c r="C2000" s="108"/>
      <c r="D2000" s="108"/>
      <c r="E2000" s="108"/>
      <c r="F2000" s="108"/>
      <c r="G2000" s="109"/>
      <c r="H2000" s="110"/>
      <c r="K2000" s="65"/>
      <c r="L2000" s="65"/>
      <c r="N2000" s="65"/>
    </row>
    <row r="2001" spans="1:14">
      <c r="A2001" s="106"/>
      <c r="B2001" s="108"/>
      <c r="C2001" s="108"/>
      <c r="D2001" s="108"/>
      <c r="E2001" s="108"/>
      <c r="F2001" s="108"/>
      <c r="G2001" s="109"/>
      <c r="H2001" s="110"/>
      <c r="K2001" s="65"/>
      <c r="L2001" s="65"/>
      <c r="N2001" s="65"/>
    </row>
    <row r="2002" spans="1:14">
      <c r="A2002" s="106"/>
      <c r="B2002" s="108"/>
      <c r="C2002" s="108"/>
      <c r="D2002" s="108"/>
      <c r="E2002" s="108"/>
      <c r="F2002" s="108"/>
      <c r="G2002" s="109"/>
      <c r="H2002" s="110"/>
      <c r="K2002" s="65"/>
      <c r="L2002" s="65"/>
      <c r="N2002" s="65"/>
    </row>
    <row r="2003" spans="1:14">
      <c r="A2003" s="106"/>
      <c r="B2003" s="108"/>
      <c r="C2003" s="108"/>
      <c r="D2003" s="108"/>
      <c r="E2003" s="108"/>
      <c r="F2003" s="108"/>
      <c r="G2003" s="109"/>
      <c r="H2003" s="110"/>
      <c r="K2003" s="65"/>
      <c r="L2003" s="65"/>
      <c r="N2003" s="65"/>
    </row>
    <row r="2004" spans="1:14">
      <c r="A2004" s="106"/>
      <c r="B2004" s="108"/>
      <c r="C2004" s="108"/>
      <c r="D2004" s="108"/>
      <c r="E2004" s="108"/>
      <c r="F2004" s="108"/>
      <c r="G2004" s="109"/>
      <c r="H2004" s="110"/>
      <c r="K2004" s="65"/>
      <c r="L2004" s="65"/>
      <c r="N2004" s="65"/>
    </row>
    <row r="2005" spans="1:14">
      <c r="A2005" s="106"/>
      <c r="B2005" s="108"/>
      <c r="C2005" s="108"/>
      <c r="D2005" s="108"/>
      <c r="E2005" s="108"/>
      <c r="F2005" s="108"/>
      <c r="G2005" s="109"/>
      <c r="H2005" s="110"/>
      <c r="K2005" s="65"/>
      <c r="L2005" s="65"/>
      <c r="N2005" s="65"/>
    </row>
    <row r="2006" spans="1:14">
      <c r="A2006" s="106"/>
      <c r="B2006" s="108"/>
      <c r="C2006" s="108"/>
      <c r="D2006" s="108"/>
      <c r="E2006" s="108"/>
      <c r="F2006" s="108"/>
      <c r="G2006" s="109"/>
      <c r="H2006" s="110"/>
      <c r="K2006" s="65"/>
      <c r="L2006" s="65"/>
      <c r="N2006" s="65"/>
    </row>
    <row r="2007" spans="1:14">
      <c r="A2007" s="106"/>
      <c r="B2007" s="108"/>
      <c r="C2007" s="108"/>
      <c r="D2007" s="108"/>
      <c r="E2007" s="108"/>
      <c r="F2007" s="108"/>
      <c r="G2007" s="109"/>
      <c r="H2007" s="110"/>
      <c r="K2007" s="65"/>
      <c r="L2007" s="65"/>
      <c r="N2007" s="65"/>
    </row>
    <row r="2008" spans="1:14">
      <c r="A2008" s="106"/>
      <c r="B2008" s="108"/>
      <c r="C2008" s="108"/>
      <c r="D2008" s="108"/>
      <c r="E2008" s="108"/>
      <c r="F2008" s="108"/>
      <c r="G2008" s="109"/>
      <c r="H2008" s="110"/>
      <c r="K2008" s="65"/>
      <c r="L2008" s="65"/>
      <c r="N2008" s="65"/>
    </row>
    <row r="2009" spans="1:14">
      <c r="A2009" s="106"/>
      <c r="B2009" s="108"/>
      <c r="C2009" s="108"/>
      <c r="D2009" s="108"/>
      <c r="E2009" s="108"/>
      <c r="F2009" s="108"/>
      <c r="G2009" s="109"/>
      <c r="H2009" s="110"/>
      <c r="K2009" s="65"/>
      <c r="L2009" s="65"/>
      <c r="N2009" s="65"/>
    </row>
    <row r="2010" spans="1:14">
      <c r="A2010" s="106"/>
      <c r="B2010" s="108"/>
      <c r="C2010" s="108"/>
      <c r="D2010" s="108"/>
      <c r="E2010" s="108"/>
      <c r="F2010" s="108"/>
      <c r="G2010" s="109"/>
      <c r="H2010" s="110"/>
      <c r="K2010" s="65"/>
      <c r="L2010" s="65"/>
      <c r="N2010" s="65"/>
    </row>
    <row r="2011" spans="1:14">
      <c r="A2011" s="106"/>
      <c r="B2011" s="108"/>
      <c r="C2011" s="108"/>
      <c r="D2011" s="108"/>
      <c r="E2011" s="108"/>
      <c r="F2011" s="108"/>
      <c r="G2011" s="109"/>
      <c r="H2011" s="110"/>
      <c r="K2011" s="65"/>
      <c r="L2011" s="65"/>
      <c r="N2011" s="65"/>
    </row>
    <row r="2012" spans="1:14">
      <c r="A2012" s="106"/>
      <c r="B2012" s="108"/>
      <c r="C2012" s="108"/>
      <c r="D2012" s="108"/>
      <c r="E2012" s="108"/>
      <c r="F2012" s="108"/>
      <c r="G2012" s="109"/>
      <c r="H2012" s="110"/>
      <c r="K2012" s="65"/>
      <c r="L2012" s="65"/>
      <c r="N2012" s="65"/>
    </row>
    <row r="2013" spans="1:14">
      <c r="A2013" s="106"/>
      <c r="B2013" s="108"/>
      <c r="C2013" s="108"/>
      <c r="D2013" s="108"/>
      <c r="E2013" s="108"/>
      <c r="F2013" s="108"/>
      <c r="G2013" s="109"/>
      <c r="H2013" s="110"/>
      <c r="K2013" s="65"/>
      <c r="L2013" s="65"/>
      <c r="N2013" s="65"/>
    </row>
    <row r="2014" spans="1:14">
      <c r="A2014" s="106"/>
      <c r="B2014" s="108"/>
      <c r="C2014" s="108"/>
      <c r="D2014" s="108"/>
      <c r="E2014" s="108"/>
      <c r="F2014" s="108"/>
      <c r="G2014" s="109"/>
      <c r="H2014" s="110"/>
      <c r="K2014" s="65"/>
      <c r="L2014" s="65"/>
      <c r="N2014" s="65"/>
    </row>
    <row r="2015" spans="1:14">
      <c r="A2015" s="106"/>
      <c r="B2015" s="108"/>
      <c r="C2015" s="108"/>
      <c r="D2015" s="108"/>
      <c r="E2015" s="108"/>
      <c r="F2015" s="108"/>
      <c r="G2015" s="109"/>
      <c r="H2015" s="110"/>
      <c r="K2015" s="65"/>
      <c r="L2015" s="65"/>
      <c r="N2015" s="65"/>
    </row>
    <row r="2016" spans="1:14">
      <c r="A2016" s="106"/>
      <c r="B2016" s="108"/>
      <c r="C2016" s="108"/>
      <c r="D2016" s="108"/>
      <c r="E2016" s="108"/>
      <c r="F2016" s="108"/>
      <c r="G2016" s="109"/>
      <c r="H2016" s="110"/>
      <c r="K2016" s="65"/>
      <c r="L2016" s="65"/>
      <c r="N2016" s="65"/>
    </row>
    <row r="2017" spans="1:14">
      <c r="A2017" s="106"/>
      <c r="B2017" s="108"/>
      <c r="C2017" s="108"/>
      <c r="D2017" s="108"/>
      <c r="E2017" s="108"/>
      <c r="F2017" s="108"/>
      <c r="G2017" s="109"/>
      <c r="H2017" s="110"/>
      <c r="K2017" s="65"/>
      <c r="L2017" s="65"/>
      <c r="N2017" s="65"/>
    </row>
    <row r="2018" spans="1:14">
      <c r="A2018" s="106"/>
      <c r="B2018" s="108"/>
      <c r="C2018" s="108"/>
      <c r="D2018" s="108"/>
      <c r="E2018" s="108"/>
      <c r="F2018" s="108"/>
      <c r="G2018" s="109"/>
      <c r="H2018" s="110"/>
      <c r="K2018" s="65"/>
      <c r="L2018" s="65"/>
      <c r="N2018" s="65"/>
    </row>
    <row r="2019" spans="1:14">
      <c r="A2019" s="106"/>
      <c r="B2019" s="108"/>
      <c r="C2019" s="108"/>
      <c r="D2019" s="108"/>
      <c r="E2019" s="108"/>
      <c r="F2019" s="108"/>
      <c r="G2019" s="109"/>
      <c r="H2019" s="110"/>
      <c r="K2019" s="65"/>
      <c r="L2019" s="65"/>
      <c r="N2019" s="65"/>
    </row>
    <row r="2020" spans="1:14">
      <c r="A2020" s="106"/>
      <c r="B2020" s="108"/>
      <c r="C2020" s="108"/>
      <c r="D2020" s="108"/>
      <c r="E2020" s="108"/>
      <c r="F2020" s="108"/>
      <c r="G2020" s="109"/>
      <c r="H2020" s="110"/>
      <c r="K2020" s="65"/>
      <c r="L2020" s="65"/>
      <c r="N2020" s="65"/>
    </row>
    <row r="2021" spans="1:14">
      <c r="A2021" s="106"/>
      <c r="B2021" s="108"/>
      <c r="C2021" s="108"/>
      <c r="D2021" s="108"/>
      <c r="E2021" s="108"/>
      <c r="F2021" s="108"/>
      <c r="G2021" s="109"/>
      <c r="H2021" s="110"/>
      <c r="K2021" s="65"/>
      <c r="L2021" s="65"/>
      <c r="N2021" s="65"/>
    </row>
    <row r="2022" spans="1:14">
      <c r="A2022" s="106"/>
      <c r="B2022" s="108"/>
      <c r="C2022" s="108"/>
      <c r="D2022" s="108"/>
      <c r="E2022" s="108"/>
      <c r="F2022" s="108"/>
      <c r="G2022" s="109"/>
      <c r="H2022" s="110"/>
      <c r="K2022" s="65"/>
      <c r="L2022" s="65"/>
      <c r="N2022" s="65"/>
    </row>
    <row r="2023" spans="1:14">
      <c r="A2023" s="106"/>
      <c r="B2023" s="108"/>
      <c r="C2023" s="108"/>
      <c r="D2023" s="108"/>
      <c r="E2023" s="108"/>
      <c r="F2023" s="108"/>
      <c r="G2023" s="109"/>
      <c r="H2023" s="110"/>
      <c r="K2023" s="65"/>
      <c r="L2023" s="65"/>
      <c r="N2023" s="65"/>
    </row>
    <row r="2024" spans="1:14">
      <c r="A2024" s="106"/>
      <c r="B2024" s="108"/>
      <c r="C2024" s="108"/>
      <c r="D2024" s="108"/>
      <c r="E2024" s="108"/>
      <c r="F2024" s="108"/>
      <c r="G2024" s="109"/>
      <c r="H2024" s="110"/>
      <c r="K2024" s="65"/>
      <c r="L2024" s="65"/>
      <c r="N2024" s="65"/>
    </row>
    <row r="2025" spans="1:14">
      <c r="A2025" s="106"/>
      <c r="B2025" s="108"/>
      <c r="C2025" s="108"/>
      <c r="D2025" s="108"/>
      <c r="E2025" s="108"/>
      <c r="F2025" s="108"/>
      <c r="G2025" s="109"/>
      <c r="H2025" s="110"/>
      <c r="K2025" s="65"/>
      <c r="L2025" s="65"/>
      <c r="N2025" s="65"/>
    </row>
    <row r="2026" spans="1:14">
      <c r="A2026" s="106"/>
      <c r="B2026" s="108"/>
      <c r="C2026" s="108"/>
      <c r="D2026" s="108"/>
      <c r="E2026" s="108"/>
      <c r="F2026" s="108"/>
      <c r="G2026" s="109"/>
      <c r="H2026" s="110"/>
      <c r="K2026" s="65"/>
      <c r="L2026" s="65"/>
      <c r="N2026" s="65"/>
    </row>
    <row r="2027" spans="1:14">
      <c r="A2027" s="106"/>
      <c r="B2027" s="108"/>
      <c r="C2027" s="108"/>
      <c r="D2027" s="108"/>
      <c r="E2027" s="108"/>
      <c r="F2027" s="108"/>
      <c r="G2027" s="109"/>
      <c r="H2027" s="110"/>
      <c r="K2027" s="65"/>
      <c r="L2027" s="65"/>
      <c r="N2027" s="65"/>
    </row>
    <row r="2028" spans="1:14">
      <c r="A2028" s="106"/>
      <c r="B2028" s="108"/>
      <c r="C2028" s="108"/>
      <c r="D2028" s="108"/>
      <c r="E2028" s="108"/>
      <c r="F2028" s="108"/>
      <c r="G2028" s="109"/>
      <c r="H2028" s="110"/>
      <c r="K2028" s="65"/>
      <c r="L2028" s="65"/>
      <c r="N2028" s="65"/>
    </row>
    <row r="2029" spans="1:14">
      <c r="A2029" s="106"/>
      <c r="B2029" s="108"/>
      <c r="C2029" s="108"/>
      <c r="D2029" s="108"/>
      <c r="E2029" s="108"/>
      <c r="F2029" s="108"/>
      <c r="G2029" s="109"/>
      <c r="H2029" s="110"/>
      <c r="K2029" s="65"/>
      <c r="L2029" s="65"/>
      <c r="N2029" s="65"/>
    </row>
    <row r="2030" spans="1:14">
      <c r="A2030" s="106"/>
      <c r="B2030" s="108"/>
      <c r="C2030" s="108"/>
      <c r="D2030" s="108"/>
      <c r="E2030" s="108"/>
      <c r="F2030" s="108"/>
      <c r="G2030" s="109"/>
      <c r="H2030" s="110"/>
      <c r="K2030" s="65"/>
      <c r="L2030" s="65"/>
      <c r="N2030" s="65"/>
    </row>
    <row r="2031" spans="1:14">
      <c r="A2031" s="106"/>
      <c r="B2031" s="108"/>
      <c r="C2031" s="108"/>
      <c r="D2031" s="108"/>
      <c r="E2031" s="108"/>
      <c r="F2031" s="108"/>
      <c r="G2031" s="109"/>
      <c r="H2031" s="110"/>
      <c r="K2031" s="65"/>
      <c r="L2031" s="65"/>
      <c r="N2031" s="65"/>
    </row>
    <row r="2032" spans="1:14">
      <c r="A2032" s="106"/>
      <c r="B2032" s="108"/>
      <c r="C2032" s="108"/>
      <c r="D2032" s="108"/>
      <c r="E2032" s="108"/>
      <c r="F2032" s="108"/>
      <c r="G2032" s="109"/>
      <c r="H2032" s="110"/>
      <c r="K2032" s="65"/>
      <c r="L2032" s="65"/>
      <c r="N2032" s="65"/>
    </row>
    <row r="2033" spans="1:14">
      <c r="A2033" s="106"/>
      <c r="B2033" s="108"/>
      <c r="C2033" s="108"/>
      <c r="D2033" s="108"/>
      <c r="E2033" s="108"/>
      <c r="F2033" s="108"/>
      <c r="G2033" s="109"/>
      <c r="H2033" s="110"/>
      <c r="K2033" s="65"/>
      <c r="L2033" s="65"/>
      <c r="N2033" s="65"/>
    </row>
    <row r="2034" spans="1:14">
      <c r="A2034" s="106"/>
      <c r="B2034" s="108"/>
      <c r="C2034" s="108"/>
      <c r="D2034" s="108"/>
      <c r="E2034" s="108"/>
      <c r="F2034" s="108"/>
      <c r="G2034" s="109"/>
      <c r="H2034" s="110"/>
      <c r="K2034" s="65"/>
      <c r="L2034" s="65"/>
      <c r="N2034" s="65"/>
    </row>
    <row r="2035" spans="1:14">
      <c r="A2035" s="106"/>
      <c r="B2035" s="108"/>
      <c r="C2035" s="108"/>
      <c r="D2035" s="108"/>
      <c r="E2035" s="108"/>
      <c r="F2035" s="108"/>
      <c r="G2035" s="109"/>
      <c r="H2035" s="110"/>
      <c r="K2035" s="65"/>
      <c r="L2035" s="65"/>
      <c r="N2035" s="65"/>
    </row>
    <row r="2036" spans="1:14">
      <c r="A2036" s="106"/>
      <c r="B2036" s="108"/>
      <c r="C2036" s="108"/>
      <c r="D2036" s="108"/>
      <c r="E2036" s="108"/>
      <c r="F2036" s="108"/>
      <c r="G2036" s="109"/>
      <c r="H2036" s="110"/>
      <c r="K2036" s="65"/>
      <c r="L2036" s="65"/>
      <c r="N2036" s="65"/>
    </row>
    <row r="2037" spans="1:14">
      <c r="A2037" s="106"/>
      <c r="B2037" s="108"/>
      <c r="C2037" s="108"/>
      <c r="D2037" s="108"/>
      <c r="E2037" s="108"/>
      <c r="F2037" s="108"/>
      <c r="G2037" s="109"/>
      <c r="H2037" s="110"/>
      <c r="K2037" s="65"/>
      <c r="L2037" s="65"/>
      <c r="N2037" s="65"/>
    </row>
    <row r="2038" spans="1:14">
      <c r="A2038" s="106"/>
      <c r="B2038" s="108"/>
      <c r="C2038" s="108"/>
      <c r="D2038" s="108"/>
      <c r="E2038" s="108"/>
      <c r="F2038" s="108"/>
      <c r="G2038" s="109"/>
      <c r="H2038" s="110"/>
      <c r="K2038" s="65"/>
      <c r="L2038" s="65"/>
      <c r="N2038" s="65"/>
    </row>
    <row r="2039" spans="1:14">
      <c r="A2039" s="106"/>
      <c r="B2039" s="108"/>
      <c r="C2039" s="108"/>
      <c r="D2039" s="108"/>
      <c r="E2039" s="108"/>
      <c r="F2039" s="108"/>
      <c r="G2039" s="109"/>
      <c r="H2039" s="110"/>
      <c r="K2039" s="65"/>
      <c r="L2039" s="65"/>
      <c r="N2039" s="65"/>
    </row>
    <row r="2040" spans="1:14">
      <c r="A2040" s="106"/>
      <c r="B2040" s="108"/>
      <c r="C2040" s="108"/>
      <c r="D2040" s="108"/>
      <c r="E2040" s="108"/>
      <c r="F2040" s="108"/>
      <c r="G2040" s="109"/>
      <c r="H2040" s="110"/>
      <c r="K2040" s="65"/>
      <c r="L2040" s="65"/>
      <c r="N2040" s="65"/>
    </row>
    <row r="2041" spans="1:14">
      <c r="A2041" s="106"/>
      <c r="B2041" s="108"/>
      <c r="C2041" s="108"/>
      <c r="D2041" s="108"/>
      <c r="E2041" s="108"/>
      <c r="F2041" s="108"/>
      <c r="G2041" s="109"/>
      <c r="H2041" s="110"/>
      <c r="K2041" s="65"/>
      <c r="L2041" s="65"/>
      <c r="N2041" s="65"/>
    </row>
    <row r="2042" spans="1:14">
      <c r="A2042" s="106"/>
      <c r="B2042" s="108"/>
      <c r="C2042" s="108"/>
      <c r="D2042" s="108"/>
      <c r="E2042" s="108"/>
      <c r="F2042" s="108"/>
      <c r="G2042" s="109"/>
      <c r="H2042" s="110"/>
      <c r="K2042" s="65"/>
      <c r="L2042" s="65"/>
      <c r="N2042" s="65"/>
    </row>
    <row r="2043" spans="1:14">
      <c r="A2043" s="106"/>
      <c r="B2043" s="108"/>
      <c r="C2043" s="108"/>
      <c r="D2043" s="108"/>
      <c r="E2043" s="108"/>
      <c r="F2043" s="108"/>
      <c r="G2043" s="109"/>
      <c r="H2043" s="110"/>
      <c r="K2043" s="65"/>
      <c r="L2043" s="65"/>
      <c r="N2043" s="65"/>
    </row>
    <row r="2044" spans="1:14">
      <c r="A2044" s="106"/>
      <c r="B2044" s="108"/>
      <c r="C2044" s="108"/>
      <c r="D2044" s="108"/>
      <c r="E2044" s="108"/>
      <c r="F2044" s="108"/>
      <c r="G2044" s="109"/>
      <c r="H2044" s="110"/>
      <c r="K2044" s="65"/>
      <c r="L2044" s="65"/>
      <c r="N2044" s="65"/>
    </row>
    <row r="2045" spans="1:14">
      <c r="A2045" s="106"/>
      <c r="B2045" s="108"/>
      <c r="C2045" s="108"/>
      <c r="D2045" s="108"/>
      <c r="E2045" s="108"/>
      <c r="F2045" s="108"/>
      <c r="G2045" s="109"/>
      <c r="H2045" s="110"/>
      <c r="K2045" s="65"/>
      <c r="L2045" s="65"/>
      <c r="N2045" s="65"/>
    </row>
    <row r="2046" spans="1:14">
      <c r="A2046" s="106"/>
      <c r="B2046" s="108"/>
      <c r="C2046" s="108"/>
      <c r="D2046" s="108"/>
      <c r="E2046" s="108"/>
      <c r="F2046" s="108"/>
      <c r="G2046" s="109"/>
      <c r="H2046" s="110"/>
      <c r="K2046" s="65"/>
      <c r="L2046" s="65"/>
      <c r="N2046" s="65"/>
    </row>
    <row r="2047" spans="1:14">
      <c r="A2047" s="106"/>
      <c r="B2047" s="108"/>
      <c r="C2047" s="108"/>
      <c r="D2047" s="108"/>
      <c r="E2047" s="108"/>
      <c r="F2047" s="108"/>
      <c r="G2047" s="109"/>
      <c r="H2047" s="110"/>
      <c r="K2047" s="65"/>
      <c r="L2047" s="65"/>
      <c r="N2047" s="65"/>
    </row>
    <row r="2048" spans="1:14">
      <c r="A2048" s="106"/>
      <c r="B2048" s="108"/>
      <c r="C2048" s="108"/>
      <c r="D2048" s="108"/>
      <c r="E2048" s="108"/>
      <c r="F2048" s="108"/>
      <c r="G2048" s="109"/>
      <c r="H2048" s="110"/>
      <c r="K2048" s="65"/>
      <c r="L2048" s="65"/>
      <c r="N2048" s="65"/>
    </row>
    <row r="2049" spans="1:14">
      <c r="A2049" s="106"/>
      <c r="B2049" s="108"/>
      <c r="C2049" s="108"/>
      <c r="D2049" s="108"/>
      <c r="E2049" s="108"/>
      <c r="F2049" s="108"/>
      <c r="G2049" s="109"/>
      <c r="H2049" s="110"/>
      <c r="K2049" s="65"/>
      <c r="L2049" s="65"/>
      <c r="N2049" s="65"/>
    </row>
    <row r="2050" spans="1:14">
      <c r="A2050" s="106"/>
      <c r="B2050" s="108"/>
      <c r="C2050" s="108"/>
      <c r="D2050" s="108"/>
      <c r="E2050" s="108"/>
      <c r="F2050" s="108"/>
      <c r="G2050" s="109"/>
      <c r="H2050" s="110"/>
      <c r="K2050" s="65"/>
      <c r="L2050" s="65"/>
      <c r="N2050" s="65"/>
    </row>
    <row r="2051" spans="1:14">
      <c r="A2051" s="106"/>
      <c r="B2051" s="108"/>
      <c r="C2051" s="108"/>
      <c r="D2051" s="108"/>
      <c r="E2051" s="108"/>
      <c r="F2051" s="108"/>
      <c r="G2051" s="109"/>
      <c r="H2051" s="110"/>
      <c r="K2051" s="65"/>
      <c r="L2051" s="65"/>
      <c r="N2051" s="65"/>
    </row>
    <row r="2052" spans="1:14">
      <c r="A2052" s="106"/>
      <c r="B2052" s="108"/>
      <c r="C2052" s="108"/>
      <c r="D2052" s="108"/>
      <c r="E2052" s="108"/>
      <c r="F2052" s="108"/>
      <c r="G2052" s="109"/>
      <c r="H2052" s="110"/>
      <c r="K2052" s="65"/>
      <c r="L2052" s="65"/>
      <c r="N2052" s="65"/>
    </row>
    <row r="2053" spans="1:14">
      <c r="A2053" s="106"/>
      <c r="B2053" s="108"/>
      <c r="C2053" s="108"/>
      <c r="D2053" s="108"/>
      <c r="E2053" s="108"/>
      <c r="F2053" s="108"/>
      <c r="G2053" s="109"/>
      <c r="H2053" s="110"/>
      <c r="K2053" s="65"/>
      <c r="L2053" s="65"/>
      <c r="N2053" s="65"/>
    </row>
    <row r="2054" spans="1:14">
      <c r="A2054" s="106"/>
      <c r="B2054" s="108"/>
      <c r="C2054" s="108"/>
      <c r="D2054" s="108"/>
      <c r="E2054" s="108"/>
      <c r="F2054" s="108"/>
      <c r="G2054" s="109"/>
      <c r="H2054" s="110"/>
      <c r="K2054" s="65"/>
      <c r="L2054" s="65"/>
      <c r="N2054" s="65"/>
    </row>
    <row r="2055" spans="1:14">
      <c r="A2055" s="106"/>
      <c r="B2055" s="108"/>
      <c r="C2055" s="108"/>
      <c r="D2055" s="108"/>
      <c r="E2055" s="108"/>
      <c r="F2055" s="108"/>
      <c r="G2055" s="109"/>
      <c r="H2055" s="110"/>
      <c r="K2055" s="65"/>
      <c r="L2055" s="65"/>
      <c r="N2055" s="65"/>
    </row>
    <row r="2056" spans="1:14">
      <c r="A2056" s="106"/>
      <c r="B2056" s="108"/>
      <c r="C2056" s="108"/>
      <c r="D2056" s="108"/>
      <c r="E2056" s="108"/>
      <c r="F2056" s="108"/>
      <c r="G2056" s="109"/>
      <c r="H2056" s="110"/>
      <c r="K2056" s="65"/>
      <c r="L2056" s="65"/>
      <c r="N2056" s="65"/>
    </row>
    <row r="2057" spans="1:14">
      <c r="A2057" s="106"/>
      <c r="B2057" s="108"/>
      <c r="C2057" s="108"/>
      <c r="D2057" s="108"/>
      <c r="E2057" s="108"/>
      <c r="F2057" s="108"/>
      <c r="G2057" s="109"/>
      <c r="H2057" s="110"/>
      <c r="K2057" s="65"/>
      <c r="L2057" s="65"/>
      <c r="N2057" s="65"/>
    </row>
    <row r="2058" spans="1:14">
      <c r="A2058" s="106"/>
      <c r="B2058" s="108"/>
      <c r="C2058" s="108"/>
      <c r="D2058" s="108"/>
      <c r="E2058" s="108"/>
      <c r="F2058" s="108"/>
      <c r="G2058" s="109"/>
      <c r="H2058" s="110"/>
      <c r="K2058" s="65"/>
      <c r="L2058" s="65"/>
      <c r="N2058" s="65"/>
    </row>
    <row r="2059" spans="1:14">
      <c r="A2059" s="106"/>
      <c r="B2059" s="108"/>
      <c r="C2059" s="108"/>
      <c r="D2059" s="108"/>
      <c r="E2059" s="108"/>
      <c r="F2059" s="108"/>
      <c r="G2059" s="109"/>
      <c r="H2059" s="110"/>
      <c r="K2059" s="65"/>
      <c r="L2059" s="65"/>
      <c r="N2059" s="65"/>
    </row>
    <row r="2060" spans="1:14">
      <c r="A2060" s="106"/>
      <c r="B2060" s="108"/>
      <c r="C2060" s="108"/>
      <c r="D2060" s="108"/>
      <c r="E2060" s="108"/>
      <c r="F2060" s="108"/>
      <c r="G2060" s="109"/>
      <c r="H2060" s="110"/>
      <c r="K2060" s="65"/>
      <c r="L2060" s="65"/>
      <c r="N2060" s="65"/>
    </row>
    <row r="2061" spans="1:14">
      <c r="A2061" s="106"/>
      <c r="B2061" s="108"/>
      <c r="C2061" s="108"/>
      <c r="D2061" s="108"/>
      <c r="E2061" s="108"/>
      <c r="F2061" s="108"/>
      <c r="G2061" s="109"/>
      <c r="H2061" s="110"/>
      <c r="K2061" s="65"/>
      <c r="L2061" s="65"/>
      <c r="N2061" s="65"/>
    </row>
    <row r="2062" spans="1:14">
      <c r="A2062" s="106"/>
      <c r="B2062" s="108"/>
      <c r="C2062" s="108"/>
      <c r="D2062" s="108"/>
      <c r="E2062" s="108"/>
      <c r="F2062" s="108"/>
      <c r="G2062" s="109"/>
      <c r="H2062" s="110"/>
      <c r="K2062" s="65"/>
      <c r="L2062" s="65"/>
      <c r="N2062" s="65"/>
    </row>
    <row r="2063" spans="1:14">
      <c r="A2063" s="106"/>
      <c r="B2063" s="108"/>
      <c r="C2063" s="108"/>
      <c r="D2063" s="108"/>
      <c r="E2063" s="108"/>
      <c r="F2063" s="108"/>
      <c r="G2063" s="109"/>
      <c r="H2063" s="110"/>
      <c r="K2063" s="65"/>
      <c r="L2063" s="65"/>
      <c r="N2063" s="65"/>
    </row>
    <row r="2064" spans="1:14">
      <c r="A2064" s="106"/>
      <c r="B2064" s="108"/>
      <c r="C2064" s="108"/>
      <c r="D2064" s="108"/>
      <c r="E2064" s="108"/>
      <c r="F2064" s="108"/>
      <c r="G2064" s="109"/>
      <c r="H2064" s="110"/>
      <c r="K2064" s="65"/>
      <c r="L2064" s="65"/>
      <c r="N2064" s="65"/>
    </row>
    <row r="2065" spans="1:14">
      <c r="A2065" s="106"/>
      <c r="B2065" s="108"/>
      <c r="C2065" s="108"/>
      <c r="D2065" s="108"/>
      <c r="E2065" s="108"/>
      <c r="F2065" s="108"/>
      <c r="G2065" s="109"/>
      <c r="H2065" s="110"/>
      <c r="K2065" s="65"/>
      <c r="L2065" s="65"/>
      <c r="N2065" s="65"/>
    </row>
    <row r="2066" spans="1:14">
      <c r="A2066" s="106"/>
      <c r="B2066" s="108"/>
      <c r="C2066" s="108"/>
      <c r="D2066" s="108"/>
      <c r="E2066" s="108"/>
      <c r="F2066" s="108"/>
      <c r="G2066" s="109"/>
      <c r="H2066" s="110"/>
      <c r="K2066" s="65"/>
      <c r="L2066" s="65"/>
      <c r="N2066" s="65"/>
    </row>
    <row r="2067" spans="1:14">
      <c r="A2067" s="106"/>
      <c r="B2067" s="108"/>
      <c r="C2067" s="108"/>
      <c r="D2067" s="108"/>
      <c r="E2067" s="108"/>
      <c r="F2067" s="108"/>
      <c r="G2067" s="109"/>
      <c r="H2067" s="110"/>
      <c r="K2067" s="65"/>
      <c r="L2067" s="65"/>
      <c r="N2067" s="65"/>
    </row>
    <row r="2068" spans="1:14">
      <c r="A2068" s="106"/>
      <c r="B2068" s="108"/>
      <c r="C2068" s="108"/>
      <c r="D2068" s="108"/>
      <c r="E2068" s="108"/>
      <c r="F2068" s="108"/>
      <c r="G2068" s="109"/>
      <c r="H2068" s="110"/>
      <c r="K2068" s="65"/>
      <c r="L2068" s="65"/>
      <c r="N2068" s="65"/>
    </row>
    <row r="2069" spans="1:14">
      <c r="A2069" s="106"/>
      <c r="B2069" s="108"/>
      <c r="C2069" s="108"/>
      <c r="D2069" s="108"/>
      <c r="E2069" s="108"/>
      <c r="F2069" s="108"/>
      <c r="G2069" s="109"/>
      <c r="H2069" s="110"/>
      <c r="K2069" s="65"/>
      <c r="L2069" s="65"/>
      <c r="N2069" s="65"/>
    </row>
    <row r="2070" spans="1:14">
      <c r="A2070" s="106"/>
      <c r="B2070" s="108"/>
      <c r="C2070" s="108"/>
      <c r="D2070" s="108"/>
      <c r="E2070" s="108"/>
      <c r="F2070" s="108"/>
      <c r="G2070" s="109"/>
      <c r="H2070" s="110"/>
      <c r="K2070" s="65"/>
      <c r="L2070" s="65"/>
      <c r="N2070" s="65"/>
    </row>
    <row r="2071" spans="1:14">
      <c r="A2071" s="106"/>
      <c r="B2071" s="108"/>
      <c r="C2071" s="108"/>
      <c r="D2071" s="108"/>
      <c r="E2071" s="108"/>
      <c r="F2071" s="108"/>
      <c r="G2071" s="109"/>
      <c r="H2071" s="110"/>
      <c r="K2071" s="65"/>
      <c r="L2071" s="65"/>
      <c r="N2071" s="65"/>
    </row>
    <row r="2072" spans="1:14">
      <c r="A2072" s="106"/>
      <c r="B2072" s="108"/>
      <c r="C2072" s="108"/>
      <c r="D2072" s="108"/>
      <c r="E2072" s="108"/>
      <c r="F2072" s="108"/>
      <c r="G2072" s="109"/>
      <c r="H2072" s="110"/>
      <c r="K2072" s="65"/>
      <c r="L2072" s="65"/>
      <c r="N2072" s="65"/>
    </row>
    <row r="2073" spans="1:14">
      <c r="A2073" s="106"/>
      <c r="B2073" s="108"/>
      <c r="C2073" s="108"/>
      <c r="D2073" s="108"/>
      <c r="E2073" s="108"/>
      <c r="F2073" s="108"/>
      <c r="G2073" s="109"/>
      <c r="H2073" s="110"/>
      <c r="K2073" s="65"/>
      <c r="L2073" s="65"/>
      <c r="N2073" s="65"/>
    </row>
    <row r="2074" spans="1:14">
      <c r="A2074" s="106"/>
      <c r="B2074" s="108"/>
      <c r="C2074" s="108"/>
      <c r="D2074" s="108"/>
      <c r="E2074" s="108"/>
      <c r="F2074" s="108"/>
      <c r="G2074" s="109"/>
      <c r="H2074" s="110"/>
      <c r="K2074" s="65"/>
      <c r="L2074" s="65"/>
      <c r="N2074" s="65"/>
    </row>
    <row r="2075" spans="1:14">
      <c r="A2075" s="106"/>
      <c r="B2075" s="108"/>
      <c r="C2075" s="108"/>
      <c r="D2075" s="108"/>
      <c r="E2075" s="108"/>
      <c r="F2075" s="108"/>
      <c r="G2075" s="109"/>
      <c r="H2075" s="110"/>
      <c r="K2075" s="65"/>
      <c r="L2075" s="65"/>
      <c r="N2075" s="65"/>
    </row>
    <row r="2076" spans="1:14">
      <c r="A2076" s="106"/>
      <c r="B2076" s="108"/>
      <c r="C2076" s="108"/>
      <c r="D2076" s="108"/>
      <c r="E2076" s="108"/>
      <c r="F2076" s="108"/>
      <c r="G2076" s="109"/>
      <c r="H2076" s="110"/>
      <c r="K2076" s="65"/>
      <c r="L2076" s="65"/>
      <c r="N2076" s="65"/>
    </row>
    <row r="2077" spans="1:14">
      <c r="A2077" s="106"/>
      <c r="B2077" s="108"/>
      <c r="C2077" s="108"/>
      <c r="D2077" s="108"/>
      <c r="E2077" s="108"/>
      <c r="F2077" s="108"/>
      <c r="G2077" s="109"/>
      <c r="H2077" s="110"/>
      <c r="K2077" s="65"/>
      <c r="L2077" s="65"/>
      <c r="N2077" s="65"/>
    </row>
    <row r="2078" spans="1:14">
      <c r="A2078" s="106"/>
      <c r="B2078" s="108"/>
      <c r="C2078" s="108"/>
      <c r="D2078" s="108"/>
      <c r="E2078" s="108"/>
      <c r="F2078" s="108"/>
      <c r="G2078" s="109"/>
      <c r="H2078" s="110"/>
      <c r="K2078" s="65"/>
      <c r="L2078" s="65"/>
      <c r="N2078" s="65"/>
    </row>
    <row r="2079" spans="1:14">
      <c r="A2079" s="106"/>
      <c r="B2079" s="108"/>
      <c r="C2079" s="108"/>
      <c r="D2079" s="108"/>
      <c r="E2079" s="108"/>
      <c r="F2079" s="108"/>
      <c r="G2079" s="109"/>
      <c r="H2079" s="110"/>
      <c r="K2079" s="65"/>
      <c r="L2079" s="65"/>
      <c r="N2079" s="65"/>
    </row>
    <row r="2080" spans="1:14">
      <c r="A2080" s="106"/>
      <c r="B2080" s="108"/>
      <c r="C2080" s="108"/>
      <c r="D2080" s="108"/>
      <c r="E2080" s="108"/>
      <c r="F2080" s="108"/>
      <c r="G2080" s="109"/>
      <c r="H2080" s="110"/>
      <c r="K2080" s="65"/>
      <c r="L2080" s="65"/>
      <c r="N2080" s="65"/>
    </row>
    <row r="2081" spans="1:14">
      <c r="A2081" s="106"/>
      <c r="B2081" s="108"/>
      <c r="C2081" s="108"/>
      <c r="D2081" s="108"/>
      <c r="E2081" s="108"/>
      <c r="F2081" s="108"/>
      <c r="G2081" s="109"/>
      <c r="H2081" s="110"/>
      <c r="K2081" s="65"/>
      <c r="L2081" s="65"/>
      <c r="N2081" s="65"/>
    </row>
    <row r="2082" spans="1:14">
      <c r="A2082" s="106"/>
      <c r="B2082" s="108"/>
      <c r="C2082" s="108"/>
      <c r="D2082" s="108"/>
      <c r="E2082" s="108"/>
      <c r="F2082" s="108"/>
      <c r="G2082" s="109"/>
      <c r="H2082" s="110"/>
      <c r="K2082" s="65"/>
      <c r="L2082" s="65"/>
      <c r="N2082" s="65"/>
    </row>
    <row r="2083" spans="1:14">
      <c r="A2083" s="106"/>
      <c r="B2083" s="108"/>
      <c r="C2083" s="108"/>
      <c r="D2083" s="108"/>
      <c r="E2083" s="108"/>
      <c r="F2083" s="108"/>
      <c r="G2083" s="109"/>
      <c r="H2083" s="110"/>
      <c r="K2083" s="65"/>
      <c r="L2083" s="65"/>
      <c r="N2083" s="65"/>
    </row>
    <row r="2084" spans="1:14">
      <c r="A2084" s="106"/>
      <c r="B2084" s="108"/>
      <c r="C2084" s="108"/>
      <c r="D2084" s="108"/>
      <c r="E2084" s="108"/>
      <c r="F2084" s="108"/>
      <c r="G2084" s="109"/>
      <c r="H2084" s="110"/>
      <c r="K2084" s="65"/>
      <c r="L2084" s="65"/>
      <c r="N2084" s="65"/>
    </row>
    <row r="2085" spans="1:14">
      <c r="A2085" s="106"/>
      <c r="B2085" s="108"/>
      <c r="C2085" s="108"/>
      <c r="D2085" s="108"/>
      <c r="E2085" s="108"/>
      <c r="F2085" s="108"/>
      <c r="G2085" s="109"/>
      <c r="H2085" s="110"/>
      <c r="K2085" s="65"/>
      <c r="L2085" s="65"/>
      <c r="N2085" s="65"/>
    </row>
    <row r="2086" spans="1:14">
      <c r="A2086" s="106"/>
      <c r="B2086" s="108"/>
      <c r="C2086" s="108"/>
      <c r="D2086" s="108"/>
      <c r="E2086" s="108"/>
      <c r="F2086" s="108"/>
      <c r="G2086" s="109"/>
      <c r="H2086" s="110"/>
      <c r="K2086" s="65"/>
      <c r="L2086" s="65"/>
      <c r="N2086" s="65"/>
    </row>
    <row r="2087" spans="1:14">
      <c r="A2087" s="106"/>
      <c r="B2087" s="108"/>
      <c r="C2087" s="108"/>
      <c r="D2087" s="108"/>
      <c r="E2087" s="108"/>
      <c r="F2087" s="108"/>
      <c r="G2087" s="109"/>
      <c r="H2087" s="110"/>
      <c r="K2087" s="65"/>
      <c r="L2087" s="65"/>
      <c r="N2087" s="65"/>
    </row>
    <row r="2088" spans="1:14">
      <c r="A2088" s="106"/>
      <c r="B2088" s="108"/>
      <c r="C2088" s="108"/>
      <c r="D2088" s="108"/>
      <c r="E2088" s="108"/>
      <c r="F2088" s="108"/>
      <c r="G2088" s="109"/>
      <c r="H2088" s="110"/>
      <c r="K2088" s="65"/>
      <c r="L2088" s="65"/>
      <c r="N2088" s="65"/>
    </row>
    <row r="2089" spans="1:14">
      <c r="A2089" s="106"/>
      <c r="B2089" s="108"/>
      <c r="C2089" s="108"/>
      <c r="D2089" s="108"/>
      <c r="E2089" s="108"/>
      <c r="F2089" s="108"/>
      <c r="G2089" s="109"/>
      <c r="H2089" s="110"/>
      <c r="K2089" s="65"/>
      <c r="L2089" s="65"/>
      <c r="N2089" s="65"/>
    </row>
    <row r="2090" spans="1:14">
      <c r="A2090" s="106"/>
      <c r="B2090" s="108"/>
      <c r="C2090" s="108"/>
      <c r="D2090" s="108"/>
      <c r="E2090" s="108"/>
      <c r="F2090" s="108"/>
      <c r="G2090" s="109"/>
      <c r="H2090" s="110"/>
      <c r="K2090" s="65"/>
      <c r="L2090" s="65"/>
      <c r="N2090" s="65"/>
    </row>
    <row r="2091" spans="1:14">
      <c r="A2091" s="106"/>
      <c r="B2091" s="108"/>
      <c r="C2091" s="108"/>
      <c r="D2091" s="108"/>
      <c r="E2091" s="108"/>
      <c r="F2091" s="108"/>
      <c r="G2091" s="109"/>
      <c r="H2091" s="110"/>
      <c r="K2091" s="65"/>
      <c r="L2091" s="65"/>
      <c r="N2091" s="65"/>
    </row>
    <row r="2092" spans="1:14">
      <c r="A2092" s="106"/>
      <c r="B2092" s="108"/>
      <c r="C2092" s="108"/>
      <c r="D2092" s="108"/>
      <c r="E2092" s="108"/>
      <c r="F2092" s="108"/>
      <c r="G2092" s="109"/>
      <c r="H2092" s="110"/>
      <c r="K2092" s="65"/>
      <c r="L2092" s="65"/>
      <c r="N2092" s="65"/>
    </row>
    <row r="2093" spans="1:14">
      <c r="A2093" s="106"/>
      <c r="B2093" s="108"/>
      <c r="C2093" s="108"/>
      <c r="D2093" s="108"/>
      <c r="E2093" s="108"/>
      <c r="F2093" s="108"/>
      <c r="G2093" s="109"/>
      <c r="H2093" s="110"/>
      <c r="K2093" s="65"/>
      <c r="L2093" s="65"/>
      <c r="N2093" s="65"/>
    </row>
    <row r="2094" spans="1:14">
      <c r="A2094" s="106"/>
      <c r="B2094" s="108"/>
      <c r="C2094" s="108"/>
      <c r="D2094" s="108"/>
      <c r="E2094" s="108"/>
      <c r="F2094" s="108"/>
      <c r="G2094" s="109"/>
      <c r="H2094" s="110"/>
      <c r="K2094" s="65"/>
      <c r="L2094" s="65"/>
      <c r="N2094" s="65"/>
    </row>
    <row r="2095" spans="1:14">
      <c r="A2095" s="106"/>
      <c r="B2095" s="108"/>
      <c r="C2095" s="108"/>
      <c r="D2095" s="108"/>
      <c r="E2095" s="108"/>
      <c r="F2095" s="108"/>
      <c r="G2095" s="109"/>
      <c r="H2095" s="110"/>
      <c r="K2095" s="65"/>
      <c r="L2095" s="65"/>
      <c r="N2095" s="65"/>
    </row>
    <row r="2096" spans="1:14">
      <c r="A2096" s="106"/>
      <c r="B2096" s="108"/>
      <c r="C2096" s="108"/>
      <c r="D2096" s="108"/>
      <c r="E2096" s="108"/>
      <c r="F2096" s="108"/>
      <c r="G2096" s="109"/>
      <c r="H2096" s="110"/>
      <c r="K2096" s="65"/>
      <c r="L2096" s="65"/>
      <c r="N2096" s="65"/>
    </row>
    <row r="2097" spans="1:14">
      <c r="A2097" s="106"/>
      <c r="B2097" s="108"/>
      <c r="C2097" s="108"/>
      <c r="D2097" s="108"/>
      <c r="E2097" s="108"/>
      <c r="F2097" s="108"/>
      <c r="G2097" s="109"/>
      <c r="H2097" s="110"/>
      <c r="K2097" s="65"/>
      <c r="L2097" s="65"/>
      <c r="N2097" s="65"/>
    </row>
    <row r="2098" spans="1:14">
      <c r="A2098" s="106"/>
      <c r="B2098" s="108"/>
      <c r="C2098" s="108"/>
      <c r="D2098" s="108"/>
      <c r="E2098" s="108"/>
      <c r="F2098" s="108"/>
      <c r="G2098" s="109"/>
      <c r="H2098" s="110"/>
      <c r="K2098" s="65"/>
      <c r="L2098" s="65"/>
      <c r="N2098" s="65"/>
    </row>
    <row r="2099" spans="1:14">
      <c r="A2099" s="106"/>
      <c r="B2099" s="108"/>
      <c r="C2099" s="108"/>
      <c r="D2099" s="108"/>
      <c r="E2099" s="108"/>
      <c r="F2099" s="108"/>
      <c r="G2099" s="109"/>
      <c r="H2099" s="110"/>
      <c r="K2099" s="65"/>
      <c r="L2099" s="65"/>
      <c r="N2099" s="65"/>
    </row>
    <row r="2100" spans="1:14">
      <c r="A2100" s="106"/>
      <c r="B2100" s="108"/>
      <c r="C2100" s="108"/>
      <c r="D2100" s="108"/>
      <c r="E2100" s="108"/>
      <c r="F2100" s="108"/>
      <c r="G2100" s="109"/>
      <c r="H2100" s="110"/>
      <c r="K2100" s="65"/>
      <c r="L2100" s="65"/>
      <c r="N2100" s="65"/>
    </row>
    <row r="2101" spans="1:14">
      <c r="A2101" s="106"/>
      <c r="B2101" s="108"/>
      <c r="C2101" s="108"/>
      <c r="D2101" s="108"/>
      <c r="E2101" s="108"/>
      <c r="F2101" s="108"/>
      <c r="G2101" s="109"/>
      <c r="H2101" s="110"/>
      <c r="K2101" s="65"/>
      <c r="L2101" s="65"/>
      <c r="N2101" s="65"/>
    </row>
    <row r="2102" spans="1:14">
      <c r="A2102" s="106"/>
      <c r="B2102" s="108"/>
      <c r="C2102" s="108"/>
      <c r="D2102" s="108"/>
      <c r="E2102" s="108"/>
      <c r="F2102" s="108"/>
      <c r="G2102" s="109"/>
      <c r="H2102" s="110"/>
      <c r="K2102" s="65"/>
      <c r="L2102" s="65"/>
      <c r="N2102" s="65"/>
    </row>
    <row r="2103" spans="1:14">
      <c r="A2103" s="106"/>
      <c r="B2103" s="108"/>
      <c r="C2103" s="108"/>
      <c r="D2103" s="108"/>
      <c r="E2103" s="108"/>
      <c r="F2103" s="108"/>
      <c r="G2103" s="109"/>
      <c r="H2103" s="110"/>
      <c r="K2103" s="65"/>
      <c r="L2103" s="65"/>
      <c r="N2103" s="65"/>
    </row>
    <row r="2104" spans="1:14">
      <c r="A2104" s="106"/>
      <c r="B2104" s="108"/>
      <c r="C2104" s="108"/>
      <c r="D2104" s="108"/>
      <c r="E2104" s="108"/>
      <c r="F2104" s="108"/>
      <c r="G2104" s="109"/>
      <c r="H2104" s="110"/>
      <c r="K2104" s="65"/>
      <c r="L2104" s="65"/>
      <c r="N2104" s="65"/>
    </row>
    <row r="2105" spans="1:14">
      <c r="A2105" s="106"/>
      <c r="B2105" s="108"/>
      <c r="C2105" s="108"/>
      <c r="D2105" s="108"/>
      <c r="E2105" s="108"/>
      <c r="F2105" s="108"/>
      <c r="G2105" s="109"/>
      <c r="H2105" s="110"/>
      <c r="K2105" s="65"/>
      <c r="L2105" s="65"/>
      <c r="N2105" s="65"/>
    </row>
    <row r="2106" spans="1:14">
      <c r="A2106" s="106"/>
      <c r="B2106" s="108"/>
      <c r="C2106" s="108"/>
      <c r="D2106" s="108"/>
      <c r="E2106" s="108"/>
      <c r="F2106" s="108"/>
      <c r="G2106" s="109"/>
      <c r="H2106" s="110"/>
      <c r="K2106" s="65"/>
      <c r="L2106" s="65"/>
      <c r="N2106" s="65"/>
    </row>
    <row r="2107" spans="1:14">
      <c r="A2107" s="106"/>
      <c r="B2107" s="108"/>
      <c r="C2107" s="108"/>
      <c r="D2107" s="108"/>
      <c r="E2107" s="108"/>
      <c r="F2107" s="108"/>
      <c r="G2107" s="109"/>
      <c r="H2107" s="110"/>
      <c r="K2107" s="65"/>
      <c r="L2107" s="65"/>
      <c r="N2107" s="65"/>
    </row>
    <row r="2108" spans="1:14">
      <c r="A2108" s="106"/>
      <c r="B2108" s="108"/>
      <c r="C2108" s="108"/>
      <c r="D2108" s="108"/>
      <c r="E2108" s="108"/>
      <c r="F2108" s="108"/>
      <c r="G2108" s="109"/>
      <c r="H2108" s="110"/>
      <c r="K2108" s="65"/>
      <c r="L2108" s="65"/>
      <c r="N2108" s="65"/>
    </row>
    <row r="2109" spans="1:14">
      <c r="A2109" s="106"/>
      <c r="B2109" s="108"/>
      <c r="C2109" s="108"/>
      <c r="D2109" s="108"/>
      <c r="E2109" s="108"/>
      <c r="F2109" s="108"/>
      <c r="G2109" s="109"/>
      <c r="H2109" s="110"/>
      <c r="K2109" s="65"/>
      <c r="L2109" s="65"/>
      <c r="N2109" s="65"/>
    </row>
    <row r="2110" spans="1:14">
      <c r="A2110" s="106"/>
      <c r="B2110" s="108"/>
      <c r="C2110" s="108"/>
      <c r="D2110" s="108"/>
      <c r="E2110" s="108"/>
      <c r="F2110" s="108"/>
      <c r="G2110" s="109"/>
      <c r="H2110" s="110"/>
      <c r="K2110" s="65"/>
      <c r="L2110" s="65"/>
      <c r="N2110" s="65"/>
    </row>
    <row r="2111" spans="1:14">
      <c r="A2111" s="106"/>
      <c r="B2111" s="108"/>
      <c r="C2111" s="108"/>
      <c r="D2111" s="108"/>
      <c r="E2111" s="108"/>
      <c r="F2111" s="108"/>
      <c r="G2111" s="109"/>
      <c r="H2111" s="110"/>
      <c r="K2111" s="65"/>
      <c r="L2111" s="65"/>
      <c r="N2111" s="65"/>
    </row>
    <row r="2112" spans="1:14">
      <c r="A2112" s="106"/>
      <c r="B2112" s="108"/>
      <c r="C2112" s="108"/>
      <c r="D2112" s="108"/>
      <c r="E2112" s="108"/>
      <c r="F2112" s="108"/>
      <c r="G2112" s="109"/>
      <c r="H2112" s="110"/>
      <c r="K2112" s="65"/>
      <c r="L2112" s="65"/>
      <c r="N2112" s="65"/>
    </row>
    <row r="2113" spans="1:14">
      <c r="A2113" s="106"/>
      <c r="B2113" s="108"/>
      <c r="C2113" s="108"/>
      <c r="D2113" s="108"/>
      <c r="E2113" s="108"/>
      <c r="F2113" s="108"/>
      <c r="G2113" s="109"/>
      <c r="H2113" s="110"/>
      <c r="K2113" s="65"/>
      <c r="L2113" s="65"/>
      <c r="N2113" s="65"/>
    </row>
    <row r="2114" spans="1:14">
      <c r="A2114" s="106"/>
      <c r="B2114" s="108"/>
      <c r="C2114" s="108"/>
      <c r="D2114" s="108"/>
      <c r="E2114" s="108"/>
      <c r="F2114" s="108"/>
      <c r="G2114" s="109"/>
      <c r="H2114" s="110"/>
      <c r="K2114" s="65"/>
      <c r="L2114" s="65"/>
      <c r="N2114" s="65"/>
    </row>
    <row r="2115" spans="1:14">
      <c r="A2115" s="106"/>
      <c r="B2115" s="108"/>
      <c r="C2115" s="108"/>
      <c r="D2115" s="108"/>
      <c r="E2115" s="108"/>
      <c r="F2115" s="108"/>
      <c r="G2115" s="109"/>
      <c r="H2115" s="110"/>
      <c r="K2115" s="65"/>
      <c r="L2115" s="65"/>
      <c r="N2115" s="65"/>
    </row>
    <row r="2116" spans="1:14">
      <c r="A2116" s="106"/>
      <c r="B2116" s="108"/>
      <c r="C2116" s="108"/>
      <c r="D2116" s="108"/>
      <c r="E2116" s="108"/>
      <c r="F2116" s="108"/>
      <c r="G2116" s="109"/>
      <c r="H2116" s="110"/>
      <c r="K2116" s="65"/>
      <c r="L2116" s="65"/>
      <c r="N2116" s="65"/>
    </row>
    <row r="2117" spans="1:14">
      <c r="A2117" s="106"/>
      <c r="B2117" s="108"/>
      <c r="C2117" s="108"/>
      <c r="D2117" s="108"/>
      <c r="E2117" s="108"/>
      <c r="F2117" s="108"/>
      <c r="G2117" s="109"/>
      <c r="H2117" s="110"/>
      <c r="K2117" s="65"/>
      <c r="L2117" s="65"/>
      <c r="N2117" s="65"/>
    </row>
    <row r="2118" spans="1:14">
      <c r="A2118" s="106"/>
      <c r="B2118" s="108"/>
      <c r="C2118" s="108"/>
      <c r="D2118" s="108"/>
      <c r="E2118" s="108"/>
      <c r="F2118" s="108"/>
      <c r="G2118" s="109"/>
      <c r="H2118" s="110"/>
      <c r="K2118" s="65"/>
      <c r="L2118" s="65"/>
      <c r="N2118" s="65"/>
    </row>
    <row r="2119" spans="1:14">
      <c r="A2119" s="106"/>
      <c r="B2119" s="108"/>
      <c r="C2119" s="108"/>
      <c r="D2119" s="108"/>
      <c r="E2119" s="108"/>
      <c r="F2119" s="108"/>
      <c r="G2119" s="109"/>
      <c r="H2119" s="110"/>
      <c r="K2119" s="65"/>
      <c r="L2119" s="65"/>
      <c r="N2119" s="65"/>
    </row>
    <row r="2120" spans="1:14">
      <c r="A2120" s="106"/>
      <c r="B2120" s="108"/>
      <c r="C2120" s="108"/>
      <c r="D2120" s="108"/>
      <c r="E2120" s="108"/>
      <c r="F2120" s="108"/>
      <c r="G2120" s="109"/>
      <c r="H2120" s="110"/>
      <c r="K2120" s="65"/>
      <c r="L2120" s="65"/>
      <c r="N2120" s="65"/>
    </row>
    <row r="2121" spans="1:14">
      <c r="A2121" s="106"/>
      <c r="B2121" s="108"/>
      <c r="C2121" s="108"/>
      <c r="D2121" s="108"/>
      <c r="E2121" s="108"/>
      <c r="F2121" s="108"/>
      <c r="G2121" s="109"/>
      <c r="H2121" s="110"/>
      <c r="K2121" s="65"/>
      <c r="L2121" s="65"/>
      <c r="N2121" s="65"/>
    </row>
    <row r="2122" spans="1:14">
      <c r="A2122" s="106"/>
      <c r="B2122" s="108"/>
      <c r="C2122" s="108"/>
      <c r="D2122" s="108"/>
      <c r="E2122" s="108"/>
      <c r="F2122" s="108"/>
      <c r="G2122" s="109"/>
      <c r="H2122" s="110"/>
      <c r="K2122" s="65"/>
      <c r="L2122" s="65"/>
      <c r="N2122" s="65"/>
    </row>
    <row r="2123" spans="1:14">
      <c r="A2123" s="106"/>
      <c r="B2123" s="108"/>
      <c r="C2123" s="108"/>
      <c r="D2123" s="108"/>
      <c r="E2123" s="108"/>
      <c r="F2123" s="108"/>
      <c r="G2123" s="109"/>
      <c r="H2123" s="110"/>
      <c r="K2123" s="65"/>
      <c r="L2123" s="65"/>
      <c r="N2123" s="65"/>
    </row>
    <row r="2124" spans="1:14">
      <c r="A2124" s="106"/>
      <c r="B2124" s="108"/>
      <c r="C2124" s="108"/>
      <c r="D2124" s="108"/>
      <c r="E2124" s="108"/>
      <c r="F2124" s="108"/>
      <c r="G2124" s="109"/>
      <c r="H2124" s="110"/>
      <c r="K2124" s="65"/>
      <c r="L2124" s="65"/>
      <c r="N2124" s="65"/>
    </row>
    <row r="2125" spans="1:14">
      <c r="A2125" s="106"/>
      <c r="B2125" s="108"/>
      <c r="C2125" s="108"/>
      <c r="D2125" s="108"/>
      <c r="E2125" s="108"/>
      <c r="F2125" s="108"/>
      <c r="G2125" s="109"/>
      <c r="H2125" s="110"/>
      <c r="K2125" s="65"/>
      <c r="L2125" s="65"/>
      <c r="N2125" s="65"/>
    </row>
    <row r="2126" spans="1:14">
      <c r="A2126" s="106"/>
      <c r="B2126" s="108"/>
      <c r="C2126" s="108"/>
      <c r="D2126" s="108"/>
      <c r="E2126" s="108"/>
      <c r="F2126" s="108"/>
      <c r="G2126" s="109"/>
      <c r="H2126" s="110"/>
      <c r="K2126" s="65"/>
      <c r="L2126" s="65"/>
      <c r="N2126" s="65"/>
    </row>
    <row r="2127" spans="1:14">
      <c r="A2127" s="106"/>
      <c r="B2127" s="108"/>
      <c r="C2127" s="108"/>
      <c r="D2127" s="108"/>
      <c r="E2127" s="108"/>
      <c r="F2127" s="108"/>
      <c r="G2127" s="109"/>
      <c r="H2127" s="110"/>
      <c r="K2127" s="65"/>
      <c r="L2127" s="65"/>
      <c r="N2127" s="65"/>
    </row>
    <row r="2128" spans="1:14">
      <c r="A2128" s="106"/>
      <c r="B2128" s="108"/>
      <c r="C2128" s="108"/>
      <c r="D2128" s="108"/>
      <c r="E2128" s="108"/>
      <c r="F2128" s="108"/>
      <c r="G2128" s="109"/>
      <c r="H2128" s="110"/>
      <c r="K2128" s="65"/>
      <c r="L2128" s="65"/>
      <c r="N2128" s="65"/>
    </row>
    <row r="2129" spans="1:14">
      <c r="A2129" s="106"/>
      <c r="B2129" s="108"/>
      <c r="C2129" s="108"/>
      <c r="D2129" s="108"/>
      <c r="E2129" s="108"/>
      <c r="F2129" s="108"/>
      <c r="G2129" s="109"/>
      <c r="H2129" s="110"/>
      <c r="K2129" s="65"/>
      <c r="L2129" s="65"/>
      <c r="N2129" s="65"/>
    </row>
    <row r="2130" spans="1:14">
      <c r="A2130" s="106"/>
      <c r="B2130" s="108"/>
      <c r="C2130" s="108"/>
      <c r="D2130" s="108"/>
      <c r="E2130" s="108"/>
      <c r="F2130" s="108"/>
      <c r="G2130" s="109"/>
      <c r="H2130" s="110"/>
      <c r="K2130" s="65"/>
      <c r="L2130" s="65"/>
      <c r="N2130" s="65"/>
    </row>
    <row r="2131" spans="1:14">
      <c r="A2131" s="106"/>
      <c r="B2131" s="108"/>
      <c r="C2131" s="108"/>
      <c r="D2131" s="108"/>
      <c r="E2131" s="108"/>
      <c r="F2131" s="108"/>
      <c r="G2131" s="109"/>
      <c r="H2131" s="110"/>
      <c r="K2131" s="65"/>
      <c r="L2131" s="65"/>
      <c r="N2131" s="65"/>
    </row>
    <row r="2132" spans="1:14">
      <c r="A2132" s="106"/>
      <c r="B2132" s="108"/>
      <c r="C2132" s="108"/>
      <c r="D2132" s="108"/>
      <c r="E2132" s="108"/>
      <c r="F2132" s="108"/>
      <c r="G2132" s="109"/>
      <c r="H2132" s="110"/>
      <c r="K2132" s="65"/>
      <c r="L2132" s="65"/>
      <c r="N2132" s="65"/>
    </row>
    <row r="2133" spans="1:14">
      <c r="A2133" s="106"/>
      <c r="B2133" s="108"/>
      <c r="C2133" s="108"/>
      <c r="D2133" s="108"/>
      <c r="E2133" s="108"/>
      <c r="F2133" s="108"/>
      <c r="G2133" s="109"/>
      <c r="H2133" s="110"/>
      <c r="K2133" s="65"/>
      <c r="L2133" s="65"/>
      <c r="N2133" s="65"/>
    </row>
    <row r="2134" spans="1:14">
      <c r="A2134" s="106"/>
      <c r="B2134" s="108"/>
      <c r="C2134" s="108"/>
      <c r="D2134" s="108"/>
      <c r="E2134" s="108"/>
      <c r="F2134" s="108"/>
      <c r="G2134" s="109"/>
      <c r="H2134" s="110"/>
      <c r="K2134" s="65"/>
      <c r="L2134" s="65"/>
      <c r="N2134" s="65"/>
    </row>
    <row r="2135" spans="1:14">
      <c r="A2135" s="106"/>
      <c r="B2135" s="108"/>
      <c r="C2135" s="108"/>
      <c r="D2135" s="108"/>
      <c r="E2135" s="108"/>
      <c r="F2135" s="108"/>
      <c r="G2135" s="109"/>
      <c r="H2135" s="110"/>
      <c r="K2135" s="65"/>
      <c r="L2135" s="65"/>
      <c r="N2135" s="65"/>
    </row>
    <row r="2136" spans="1:14">
      <c r="A2136" s="106"/>
      <c r="B2136" s="108"/>
      <c r="C2136" s="108"/>
      <c r="D2136" s="108"/>
      <c r="E2136" s="108"/>
      <c r="F2136" s="108"/>
      <c r="G2136" s="109"/>
      <c r="H2136" s="110"/>
      <c r="K2136" s="65"/>
      <c r="L2136" s="65"/>
      <c r="N2136" s="65"/>
    </row>
    <row r="2137" spans="1:14">
      <c r="A2137" s="106"/>
      <c r="B2137" s="108"/>
      <c r="C2137" s="108"/>
      <c r="D2137" s="108"/>
      <c r="E2137" s="108"/>
      <c r="F2137" s="108"/>
      <c r="G2137" s="109"/>
      <c r="H2137" s="110"/>
      <c r="K2137" s="65"/>
      <c r="L2137" s="65"/>
      <c r="N2137" s="65"/>
    </row>
    <row r="2138" spans="1:14">
      <c r="A2138" s="106"/>
      <c r="B2138" s="108"/>
      <c r="C2138" s="108"/>
      <c r="D2138" s="108"/>
      <c r="E2138" s="108"/>
      <c r="F2138" s="108"/>
      <c r="G2138" s="109"/>
      <c r="H2138" s="110"/>
      <c r="K2138" s="65"/>
      <c r="L2138" s="65"/>
      <c r="N2138" s="65"/>
    </row>
    <row r="2139" spans="1:14">
      <c r="A2139" s="106"/>
      <c r="B2139" s="108"/>
      <c r="C2139" s="108"/>
      <c r="D2139" s="108"/>
      <c r="E2139" s="108"/>
      <c r="F2139" s="108"/>
      <c r="G2139" s="109"/>
      <c r="H2139" s="110"/>
      <c r="K2139" s="65"/>
      <c r="L2139" s="65"/>
      <c r="N2139" s="65"/>
    </row>
    <row r="2140" spans="1:14">
      <c r="A2140" s="106"/>
      <c r="B2140" s="108"/>
      <c r="C2140" s="108"/>
      <c r="D2140" s="108"/>
      <c r="E2140" s="108"/>
      <c r="F2140" s="108"/>
      <c r="G2140" s="109"/>
      <c r="H2140" s="110"/>
      <c r="K2140" s="65"/>
      <c r="L2140" s="65"/>
      <c r="N2140" s="65"/>
    </row>
    <row r="2141" spans="1:14">
      <c r="A2141" s="106"/>
      <c r="B2141" s="108"/>
      <c r="C2141" s="108"/>
      <c r="D2141" s="108"/>
      <c r="E2141" s="108"/>
      <c r="F2141" s="108"/>
      <c r="G2141" s="109"/>
      <c r="H2141" s="110"/>
      <c r="K2141" s="65"/>
      <c r="L2141" s="65"/>
      <c r="N2141" s="65"/>
    </row>
    <row r="2142" spans="1:14">
      <c r="A2142" s="106"/>
      <c r="B2142" s="108"/>
      <c r="C2142" s="108"/>
      <c r="D2142" s="108"/>
      <c r="E2142" s="108"/>
      <c r="F2142" s="108"/>
      <c r="G2142" s="109"/>
      <c r="H2142" s="110"/>
      <c r="K2142" s="65"/>
      <c r="L2142" s="65"/>
      <c r="N2142" s="65"/>
    </row>
    <row r="2143" spans="1:14">
      <c r="A2143" s="106"/>
      <c r="B2143" s="108"/>
      <c r="C2143" s="108"/>
      <c r="D2143" s="108"/>
      <c r="E2143" s="108"/>
      <c r="F2143" s="108"/>
      <c r="G2143" s="109"/>
      <c r="H2143" s="110"/>
      <c r="K2143" s="65"/>
      <c r="L2143" s="65"/>
      <c r="N2143" s="65"/>
    </row>
    <row r="2144" spans="1:14">
      <c r="A2144" s="106"/>
      <c r="B2144" s="108"/>
      <c r="C2144" s="108"/>
      <c r="D2144" s="108"/>
      <c r="E2144" s="108"/>
      <c r="F2144" s="108"/>
      <c r="G2144" s="109"/>
      <c r="H2144" s="110"/>
      <c r="K2144" s="65"/>
      <c r="L2144" s="65"/>
      <c r="N2144" s="65"/>
    </row>
    <row r="2145" spans="1:14">
      <c r="A2145" s="106"/>
      <c r="B2145" s="108"/>
      <c r="C2145" s="108"/>
      <c r="D2145" s="108"/>
      <c r="E2145" s="108"/>
      <c r="F2145" s="108"/>
      <c r="G2145" s="109"/>
      <c r="H2145" s="110"/>
      <c r="K2145" s="65"/>
      <c r="L2145" s="65"/>
      <c r="N2145" s="65"/>
    </row>
    <row r="2146" spans="1:14">
      <c r="A2146" s="106"/>
      <c r="B2146" s="108"/>
      <c r="C2146" s="108"/>
      <c r="D2146" s="108"/>
      <c r="E2146" s="108"/>
      <c r="F2146" s="108"/>
      <c r="G2146" s="109"/>
      <c r="H2146" s="110"/>
      <c r="K2146" s="65"/>
      <c r="L2146" s="65"/>
      <c r="N2146" s="65"/>
    </row>
    <row r="2147" spans="1:14">
      <c r="A2147" s="106"/>
      <c r="B2147" s="108"/>
      <c r="C2147" s="108"/>
      <c r="D2147" s="108"/>
      <c r="E2147" s="108"/>
      <c r="F2147" s="108"/>
      <c r="G2147" s="109"/>
      <c r="H2147" s="110"/>
      <c r="K2147" s="65"/>
      <c r="L2147" s="65"/>
      <c r="N2147" s="65"/>
    </row>
    <row r="2148" spans="1:14">
      <c r="A2148" s="106"/>
      <c r="B2148" s="108"/>
      <c r="C2148" s="108"/>
      <c r="D2148" s="108"/>
      <c r="E2148" s="108"/>
      <c r="F2148" s="108"/>
      <c r="G2148" s="109"/>
      <c r="H2148" s="110"/>
      <c r="K2148" s="65"/>
      <c r="L2148" s="65"/>
      <c r="N2148" s="65"/>
    </row>
    <row r="2149" spans="1:14">
      <c r="A2149" s="106"/>
      <c r="B2149" s="108"/>
      <c r="C2149" s="108"/>
      <c r="D2149" s="108"/>
      <c r="E2149" s="108"/>
      <c r="F2149" s="108"/>
      <c r="G2149" s="109"/>
      <c r="H2149" s="110"/>
      <c r="K2149" s="65"/>
      <c r="L2149" s="65"/>
      <c r="N2149" s="65"/>
    </row>
    <row r="2150" spans="1:14">
      <c r="A2150" s="106"/>
      <c r="B2150" s="108"/>
      <c r="C2150" s="108"/>
      <c r="D2150" s="108"/>
      <c r="E2150" s="108"/>
      <c r="F2150" s="108"/>
      <c r="G2150" s="109"/>
      <c r="H2150" s="110"/>
      <c r="K2150" s="65"/>
      <c r="L2150" s="65"/>
      <c r="N2150" s="65"/>
    </row>
    <row r="2151" spans="1:14">
      <c r="A2151" s="106"/>
      <c r="B2151" s="108"/>
      <c r="C2151" s="108"/>
      <c r="D2151" s="108"/>
      <c r="E2151" s="108"/>
      <c r="F2151" s="108"/>
      <c r="G2151" s="109"/>
      <c r="H2151" s="110"/>
      <c r="K2151" s="65"/>
      <c r="L2151" s="65"/>
      <c r="N2151" s="65"/>
    </row>
    <row r="2152" spans="1:14">
      <c r="A2152" s="106"/>
      <c r="B2152" s="108"/>
      <c r="C2152" s="108"/>
      <c r="D2152" s="108"/>
      <c r="E2152" s="108"/>
      <c r="F2152" s="108"/>
      <c r="G2152" s="109"/>
      <c r="H2152" s="110"/>
      <c r="K2152" s="65"/>
      <c r="L2152" s="65"/>
      <c r="N2152" s="65"/>
    </row>
    <row r="2153" spans="1:14">
      <c r="A2153" s="106"/>
      <c r="B2153" s="108"/>
      <c r="C2153" s="108"/>
      <c r="D2153" s="108"/>
      <c r="E2153" s="108"/>
      <c r="F2153" s="108"/>
      <c r="G2153" s="109"/>
      <c r="H2153" s="110"/>
      <c r="K2153" s="65"/>
      <c r="L2153" s="65"/>
      <c r="N2153" s="65"/>
    </row>
    <row r="2154" spans="1:14">
      <c r="A2154" s="106"/>
      <c r="B2154" s="108"/>
      <c r="C2154" s="108"/>
      <c r="D2154" s="108"/>
      <c r="E2154" s="108"/>
      <c r="F2154" s="108"/>
      <c r="G2154" s="109"/>
      <c r="H2154" s="110"/>
      <c r="K2154" s="65"/>
      <c r="L2154" s="65"/>
      <c r="N2154" s="65"/>
    </row>
    <row r="2155" spans="1:14">
      <c r="A2155" s="106"/>
      <c r="B2155" s="108"/>
      <c r="C2155" s="108"/>
      <c r="D2155" s="108"/>
      <c r="E2155" s="108"/>
      <c r="F2155" s="108"/>
      <c r="G2155" s="109"/>
      <c r="H2155" s="110"/>
      <c r="K2155" s="65"/>
      <c r="L2155" s="65"/>
      <c r="N2155" s="65"/>
    </row>
    <row r="2156" spans="1:14">
      <c r="A2156" s="106"/>
      <c r="B2156" s="108"/>
      <c r="C2156" s="108"/>
      <c r="D2156" s="108"/>
      <c r="E2156" s="108"/>
      <c r="F2156" s="108"/>
      <c r="G2156" s="109"/>
      <c r="H2156" s="110"/>
      <c r="K2156" s="65"/>
      <c r="L2156" s="65"/>
      <c r="N2156" s="65"/>
    </row>
    <row r="2157" spans="1:14">
      <c r="A2157" s="106"/>
      <c r="B2157" s="108"/>
      <c r="C2157" s="108"/>
      <c r="D2157" s="108"/>
      <c r="E2157" s="108"/>
      <c r="F2157" s="108"/>
      <c r="G2157" s="109"/>
      <c r="H2157" s="110"/>
      <c r="K2157" s="65"/>
      <c r="L2157" s="65"/>
      <c r="N2157" s="65"/>
    </row>
    <row r="2158" spans="1:14">
      <c r="A2158" s="106"/>
      <c r="B2158" s="108"/>
      <c r="C2158" s="108"/>
      <c r="D2158" s="108"/>
      <c r="E2158" s="108"/>
      <c r="F2158" s="108"/>
      <c r="G2158" s="109"/>
      <c r="H2158" s="110"/>
      <c r="K2158" s="65"/>
      <c r="L2158" s="65"/>
      <c r="N2158" s="65"/>
    </row>
    <row r="2159" spans="1:14">
      <c r="A2159" s="106"/>
      <c r="B2159" s="108"/>
      <c r="C2159" s="108"/>
      <c r="D2159" s="108"/>
      <c r="E2159" s="108"/>
      <c r="F2159" s="108"/>
      <c r="G2159" s="109"/>
      <c r="H2159" s="110"/>
      <c r="K2159" s="65"/>
      <c r="L2159" s="65"/>
      <c r="N2159" s="65"/>
    </row>
    <row r="2160" spans="1:14">
      <c r="A2160" s="106"/>
      <c r="B2160" s="108"/>
      <c r="C2160" s="108"/>
      <c r="D2160" s="108"/>
      <c r="E2160" s="108"/>
      <c r="F2160" s="108"/>
      <c r="G2160" s="109"/>
      <c r="H2160" s="110"/>
      <c r="K2160" s="65"/>
      <c r="L2160" s="65"/>
      <c r="N2160" s="65"/>
    </row>
    <row r="2161" spans="1:14">
      <c r="A2161" s="106"/>
      <c r="B2161" s="108"/>
      <c r="C2161" s="108"/>
      <c r="D2161" s="108"/>
      <c r="E2161" s="108"/>
      <c r="F2161" s="108"/>
      <c r="G2161" s="109"/>
      <c r="H2161" s="110"/>
      <c r="K2161" s="65"/>
      <c r="L2161" s="65"/>
      <c r="N2161" s="65"/>
    </row>
    <row r="2162" spans="1:14">
      <c r="A2162" s="106"/>
      <c r="B2162" s="108"/>
      <c r="C2162" s="108"/>
      <c r="D2162" s="108"/>
      <c r="E2162" s="108"/>
      <c r="F2162" s="108"/>
      <c r="G2162" s="109"/>
      <c r="H2162" s="110"/>
      <c r="K2162" s="65"/>
      <c r="L2162" s="65"/>
      <c r="N2162" s="65"/>
    </row>
    <row r="2163" spans="1:14">
      <c r="A2163" s="106"/>
      <c r="B2163" s="108"/>
      <c r="C2163" s="108"/>
      <c r="D2163" s="108"/>
      <c r="E2163" s="108"/>
      <c r="F2163" s="108"/>
      <c r="G2163" s="109"/>
      <c r="H2163" s="110"/>
      <c r="K2163" s="65"/>
      <c r="L2163" s="65"/>
      <c r="N2163" s="65"/>
    </row>
    <row r="2164" spans="1:14">
      <c r="A2164" s="106"/>
      <c r="B2164" s="108"/>
      <c r="C2164" s="108"/>
      <c r="D2164" s="108"/>
      <c r="E2164" s="108"/>
      <c r="F2164" s="108"/>
      <c r="G2164" s="109"/>
      <c r="H2164" s="110"/>
      <c r="K2164" s="65"/>
      <c r="L2164" s="65"/>
      <c r="N2164" s="65"/>
    </row>
    <row r="2165" spans="1:14">
      <c r="A2165" s="106"/>
      <c r="B2165" s="108"/>
      <c r="C2165" s="108"/>
      <c r="D2165" s="108"/>
      <c r="E2165" s="108"/>
      <c r="F2165" s="108"/>
      <c r="G2165" s="109"/>
      <c r="H2165" s="110"/>
      <c r="K2165" s="65"/>
      <c r="L2165" s="65"/>
      <c r="N2165" s="65"/>
    </row>
    <row r="2166" spans="1:14">
      <c r="A2166" s="106"/>
      <c r="B2166" s="108"/>
      <c r="C2166" s="108"/>
      <c r="D2166" s="108"/>
      <c r="E2166" s="108"/>
      <c r="F2166" s="108"/>
      <c r="G2166" s="109"/>
      <c r="H2166" s="110"/>
      <c r="K2166" s="65"/>
      <c r="L2166" s="65"/>
      <c r="N2166" s="65"/>
    </row>
    <row r="2167" spans="1:14">
      <c r="A2167" s="106"/>
      <c r="B2167" s="108"/>
      <c r="C2167" s="108"/>
      <c r="D2167" s="108"/>
      <c r="E2167" s="108"/>
      <c r="F2167" s="108"/>
      <c r="G2167" s="109"/>
      <c r="H2167" s="110"/>
      <c r="K2167" s="65"/>
      <c r="L2167" s="65"/>
      <c r="N2167" s="65"/>
    </row>
    <row r="2168" spans="1:14">
      <c r="A2168" s="106"/>
      <c r="B2168" s="108"/>
      <c r="C2168" s="108"/>
      <c r="D2168" s="108"/>
      <c r="E2168" s="108"/>
      <c r="F2168" s="108"/>
      <c r="G2168" s="109"/>
      <c r="H2168" s="110"/>
      <c r="K2168" s="65"/>
      <c r="L2168" s="65"/>
      <c r="N2168" s="65"/>
    </row>
    <row r="2169" spans="1:14">
      <c r="A2169" s="106"/>
      <c r="B2169" s="108"/>
      <c r="C2169" s="108"/>
      <c r="D2169" s="108"/>
      <c r="E2169" s="108"/>
      <c r="F2169" s="108"/>
      <c r="G2169" s="109"/>
      <c r="H2169" s="110"/>
      <c r="K2169" s="65"/>
      <c r="L2169" s="65"/>
      <c r="N2169" s="65"/>
    </row>
    <row r="2170" spans="1:14">
      <c r="A2170" s="106"/>
      <c r="B2170" s="108"/>
      <c r="C2170" s="108"/>
      <c r="D2170" s="108"/>
      <c r="E2170" s="108"/>
      <c r="F2170" s="108"/>
      <c r="G2170" s="109"/>
      <c r="H2170" s="110"/>
      <c r="K2170" s="65"/>
      <c r="L2170" s="65"/>
      <c r="N2170" s="65"/>
    </row>
    <row r="2171" spans="1:14">
      <c r="A2171" s="106"/>
      <c r="B2171" s="108"/>
      <c r="C2171" s="108"/>
      <c r="D2171" s="108"/>
      <c r="E2171" s="108"/>
      <c r="F2171" s="108"/>
      <c r="G2171" s="109"/>
      <c r="H2171" s="110"/>
      <c r="K2171" s="65"/>
      <c r="L2171" s="65"/>
      <c r="N2171" s="65"/>
    </row>
    <row r="2172" spans="1:14">
      <c r="A2172" s="106"/>
      <c r="B2172" s="108"/>
      <c r="C2172" s="108"/>
      <c r="D2172" s="108"/>
      <c r="E2172" s="108"/>
      <c r="F2172" s="108"/>
      <c r="G2172" s="109"/>
      <c r="H2172" s="110"/>
      <c r="K2172" s="65"/>
      <c r="L2172" s="65"/>
      <c r="N2172" s="65"/>
    </row>
    <row r="2173" spans="1:14">
      <c r="A2173" s="106"/>
      <c r="B2173" s="108"/>
      <c r="C2173" s="108"/>
      <c r="D2173" s="108"/>
      <c r="E2173" s="108"/>
      <c r="F2173" s="108"/>
      <c r="G2173" s="109"/>
      <c r="H2173" s="110"/>
      <c r="K2173" s="65"/>
      <c r="L2173" s="65"/>
      <c r="N2173" s="65"/>
    </row>
    <row r="2174" spans="1:14">
      <c r="A2174" s="106"/>
      <c r="B2174" s="108"/>
      <c r="C2174" s="108"/>
      <c r="D2174" s="108"/>
      <c r="E2174" s="108"/>
      <c r="F2174" s="108"/>
      <c r="G2174" s="109"/>
      <c r="H2174" s="110"/>
      <c r="K2174" s="65"/>
      <c r="L2174" s="65"/>
      <c r="N2174" s="65"/>
    </row>
    <row r="2175" spans="1:14">
      <c r="A2175" s="106"/>
      <c r="B2175" s="108"/>
      <c r="C2175" s="108"/>
      <c r="D2175" s="108"/>
      <c r="E2175" s="108"/>
      <c r="F2175" s="108"/>
      <c r="G2175" s="109"/>
      <c r="H2175" s="110"/>
      <c r="K2175" s="65"/>
      <c r="L2175" s="65"/>
      <c r="N2175" s="65"/>
    </row>
    <row r="2176" spans="1:14">
      <c r="A2176" s="106"/>
      <c r="B2176" s="108"/>
      <c r="C2176" s="108"/>
      <c r="D2176" s="108"/>
      <c r="E2176" s="108"/>
      <c r="F2176" s="108"/>
      <c r="G2176" s="109"/>
      <c r="H2176" s="110"/>
      <c r="K2176" s="65"/>
      <c r="L2176" s="65"/>
      <c r="N2176" s="65"/>
    </row>
    <row r="2177" spans="1:14">
      <c r="A2177" s="106"/>
      <c r="B2177" s="108"/>
      <c r="C2177" s="108"/>
      <c r="D2177" s="108"/>
      <c r="E2177" s="108"/>
      <c r="F2177" s="108"/>
      <c r="G2177" s="109"/>
      <c r="H2177" s="110"/>
      <c r="K2177" s="65"/>
      <c r="L2177" s="65"/>
      <c r="N2177" s="65"/>
    </row>
    <row r="2178" spans="1:14">
      <c r="A2178" s="106"/>
      <c r="B2178" s="108"/>
      <c r="C2178" s="108"/>
      <c r="D2178" s="108"/>
      <c r="E2178" s="108"/>
      <c r="F2178" s="108"/>
      <c r="G2178" s="109"/>
      <c r="H2178" s="110"/>
      <c r="K2178" s="65"/>
      <c r="L2178" s="65"/>
      <c r="N2178" s="65"/>
    </row>
    <row r="2179" spans="1:14">
      <c r="A2179" s="106"/>
      <c r="B2179" s="108"/>
      <c r="C2179" s="108"/>
      <c r="D2179" s="108"/>
      <c r="E2179" s="108"/>
      <c r="F2179" s="108"/>
      <c r="G2179" s="109"/>
      <c r="H2179" s="110"/>
      <c r="K2179" s="65"/>
      <c r="L2179" s="65"/>
      <c r="N2179" s="65"/>
    </row>
    <row r="2180" spans="1:14">
      <c r="A2180" s="106"/>
      <c r="B2180" s="108"/>
      <c r="C2180" s="108"/>
      <c r="D2180" s="108"/>
      <c r="E2180" s="108"/>
      <c r="F2180" s="108"/>
      <c r="G2180" s="109"/>
      <c r="H2180" s="110"/>
      <c r="K2180" s="65"/>
      <c r="L2180" s="65"/>
      <c r="N2180" s="65"/>
    </row>
    <row r="2181" spans="1:14">
      <c r="A2181" s="106"/>
      <c r="B2181" s="108"/>
      <c r="C2181" s="108"/>
      <c r="D2181" s="108"/>
      <c r="E2181" s="108"/>
      <c r="F2181" s="108"/>
      <c r="G2181" s="109"/>
      <c r="H2181" s="110"/>
      <c r="K2181" s="65"/>
      <c r="L2181" s="65"/>
      <c r="N2181" s="65"/>
    </row>
    <row r="2182" spans="1:14">
      <c r="A2182" s="106"/>
      <c r="B2182" s="108"/>
      <c r="C2182" s="108"/>
      <c r="D2182" s="108"/>
      <c r="E2182" s="108"/>
      <c r="F2182" s="108"/>
      <c r="G2182" s="109"/>
      <c r="H2182" s="110"/>
      <c r="K2182" s="65"/>
      <c r="L2182" s="65"/>
      <c r="N2182" s="65"/>
    </row>
    <row r="2183" spans="1:14">
      <c r="A2183" s="106"/>
      <c r="B2183" s="108"/>
      <c r="C2183" s="108"/>
      <c r="D2183" s="108"/>
      <c r="E2183" s="108"/>
      <c r="F2183" s="108"/>
      <c r="G2183" s="109"/>
      <c r="H2183" s="110"/>
      <c r="K2183" s="65"/>
      <c r="L2183" s="65"/>
      <c r="N2183" s="65"/>
    </row>
    <row r="2184" spans="1:14">
      <c r="A2184" s="106"/>
      <c r="B2184" s="108"/>
      <c r="C2184" s="108"/>
      <c r="D2184" s="108"/>
      <c r="E2184" s="108"/>
      <c r="F2184" s="108"/>
      <c r="G2184" s="109"/>
      <c r="H2184" s="110"/>
      <c r="K2184" s="65"/>
      <c r="L2184" s="65"/>
      <c r="N2184" s="65"/>
    </row>
    <row r="2185" spans="1:14">
      <c r="A2185" s="106"/>
      <c r="B2185" s="108"/>
      <c r="C2185" s="108"/>
      <c r="D2185" s="108"/>
      <c r="E2185" s="108"/>
      <c r="F2185" s="108"/>
      <c r="G2185" s="109"/>
      <c r="H2185" s="110"/>
      <c r="K2185" s="65"/>
      <c r="L2185" s="65"/>
      <c r="N2185" s="65"/>
    </row>
    <row r="2186" spans="1:14">
      <c r="A2186" s="106"/>
      <c r="B2186" s="108"/>
      <c r="C2186" s="108"/>
      <c r="D2186" s="108"/>
      <c r="E2186" s="108"/>
      <c r="F2186" s="108"/>
      <c r="G2186" s="109"/>
      <c r="H2186" s="110"/>
      <c r="K2186" s="65"/>
      <c r="L2186" s="65"/>
      <c r="N2186" s="65"/>
    </row>
    <row r="2187" spans="1:14">
      <c r="A2187" s="106"/>
      <c r="B2187" s="108"/>
      <c r="C2187" s="108"/>
      <c r="D2187" s="108"/>
      <c r="E2187" s="108"/>
      <c r="F2187" s="108"/>
      <c r="G2187" s="109"/>
      <c r="H2187" s="110"/>
      <c r="K2187" s="65"/>
      <c r="L2187" s="65"/>
      <c r="N2187" s="65"/>
    </row>
    <row r="2188" spans="1:14">
      <c r="A2188" s="106"/>
      <c r="B2188" s="108"/>
      <c r="C2188" s="108"/>
      <c r="D2188" s="108"/>
      <c r="E2188" s="108"/>
      <c r="F2188" s="108"/>
      <c r="G2188" s="109"/>
      <c r="H2188" s="110"/>
      <c r="K2188" s="65"/>
      <c r="L2188" s="65"/>
      <c r="N2188" s="65"/>
    </row>
    <row r="2189" spans="1:14">
      <c r="A2189" s="106"/>
      <c r="B2189" s="108"/>
      <c r="C2189" s="108"/>
      <c r="D2189" s="108"/>
      <c r="E2189" s="108"/>
      <c r="F2189" s="108"/>
      <c r="G2189" s="109"/>
      <c r="H2189" s="110"/>
      <c r="K2189" s="65"/>
      <c r="L2189" s="65"/>
      <c r="N2189" s="65"/>
    </row>
    <row r="2190" spans="1:14">
      <c r="A2190" s="106"/>
      <c r="B2190" s="108"/>
      <c r="C2190" s="108"/>
      <c r="D2190" s="108"/>
      <c r="E2190" s="108"/>
      <c r="F2190" s="108"/>
      <c r="G2190" s="109"/>
      <c r="H2190" s="110"/>
      <c r="K2190" s="65"/>
      <c r="L2190" s="65"/>
      <c r="N2190" s="65"/>
    </row>
    <row r="2191" spans="1:14">
      <c r="A2191" s="106"/>
      <c r="B2191" s="108"/>
      <c r="C2191" s="108"/>
      <c r="D2191" s="108"/>
      <c r="E2191" s="108"/>
      <c r="F2191" s="108"/>
      <c r="G2191" s="109"/>
      <c r="H2191" s="110"/>
      <c r="K2191" s="65"/>
      <c r="L2191" s="65"/>
      <c r="N2191" s="65"/>
    </row>
    <row r="2192" spans="1:14">
      <c r="A2192" s="106"/>
      <c r="B2192" s="108"/>
      <c r="C2192" s="108"/>
      <c r="D2192" s="108"/>
      <c r="E2192" s="108"/>
      <c r="F2192" s="108"/>
      <c r="G2192" s="109"/>
      <c r="H2192" s="110"/>
      <c r="K2192" s="65"/>
      <c r="L2192" s="65"/>
      <c r="N2192" s="65"/>
    </row>
    <row r="2193" spans="1:14">
      <c r="A2193" s="106"/>
      <c r="B2193" s="108"/>
      <c r="C2193" s="108"/>
      <c r="D2193" s="108"/>
      <c r="E2193" s="108"/>
      <c r="F2193" s="108"/>
      <c r="G2193" s="109"/>
      <c r="H2193" s="110"/>
      <c r="K2193" s="65"/>
      <c r="L2193" s="65"/>
      <c r="N2193" s="65"/>
    </row>
    <row r="2194" spans="1:14">
      <c r="A2194" s="106"/>
      <c r="B2194" s="108"/>
      <c r="C2194" s="108"/>
      <c r="D2194" s="108"/>
      <c r="E2194" s="108"/>
      <c r="F2194" s="108"/>
      <c r="G2194" s="109"/>
      <c r="H2194" s="110"/>
      <c r="K2194" s="65"/>
      <c r="L2194" s="65"/>
      <c r="N2194" s="65"/>
    </row>
    <row r="2195" spans="1:14">
      <c r="A2195" s="106"/>
      <c r="B2195" s="108"/>
      <c r="C2195" s="108"/>
      <c r="D2195" s="108"/>
      <c r="E2195" s="108"/>
      <c r="F2195" s="108"/>
      <c r="G2195" s="109"/>
      <c r="H2195" s="110"/>
      <c r="K2195" s="65"/>
      <c r="L2195" s="65"/>
      <c r="N2195" s="65"/>
    </row>
    <row r="2196" spans="1:14">
      <c r="A2196" s="106"/>
      <c r="B2196" s="108"/>
      <c r="C2196" s="108"/>
      <c r="D2196" s="108"/>
      <c r="E2196" s="108"/>
      <c r="F2196" s="108"/>
      <c r="G2196" s="109"/>
      <c r="H2196" s="110"/>
      <c r="K2196" s="65"/>
      <c r="L2196" s="65"/>
      <c r="N2196" s="65"/>
    </row>
    <row r="2197" spans="1:14">
      <c r="A2197" s="106"/>
      <c r="B2197" s="108"/>
      <c r="C2197" s="108"/>
      <c r="D2197" s="108"/>
      <c r="E2197" s="108"/>
      <c r="F2197" s="108"/>
      <c r="G2197" s="109"/>
      <c r="H2197" s="110"/>
      <c r="K2197" s="65"/>
      <c r="L2197" s="65"/>
      <c r="N2197" s="65"/>
    </row>
    <row r="2198" spans="1:14">
      <c r="A2198" s="106"/>
      <c r="B2198" s="108"/>
      <c r="C2198" s="108"/>
      <c r="D2198" s="108"/>
      <c r="E2198" s="108"/>
      <c r="F2198" s="108"/>
      <c r="G2198" s="109"/>
      <c r="H2198" s="110"/>
      <c r="K2198" s="65"/>
      <c r="L2198" s="65"/>
      <c r="N2198" s="65"/>
    </row>
    <row r="2199" spans="1:14">
      <c r="A2199" s="106"/>
      <c r="B2199" s="108"/>
      <c r="C2199" s="108"/>
      <c r="D2199" s="108"/>
      <c r="E2199" s="108"/>
      <c r="F2199" s="108"/>
      <c r="G2199" s="109"/>
      <c r="H2199" s="110"/>
      <c r="K2199" s="65"/>
      <c r="L2199" s="65"/>
      <c r="N2199" s="65"/>
    </row>
    <row r="2200" spans="1:14">
      <c r="A2200" s="106"/>
      <c r="B2200" s="108"/>
      <c r="C2200" s="108"/>
      <c r="D2200" s="108"/>
      <c r="E2200" s="108"/>
      <c r="F2200" s="108"/>
      <c r="G2200" s="109"/>
      <c r="H2200" s="110"/>
      <c r="K2200" s="65"/>
      <c r="L2200" s="65"/>
      <c r="N2200" s="65"/>
    </row>
    <row r="2201" spans="1:14">
      <c r="A2201" s="106"/>
      <c r="B2201" s="108"/>
      <c r="C2201" s="108"/>
      <c r="D2201" s="108"/>
      <c r="E2201" s="108"/>
      <c r="F2201" s="108"/>
      <c r="G2201" s="109"/>
      <c r="H2201" s="110"/>
      <c r="K2201" s="65"/>
      <c r="L2201" s="65"/>
      <c r="N2201" s="65"/>
    </row>
    <row r="2202" spans="1:14">
      <c r="A2202" s="106"/>
      <c r="B2202" s="108"/>
      <c r="C2202" s="108"/>
      <c r="D2202" s="108"/>
      <c r="E2202" s="108"/>
      <c r="F2202" s="108"/>
      <c r="G2202" s="109"/>
      <c r="H2202" s="110"/>
      <c r="K2202" s="65"/>
      <c r="L2202" s="65"/>
      <c r="N2202" s="65"/>
    </row>
    <row r="2203" spans="1:14">
      <c r="A2203" s="106"/>
      <c r="B2203" s="108"/>
      <c r="C2203" s="108"/>
      <c r="D2203" s="108"/>
      <c r="E2203" s="108"/>
      <c r="F2203" s="108"/>
      <c r="G2203" s="109"/>
      <c r="H2203" s="110"/>
      <c r="K2203" s="65"/>
      <c r="L2203" s="65"/>
      <c r="N2203" s="65"/>
    </row>
    <row r="2204" spans="1:14">
      <c r="A2204" s="106"/>
      <c r="B2204" s="108"/>
      <c r="C2204" s="108"/>
      <c r="D2204" s="108"/>
      <c r="E2204" s="108"/>
      <c r="F2204" s="108"/>
      <c r="G2204" s="109"/>
      <c r="H2204" s="110"/>
      <c r="K2204" s="65"/>
      <c r="L2204" s="65"/>
      <c r="N2204" s="65"/>
    </row>
    <row r="2205" spans="1:14">
      <c r="A2205" s="106"/>
      <c r="B2205" s="108"/>
      <c r="C2205" s="108"/>
      <c r="D2205" s="108"/>
      <c r="E2205" s="108"/>
      <c r="F2205" s="108"/>
      <c r="G2205" s="109"/>
      <c r="H2205" s="110"/>
      <c r="K2205" s="65"/>
      <c r="L2205" s="65"/>
      <c r="N2205" s="65"/>
    </row>
    <row r="2206" spans="1:14">
      <c r="A2206" s="106"/>
      <c r="B2206" s="108"/>
      <c r="C2206" s="108"/>
      <c r="D2206" s="108"/>
      <c r="E2206" s="108"/>
      <c r="F2206" s="108"/>
      <c r="G2206" s="109"/>
      <c r="H2206" s="110"/>
      <c r="K2206" s="65"/>
      <c r="L2206" s="65"/>
      <c r="N2206" s="65"/>
    </row>
    <row r="2207" spans="1:14">
      <c r="A2207" s="106"/>
      <c r="B2207" s="108"/>
      <c r="C2207" s="108"/>
      <c r="D2207" s="108"/>
      <c r="E2207" s="108"/>
      <c r="F2207" s="108"/>
      <c r="G2207" s="109"/>
      <c r="H2207" s="110"/>
      <c r="K2207" s="65"/>
      <c r="L2207" s="65"/>
      <c r="N2207" s="65"/>
    </row>
    <row r="2208" spans="1:14">
      <c r="A2208" s="106"/>
      <c r="B2208" s="108"/>
      <c r="C2208" s="108"/>
      <c r="D2208" s="108"/>
      <c r="E2208" s="108"/>
      <c r="F2208" s="108"/>
      <c r="G2208" s="109"/>
      <c r="H2208" s="110"/>
      <c r="K2208" s="65"/>
      <c r="L2208" s="65"/>
      <c r="N2208" s="65"/>
    </row>
    <row r="2209" spans="1:14">
      <c r="A2209" s="106"/>
      <c r="B2209" s="108"/>
      <c r="C2209" s="108"/>
      <c r="D2209" s="108"/>
      <c r="E2209" s="108"/>
      <c r="F2209" s="108"/>
      <c r="G2209" s="109"/>
      <c r="H2209" s="110"/>
      <c r="K2209" s="65"/>
      <c r="L2209" s="65"/>
      <c r="N2209" s="65"/>
    </row>
    <row r="2210" spans="1:14">
      <c r="A2210" s="106"/>
      <c r="B2210" s="108"/>
      <c r="C2210" s="108"/>
      <c r="D2210" s="108"/>
      <c r="E2210" s="108"/>
      <c r="F2210" s="108"/>
      <c r="G2210" s="109"/>
      <c r="H2210" s="110"/>
      <c r="K2210" s="65"/>
      <c r="L2210" s="65"/>
      <c r="N2210" s="65"/>
    </row>
    <row r="2211" spans="1:14">
      <c r="A2211" s="106"/>
      <c r="B2211" s="108"/>
      <c r="C2211" s="108"/>
      <c r="D2211" s="108"/>
      <c r="E2211" s="108"/>
      <c r="F2211" s="108"/>
      <c r="G2211" s="109"/>
      <c r="H2211" s="110"/>
      <c r="K2211" s="65"/>
      <c r="L2211" s="65"/>
      <c r="N2211" s="65"/>
    </row>
    <row r="2212" spans="1:14">
      <c r="A2212" s="106"/>
      <c r="B2212" s="108"/>
      <c r="C2212" s="108"/>
      <c r="D2212" s="108"/>
      <c r="E2212" s="108"/>
      <c r="F2212" s="108"/>
      <c r="G2212" s="109"/>
      <c r="H2212" s="110"/>
      <c r="K2212" s="65"/>
      <c r="L2212" s="65"/>
      <c r="N2212" s="65"/>
    </row>
    <row r="2213" spans="1:14">
      <c r="A2213" s="106"/>
      <c r="B2213" s="108"/>
      <c r="C2213" s="108"/>
      <c r="D2213" s="108"/>
      <c r="E2213" s="108"/>
      <c r="F2213" s="108"/>
      <c r="G2213" s="109"/>
      <c r="H2213" s="110"/>
      <c r="K2213" s="65"/>
      <c r="L2213" s="65"/>
      <c r="N2213" s="65"/>
    </row>
    <row r="2214" spans="1:14">
      <c r="A2214" s="106"/>
      <c r="B2214" s="108"/>
      <c r="C2214" s="108"/>
      <c r="D2214" s="108"/>
      <c r="E2214" s="108"/>
      <c r="F2214" s="108"/>
      <c r="G2214" s="109"/>
      <c r="H2214" s="110"/>
      <c r="K2214" s="65"/>
      <c r="L2214" s="65"/>
      <c r="N2214" s="65"/>
    </row>
    <row r="2215" spans="1:14">
      <c r="A2215" s="106"/>
      <c r="B2215" s="108"/>
      <c r="C2215" s="108"/>
      <c r="D2215" s="108"/>
      <c r="E2215" s="108"/>
      <c r="F2215" s="108"/>
      <c r="G2215" s="109"/>
      <c r="H2215" s="110"/>
      <c r="K2215" s="65"/>
      <c r="L2215" s="65"/>
      <c r="N2215" s="65"/>
    </row>
    <row r="2216" spans="1:14">
      <c r="A2216" s="106"/>
      <c r="B2216" s="108"/>
      <c r="C2216" s="108"/>
      <c r="D2216" s="108"/>
      <c r="E2216" s="108"/>
      <c r="F2216" s="108"/>
      <c r="G2216" s="109"/>
      <c r="H2216" s="110"/>
      <c r="K2216" s="65"/>
      <c r="L2216" s="65"/>
      <c r="N2216" s="65"/>
    </row>
    <row r="2217" spans="1:14">
      <c r="A2217" s="106"/>
      <c r="B2217" s="108"/>
      <c r="C2217" s="108"/>
      <c r="D2217" s="108"/>
      <c r="E2217" s="108"/>
      <c r="F2217" s="108"/>
      <c r="G2217" s="109"/>
      <c r="H2217" s="110"/>
      <c r="K2217" s="65"/>
      <c r="L2217" s="65"/>
      <c r="N2217" s="65"/>
    </row>
    <row r="2218" spans="1:14">
      <c r="A2218" s="106"/>
      <c r="B2218" s="108"/>
      <c r="C2218" s="108"/>
      <c r="D2218" s="108"/>
      <c r="E2218" s="108"/>
      <c r="F2218" s="108"/>
      <c r="G2218" s="109"/>
      <c r="H2218" s="110"/>
      <c r="K2218" s="65"/>
      <c r="L2218" s="65"/>
      <c r="N2218" s="65"/>
    </row>
    <row r="2219" spans="1:14">
      <c r="A2219" s="106"/>
      <c r="B2219" s="108"/>
      <c r="C2219" s="108"/>
      <c r="D2219" s="108"/>
      <c r="E2219" s="108"/>
      <c r="F2219" s="108"/>
      <c r="G2219" s="109"/>
      <c r="H2219" s="110"/>
      <c r="K2219" s="65"/>
      <c r="L2219" s="65"/>
      <c r="N2219" s="65"/>
    </row>
    <row r="2220" spans="1:14">
      <c r="A2220" s="106"/>
      <c r="B2220" s="108"/>
      <c r="C2220" s="108"/>
      <c r="D2220" s="108"/>
      <c r="E2220" s="108"/>
      <c r="F2220" s="108"/>
      <c r="G2220" s="109"/>
      <c r="H2220" s="110"/>
      <c r="K2220" s="65"/>
      <c r="L2220" s="65"/>
      <c r="N2220" s="65"/>
    </row>
    <row r="2221" spans="1:14">
      <c r="A2221" s="106"/>
      <c r="B2221" s="108"/>
      <c r="C2221" s="108"/>
      <c r="D2221" s="108"/>
      <c r="E2221" s="108"/>
      <c r="F2221" s="108"/>
      <c r="G2221" s="109"/>
      <c r="H2221" s="110"/>
      <c r="K2221" s="65"/>
      <c r="L2221" s="65"/>
      <c r="N2221" s="65"/>
    </row>
    <row r="2222" spans="1:14">
      <c r="A2222" s="106"/>
      <c r="B2222" s="108"/>
      <c r="C2222" s="108"/>
      <c r="D2222" s="108"/>
      <c r="E2222" s="108"/>
      <c r="F2222" s="108"/>
      <c r="G2222" s="109"/>
      <c r="H2222" s="110"/>
      <c r="K2222" s="65"/>
      <c r="L2222" s="65"/>
      <c r="N2222" s="65"/>
    </row>
    <row r="2223" spans="1:14">
      <c r="A2223" s="106"/>
      <c r="B2223" s="108"/>
      <c r="C2223" s="108"/>
      <c r="D2223" s="108"/>
      <c r="E2223" s="108"/>
      <c r="F2223" s="108"/>
      <c r="G2223" s="109"/>
      <c r="H2223" s="110"/>
      <c r="K2223" s="65"/>
      <c r="L2223" s="65"/>
      <c r="N2223" s="65"/>
    </row>
    <row r="2224" spans="1:14">
      <c r="A2224" s="106"/>
      <c r="B2224" s="108"/>
      <c r="C2224" s="108"/>
      <c r="D2224" s="108"/>
      <c r="E2224" s="108"/>
      <c r="F2224" s="108"/>
      <c r="G2224" s="109"/>
      <c r="H2224" s="110"/>
      <c r="K2224" s="65"/>
      <c r="L2224" s="65"/>
      <c r="N2224" s="65"/>
    </row>
    <row r="2225" spans="1:14">
      <c r="A2225" s="106"/>
      <c r="B2225" s="108"/>
      <c r="C2225" s="108"/>
      <c r="D2225" s="108"/>
      <c r="E2225" s="108"/>
      <c r="F2225" s="108"/>
      <c r="G2225" s="109"/>
      <c r="H2225" s="110"/>
      <c r="K2225" s="65"/>
      <c r="L2225" s="65"/>
      <c r="N2225" s="65"/>
    </row>
    <row r="2226" spans="1:14">
      <c r="A2226" s="106"/>
      <c r="B2226" s="108"/>
      <c r="C2226" s="108"/>
      <c r="D2226" s="108"/>
      <c r="E2226" s="108"/>
      <c r="F2226" s="108"/>
      <c r="G2226" s="109"/>
      <c r="H2226" s="110"/>
      <c r="K2226" s="65"/>
      <c r="L2226" s="65"/>
      <c r="N2226" s="65"/>
    </row>
    <row r="2227" spans="1:14">
      <c r="A2227" s="106"/>
      <c r="B2227" s="108"/>
      <c r="C2227" s="108"/>
      <c r="D2227" s="108"/>
      <c r="E2227" s="108"/>
      <c r="F2227" s="108"/>
      <c r="G2227" s="109"/>
      <c r="H2227" s="110"/>
      <c r="K2227" s="65"/>
      <c r="L2227" s="65"/>
      <c r="N2227" s="65"/>
    </row>
    <row r="2228" spans="1:14">
      <c r="A2228" s="106"/>
      <c r="B2228" s="108"/>
      <c r="C2228" s="108"/>
      <c r="D2228" s="108"/>
      <c r="E2228" s="108"/>
      <c r="F2228" s="108"/>
      <c r="G2228" s="109"/>
      <c r="H2228" s="110"/>
      <c r="K2228" s="65"/>
      <c r="L2228" s="65"/>
      <c r="N2228" s="65"/>
    </row>
    <row r="2229" spans="1:14">
      <c r="A2229" s="106"/>
      <c r="B2229" s="108"/>
      <c r="C2229" s="108"/>
      <c r="D2229" s="108"/>
      <c r="E2229" s="108"/>
      <c r="F2229" s="108"/>
      <c r="G2229" s="109"/>
      <c r="H2229" s="110"/>
      <c r="K2229" s="65"/>
      <c r="L2229" s="65"/>
      <c r="N2229" s="65"/>
    </row>
    <row r="2230" spans="1:14">
      <c r="A2230" s="106"/>
      <c r="B2230" s="108"/>
      <c r="C2230" s="108"/>
      <c r="D2230" s="108"/>
      <c r="E2230" s="108"/>
      <c r="F2230" s="108"/>
      <c r="G2230" s="109"/>
      <c r="H2230" s="110"/>
      <c r="K2230" s="65"/>
      <c r="L2230" s="65"/>
      <c r="N2230" s="65"/>
    </row>
    <row r="2231" spans="1:14">
      <c r="A2231" s="106"/>
      <c r="B2231" s="108"/>
      <c r="C2231" s="108"/>
      <c r="D2231" s="108"/>
      <c r="E2231" s="108"/>
      <c r="F2231" s="108"/>
      <c r="G2231" s="109"/>
      <c r="H2231" s="110"/>
      <c r="K2231" s="65"/>
      <c r="L2231" s="65"/>
      <c r="N2231" s="65"/>
    </row>
    <row r="2232" spans="1:14">
      <c r="A2232" s="106"/>
      <c r="B2232" s="108"/>
      <c r="C2232" s="108"/>
      <c r="D2232" s="108"/>
      <c r="E2232" s="108"/>
      <c r="F2232" s="108"/>
      <c r="G2232" s="109"/>
      <c r="H2232" s="110"/>
      <c r="K2232" s="65"/>
      <c r="L2232" s="65"/>
      <c r="N2232" s="65"/>
    </row>
    <row r="2233" spans="1:14">
      <c r="A2233" s="106"/>
      <c r="B2233" s="108"/>
      <c r="C2233" s="108"/>
      <c r="D2233" s="108"/>
      <c r="E2233" s="108"/>
      <c r="F2233" s="108"/>
      <c r="G2233" s="109"/>
      <c r="H2233" s="110"/>
      <c r="K2233" s="65"/>
      <c r="L2233" s="65"/>
      <c r="N2233" s="65"/>
    </row>
    <row r="2234" spans="1:14">
      <c r="A2234" s="106"/>
      <c r="B2234" s="108"/>
      <c r="C2234" s="108"/>
      <c r="D2234" s="108"/>
      <c r="E2234" s="108"/>
      <c r="F2234" s="108"/>
      <c r="G2234" s="109"/>
      <c r="H2234" s="110"/>
      <c r="K2234" s="65"/>
      <c r="L2234" s="65"/>
      <c r="N2234" s="65"/>
    </row>
    <row r="2235" spans="1:14">
      <c r="A2235" s="106"/>
      <c r="B2235" s="108"/>
      <c r="C2235" s="108"/>
      <c r="D2235" s="108"/>
      <c r="E2235" s="108"/>
      <c r="F2235" s="108"/>
      <c r="G2235" s="109"/>
      <c r="H2235" s="110"/>
      <c r="K2235" s="65"/>
      <c r="L2235" s="65"/>
      <c r="N2235" s="65"/>
    </row>
    <row r="2236" spans="1:14">
      <c r="A2236" s="106"/>
      <c r="B2236" s="108"/>
      <c r="C2236" s="108"/>
      <c r="D2236" s="108"/>
      <c r="E2236" s="108"/>
      <c r="F2236" s="108"/>
      <c r="G2236" s="109"/>
      <c r="H2236" s="110"/>
      <c r="K2236" s="65"/>
      <c r="L2236" s="65"/>
      <c r="N2236" s="65"/>
    </row>
    <row r="2237" spans="1:14">
      <c r="A2237" s="106"/>
      <c r="B2237" s="108"/>
      <c r="C2237" s="108"/>
      <c r="D2237" s="108"/>
      <c r="E2237" s="108"/>
      <c r="F2237" s="108"/>
      <c r="G2237" s="109"/>
      <c r="H2237" s="110"/>
      <c r="K2237" s="65"/>
      <c r="L2237" s="65"/>
      <c r="N2237" s="65"/>
    </row>
    <row r="2238" spans="1:14">
      <c r="A2238" s="106"/>
      <c r="B2238" s="108"/>
      <c r="C2238" s="108"/>
      <c r="D2238" s="108"/>
      <c r="E2238" s="108"/>
      <c r="F2238" s="108"/>
      <c r="G2238" s="109"/>
      <c r="H2238" s="110"/>
      <c r="K2238" s="65"/>
      <c r="L2238" s="65"/>
      <c r="N2238" s="65"/>
    </row>
    <row r="2239" spans="1:14">
      <c r="A2239" s="106"/>
      <c r="B2239" s="108"/>
      <c r="C2239" s="108"/>
      <c r="D2239" s="108"/>
      <c r="E2239" s="108"/>
      <c r="F2239" s="108"/>
      <c r="G2239" s="109"/>
      <c r="H2239" s="110"/>
      <c r="K2239" s="65"/>
      <c r="L2239" s="65"/>
      <c r="N2239" s="65"/>
    </row>
    <row r="2240" spans="1:14">
      <c r="A2240" s="106"/>
      <c r="B2240" s="108"/>
      <c r="C2240" s="108"/>
      <c r="D2240" s="108"/>
      <c r="E2240" s="108"/>
      <c r="F2240" s="108"/>
      <c r="G2240" s="109"/>
      <c r="H2240" s="110"/>
      <c r="K2240" s="65"/>
      <c r="L2240" s="65"/>
      <c r="N2240" s="65"/>
    </row>
    <row r="2241" spans="1:14">
      <c r="A2241" s="106"/>
      <c r="B2241" s="108"/>
      <c r="C2241" s="108"/>
      <c r="D2241" s="108"/>
      <c r="E2241" s="108"/>
      <c r="F2241" s="108"/>
      <c r="G2241" s="109"/>
      <c r="H2241" s="110"/>
      <c r="K2241" s="65"/>
      <c r="L2241" s="65"/>
      <c r="N2241" s="65"/>
    </row>
    <row r="2242" spans="1:14">
      <c r="A2242" s="106"/>
      <c r="B2242" s="108"/>
      <c r="C2242" s="108"/>
      <c r="D2242" s="108"/>
      <c r="E2242" s="108"/>
      <c r="F2242" s="108"/>
      <c r="G2242" s="109"/>
      <c r="H2242" s="110"/>
      <c r="K2242" s="65"/>
      <c r="L2242" s="65"/>
      <c r="N2242" s="65"/>
    </row>
    <row r="2243" spans="1:14">
      <c r="A2243" s="106"/>
      <c r="B2243" s="108"/>
      <c r="C2243" s="108"/>
      <c r="D2243" s="108"/>
      <c r="E2243" s="108"/>
      <c r="F2243" s="108"/>
      <c r="G2243" s="109"/>
      <c r="H2243" s="110"/>
      <c r="K2243" s="65"/>
      <c r="L2243" s="65"/>
      <c r="N2243" s="65"/>
    </row>
    <row r="2244" spans="1:14">
      <c r="A2244" s="106"/>
      <c r="B2244" s="108"/>
      <c r="C2244" s="108"/>
      <c r="D2244" s="108"/>
      <c r="E2244" s="108"/>
      <c r="F2244" s="108"/>
      <c r="G2244" s="109"/>
      <c r="H2244" s="110"/>
      <c r="K2244" s="65"/>
      <c r="L2244" s="65"/>
      <c r="N2244" s="65"/>
    </row>
    <row r="2245" spans="1:14">
      <c r="A2245" s="106"/>
      <c r="B2245" s="108"/>
      <c r="C2245" s="108"/>
      <c r="D2245" s="108"/>
      <c r="E2245" s="108"/>
      <c r="F2245" s="108"/>
      <c r="G2245" s="109"/>
      <c r="H2245" s="110"/>
      <c r="K2245" s="65"/>
      <c r="L2245" s="65"/>
      <c r="N2245" s="65"/>
    </row>
    <row r="2246" spans="1:14">
      <c r="A2246" s="106"/>
      <c r="B2246" s="108"/>
      <c r="C2246" s="108"/>
      <c r="D2246" s="108"/>
      <c r="E2246" s="108"/>
      <c r="F2246" s="108"/>
      <c r="G2246" s="109"/>
      <c r="H2246" s="110"/>
      <c r="K2246" s="65"/>
      <c r="L2246" s="65"/>
      <c r="N2246" s="65"/>
    </row>
    <row r="2247" spans="1:14">
      <c r="A2247" s="106"/>
      <c r="B2247" s="108"/>
      <c r="C2247" s="108"/>
      <c r="D2247" s="108"/>
      <c r="E2247" s="108"/>
      <c r="F2247" s="108"/>
      <c r="G2247" s="109"/>
      <c r="H2247" s="110"/>
      <c r="K2247" s="65"/>
      <c r="L2247" s="65"/>
      <c r="N2247" s="65"/>
    </row>
    <row r="2248" spans="1:14">
      <c r="A2248" s="106"/>
      <c r="B2248" s="108"/>
      <c r="C2248" s="108"/>
      <c r="D2248" s="108"/>
      <c r="E2248" s="108"/>
      <c r="F2248" s="108"/>
      <c r="G2248" s="109"/>
      <c r="H2248" s="110"/>
      <c r="K2248" s="65"/>
      <c r="L2248" s="65"/>
      <c r="N2248" s="65"/>
    </row>
    <row r="2249" spans="1:14">
      <c r="A2249" s="106"/>
      <c r="B2249" s="108"/>
      <c r="C2249" s="108"/>
      <c r="D2249" s="108"/>
      <c r="E2249" s="108"/>
      <c r="F2249" s="108"/>
      <c r="G2249" s="109"/>
      <c r="H2249" s="110"/>
      <c r="K2249" s="65"/>
      <c r="L2249" s="65"/>
      <c r="N2249" s="65"/>
    </row>
    <row r="2250" spans="1:14">
      <c r="A2250" s="106"/>
      <c r="B2250" s="108"/>
      <c r="C2250" s="108"/>
      <c r="D2250" s="108"/>
      <c r="E2250" s="108"/>
      <c r="F2250" s="108"/>
      <c r="G2250" s="109"/>
      <c r="H2250" s="110"/>
      <c r="K2250" s="65"/>
      <c r="L2250" s="65"/>
      <c r="N2250" s="65"/>
    </row>
    <row r="2251" spans="1:14">
      <c r="A2251" s="106"/>
      <c r="B2251" s="108"/>
      <c r="C2251" s="108"/>
      <c r="D2251" s="108"/>
      <c r="E2251" s="108"/>
      <c r="F2251" s="108"/>
      <c r="G2251" s="109"/>
      <c r="H2251" s="110"/>
      <c r="K2251" s="65"/>
      <c r="L2251" s="65"/>
      <c r="N2251" s="65"/>
    </row>
    <row r="2252" spans="1:14">
      <c r="A2252" s="106"/>
      <c r="B2252" s="108"/>
      <c r="C2252" s="108"/>
      <c r="D2252" s="108"/>
      <c r="E2252" s="108"/>
      <c r="F2252" s="108"/>
      <c r="G2252" s="109"/>
      <c r="H2252" s="110"/>
      <c r="K2252" s="65"/>
      <c r="L2252" s="65"/>
      <c r="N2252" s="65"/>
    </row>
    <row r="2253" spans="1:14">
      <c r="A2253" s="106"/>
      <c r="B2253" s="108"/>
      <c r="C2253" s="108"/>
      <c r="D2253" s="108"/>
      <c r="E2253" s="108"/>
      <c r="F2253" s="108"/>
      <c r="G2253" s="109"/>
      <c r="H2253" s="110"/>
      <c r="K2253" s="65"/>
      <c r="L2253" s="65"/>
      <c r="N2253" s="65"/>
    </row>
    <row r="2254" spans="1:14">
      <c r="A2254" s="106"/>
      <c r="B2254" s="108"/>
      <c r="C2254" s="108"/>
      <c r="D2254" s="108"/>
      <c r="E2254" s="108"/>
      <c r="F2254" s="108"/>
      <c r="G2254" s="109"/>
      <c r="H2254" s="110"/>
      <c r="K2254" s="65"/>
      <c r="L2254" s="65"/>
      <c r="N2254" s="65"/>
    </row>
    <row r="2255" spans="1:14">
      <c r="A2255" s="106"/>
      <c r="B2255" s="108"/>
      <c r="C2255" s="108"/>
      <c r="D2255" s="108"/>
      <c r="E2255" s="108"/>
      <c r="F2255" s="108"/>
      <c r="G2255" s="109"/>
      <c r="H2255" s="110"/>
      <c r="K2255" s="65"/>
      <c r="L2255" s="65"/>
      <c r="N2255" s="65"/>
    </row>
    <row r="2256" spans="1:14">
      <c r="A2256" s="106"/>
      <c r="B2256" s="108"/>
      <c r="C2256" s="108"/>
      <c r="D2256" s="108"/>
      <c r="E2256" s="108"/>
      <c r="F2256" s="108"/>
      <c r="G2256" s="109"/>
      <c r="H2256" s="110"/>
      <c r="K2256" s="65"/>
      <c r="L2256" s="65"/>
      <c r="N2256" s="65"/>
    </row>
    <row r="2257" spans="1:14">
      <c r="A2257" s="106"/>
      <c r="B2257" s="108"/>
      <c r="C2257" s="108"/>
      <c r="D2257" s="108"/>
      <c r="E2257" s="108"/>
      <c r="F2257" s="108"/>
      <c r="G2257" s="109"/>
      <c r="H2257" s="110"/>
      <c r="K2257" s="65"/>
      <c r="L2257" s="65"/>
      <c r="N2257" s="65"/>
    </row>
    <row r="2258" spans="1:14">
      <c r="A2258" s="106"/>
      <c r="B2258" s="108"/>
      <c r="C2258" s="108"/>
      <c r="D2258" s="108"/>
      <c r="E2258" s="108"/>
      <c r="F2258" s="108"/>
      <c r="G2258" s="109"/>
      <c r="H2258" s="110"/>
      <c r="K2258" s="65"/>
      <c r="L2258" s="65"/>
      <c r="N2258" s="65"/>
    </row>
    <row r="2259" spans="1:14">
      <c r="A2259" s="106"/>
      <c r="B2259" s="108"/>
      <c r="C2259" s="108"/>
      <c r="D2259" s="108"/>
      <c r="E2259" s="108"/>
      <c r="F2259" s="108"/>
      <c r="G2259" s="109"/>
      <c r="H2259" s="110"/>
      <c r="K2259" s="65"/>
      <c r="L2259" s="65"/>
      <c r="N2259" s="65"/>
    </row>
    <row r="2260" spans="1:14">
      <c r="A2260" s="106"/>
      <c r="B2260" s="108"/>
      <c r="C2260" s="108"/>
      <c r="D2260" s="108"/>
      <c r="E2260" s="108"/>
      <c r="F2260" s="108"/>
      <c r="G2260" s="109"/>
      <c r="H2260" s="110"/>
      <c r="K2260" s="65"/>
      <c r="L2260" s="65"/>
      <c r="N2260" s="65"/>
    </row>
    <row r="2261" spans="1:14">
      <c r="A2261" s="106"/>
      <c r="B2261" s="108"/>
      <c r="C2261" s="108"/>
      <c r="D2261" s="108"/>
      <c r="E2261" s="108"/>
      <c r="F2261" s="108"/>
      <c r="G2261" s="109"/>
      <c r="H2261" s="110"/>
      <c r="K2261" s="65"/>
      <c r="L2261" s="65"/>
      <c r="N2261" s="65"/>
    </row>
    <row r="2262" spans="1:14">
      <c r="A2262" s="106"/>
      <c r="B2262" s="108"/>
      <c r="C2262" s="108"/>
      <c r="D2262" s="108"/>
      <c r="E2262" s="108"/>
      <c r="F2262" s="108"/>
      <c r="G2262" s="109"/>
      <c r="H2262" s="110"/>
      <c r="K2262" s="65"/>
      <c r="L2262" s="65"/>
      <c r="N2262" s="65"/>
    </row>
    <row r="2263" spans="1:14">
      <c r="A2263" s="106"/>
      <c r="B2263" s="108"/>
      <c r="C2263" s="108"/>
      <c r="D2263" s="108"/>
      <c r="E2263" s="108"/>
      <c r="F2263" s="108"/>
      <c r="G2263" s="109"/>
      <c r="H2263" s="110"/>
      <c r="K2263" s="65"/>
      <c r="L2263" s="65"/>
      <c r="N2263" s="65"/>
    </row>
    <row r="2264" spans="1:14">
      <c r="A2264" s="106"/>
      <c r="B2264" s="108"/>
      <c r="C2264" s="108"/>
      <c r="D2264" s="108"/>
      <c r="E2264" s="108"/>
      <c r="F2264" s="108"/>
      <c r="G2264" s="109"/>
      <c r="H2264" s="110"/>
      <c r="K2264" s="65"/>
      <c r="L2264" s="65"/>
      <c r="N2264" s="65"/>
    </row>
    <row r="2265" spans="1:14">
      <c r="A2265" s="106"/>
      <c r="B2265" s="108"/>
      <c r="C2265" s="108"/>
      <c r="D2265" s="108"/>
      <c r="E2265" s="108"/>
      <c r="F2265" s="108"/>
      <c r="G2265" s="109"/>
      <c r="H2265" s="110"/>
      <c r="K2265" s="65"/>
      <c r="L2265" s="65"/>
      <c r="N2265" s="65"/>
    </row>
    <row r="2266" spans="1:14">
      <c r="A2266" s="106"/>
      <c r="B2266" s="108"/>
      <c r="C2266" s="108"/>
      <c r="D2266" s="108"/>
      <c r="E2266" s="108"/>
      <c r="F2266" s="108"/>
      <c r="G2266" s="109"/>
      <c r="H2266" s="110"/>
      <c r="K2266" s="65"/>
      <c r="L2266" s="65"/>
      <c r="N2266" s="65"/>
    </row>
    <row r="2267" spans="1:14">
      <c r="A2267" s="106"/>
      <c r="B2267" s="108"/>
      <c r="C2267" s="108"/>
      <c r="D2267" s="108"/>
      <c r="E2267" s="108"/>
      <c r="F2267" s="108"/>
      <c r="G2267" s="109"/>
      <c r="H2267" s="110"/>
      <c r="K2267" s="65"/>
      <c r="L2267" s="65"/>
      <c r="N2267" s="65"/>
    </row>
    <row r="2268" spans="1:14">
      <c r="A2268" s="106"/>
      <c r="B2268" s="108"/>
      <c r="C2268" s="108"/>
      <c r="D2268" s="108"/>
      <c r="E2268" s="108"/>
      <c r="F2268" s="108"/>
      <c r="G2268" s="109"/>
      <c r="H2268" s="110"/>
      <c r="K2268" s="65"/>
      <c r="L2268" s="65"/>
      <c r="N2268" s="65"/>
    </row>
    <row r="2269" spans="1:14">
      <c r="A2269" s="106"/>
      <c r="B2269" s="108"/>
      <c r="C2269" s="108"/>
      <c r="D2269" s="108"/>
      <c r="E2269" s="108"/>
      <c r="F2269" s="108"/>
      <c r="G2269" s="109"/>
      <c r="H2269" s="110"/>
      <c r="K2269" s="65"/>
      <c r="L2269" s="65"/>
      <c r="N2269" s="65"/>
    </row>
    <row r="2270" spans="1:14">
      <c r="A2270" s="106"/>
      <c r="B2270" s="108"/>
      <c r="C2270" s="108"/>
      <c r="D2270" s="108"/>
      <c r="E2270" s="108"/>
      <c r="F2270" s="108"/>
      <c r="G2270" s="109"/>
      <c r="H2270" s="110"/>
      <c r="K2270" s="65"/>
      <c r="L2270" s="65"/>
      <c r="N2270" s="65"/>
    </row>
    <row r="2271" spans="1:14">
      <c r="A2271" s="106"/>
      <c r="B2271" s="108"/>
      <c r="C2271" s="108"/>
      <c r="D2271" s="108"/>
      <c r="E2271" s="108"/>
      <c r="F2271" s="108"/>
      <c r="G2271" s="109"/>
      <c r="H2271" s="110"/>
      <c r="K2271" s="65"/>
      <c r="L2271" s="65"/>
      <c r="N2271" s="65"/>
    </row>
    <row r="2272" spans="1:14">
      <c r="A2272" s="106"/>
      <c r="B2272" s="108"/>
      <c r="C2272" s="108"/>
      <c r="D2272" s="108"/>
      <c r="E2272" s="108"/>
      <c r="F2272" s="108"/>
      <c r="G2272" s="109"/>
      <c r="H2272" s="110"/>
      <c r="K2272" s="65"/>
      <c r="L2272" s="65"/>
      <c r="N2272" s="65"/>
    </row>
    <row r="2273" spans="1:14">
      <c r="A2273" s="106"/>
      <c r="B2273" s="108"/>
      <c r="C2273" s="108"/>
      <c r="D2273" s="108"/>
      <c r="E2273" s="108"/>
      <c r="F2273" s="108"/>
      <c r="G2273" s="109"/>
      <c r="H2273" s="110"/>
      <c r="K2273" s="65"/>
      <c r="L2273" s="65"/>
      <c r="N2273" s="65"/>
    </row>
    <row r="2274" spans="1:14">
      <c r="A2274" s="106"/>
      <c r="B2274" s="108"/>
      <c r="C2274" s="108"/>
      <c r="D2274" s="108"/>
      <c r="E2274" s="108"/>
      <c r="F2274" s="108"/>
      <c r="G2274" s="109"/>
      <c r="H2274" s="110"/>
      <c r="K2274" s="65"/>
      <c r="L2274" s="65"/>
      <c r="N2274" s="65"/>
    </row>
    <row r="2275" spans="1:14">
      <c r="A2275" s="106"/>
      <c r="B2275" s="108"/>
      <c r="C2275" s="108"/>
      <c r="D2275" s="108"/>
      <c r="E2275" s="108"/>
      <c r="F2275" s="108"/>
      <c r="G2275" s="109"/>
      <c r="H2275" s="110"/>
      <c r="K2275" s="65"/>
      <c r="L2275" s="65"/>
      <c r="N2275" s="65"/>
    </row>
    <row r="2276" spans="1:14">
      <c r="A2276" s="106"/>
      <c r="B2276" s="108"/>
      <c r="C2276" s="108"/>
      <c r="D2276" s="108"/>
      <c r="E2276" s="108"/>
      <c r="F2276" s="108"/>
      <c r="G2276" s="109"/>
      <c r="H2276" s="110"/>
      <c r="K2276" s="65"/>
      <c r="L2276" s="65"/>
      <c r="N2276" s="65"/>
    </row>
    <row r="2277" spans="1:14">
      <c r="A2277" s="106"/>
      <c r="B2277" s="108"/>
      <c r="C2277" s="108"/>
      <c r="D2277" s="108"/>
      <c r="E2277" s="108"/>
      <c r="F2277" s="108"/>
      <c r="G2277" s="109"/>
      <c r="H2277" s="110"/>
      <c r="K2277" s="65"/>
      <c r="L2277" s="65"/>
      <c r="N2277" s="65"/>
    </row>
    <row r="2278" spans="1:14">
      <c r="A2278" s="106"/>
      <c r="B2278" s="108"/>
      <c r="C2278" s="108"/>
      <c r="D2278" s="108"/>
      <c r="E2278" s="108"/>
      <c r="F2278" s="108"/>
      <c r="G2278" s="109"/>
      <c r="H2278" s="110"/>
      <c r="K2278" s="65"/>
      <c r="L2278" s="65"/>
      <c r="N2278" s="65"/>
    </row>
    <row r="2279" spans="1:14">
      <c r="A2279" s="106"/>
      <c r="B2279" s="108"/>
      <c r="C2279" s="108"/>
      <c r="D2279" s="108"/>
      <c r="E2279" s="108"/>
      <c r="F2279" s="108"/>
      <c r="G2279" s="109"/>
      <c r="H2279" s="110"/>
      <c r="K2279" s="65"/>
      <c r="L2279" s="65"/>
      <c r="N2279" s="65"/>
    </row>
    <row r="2280" spans="1:14">
      <c r="A2280" s="106"/>
      <c r="B2280" s="108"/>
      <c r="C2280" s="108"/>
      <c r="D2280" s="108"/>
      <c r="E2280" s="108"/>
      <c r="F2280" s="108"/>
      <c r="G2280" s="109"/>
      <c r="H2280" s="110"/>
      <c r="K2280" s="65"/>
      <c r="L2280" s="65"/>
      <c r="N2280" s="65"/>
    </row>
    <row r="2281" spans="1:14">
      <c r="A2281" s="106"/>
      <c r="B2281" s="108"/>
      <c r="C2281" s="108"/>
      <c r="D2281" s="108"/>
      <c r="E2281" s="108"/>
      <c r="F2281" s="108"/>
      <c r="G2281" s="109"/>
      <c r="H2281" s="110"/>
      <c r="K2281" s="65"/>
      <c r="L2281" s="65"/>
      <c r="N2281" s="65"/>
    </row>
    <row r="2282" spans="1:14">
      <c r="A2282" s="106"/>
      <c r="B2282" s="108"/>
      <c r="C2282" s="108"/>
      <c r="D2282" s="108"/>
      <c r="E2282" s="108"/>
      <c r="F2282" s="108"/>
      <c r="G2282" s="109"/>
      <c r="H2282" s="110"/>
      <c r="K2282" s="65"/>
      <c r="L2282" s="65"/>
      <c r="N2282" s="65"/>
    </row>
    <row r="2283" spans="1:14">
      <c r="A2283" s="106"/>
      <c r="B2283" s="108"/>
      <c r="C2283" s="108"/>
      <c r="D2283" s="108"/>
      <c r="E2283" s="108"/>
      <c r="F2283" s="108"/>
      <c r="G2283" s="109"/>
      <c r="H2283" s="110"/>
      <c r="K2283" s="65"/>
      <c r="L2283" s="65"/>
      <c r="N2283" s="65"/>
    </row>
    <row r="2284" spans="1:14">
      <c r="A2284" s="106"/>
      <c r="B2284" s="108"/>
      <c r="C2284" s="108"/>
      <c r="D2284" s="108"/>
      <c r="E2284" s="108"/>
      <c r="F2284" s="108"/>
      <c r="G2284" s="109"/>
      <c r="H2284" s="110"/>
      <c r="K2284" s="65"/>
      <c r="L2284" s="65"/>
      <c r="N2284" s="65"/>
    </row>
    <row r="2285" spans="1:14">
      <c r="A2285" s="106"/>
      <c r="B2285" s="108"/>
      <c r="C2285" s="108"/>
      <c r="D2285" s="108"/>
      <c r="E2285" s="108"/>
      <c r="F2285" s="108"/>
      <c r="G2285" s="109"/>
      <c r="H2285" s="110"/>
      <c r="K2285" s="65"/>
      <c r="L2285" s="65"/>
      <c r="N2285" s="65"/>
    </row>
    <row r="2286" spans="1:14">
      <c r="A2286" s="106"/>
      <c r="B2286" s="108"/>
      <c r="C2286" s="108"/>
      <c r="D2286" s="108"/>
      <c r="E2286" s="108"/>
      <c r="F2286" s="108"/>
      <c r="G2286" s="109"/>
      <c r="H2286" s="110"/>
      <c r="K2286" s="65"/>
      <c r="L2286" s="65"/>
      <c r="N2286" s="65"/>
    </row>
    <row r="2287" spans="1:14">
      <c r="A2287" s="106"/>
      <c r="B2287" s="108"/>
      <c r="C2287" s="108"/>
      <c r="D2287" s="108"/>
      <c r="E2287" s="108"/>
      <c r="F2287" s="108"/>
      <c r="G2287" s="109"/>
      <c r="H2287" s="110"/>
      <c r="K2287" s="65"/>
      <c r="L2287" s="65"/>
      <c r="N2287" s="65"/>
    </row>
    <row r="2288" spans="1:14">
      <c r="A2288" s="106"/>
      <c r="B2288" s="108"/>
      <c r="C2288" s="108"/>
      <c r="D2288" s="108"/>
      <c r="E2288" s="108"/>
      <c r="F2288" s="108"/>
      <c r="G2288" s="109"/>
      <c r="H2288" s="110"/>
      <c r="K2288" s="65"/>
      <c r="L2288" s="65"/>
      <c r="N2288" s="65"/>
    </row>
    <row r="2289" spans="1:14">
      <c r="A2289" s="106"/>
      <c r="B2289" s="108"/>
      <c r="C2289" s="108"/>
      <c r="D2289" s="108"/>
      <c r="E2289" s="108"/>
      <c r="F2289" s="108"/>
      <c r="G2289" s="109"/>
      <c r="H2289" s="110"/>
      <c r="K2289" s="65"/>
      <c r="L2289" s="65"/>
      <c r="N2289" s="65"/>
    </row>
    <row r="2290" spans="1:14">
      <c r="A2290" s="106"/>
      <c r="B2290" s="108"/>
      <c r="C2290" s="108"/>
      <c r="D2290" s="108"/>
      <c r="E2290" s="108"/>
      <c r="F2290" s="108"/>
      <c r="G2290" s="109"/>
      <c r="H2290" s="110"/>
      <c r="K2290" s="65"/>
      <c r="L2290" s="65"/>
      <c r="N2290" s="65"/>
    </row>
    <row r="2291" spans="1:14">
      <c r="A2291" s="106"/>
      <c r="B2291" s="108"/>
      <c r="C2291" s="108"/>
      <c r="D2291" s="108"/>
      <c r="E2291" s="108"/>
      <c r="F2291" s="108"/>
      <c r="G2291" s="109"/>
      <c r="H2291" s="110"/>
      <c r="K2291" s="65"/>
      <c r="L2291" s="65"/>
      <c r="N2291" s="65"/>
    </row>
    <row r="2292" spans="1:14">
      <c r="A2292" s="106"/>
      <c r="B2292" s="108"/>
      <c r="C2292" s="108"/>
      <c r="D2292" s="108"/>
      <c r="E2292" s="108"/>
      <c r="F2292" s="108"/>
      <c r="G2292" s="109"/>
      <c r="H2292" s="110"/>
      <c r="K2292" s="65"/>
      <c r="L2292" s="65"/>
      <c r="N2292" s="65"/>
    </row>
    <row r="2293" spans="1:14">
      <c r="A2293" s="106"/>
      <c r="B2293" s="108"/>
      <c r="C2293" s="108"/>
      <c r="D2293" s="108"/>
      <c r="E2293" s="108"/>
      <c r="F2293" s="108"/>
      <c r="G2293" s="109"/>
      <c r="H2293" s="110"/>
      <c r="K2293" s="65"/>
      <c r="L2293" s="65"/>
      <c r="N2293" s="65"/>
    </row>
    <row r="2294" spans="1:14">
      <c r="A2294" s="106"/>
      <c r="B2294" s="108"/>
      <c r="C2294" s="108"/>
      <c r="D2294" s="108"/>
      <c r="E2294" s="108"/>
      <c r="F2294" s="108"/>
      <c r="G2294" s="109"/>
      <c r="H2294" s="110"/>
      <c r="K2294" s="65"/>
      <c r="L2294" s="65"/>
      <c r="N2294" s="65"/>
    </row>
    <row r="2295" spans="1:14">
      <c r="A2295" s="106"/>
      <c r="B2295" s="108"/>
      <c r="C2295" s="108"/>
      <c r="D2295" s="108"/>
      <c r="E2295" s="108"/>
      <c r="F2295" s="108"/>
      <c r="G2295" s="109"/>
      <c r="H2295" s="110"/>
      <c r="K2295" s="65"/>
      <c r="L2295" s="65"/>
      <c r="N2295" s="65"/>
    </row>
    <row r="2296" spans="1:14">
      <c r="A2296" s="106"/>
      <c r="B2296" s="108"/>
      <c r="C2296" s="108"/>
      <c r="D2296" s="108"/>
      <c r="E2296" s="108"/>
      <c r="F2296" s="108"/>
      <c r="G2296" s="109"/>
      <c r="H2296" s="110"/>
      <c r="K2296" s="65"/>
      <c r="L2296" s="65"/>
      <c r="N2296" s="65"/>
    </row>
    <row r="2297" spans="1:14">
      <c r="A2297" s="106"/>
      <c r="B2297" s="108"/>
      <c r="C2297" s="108"/>
      <c r="D2297" s="108"/>
      <c r="E2297" s="108"/>
      <c r="F2297" s="108"/>
      <c r="G2297" s="109"/>
      <c r="H2297" s="110"/>
      <c r="K2297" s="65"/>
      <c r="L2297" s="65"/>
      <c r="N2297" s="65"/>
    </row>
    <row r="2298" spans="1:14">
      <c r="A2298" s="106"/>
      <c r="B2298" s="108"/>
      <c r="C2298" s="108"/>
      <c r="D2298" s="108"/>
      <c r="E2298" s="108"/>
      <c r="F2298" s="108"/>
      <c r="G2298" s="109"/>
      <c r="H2298" s="110"/>
      <c r="K2298" s="65"/>
      <c r="L2298" s="65"/>
      <c r="N2298" s="65"/>
    </row>
    <row r="2299" spans="1:14">
      <c r="A2299" s="106"/>
      <c r="B2299" s="108"/>
      <c r="C2299" s="108"/>
      <c r="D2299" s="108"/>
      <c r="E2299" s="108"/>
      <c r="F2299" s="108"/>
      <c r="G2299" s="109"/>
      <c r="H2299" s="110"/>
      <c r="K2299" s="65"/>
      <c r="L2299" s="65"/>
      <c r="N2299" s="65"/>
    </row>
    <row r="2300" spans="1:14">
      <c r="A2300" s="106"/>
      <c r="B2300" s="108"/>
      <c r="C2300" s="108"/>
      <c r="D2300" s="108"/>
      <c r="E2300" s="108"/>
      <c r="F2300" s="108"/>
      <c r="G2300" s="109"/>
      <c r="H2300" s="110"/>
      <c r="K2300" s="65"/>
      <c r="L2300" s="65"/>
      <c r="N2300" s="65"/>
    </row>
    <row r="2301" spans="1:14">
      <c r="A2301" s="106"/>
      <c r="B2301" s="108"/>
      <c r="C2301" s="108"/>
      <c r="D2301" s="108"/>
      <c r="E2301" s="108"/>
      <c r="F2301" s="108"/>
      <c r="G2301" s="109"/>
      <c r="H2301" s="110"/>
      <c r="K2301" s="65"/>
      <c r="L2301" s="65"/>
      <c r="N2301" s="65"/>
    </row>
    <row r="2302" spans="1:14">
      <c r="A2302" s="106"/>
      <c r="B2302" s="108"/>
      <c r="C2302" s="108"/>
      <c r="D2302" s="108"/>
      <c r="E2302" s="108"/>
      <c r="F2302" s="108"/>
      <c r="G2302" s="109"/>
      <c r="H2302" s="110"/>
      <c r="K2302" s="65"/>
      <c r="L2302" s="65"/>
      <c r="N2302" s="65"/>
    </row>
    <row r="2303" spans="1:14">
      <c r="A2303" s="106"/>
      <c r="B2303" s="108"/>
      <c r="C2303" s="108"/>
      <c r="D2303" s="108"/>
      <c r="E2303" s="108"/>
      <c r="F2303" s="108"/>
      <c r="G2303" s="109"/>
      <c r="H2303" s="110"/>
      <c r="K2303" s="65"/>
      <c r="L2303" s="65"/>
      <c r="N2303" s="65"/>
    </row>
    <row r="2304" spans="1:14">
      <c r="A2304" s="106"/>
      <c r="B2304" s="108"/>
      <c r="C2304" s="108"/>
      <c r="D2304" s="108"/>
      <c r="E2304" s="108"/>
      <c r="F2304" s="108"/>
      <c r="G2304" s="109"/>
      <c r="H2304" s="110"/>
      <c r="K2304" s="65"/>
      <c r="L2304" s="65"/>
      <c r="N2304" s="65"/>
    </row>
    <row r="2305" spans="1:14">
      <c r="A2305" s="106"/>
      <c r="B2305" s="108"/>
      <c r="C2305" s="108"/>
      <c r="D2305" s="108"/>
      <c r="E2305" s="108"/>
      <c r="F2305" s="108"/>
      <c r="G2305" s="109"/>
      <c r="H2305" s="110"/>
      <c r="K2305" s="65"/>
      <c r="L2305" s="65"/>
      <c r="N2305" s="65"/>
    </row>
    <row r="2306" spans="1:14">
      <c r="A2306" s="106"/>
      <c r="B2306" s="108"/>
      <c r="C2306" s="108"/>
      <c r="D2306" s="108"/>
      <c r="E2306" s="108"/>
      <c r="F2306" s="108"/>
      <c r="G2306" s="109"/>
      <c r="H2306" s="110"/>
      <c r="K2306" s="65"/>
      <c r="L2306" s="65"/>
      <c r="N2306" s="65"/>
    </row>
    <row r="2307" spans="1:14">
      <c r="A2307" s="106"/>
      <c r="B2307" s="108"/>
      <c r="C2307" s="108"/>
      <c r="D2307" s="108"/>
      <c r="E2307" s="108"/>
      <c r="F2307" s="108"/>
      <c r="G2307" s="109"/>
      <c r="H2307" s="110"/>
      <c r="K2307" s="65"/>
      <c r="L2307" s="65"/>
      <c r="N2307" s="65"/>
    </row>
    <row r="2308" spans="1:14">
      <c r="A2308" s="106"/>
      <c r="B2308" s="108"/>
      <c r="C2308" s="108"/>
      <c r="D2308" s="108"/>
      <c r="E2308" s="108"/>
      <c r="F2308" s="108"/>
      <c r="G2308" s="109"/>
      <c r="H2308" s="110"/>
      <c r="K2308" s="65"/>
      <c r="L2308" s="65"/>
      <c r="N2308" s="65"/>
    </row>
    <row r="2309" spans="1:14">
      <c r="A2309" s="106"/>
      <c r="B2309" s="108"/>
      <c r="C2309" s="108"/>
      <c r="D2309" s="108"/>
      <c r="E2309" s="108"/>
      <c r="F2309" s="108"/>
      <c r="G2309" s="109"/>
      <c r="H2309" s="110"/>
      <c r="K2309" s="65"/>
      <c r="L2309" s="65"/>
      <c r="N2309" s="65"/>
    </row>
    <row r="2310" spans="1:14">
      <c r="A2310" s="106"/>
      <c r="B2310" s="108"/>
      <c r="C2310" s="108"/>
      <c r="D2310" s="108"/>
      <c r="E2310" s="108"/>
      <c r="F2310" s="108"/>
      <c r="G2310" s="109"/>
      <c r="H2310" s="110"/>
      <c r="K2310" s="65"/>
      <c r="L2310" s="65"/>
      <c r="N2310" s="65"/>
    </row>
    <row r="2311" spans="1:14">
      <c r="A2311" s="106"/>
      <c r="B2311" s="108"/>
      <c r="C2311" s="108"/>
      <c r="D2311" s="108"/>
      <c r="E2311" s="108"/>
      <c r="F2311" s="108"/>
      <c r="G2311" s="109"/>
      <c r="H2311" s="110"/>
      <c r="K2311" s="65"/>
      <c r="L2311" s="65"/>
      <c r="N2311" s="65"/>
    </row>
    <row r="2312" spans="1:14">
      <c r="A2312" s="106"/>
      <c r="B2312" s="108"/>
      <c r="C2312" s="108"/>
      <c r="D2312" s="108"/>
      <c r="E2312" s="108"/>
      <c r="F2312" s="108"/>
      <c r="G2312" s="109"/>
      <c r="H2312" s="110"/>
      <c r="K2312" s="65"/>
      <c r="L2312" s="65"/>
      <c r="N2312" s="65"/>
    </row>
    <row r="2313" spans="1:14">
      <c r="A2313" s="106"/>
      <c r="B2313" s="108"/>
      <c r="C2313" s="108"/>
      <c r="D2313" s="108"/>
      <c r="E2313" s="108"/>
      <c r="F2313" s="108"/>
      <c r="G2313" s="109"/>
      <c r="H2313" s="110"/>
      <c r="K2313" s="65"/>
      <c r="L2313" s="65"/>
      <c r="N2313" s="65"/>
    </row>
    <row r="2314" spans="1:14">
      <c r="A2314" s="106"/>
      <c r="B2314" s="108"/>
      <c r="C2314" s="108"/>
      <c r="D2314" s="108"/>
      <c r="E2314" s="108"/>
      <c r="F2314" s="108"/>
      <c r="G2314" s="109"/>
      <c r="H2314" s="110"/>
      <c r="K2314" s="65"/>
      <c r="L2314" s="65"/>
      <c r="N2314" s="65"/>
    </row>
    <row r="2315" spans="1:14">
      <c r="A2315" s="106"/>
      <c r="B2315" s="108"/>
      <c r="C2315" s="108"/>
      <c r="D2315" s="108"/>
      <c r="E2315" s="108"/>
      <c r="F2315" s="108"/>
      <c r="G2315" s="109"/>
      <c r="H2315" s="110"/>
      <c r="K2315" s="65"/>
      <c r="L2315" s="65"/>
      <c r="N2315" s="65"/>
    </row>
    <row r="2316" spans="1:14">
      <c r="A2316" s="106"/>
      <c r="B2316" s="108"/>
      <c r="C2316" s="108"/>
      <c r="D2316" s="108"/>
      <c r="E2316" s="108"/>
      <c r="F2316" s="108"/>
      <c r="G2316" s="109"/>
      <c r="H2316" s="110"/>
      <c r="K2316" s="65"/>
      <c r="L2316" s="65"/>
      <c r="N2316" s="65"/>
    </row>
    <row r="2317" spans="1:14">
      <c r="A2317" s="106"/>
      <c r="B2317" s="108"/>
      <c r="C2317" s="108"/>
      <c r="D2317" s="108"/>
      <c r="E2317" s="108"/>
      <c r="F2317" s="108"/>
      <c r="G2317" s="109"/>
      <c r="H2317" s="110"/>
      <c r="K2317" s="65"/>
      <c r="L2317" s="65"/>
      <c r="N2317" s="65"/>
    </row>
    <row r="2318" spans="1:14">
      <c r="A2318" s="106"/>
      <c r="B2318" s="108"/>
      <c r="C2318" s="108"/>
      <c r="D2318" s="108"/>
      <c r="E2318" s="108"/>
      <c r="F2318" s="108"/>
      <c r="G2318" s="109"/>
      <c r="H2318" s="110"/>
      <c r="K2318" s="65"/>
      <c r="L2318" s="65"/>
      <c r="N2318" s="65"/>
    </row>
    <row r="2319" spans="1:14">
      <c r="A2319" s="106"/>
      <c r="B2319" s="108"/>
      <c r="C2319" s="108"/>
      <c r="D2319" s="108"/>
      <c r="E2319" s="108"/>
      <c r="F2319" s="108"/>
      <c r="G2319" s="109"/>
      <c r="H2319" s="110"/>
      <c r="K2319" s="65"/>
      <c r="L2319" s="65"/>
      <c r="N2319" s="65"/>
    </row>
    <row r="2320" spans="1:14">
      <c r="A2320" s="106"/>
      <c r="B2320" s="108"/>
      <c r="C2320" s="108"/>
      <c r="D2320" s="108"/>
      <c r="E2320" s="108"/>
      <c r="F2320" s="108"/>
      <c r="G2320" s="109"/>
      <c r="H2320" s="110"/>
      <c r="K2320" s="65"/>
      <c r="L2320" s="65"/>
      <c r="N2320" s="65"/>
    </row>
    <row r="2321" spans="1:14">
      <c r="A2321" s="106"/>
      <c r="B2321" s="108"/>
      <c r="C2321" s="108"/>
      <c r="D2321" s="108"/>
      <c r="E2321" s="108"/>
      <c r="F2321" s="108"/>
      <c r="G2321" s="109"/>
      <c r="H2321" s="110"/>
      <c r="K2321" s="65"/>
      <c r="L2321" s="65"/>
      <c r="N2321" s="65"/>
    </row>
    <row r="2322" spans="1:14">
      <c r="A2322" s="106"/>
      <c r="B2322" s="108"/>
      <c r="C2322" s="108"/>
      <c r="D2322" s="108"/>
      <c r="E2322" s="108"/>
      <c r="F2322" s="108"/>
      <c r="G2322" s="109"/>
      <c r="H2322" s="110"/>
      <c r="K2322" s="65"/>
      <c r="L2322" s="65"/>
      <c r="N2322" s="65"/>
    </row>
    <row r="2323" spans="1:14">
      <c r="A2323" s="106"/>
      <c r="B2323" s="108"/>
      <c r="C2323" s="108"/>
      <c r="D2323" s="108"/>
      <c r="E2323" s="108"/>
      <c r="F2323" s="108"/>
      <c r="G2323" s="109"/>
      <c r="H2323" s="110"/>
      <c r="K2323" s="65"/>
      <c r="L2323" s="65"/>
      <c r="N2323" s="65"/>
    </row>
    <row r="2324" spans="1:14">
      <c r="A2324" s="106"/>
      <c r="B2324" s="108"/>
      <c r="C2324" s="108"/>
      <c r="D2324" s="108"/>
      <c r="E2324" s="108"/>
      <c r="F2324" s="108"/>
      <c r="G2324" s="109"/>
      <c r="H2324" s="110"/>
      <c r="K2324" s="65"/>
      <c r="L2324" s="65"/>
      <c r="N2324" s="65"/>
    </row>
    <row r="2325" spans="1:14">
      <c r="A2325" s="106"/>
      <c r="B2325" s="108"/>
      <c r="C2325" s="108"/>
      <c r="D2325" s="108"/>
      <c r="E2325" s="108"/>
      <c r="F2325" s="108"/>
      <c r="G2325" s="109"/>
      <c r="H2325" s="110"/>
      <c r="K2325" s="65"/>
      <c r="L2325" s="65"/>
      <c r="N2325" s="65"/>
    </row>
    <row r="2326" spans="1:14">
      <c r="A2326" s="106"/>
      <c r="B2326" s="108"/>
      <c r="C2326" s="108"/>
      <c r="D2326" s="108"/>
      <c r="E2326" s="108"/>
      <c r="F2326" s="108"/>
      <c r="G2326" s="109"/>
      <c r="H2326" s="110"/>
      <c r="K2326" s="65"/>
      <c r="L2326" s="65"/>
      <c r="N2326" s="65"/>
    </row>
    <row r="2327" spans="1:14">
      <c r="A2327" s="106"/>
      <c r="B2327" s="108"/>
      <c r="C2327" s="108"/>
      <c r="D2327" s="108"/>
      <c r="E2327" s="108"/>
      <c r="F2327" s="108"/>
      <c r="G2327" s="109"/>
      <c r="H2327" s="110"/>
      <c r="K2327" s="65"/>
      <c r="L2327" s="65"/>
      <c r="N2327" s="65"/>
    </row>
    <row r="2328" spans="1:14">
      <c r="A2328" s="106"/>
      <c r="B2328" s="108"/>
      <c r="C2328" s="108"/>
      <c r="D2328" s="108"/>
      <c r="E2328" s="108"/>
      <c r="F2328" s="108"/>
      <c r="G2328" s="109"/>
      <c r="H2328" s="110"/>
      <c r="K2328" s="65"/>
      <c r="L2328" s="65"/>
      <c r="N2328" s="65"/>
    </row>
    <row r="2329" spans="1:14">
      <c r="A2329" s="106"/>
      <c r="B2329" s="108"/>
      <c r="C2329" s="108"/>
      <c r="D2329" s="108"/>
      <c r="E2329" s="108"/>
      <c r="F2329" s="108"/>
      <c r="G2329" s="109"/>
      <c r="H2329" s="110"/>
      <c r="K2329" s="65"/>
      <c r="L2329" s="65"/>
      <c r="N2329" s="65"/>
    </row>
    <row r="2330" spans="1:14">
      <c r="A2330" s="106"/>
      <c r="B2330" s="108"/>
      <c r="C2330" s="108"/>
      <c r="D2330" s="108"/>
      <c r="E2330" s="108"/>
      <c r="F2330" s="108"/>
      <c r="G2330" s="109"/>
      <c r="H2330" s="110"/>
      <c r="K2330" s="65"/>
      <c r="L2330" s="65"/>
      <c r="N2330" s="65"/>
    </row>
    <row r="2331" spans="1:14">
      <c r="A2331" s="106"/>
      <c r="B2331" s="108"/>
      <c r="C2331" s="108"/>
      <c r="D2331" s="108"/>
      <c r="E2331" s="108"/>
      <c r="F2331" s="108"/>
      <c r="G2331" s="109"/>
      <c r="H2331" s="110"/>
      <c r="K2331" s="65"/>
      <c r="L2331" s="65"/>
      <c r="N2331" s="65"/>
    </row>
    <row r="2332" spans="1:14">
      <c r="A2332" s="106"/>
      <c r="B2332" s="108"/>
      <c r="C2332" s="108"/>
      <c r="D2332" s="108"/>
      <c r="E2332" s="108"/>
      <c r="F2332" s="108"/>
      <c r="G2332" s="109"/>
      <c r="H2332" s="110"/>
      <c r="K2332" s="65"/>
      <c r="L2332" s="65"/>
      <c r="N2332" s="65"/>
    </row>
    <row r="2333" spans="1:14">
      <c r="A2333" s="106"/>
      <c r="B2333" s="108"/>
      <c r="C2333" s="108"/>
      <c r="D2333" s="108"/>
      <c r="E2333" s="108"/>
      <c r="F2333" s="108"/>
      <c r="G2333" s="109"/>
      <c r="H2333" s="110"/>
      <c r="K2333" s="65"/>
      <c r="L2333" s="65"/>
      <c r="N2333" s="65"/>
    </row>
    <row r="2334" spans="1:14">
      <c r="A2334" s="106"/>
      <c r="B2334" s="108"/>
      <c r="C2334" s="108"/>
      <c r="D2334" s="108"/>
      <c r="E2334" s="108"/>
      <c r="F2334" s="108"/>
      <c r="G2334" s="109"/>
      <c r="H2334" s="110"/>
      <c r="K2334" s="65"/>
      <c r="L2334" s="65"/>
      <c r="N2334" s="65"/>
    </row>
    <row r="2335" spans="1:14">
      <c r="A2335" s="106"/>
      <c r="B2335" s="108"/>
      <c r="C2335" s="108"/>
      <c r="D2335" s="108"/>
      <c r="E2335" s="108"/>
      <c r="F2335" s="108"/>
      <c r="G2335" s="109"/>
      <c r="H2335" s="110"/>
      <c r="K2335" s="65"/>
      <c r="L2335" s="65"/>
      <c r="N2335" s="65"/>
    </row>
    <row r="2336" spans="1:14">
      <c r="A2336" s="106"/>
      <c r="B2336" s="108"/>
      <c r="C2336" s="108"/>
      <c r="D2336" s="108"/>
      <c r="E2336" s="108"/>
      <c r="F2336" s="108"/>
      <c r="G2336" s="109"/>
      <c r="H2336" s="110"/>
      <c r="K2336" s="65"/>
      <c r="L2336" s="65"/>
      <c r="N2336" s="65"/>
    </row>
    <row r="2337" spans="1:14">
      <c r="A2337" s="106"/>
      <c r="B2337" s="108"/>
      <c r="C2337" s="108"/>
      <c r="D2337" s="108"/>
      <c r="E2337" s="108"/>
      <c r="F2337" s="108"/>
      <c r="G2337" s="109"/>
      <c r="H2337" s="110"/>
      <c r="K2337" s="65"/>
      <c r="L2337" s="65"/>
      <c r="N2337" s="65"/>
    </row>
    <row r="2338" spans="1:14">
      <c r="A2338" s="106"/>
      <c r="B2338" s="108"/>
      <c r="C2338" s="108"/>
      <c r="D2338" s="108"/>
      <c r="E2338" s="108"/>
      <c r="F2338" s="108"/>
      <c r="G2338" s="109"/>
      <c r="H2338" s="110"/>
      <c r="K2338" s="65"/>
      <c r="L2338" s="65"/>
      <c r="N2338" s="65"/>
    </row>
    <row r="2339" spans="1:14">
      <c r="A2339" s="106"/>
      <c r="B2339" s="108"/>
      <c r="C2339" s="108"/>
      <c r="D2339" s="108"/>
      <c r="E2339" s="108"/>
      <c r="F2339" s="108"/>
      <c r="G2339" s="109"/>
      <c r="H2339" s="110"/>
      <c r="K2339" s="65"/>
      <c r="L2339" s="65"/>
      <c r="N2339" s="65"/>
    </row>
    <row r="2340" spans="1:14">
      <c r="A2340" s="106"/>
      <c r="B2340" s="108"/>
      <c r="C2340" s="108"/>
      <c r="D2340" s="108"/>
      <c r="E2340" s="108"/>
      <c r="F2340" s="108"/>
      <c r="G2340" s="109"/>
      <c r="H2340" s="110"/>
      <c r="K2340" s="65"/>
      <c r="L2340" s="65"/>
      <c r="N2340" s="65"/>
    </row>
    <row r="2341" spans="1:14">
      <c r="A2341" s="106"/>
      <c r="B2341" s="108"/>
      <c r="C2341" s="108"/>
      <c r="D2341" s="108"/>
      <c r="E2341" s="108"/>
      <c r="F2341" s="108"/>
      <c r="G2341" s="109"/>
      <c r="H2341" s="110"/>
      <c r="K2341" s="65"/>
      <c r="L2341" s="65"/>
      <c r="N2341" s="65"/>
    </row>
    <row r="2342" spans="1:14">
      <c r="A2342" s="106"/>
      <c r="B2342" s="108"/>
      <c r="C2342" s="108"/>
      <c r="D2342" s="108"/>
      <c r="E2342" s="108"/>
      <c r="F2342" s="108"/>
      <c r="G2342" s="109"/>
      <c r="H2342" s="110"/>
      <c r="K2342" s="65"/>
      <c r="L2342" s="65"/>
      <c r="N2342" s="65"/>
    </row>
    <row r="2343" spans="1:14">
      <c r="A2343" s="106"/>
      <c r="B2343" s="108"/>
      <c r="C2343" s="108"/>
      <c r="D2343" s="108"/>
      <c r="E2343" s="108"/>
      <c r="F2343" s="108"/>
      <c r="G2343" s="109"/>
      <c r="H2343" s="110"/>
      <c r="K2343" s="65"/>
      <c r="L2343" s="65"/>
      <c r="N2343" s="65"/>
    </row>
    <row r="2344" spans="1:14">
      <c r="A2344" s="106"/>
      <c r="B2344" s="108"/>
      <c r="C2344" s="108"/>
      <c r="D2344" s="108"/>
      <c r="E2344" s="108"/>
      <c r="F2344" s="108"/>
      <c r="G2344" s="109"/>
      <c r="H2344" s="110"/>
      <c r="K2344" s="65"/>
      <c r="L2344" s="65"/>
      <c r="N2344" s="65"/>
    </row>
    <row r="2345" spans="1:14">
      <c r="A2345" s="106"/>
      <c r="B2345" s="108"/>
      <c r="C2345" s="108"/>
      <c r="D2345" s="108"/>
      <c r="E2345" s="108"/>
      <c r="F2345" s="108"/>
      <c r="G2345" s="109"/>
      <c r="H2345" s="110"/>
      <c r="K2345" s="65"/>
      <c r="L2345" s="65"/>
      <c r="N2345" s="65"/>
    </row>
    <row r="2346" spans="1:14">
      <c r="A2346" s="106"/>
      <c r="B2346" s="108"/>
      <c r="C2346" s="108"/>
      <c r="D2346" s="108"/>
      <c r="E2346" s="108"/>
      <c r="F2346" s="108"/>
      <c r="G2346" s="109"/>
      <c r="H2346" s="110"/>
      <c r="K2346" s="65"/>
      <c r="L2346" s="65"/>
      <c r="N2346" s="65"/>
    </row>
    <row r="2347" spans="1:14">
      <c r="A2347" s="106"/>
      <c r="B2347" s="108"/>
      <c r="C2347" s="108"/>
      <c r="D2347" s="108"/>
      <c r="E2347" s="108"/>
      <c r="F2347" s="108"/>
      <c r="G2347" s="109"/>
      <c r="H2347" s="110"/>
      <c r="K2347" s="65"/>
      <c r="L2347" s="65"/>
      <c r="N2347" s="65"/>
    </row>
    <row r="2348" spans="1:14">
      <c r="A2348" s="106"/>
      <c r="B2348" s="108"/>
      <c r="C2348" s="108"/>
      <c r="D2348" s="108"/>
      <c r="E2348" s="108"/>
      <c r="F2348" s="108"/>
      <c r="G2348" s="109"/>
      <c r="H2348" s="110"/>
      <c r="K2348" s="65"/>
      <c r="L2348" s="65"/>
      <c r="N2348" s="65"/>
    </row>
    <row r="2349" spans="1:14">
      <c r="A2349" s="106"/>
      <c r="B2349" s="108"/>
      <c r="C2349" s="108"/>
      <c r="D2349" s="108"/>
      <c r="E2349" s="108"/>
      <c r="F2349" s="108"/>
      <c r="G2349" s="109"/>
      <c r="H2349" s="110"/>
      <c r="K2349" s="65"/>
      <c r="L2349" s="65"/>
      <c r="N2349" s="65"/>
    </row>
    <row r="2350" spans="1:14">
      <c r="A2350" s="106"/>
      <c r="B2350" s="108"/>
      <c r="C2350" s="108"/>
      <c r="D2350" s="108"/>
      <c r="E2350" s="108"/>
      <c r="F2350" s="108"/>
      <c r="G2350" s="109"/>
      <c r="H2350" s="110"/>
      <c r="K2350" s="65"/>
      <c r="L2350" s="65"/>
      <c r="N2350" s="65"/>
    </row>
    <row r="2351" spans="1:14">
      <c r="A2351" s="106"/>
      <c r="B2351" s="108"/>
      <c r="C2351" s="108"/>
      <c r="D2351" s="108"/>
      <c r="E2351" s="108"/>
      <c r="F2351" s="108"/>
      <c r="G2351" s="109"/>
      <c r="H2351" s="110"/>
      <c r="K2351" s="65"/>
      <c r="L2351" s="65"/>
      <c r="N2351" s="65"/>
    </row>
    <row r="2352" spans="1:14">
      <c r="A2352" s="106"/>
      <c r="B2352" s="108"/>
      <c r="C2352" s="108"/>
      <c r="D2352" s="108"/>
      <c r="E2352" s="108"/>
      <c r="F2352" s="108"/>
      <c r="G2352" s="109"/>
      <c r="H2352" s="110"/>
      <c r="K2352" s="65"/>
      <c r="L2352" s="65"/>
      <c r="N2352" s="65"/>
    </row>
    <row r="2353" spans="1:14">
      <c r="A2353" s="106"/>
      <c r="B2353" s="108"/>
      <c r="C2353" s="108"/>
      <c r="D2353" s="108"/>
      <c r="E2353" s="108"/>
      <c r="F2353" s="108"/>
      <c r="G2353" s="109"/>
      <c r="H2353" s="110"/>
      <c r="K2353" s="65"/>
      <c r="L2353" s="65"/>
      <c r="N2353" s="65"/>
    </row>
    <row r="2354" spans="1:14">
      <c r="A2354" s="106"/>
      <c r="B2354" s="108"/>
      <c r="C2354" s="108"/>
      <c r="D2354" s="108"/>
      <c r="E2354" s="108"/>
      <c r="F2354" s="108"/>
      <c r="G2354" s="109"/>
      <c r="H2354" s="110"/>
      <c r="K2354" s="65"/>
      <c r="L2354" s="65"/>
      <c r="N2354" s="65"/>
    </row>
    <row r="2355" spans="1:14">
      <c r="A2355" s="106"/>
      <c r="B2355" s="108"/>
      <c r="C2355" s="108"/>
      <c r="D2355" s="108"/>
      <c r="E2355" s="108"/>
      <c r="F2355" s="108"/>
      <c r="G2355" s="109"/>
      <c r="H2355" s="110"/>
      <c r="K2355" s="65"/>
      <c r="L2355" s="65"/>
      <c r="N2355" s="65"/>
    </row>
    <row r="2356" spans="1:14">
      <c r="A2356" s="106"/>
      <c r="B2356" s="108"/>
      <c r="C2356" s="108"/>
      <c r="D2356" s="108"/>
      <c r="E2356" s="108"/>
      <c r="F2356" s="108"/>
      <c r="G2356" s="109"/>
      <c r="H2356" s="110"/>
      <c r="K2356" s="65"/>
      <c r="L2356" s="65"/>
      <c r="N2356" s="65"/>
    </row>
    <row r="2357" spans="1:14">
      <c r="A2357" s="106"/>
      <c r="B2357" s="108"/>
      <c r="C2357" s="108"/>
      <c r="D2357" s="108"/>
      <c r="E2357" s="108"/>
      <c r="F2357" s="108"/>
      <c r="G2357" s="109"/>
      <c r="H2357" s="110"/>
      <c r="K2357" s="65"/>
      <c r="L2357" s="65"/>
      <c r="N2357" s="65"/>
    </row>
    <row r="2358" spans="1:14">
      <c r="A2358" s="106"/>
      <c r="B2358" s="108"/>
      <c r="C2358" s="108"/>
      <c r="D2358" s="108"/>
      <c r="E2358" s="108"/>
      <c r="F2358" s="108"/>
      <c r="G2358" s="109"/>
      <c r="H2358" s="110"/>
      <c r="K2358" s="65"/>
      <c r="L2358" s="65"/>
      <c r="N2358" s="65"/>
    </row>
    <row r="2359" spans="1:14">
      <c r="A2359" s="106"/>
      <c r="B2359" s="108"/>
      <c r="C2359" s="108"/>
      <c r="D2359" s="108"/>
      <c r="E2359" s="108"/>
      <c r="F2359" s="108"/>
      <c r="G2359" s="109"/>
      <c r="H2359" s="110"/>
      <c r="K2359" s="65"/>
      <c r="L2359" s="65"/>
      <c r="N2359" s="65"/>
    </row>
    <row r="2360" spans="1:14">
      <c r="A2360" s="106"/>
      <c r="B2360" s="108"/>
      <c r="C2360" s="108"/>
      <c r="D2360" s="108"/>
      <c r="E2360" s="108"/>
      <c r="F2360" s="108"/>
      <c r="G2360" s="109"/>
      <c r="H2360" s="110"/>
      <c r="K2360" s="65"/>
      <c r="L2360" s="65"/>
      <c r="N2360" s="65"/>
    </row>
    <row r="2361" spans="1:14">
      <c r="A2361" s="106"/>
      <c r="B2361" s="108"/>
      <c r="C2361" s="108"/>
      <c r="D2361" s="108"/>
      <c r="E2361" s="108"/>
      <c r="F2361" s="108"/>
      <c r="G2361" s="109"/>
      <c r="H2361" s="110"/>
      <c r="K2361" s="65"/>
      <c r="L2361" s="65"/>
      <c r="N2361" s="65"/>
    </row>
    <row r="2362" spans="1:14">
      <c r="A2362" s="106"/>
      <c r="B2362" s="108"/>
      <c r="C2362" s="108"/>
      <c r="D2362" s="108"/>
      <c r="E2362" s="108"/>
      <c r="F2362" s="108"/>
      <c r="G2362" s="109"/>
      <c r="H2362" s="110"/>
      <c r="K2362" s="65"/>
      <c r="L2362" s="65"/>
      <c r="N2362" s="65"/>
    </row>
    <row r="2363" spans="1:14">
      <c r="A2363" s="106"/>
      <c r="B2363" s="108"/>
      <c r="C2363" s="108"/>
      <c r="D2363" s="108"/>
      <c r="E2363" s="108"/>
      <c r="F2363" s="108"/>
      <c r="G2363" s="109"/>
      <c r="H2363" s="110"/>
      <c r="K2363" s="65"/>
      <c r="L2363" s="65"/>
      <c r="N2363" s="65"/>
    </row>
    <row r="2364" spans="1:14">
      <c r="A2364" s="106"/>
      <c r="B2364" s="108"/>
      <c r="C2364" s="108"/>
      <c r="D2364" s="108"/>
      <c r="E2364" s="108"/>
      <c r="F2364" s="108"/>
      <c r="G2364" s="109"/>
      <c r="H2364" s="110"/>
      <c r="K2364" s="65"/>
      <c r="L2364" s="65"/>
      <c r="N2364" s="65"/>
    </row>
    <row r="2365" spans="1:14">
      <c r="A2365" s="106"/>
      <c r="B2365" s="108"/>
      <c r="C2365" s="108"/>
      <c r="D2365" s="108"/>
      <c r="E2365" s="108"/>
      <c r="F2365" s="108"/>
      <c r="G2365" s="109"/>
      <c r="H2365" s="110"/>
      <c r="K2365" s="65"/>
      <c r="L2365" s="65"/>
      <c r="N2365" s="65"/>
    </row>
    <row r="2366" spans="1:14">
      <c r="A2366" s="106"/>
      <c r="B2366" s="108"/>
      <c r="C2366" s="108"/>
      <c r="D2366" s="108"/>
      <c r="E2366" s="108"/>
      <c r="F2366" s="108"/>
      <c r="G2366" s="109"/>
      <c r="H2366" s="110"/>
      <c r="K2366" s="65"/>
      <c r="L2366" s="65"/>
      <c r="N2366" s="65"/>
    </row>
    <row r="2367" spans="1:14">
      <c r="A2367" s="106"/>
      <c r="B2367" s="108"/>
      <c r="C2367" s="108"/>
      <c r="D2367" s="108"/>
      <c r="E2367" s="108"/>
      <c r="F2367" s="108"/>
      <c r="G2367" s="109"/>
      <c r="H2367" s="110"/>
      <c r="K2367" s="65"/>
      <c r="L2367" s="65"/>
      <c r="N2367" s="65"/>
    </row>
    <row r="2368" spans="1:14">
      <c r="A2368" s="106"/>
      <c r="B2368" s="108"/>
      <c r="C2368" s="108"/>
      <c r="D2368" s="108"/>
      <c r="E2368" s="108"/>
      <c r="F2368" s="108"/>
      <c r="G2368" s="109"/>
      <c r="H2368" s="110"/>
      <c r="K2368" s="65"/>
      <c r="L2368" s="65"/>
      <c r="N2368" s="65"/>
    </row>
    <row r="2369" spans="1:14">
      <c r="A2369" s="106"/>
      <c r="B2369" s="108"/>
      <c r="C2369" s="108"/>
      <c r="D2369" s="108"/>
      <c r="E2369" s="108"/>
      <c r="F2369" s="108"/>
      <c r="G2369" s="109"/>
      <c r="H2369" s="110"/>
      <c r="K2369" s="65"/>
      <c r="L2369" s="65"/>
      <c r="N2369" s="65"/>
    </row>
    <row r="2370" spans="1:14">
      <c r="A2370" s="106"/>
      <c r="B2370" s="108"/>
      <c r="C2370" s="108"/>
      <c r="D2370" s="108"/>
      <c r="E2370" s="108"/>
      <c r="F2370" s="108"/>
      <c r="G2370" s="109"/>
      <c r="H2370" s="110"/>
      <c r="K2370" s="65"/>
      <c r="L2370" s="65"/>
      <c r="N2370" s="65"/>
    </row>
    <row r="2371" spans="1:14">
      <c r="A2371" s="106"/>
      <c r="B2371" s="108"/>
      <c r="C2371" s="108"/>
      <c r="D2371" s="108"/>
      <c r="E2371" s="108"/>
      <c r="F2371" s="108"/>
      <c r="G2371" s="109"/>
      <c r="H2371" s="110"/>
      <c r="K2371" s="65"/>
      <c r="L2371" s="65"/>
      <c r="N2371" s="65"/>
    </row>
    <row r="2372" spans="1:14">
      <c r="A2372" s="106"/>
      <c r="B2372" s="108"/>
      <c r="C2372" s="108"/>
      <c r="D2372" s="108"/>
      <c r="E2372" s="108"/>
      <c r="F2372" s="108"/>
      <c r="G2372" s="109"/>
      <c r="H2372" s="110"/>
      <c r="K2372" s="65"/>
      <c r="L2372" s="65"/>
      <c r="N2372" s="65"/>
    </row>
    <row r="2373" spans="1:14">
      <c r="A2373" s="106"/>
      <c r="B2373" s="108"/>
      <c r="C2373" s="108"/>
      <c r="D2373" s="108"/>
      <c r="E2373" s="108"/>
      <c r="F2373" s="108"/>
      <c r="G2373" s="109"/>
      <c r="H2373" s="110"/>
      <c r="K2373" s="65"/>
      <c r="L2373" s="65"/>
      <c r="N2373" s="65"/>
    </row>
    <row r="2374" spans="1:14">
      <c r="A2374" s="106"/>
      <c r="B2374" s="108"/>
      <c r="C2374" s="108"/>
      <c r="D2374" s="108"/>
      <c r="E2374" s="108"/>
      <c r="F2374" s="108"/>
      <c r="G2374" s="109"/>
      <c r="H2374" s="110"/>
      <c r="K2374" s="65"/>
      <c r="L2374" s="65"/>
      <c r="N2374" s="65"/>
    </row>
    <row r="2375" spans="1:14">
      <c r="A2375" s="106"/>
      <c r="B2375" s="108"/>
      <c r="C2375" s="108"/>
      <c r="D2375" s="108"/>
      <c r="E2375" s="108"/>
      <c r="F2375" s="108"/>
      <c r="G2375" s="109"/>
      <c r="H2375" s="110"/>
      <c r="K2375" s="65"/>
      <c r="L2375" s="65"/>
      <c r="N2375" s="65"/>
    </row>
    <row r="2376" spans="1:14">
      <c r="A2376" s="106"/>
      <c r="B2376" s="108"/>
      <c r="C2376" s="108"/>
      <c r="D2376" s="108"/>
      <c r="E2376" s="108"/>
      <c r="F2376" s="108"/>
      <c r="G2376" s="109"/>
      <c r="H2376" s="110"/>
      <c r="K2376" s="65"/>
      <c r="L2376" s="65"/>
      <c r="N2376" s="65"/>
    </row>
    <row r="2377" spans="1:14">
      <c r="A2377" s="106"/>
      <c r="B2377" s="108"/>
      <c r="C2377" s="108"/>
      <c r="D2377" s="108"/>
      <c r="E2377" s="108"/>
      <c r="F2377" s="108"/>
      <c r="G2377" s="109"/>
      <c r="H2377" s="110"/>
      <c r="K2377" s="65"/>
      <c r="L2377" s="65"/>
      <c r="N2377" s="65"/>
    </row>
    <row r="2378" spans="1:14">
      <c r="A2378" s="106"/>
      <c r="B2378" s="108"/>
      <c r="C2378" s="108"/>
      <c r="D2378" s="108"/>
      <c r="E2378" s="108"/>
      <c r="F2378" s="108"/>
      <c r="G2378" s="109"/>
      <c r="H2378" s="110"/>
      <c r="K2378" s="65"/>
      <c r="L2378" s="65"/>
      <c r="N2378" s="65"/>
    </row>
    <row r="2379" spans="1:14">
      <c r="A2379" s="106"/>
      <c r="B2379" s="108"/>
      <c r="C2379" s="108"/>
      <c r="D2379" s="108"/>
      <c r="E2379" s="108"/>
      <c r="F2379" s="108"/>
      <c r="G2379" s="109"/>
      <c r="H2379" s="110"/>
      <c r="K2379" s="65"/>
      <c r="L2379" s="65"/>
      <c r="N2379" s="65"/>
    </row>
    <row r="2380" spans="1:14">
      <c r="A2380" s="106"/>
      <c r="B2380" s="108"/>
      <c r="C2380" s="108"/>
      <c r="D2380" s="108"/>
      <c r="E2380" s="108"/>
      <c r="F2380" s="108"/>
      <c r="G2380" s="109"/>
      <c r="H2380" s="110"/>
      <c r="K2380" s="65"/>
      <c r="L2380" s="65"/>
      <c r="N2380" s="65"/>
    </row>
    <row r="2381" spans="1:14">
      <c r="A2381" s="106"/>
      <c r="B2381" s="108"/>
      <c r="C2381" s="108"/>
      <c r="D2381" s="108"/>
      <c r="E2381" s="108"/>
      <c r="F2381" s="108"/>
      <c r="G2381" s="109"/>
      <c r="H2381" s="110"/>
      <c r="K2381" s="65"/>
      <c r="L2381" s="65"/>
      <c r="N2381" s="65"/>
    </row>
    <row r="2382" spans="1:14">
      <c r="A2382" s="106"/>
      <c r="B2382" s="108"/>
      <c r="C2382" s="108"/>
      <c r="D2382" s="108"/>
      <c r="E2382" s="108"/>
      <c r="F2382" s="108"/>
      <c r="G2382" s="109"/>
      <c r="H2382" s="110"/>
      <c r="K2382" s="65"/>
      <c r="L2382" s="65"/>
      <c r="N2382" s="65"/>
    </row>
    <row r="2383" spans="1:14">
      <c r="A2383" s="106"/>
      <c r="B2383" s="108"/>
      <c r="C2383" s="108"/>
      <c r="D2383" s="108"/>
      <c r="E2383" s="108"/>
      <c r="F2383" s="108"/>
      <c r="G2383" s="109"/>
      <c r="H2383" s="110"/>
      <c r="K2383" s="65"/>
      <c r="L2383" s="65"/>
      <c r="N2383" s="65"/>
    </row>
    <row r="2384" spans="1:14">
      <c r="A2384" s="106"/>
      <c r="B2384" s="108"/>
      <c r="C2384" s="108"/>
      <c r="D2384" s="108"/>
      <c r="E2384" s="108"/>
      <c r="F2384" s="108"/>
      <c r="G2384" s="109"/>
      <c r="H2384" s="110"/>
      <c r="K2384" s="65"/>
      <c r="L2384" s="65"/>
      <c r="N2384" s="65"/>
    </row>
    <row r="2385" spans="1:14">
      <c r="A2385" s="106"/>
      <c r="B2385" s="108"/>
      <c r="C2385" s="108"/>
      <c r="D2385" s="108"/>
      <c r="E2385" s="108"/>
      <c r="F2385" s="108"/>
      <c r="G2385" s="109"/>
      <c r="H2385" s="110"/>
      <c r="K2385" s="65"/>
      <c r="L2385" s="65"/>
      <c r="N2385" s="65"/>
    </row>
    <row r="2386" spans="1:14">
      <c r="A2386" s="106"/>
      <c r="B2386" s="108"/>
      <c r="C2386" s="108"/>
      <c r="D2386" s="108"/>
      <c r="E2386" s="108"/>
      <c r="F2386" s="108"/>
      <c r="G2386" s="109"/>
      <c r="H2386" s="110"/>
      <c r="K2386" s="65"/>
      <c r="L2386" s="65"/>
      <c r="N2386" s="65"/>
    </row>
    <row r="2387" spans="1:14">
      <c r="A2387" s="106"/>
      <c r="B2387" s="108"/>
      <c r="C2387" s="108"/>
      <c r="D2387" s="108"/>
      <c r="E2387" s="108"/>
      <c r="F2387" s="108"/>
      <c r="G2387" s="109"/>
      <c r="H2387" s="110"/>
      <c r="K2387" s="65"/>
      <c r="L2387" s="65"/>
      <c r="N2387" s="65"/>
    </row>
    <row r="2388" spans="1:14">
      <c r="A2388" s="106"/>
      <c r="B2388" s="108"/>
      <c r="C2388" s="108"/>
      <c r="D2388" s="108"/>
      <c r="E2388" s="108"/>
      <c r="F2388" s="108"/>
      <c r="G2388" s="109"/>
      <c r="H2388" s="110"/>
      <c r="K2388" s="65"/>
      <c r="L2388" s="65"/>
      <c r="N2388" s="65"/>
    </row>
    <row r="2389" spans="1:14">
      <c r="A2389" s="106"/>
      <c r="B2389" s="108"/>
      <c r="C2389" s="108"/>
      <c r="D2389" s="108"/>
      <c r="E2389" s="108"/>
      <c r="F2389" s="108"/>
      <c r="G2389" s="109"/>
      <c r="H2389" s="110"/>
      <c r="K2389" s="65"/>
      <c r="L2389" s="65"/>
      <c r="N2389" s="65"/>
    </row>
    <row r="2390" spans="1:14">
      <c r="A2390" s="106"/>
      <c r="B2390" s="108"/>
      <c r="C2390" s="108"/>
      <c r="D2390" s="108"/>
      <c r="E2390" s="108"/>
      <c r="F2390" s="108"/>
      <c r="G2390" s="109"/>
      <c r="H2390" s="110"/>
      <c r="K2390" s="65"/>
      <c r="L2390" s="65"/>
      <c r="N2390" s="65"/>
    </row>
    <row r="2391" spans="1:14">
      <c r="A2391" s="106"/>
      <c r="B2391" s="108"/>
      <c r="C2391" s="108"/>
      <c r="D2391" s="108"/>
      <c r="E2391" s="108"/>
      <c r="F2391" s="108"/>
      <c r="G2391" s="109"/>
      <c r="H2391" s="110"/>
      <c r="K2391" s="65"/>
      <c r="L2391" s="65"/>
      <c r="N2391" s="65"/>
    </row>
    <row r="2392" spans="1:14">
      <c r="A2392" s="106"/>
      <c r="B2392" s="108"/>
      <c r="C2392" s="108"/>
      <c r="D2392" s="108"/>
      <c r="E2392" s="108"/>
      <c r="F2392" s="108"/>
      <c r="G2392" s="109"/>
      <c r="H2392" s="110"/>
      <c r="K2392" s="65"/>
      <c r="L2392" s="65"/>
      <c r="N2392" s="65"/>
    </row>
    <row r="2393" spans="1:14">
      <c r="A2393" s="106"/>
      <c r="B2393" s="108"/>
      <c r="C2393" s="108"/>
      <c r="D2393" s="108"/>
      <c r="E2393" s="108"/>
      <c r="F2393" s="108"/>
      <c r="G2393" s="109"/>
      <c r="H2393" s="110"/>
      <c r="K2393" s="65"/>
      <c r="L2393" s="65"/>
      <c r="N2393" s="65"/>
    </row>
    <row r="2394" spans="1:14">
      <c r="A2394" s="106"/>
      <c r="B2394" s="108"/>
      <c r="C2394" s="108"/>
      <c r="D2394" s="108"/>
      <c r="E2394" s="108"/>
      <c r="F2394" s="108"/>
      <c r="G2394" s="109"/>
      <c r="H2394" s="110"/>
      <c r="K2394" s="65"/>
      <c r="L2394" s="65"/>
      <c r="N2394" s="65"/>
    </row>
    <row r="2395" spans="1:14">
      <c r="A2395" s="106"/>
      <c r="B2395" s="108"/>
      <c r="C2395" s="108"/>
      <c r="D2395" s="108"/>
      <c r="E2395" s="108"/>
      <c r="F2395" s="108"/>
      <c r="G2395" s="109"/>
      <c r="H2395" s="110"/>
      <c r="K2395" s="65"/>
      <c r="L2395" s="65"/>
      <c r="N2395" s="65"/>
    </row>
    <row r="2396" spans="1:14">
      <c r="A2396" s="106"/>
      <c r="B2396" s="108"/>
      <c r="C2396" s="108"/>
      <c r="D2396" s="108"/>
      <c r="E2396" s="108"/>
      <c r="F2396" s="108"/>
      <c r="G2396" s="109"/>
      <c r="H2396" s="110"/>
      <c r="K2396" s="65"/>
      <c r="L2396" s="65"/>
      <c r="N2396" s="65"/>
    </row>
    <row r="2397" spans="1:14">
      <c r="A2397" s="106"/>
      <c r="B2397" s="108"/>
      <c r="C2397" s="108"/>
      <c r="D2397" s="108"/>
      <c r="E2397" s="108"/>
      <c r="F2397" s="108"/>
      <c r="G2397" s="109"/>
      <c r="H2397" s="110"/>
      <c r="K2397" s="65"/>
      <c r="L2397" s="65"/>
      <c r="N2397" s="65"/>
    </row>
    <row r="2398" spans="1:14">
      <c r="A2398" s="106"/>
      <c r="B2398" s="108"/>
      <c r="C2398" s="108"/>
      <c r="D2398" s="108"/>
      <c r="E2398" s="108"/>
      <c r="F2398" s="108"/>
      <c r="G2398" s="109"/>
      <c r="H2398" s="110"/>
      <c r="K2398" s="65"/>
      <c r="L2398" s="65"/>
      <c r="N2398" s="65"/>
    </row>
    <row r="2399" spans="1:14">
      <c r="A2399" s="106"/>
      <c r="B2399" s="108"/>
      <c r="C2399" s="108"/>
      <c r="D2399" s="108"/>
      <c r="E2399" s="108"/>
      <c r="F2399" s="108"/>
      <c r="G2399" s="109"/>
      <c r="H2399" s="110"/>
      <c r="K2399" s="65"/>
      <c r="L2399" s="65"/>
      <c r="N2399" s="65"/>
    </row>
    <row r="2400" spans="1:14">
      <c r="A2400" s="106"/>
      <c r="B2400" s="108"/>
      <c r="C2400" s="108"/>
      <c r="D2400" s="108"/>
      <c r="E2400" s="108"/>
      <c r="F2400" s="108"/>
      <c r="G2400" s="109"/>
      <c r="H2400" s="110"/>
      <c r="K2400" s="65"/>
      <c r="L2400" s="65"/>
      <c r="N2400" s="65"/>
    </row>
    <row r="2401" spans="1:14">
      <c r="A2401" s="106"/>
      <c r="B2401" s="108"/>
      <c r="C2401" s="108"/>
      <c r="D2401" s="108"/>
      <c r="E2401" s="108"/>
      <c r="F2401" s="108"/>
      <c r="G2401" s="109"/>
      <c r="H2401" s="110"/>
      <c r="K2401" s="65"/>
      <c r="L2401" s="65"/>
      <c r="N2401" s="65"/>
    </row>
    <row r="2402" spans="1:14">
      <c r="A2402" s="106"/>
      <c r="B2402" s="108"/>
      <c r="C2402" s="108"/>
      <c r="D2402" s="108"/>
      <c r="E2402" s="108"/>
      <c r="F2402" s="108"/>
      <c r="G2402" s="109"/>
      <c r="H2402" s="110"/>
      <c r="K2402" s="65"/>
      <c r="L2402" s="65"/>
      <c r="N2402" s="65"/>
    </row>
    <row r="2403" spans="1:14">
      <c r="A2403" s="106"/>
      <c r="B2403" s="108"/>
      <c r="C2403" s="108"/>
      <c r="D2403" s="108"/>
      <c r="E2403" s="108"/>
      <c r="F2403" s="108"/>
      <c r="G2403" s="109"/>
      <c r="H2403" s="110"/>
      <c r="K2403" s="65"/>
      <c r="L2403" s="65"/>
      <c r="N2403" s="65"/>
    </row>
    <row r="2404" spans="1:14">
      <c r="A2404" s="106"/>
      <c r="B2404" s="108"/>
      <c r="C2404" s="108"/>
      <c r="D2404" s="108"/>
      <c r="E2404" s="108"/>
      <c r="F2404" s="108"/>
      <c r="G2404" s="109"/>
      <c r="H2404" s="110"/>
      <c r="K2404" s="65"/>
      <c r="L2404" s="65"/>
      <c r="N2404" s="65"/>
    </row>
    <row r="2405" spans="1:14">
      <c r="A2405" s="106"/>
      <c r="B2405" s="108"/>
      <c r="C2405" s="108"/>
      <c r="D2405" s="108"/>
      <c r="E2405" s="108"/>
      <c r="F2405" s="108"/>
      <c r="G2405" s="109"/>
      <c r="H2405" s="110"/>
      <c r="K2405" s="65"/>
      <c r="L2405" s="65"/>
      <c r="N2405" s="65"/>
    </row>
    <row r="2406" spans="1:14">
      <c r="A2406" s="106"/>
      <c r="B2406" s="108"/>
      <c r="C2406" s="108"/>
      <c r="D2406" s="108"/>
      <c r="E2406" s="108"/>
      <c r="F2406" s="108"/>
      <c r="G2406" s="109"/>
      <c r="H2406" s="110"/>
      <c r="K2406" s="65"/>
      <c r="L2406" s="65"/>
      <c r="N2406" s="65"/>
    </row>
    <row r="2407" spans="1:14">
      <c r="A2407" s="106"/>
      <c r="B2407" s="108"/>
      <c r="C2407" s="108"/>
      <c r="D2407" s="108"/>
      <c r="E2407" s="108"/>
      <c r="F2407" s="108"/>
      <c r="G2407" s="109"/>
      <c r="H2407" s="110"/>
      <c r="K2407" s="65"/>
      <c r="L2407" s="65"/>
      <c r="N2407" s="65"/>
    </row>
    <row r="2408" spans="1:14">
      <c r="A2408" s="106"/>
      <c r="B2408" s="108"/>
      <c r="C2408" s="108"/>
      <c r="D2408" s="108"/>
      <c r="E2408" s="108"/>
      <c r="F2408" s="108"/>
      <c r="G2408" s="109"/>
      <c r="H2408" s="110"/>
      <c r="K2408" s="65"/>
      <c r="L2408" s="65"/>
      <c r="N2408" s="65"/>
    </row>
    <row r="2409" spans="1:14">
      <c r="A2409" s="106"/>
      <c r="B2409" s="108"/>
      <c r="C2409" s="108"/>
      <c r="D2409" s="108"/>
      <c r="E2409" s="108"/>
      <c r="F2409" s="108"/>
      <c r="G2409" s="109"/>
      <c r="H2409" s="110"/>
      <c r="K2409" s="65"/>
      <c r="L2409" s="65"/>
      <c r="N2409" s="65"/>
    </row>
    <row r="2410" spans="1:14">
      <c r="A2410" s="106"/>
      <c r="B2410" s="108"/>
      <c r="C2410" s="108"/>
      <c r="D2410" s="108"/>
      <c r="E2410" s="108"/>
      <c r="F2410" s="108"/>
      <c r="G2410" s="109"/>
      <c r="H2410" s="110"/>
      <c r="K2410" s="65"/>
      <c r="L2410" s="65"/>
      <c r="N2410" s="65"/>
    </row>
    <row r="2411" spans="1:14">
      <c r="A2411" s="106"/>
      <c r="B2411" s="108"/>
      <c r="C2411" s="108"/>
      <c r="D2411" s="108"/>
      <c r="E2411" s="108"/>
      <c r="F2411" s="108"/>
      <c r="G2411" s="109"/>
      <c r="H2411" s="110"/>
      <c r="K2411" s="65"/>
      <c r="L2411" s="65"/>
      <c r="N2411" s="65"/>
    </row>
    <row r="2412" spans="1:14">
      <c r="A2412" s="106"/>
      <c r="B2412" s="108"/>
      <c r="C2412" s="108"/>
      <c r="D2412" s="108"/>
      <c r="E2412" s="108"/>
      <c r="F2412" s="108"/>
      <c r="G2412" s="109"/>
      <c r="H2412" s="110"/>
      <c r="K2412" s="65"/>
      <c r="L2412" s="65"/>
      <c r="N2412" s="65"/>
    </row>
    <row r="2413" spans="1:14">
      <c r="A2413" s="106"/>
      <c r="B2413" s="108"/>
      <c r="C2413" s="108"/>
      <c r="D2413" s="108"/>
      <c r="E2413" s="108"/>
      <c r="F2413" s="108"/>
      <c r="G2413" s="109"/>
      <c r="H2413" s="110"/>
      <c r="K2413" s="65"/>
      <c r="L2413" s="65"/>
      <c r="N2413" s="65"/>
    </row>
    <row r="2414" spans="1:14">
      <c r="A2414" s="106"/>
      <c r="B2414" s="108"/>
      <c r="C2414" s="108"/>
      <c r="D2414" s="108"/>
      <c r="E2414" s="108"/>
      <c r="F2414" s="108"/>
      <c r="G2414" s="109"/>
      <c r="H2414" s="110"/>
      <c r="K2414" s="65"/>
      <c r="L2414" s="65"/>
      <c r="N2414" s="65"/>
    </row>
    <row r="2415" spans="1:14">
      <c r="A2415" s="106"/>
      <c r="B2415" s="108"/>
      <c r="C2415" s="108"/>
      <c r="D2415" s="108"/>
      <c r="E2415" s="108"/>
      <c r="F2415" s="108"/>
      <c r="G2415" s="109"/>
      <c r="H2415" s="110"/>
      <c r="K2415" s="65"/>
      <c r="L2415" s="65"/>
      <c r="N2415" s="65"/>
    </row>
    <row r="2416" spans="1:14">
      <c r="A2416" s="106"/>
      <c r="B2416" s="108"/>
      <c r="C2416" s="108"/>
      <c r="D2416" s="108"/>
      <c r="E2416" s="108"/>
      <c r="F2416" s="108"/>
      <c r="G2416" s="109"/>
      <c r="H2416" s="110"/>
      <c r="K2416" s="65"/>
      <c r="L2416" s="65"/>
      <c r="N2416" s="65"/>
    </row>
    <row r="2417" spans="1:14">
      <c r="A2417" s="106"/>
      <c r="B2417" s="108"/>
      <c r="C2417" s="108"/>
      <c r="D2417" s="108"/>
      <c r="E2417" s="108"/>
      <c r="F2417" s="108"/>
      <c r="G2417" s="109"/>
      <c r="H2417" s="110"/>
      <c r="K2417" s="65"/>
      <c r="L2417" s="65"/>
      <c r="N2417" s="65"/>
    </row>
    <row r="2418" spans="1:14">
      <c r="A2418" s="106"/>
      <c r="B2418" s="108"/>
      <c r="C2418" s="108"/>
      <c r="D2418" s="108"/>
      <c r="E2418" s="108"/>
      <c r="F2418" s="108"/>
      <c r="G2418" s="109"/>
      <c r="H2418" s="110"/>
      <c r="K2418" s="65"/>
      <c r="L2418" s="65"/>
      <c r="N2418" s="65"/>
    </row>
    <row r="2419" spans="1:14">
      <c r="A2419" s="106"/>
      <c r="B2419" s="108"/>
      <c r="C2419" s="108"/>
      <c r="D2419" s="108"/>
      <c r="E2419" s="108"/>
      <c r="F2419" s="108"/>
      <c r="G2419" s="109"/>
      <c r="H2419" s="110"/>
      <c r="K2419" s="65"/>
      <c r="L2419" s="65"/>
      <c r="N2419" s="65"/>
    </row>
    <row r="2420" spans="1:14">
      <c r="A2420" s="106"/>
      <c r="B2420" s="108"/>
      <c r="C2420" s="108"/>
      <c r="D2420" s="108"/>
      <c r="E2420" s="108"/>
      <c r="F2420" s="108"/>
      <c r="G2420" s="109"/>
      <c r="H2420" s="110"/>
      <c r="K2420" s="65"/>
      <c r="L2420" s="65"/>
      <c r="N2420" s="65"/>
    </row>
    <row r="2421" spans="1:14">
      <c r="A2421" s="106"/>
      <c r="B2421" s="108"/>
      <c r="C2421" s="108"/>
      <c r="D2421" s="108"/>
      <c r="E2421" s="108"/>
      <c r="F2421" s="108"/>
      <c r="G2421" s="109"/>
      <c r="H2421" s="110"/>
      <c r="K2421" s="65"/>
      <c r="L2421" s="65"/>
      <c r="N2421" s="65"/>
    </row>
    <row r="2422" spans="1:14">
      <c r="A2422" s="106"/>
      <c r="B2422" s="108"/>
      <c r="C2422" s="108"/>
      <c r="D2422" s="108"/>
      <c r="E2422" s="108"/>
      <c r="F2422" s="108"/>
      <c r="G2422" s="109"/>
      <c r="H2422" s="110"/>
      <c r="K2422" s="65"/>
      <c r="L2422" s="65"/>
      <c r="N2422" s="65"/>
    </row>
    <row r="2423" spans="1:14">
      <c r="A2423" s="106"/>
      <c r="B2423" s="108"/>
      <c r="C2423" s="108"/>
      <c r="D2423" s="108"/>
      <c r="E2423" s="108"/>
      <c r="F2423" s="108"/>
      <c r="G2423" s="109"/>
      <c r="H2423" s="110"/>
      <c r="K2423" s="65"/>
      <c r="L2423" s="65"/>
      <c r="N2423" s="65"/>
    </row>
    <row r="2424" spans="1:14">
      <c r="A2424" s="106"/>
      <c r="B2424" s="108"/>
      <c r="C2424" s="108"/>
      <c r="D2424" s="108"/>
      <c r="E2424" s="108"/>
      <c r="F2424" s="108"/>
      <c r="G2424" s="109"/>
      <c r="H2424" s="110"/>
      <c r="K2424" s="65"/>
      <c r="L2424" s="65"/>
      <c r="N2424" s="65"/>
    </row>
    <row r="2425" spans="1:14">
      <c r="A2425" s="106"/>
      <c r="B2425" s="108"/>
      <c r="C2425" s="108"/>
      <c r="D2425" s="108"/>
      <c r="E2425" s="108"/>
      <c r="F2425" s="108"/>
      <c r="G2425" s="109"/>
      <c r="H2425" s="110"/>
      <c r="K2425" s="65"/>
      <c r="L2425" s="65"/>
      <c r="N2425" s="65"/>
    </row>
    <row r="2426" spans="1:14">
      <c r="A2426" s="106"/>
      <c r="B2426" s="108"/>
      <c r="C2426" s="108"/>
      <c r="D2426" s="108"/>
      <c r="E2426" s="108"/>
      <c r="F2426" s="108"/>
      <c r="G2426" s="109"/>
      <c r="H2426" s="110"/>
      <c r="K2426" s="65"/>
      <c r="L2426" s="65"/>
      <c r="N2426" s="65"/>
    </row>
    <row r="2427" spans="1:14">
      <c r="A2427" s="106"/>
      <c r="B2427" s="108"/>
      <c r="C2427" s="108"/>
      <c r="D2427" s="108"/>
      <c r="E2427" s="108"/>
      <c r="F2427" s="108"/>
      <c r="G2427" s="109"/>
      <c r="H2427" s="110"/>
      <c r="K2427" s="65"/>
      <c r="L2427" s="65"/>
      <c r="N2427" s="65"/>
    </row>
    <row r="2428" spans="1:14">
      <c r="A2428" s="106"/>
      <c r="B2428" s="108"/>
      <c r="C2428" s="108"/>
      <c r="D2428" s="108"/>
      <c r="E2428" s="108"/>
      <c r="F2428" s="108"/>
      <c r="G2428" s="109"/>
      <c r="H2428" s="110"/>
      <c r="K2428" s="65"/>
      <c r="L2428" s="65"/>
      <c r="N2428" s="65"/>
    </row>
    <row r="2429" spans="1:14">
      <c r="A2429" s="106"/>
      <c r="B2429" s="108"/>
      <c r="C2429" s="108"/>
      <c r="D2429" s="108"/>
      <c r="E2429" s="108"/>
      <c r="F2429" s="108"/>
      <c r="G2429" s="109"/>
      <c r="H2429" s="110"/>
      <c r="K2429" s="65"/>
      <c r="L2429" s="65"/>
      <c r="N2429" s="65"/>
    </row>
    <row r="2430" spans="1:14">
      <c r="A2430" s="106"/>
      <c r="B2430" s="108"/>
      <c r="C2430" s="108"/>
      <c r="D2430" s="108"/>
      <c r="E2430" s="108"/>
      <c r="F2430" s="108"/>
      <c r="G2430" s="109"/>
      <c r="H2430" s="110"/>
      <c r="K2430" s="65"/>
      <c r="L2430" s="65"/>
      <c r="N2430" s="65"/>
    </row>
    <row r="2431" spans="1:14">
      <c r="A2431" s="106"/>
      <c r="B2431" s="108"/>
      <c r="C2431" s="108"/>
      <c r="D2431" s="108"/>
      <c r="E2431" s="108"/>
      <c r="F2431" s="108"/>
      <c r="G2431" s="109"/>
      <c r="H2431" s="110"/>
      <c r="K2431" s="65"/>
      <c r="L2431" s="65"/>
      <c r="N2431" s="65"/>
    </row>
    <row r="2432" spans="1:14">
      <c r="A2432" s="106"/>
      <c r="B2432" s="108"/>
      <c r="C2432" s="108"/>
      <c r="D2432" s="108"/>
      <c r="E2432" s="108"/>
      <c r="F2432" s="108"/>
      <c r="G2432" s="109"/>
      <c r="H2432" s="110"/>
      <c r="K2432" s="65"/>
      <c r="L2432" s="65"/>
      <c r="N2432" s="65"/>
    </row>
    <row r="2433" spans="1:14">
      <c r="A2433" s="106"/>
      <c r="B2433" s="108"/>
      <c r="C2433" s="108"/>
      <c r="D2433" s="108"/>
      <c r="E2433" s="108"/>
      <c r="F2433" s="108"/>
      <c r="G2433" s="109"/>
      <c r="H2433" s="110"/>
      <c r="K2433" s="65"/>
      <c r="L2433" s="65"/>
      <c r="N2433" s="65"/>
    </row>
    <row r="2434" spans="1:14">
      <c r="A2434" s="106"/>
      <c r="B2434" s="108"/>
      <c r="C2434" s="108"/>
      <c r="D2434" s="108"/>
      <c r="E2434" s="108"/>
      <c r="F2434" s="108"/>
      <c r="G2434" s="109"/>
      <c r="H2434" s="110"/>
      <c r="K2434" s="65"/>
      <c r="L2434" s="65"/>
      <c r="N2434" s="65"/>
    </row>
    <row r="2435" spans="1:14">
      <c r="A2435" s="106"/>
      <c r="B2435" s="108"/>
      <c r="C2435" s="108"/>
      <c r="D2435" s="108"/>
      <c r="E2435" s="108"/>
      <c r="F2435" s="108"/>
      <c r="G2435" s="109"/>
      <c r="H2435" s="110"/>
      <c r="K2435" s="65"/>
      <c r="L2435" s="65"/>
      <c r="N2435" s="65"/>
    </row>
    <row r="2436" spans="1:14">
      <c r="A2436" s="106"/>
      <c r="B2436" s="108"/>
      <c r="C2436" s="108"/>
      <c r="D2436" s="108"/>
      <c r="E2436" s="108"/>
      <c r="F2436" s="108"/>
      <c r="G2436" s="109"/>
      <c r="H2436" s="110"/>
      <c r="K2436" s="65"/>
      <c r="L2436" s="65"/>
      <c r="N2436" s="65"/>
    </row>
    <row r="2437" spans="1:14">
      <c r="A2437" s="106"/>
      <c r="B2437" s="108"/>
      <c r="C2437" s="108"/>
      <c r="D2437" s="108"/>
      <c r="E2437" s="108"/>
      <c r="F2437" s="108"/>
      <c r="G2437" s="109"/>
      <c r="H2437" s="110"/>
      <c r="K2437" s="65"/>
      <c r="L2437" s="65"/>
      <c r="N2437" s="65"/>
    </row>
    <row r="2438" spans="1:14">
      <c r="A2438" s="106"/>
      <c r="B2438" s="108"/>
      <c r="C2438" s="108"/>
      <c r="D2438" s="108"/>
      <c r="E2438" s="108"/>
      <c r="F2438" s="108"/>
      <c r="G2438" s="109"/>
      <c r="H2438" s="110"/>
      <c r="K2438" s="65"/>
      <c r="L2438" s="65"/>
      <c r="N2438" s="65"/>
    </row>
    <row r="2439" spans="1:14">
      <c r="A2439" s="106"/>
      <c r="B2439" s="108"/>
      <c r="C2439" s="108"/>
      <c r="D2439" s="108"/>
      <c r="E2439" s="108"/>
      <c r="F2439" s="108"/>
      <c r="G2439" s="109"/>
      <c r="H2439" s="110"/>
      <c r="K2439" s="65"/>
      <c r="L2439" s="65"/>
      <c r="N2439" s="65"/>
    </row>
    <row r="2440" spans="1:14">
      <c r="A2440" s="106"/>
      <c r="B2440" s="108"/>
      <c r="C2440" s="108"/>
      <c r="D2440" s="108"/>
      <c r="E2440" s="108"/>
      <c r="F2440" s="108"/>
      <c r="G2440" s="109"/>
      <c r="H2440" s="110"/>
      <c r="K2440" s="65"/>
      <c r="L2440" s="65"/>
      <c r="N2440" s="65"/>
    </row>
    <row r="2441" spans="1:14">
      <c r="A2441" s="106"/>
      <c r="B2441" s="108"/>
      <c r="C2441" s="108"/>
      <c r="D2441" s="108"/>
      <c r="E2441" s="108"/>
      <c r="F2441" s="108"/>
      <c r="G2441" s="109"/>
      <c r="H2441" s="110"/>
      <c r="K2441" s="65"/>
      <c r="L2441" s="65"/>
      <c r="N2441" s="65"/>
    </row>
    <row r="2442" spans="1:14">
      <c r="A2442" s="106"/>
      <c r="B2442" s="108"/>
      <c r="C2442" s="108"/>
      <c r="D2442" s="108"/>
      <c r="E2442" s="108"/>
      <c r="F2442" s="108"/>
      <c r="G2442" s="109"/>
      <c r="H2442" s="110"/>
      <c r="K2442" s="65"/>
      <c r="L2442" s="65"/>
      <c r="N2442" s="65"/>
    </row>
    <row r="2443" spans="1:14">
      <c r="A2443" s="106"/>
      <c r="B2443" s="108"/>
      <c r="C2443" s="108"/>
      <c r="D2443" s="108"/>
      <c r="E2443" s="108"/>
      <c r="F2443" s="108"/>
      <c r="G2443" s="109"/>
      <c r="H2443" s="110"/>
      <c r="K2443" s="65"/>
      <c r="L2443" s="65"/>
      <c r="N2443" s="65"/>
    </row>
    <row r="2444" spans="1:14">
      <c r="A2444" s="106"/>
      <c r="B2444" s="108"/>
      <c r="C2444" s="108"/>
      <c r="D2444" s="108"/>
      <c r="E2444" s="108"/>
      <c r="F2444" s="108"/>
      <c r="G2444" s="109"/>
      <c r="H2444" s="110"/>
      <c r="K2444" s="65"/>
      <c r="L2444" s="65"/>
      <c r="N2444" s="65"/>
    </row>
    <row r="2445" spans="1:14">
      <c r="A2445" s="106"/>
      <c r="B2445" s="108"/>
      <c r="C2445" s="108"/>
      <c r="D2445" s="108"/>
      <c r="E2445" s="108"/>
      <c r="F2445" s="108"/>
      <c r="G2445" s="109"/>
      <c r="H2445" s="110"/>
      <c r="K2445" s="65"/>
      <c r="L2445" s="65"/>
      <c r="N2445" s="65"/>
    </row>
    <row r="2446" spans="1:14">
      <c r="A2446" s="106"/>
      <c r="B2446" s="108"/>
      <c r="C2446" s="108"/>
      <c r="D2446" s="108"/>
      <c r="E2446" s="108"/>
      <c r="F2446" s="108"/>
      <c r="G2446" s="109"/>
      <c r="H2446" s="110"/>
      <c r="K2446" s="65"/>
      <c r="L2446" s="65"/>
      <c r="N2446" s="65"/>
    </row>
    <row r="2447" spans="1:14">
      <c r="A2447" s="106"/>
      <c r="B2447" s="108"/>
      <c r="C2447" s="108"/>
      <c r="D2447" s="108"/>
      <c r="E2447" s="108"/>
      <c r="F2447" s="108"/>
      <c r="G2447" s="109"/>
      <c r="H2447" s="110"/>
      <c r="K2447" s="65"/>
      <c r="L2447" s="65"/>
      <c r="N2447" s="65"/>
    </row>
    <row r="2448" spans="1:14">
      <c r="A2448" s="106"/>
      <c r="B2448" s="108"/>
      <c r="C2448" s="108"/>
      <c r="D2448" s="108"/>
      <c r="E2448" s="108"/>
      <c r="F2448" s="108"/>
      <c r="G2448" s="109"/>
      <c r="H2448" s="110"/>
      <c r="K2448" s="65"/>
      <c r="L2448" s="65"/>
      <c r="N2448" s="65"/>
    </row>
    <row r="2449" spans="1:14">
      <c r="A2449" s="106"/>
      <c r="B2449" s="108"/>
      <c r="C2449" s="108"/>
      <c r="D2449" s="108"/>
      <c r="E2449" s="108"/>
      <c r="F2449" s="108"/>
      <c r="G2449" s="109"/>
      <c r="H2449" s="110"/>
      <c r="K2449" s="65"/>
      <c r="L2449" s="65"/>
      <c r="N2449" s="65"/>
    </row>
    <row r="2450" spans="1:14">
      <c r="A2450" s="106"/>
      <c r="B2450" s="108"/>
      <c r="C2450" s="108"/>
      <c r="D2450" s="108"/>
      <c r="E2450" s="108"/>
      <c r="F2450" s="108"/>
      <c r="G2450" s="109"/>
      <c r="H2450" s="110"/>
      <c r="K2450" s="65"/>
      <c r="L2450" s="65"/>
      <c r="N2450" s="65"/>
    </row>
    <row r="2451" spans="1:14">
      <c r="A2451" s="106"/>
      <c r="B2451" s="108"/>
      <c r="C2451" s="108"/>
      <c r="D2451" s="108"/>
      <c r="E2451" s="108"/>
      <c r="F2451" s="108"/>
      <c r="G2451" s="109"/>
      <c r="H2451" s="110"/>
      <c r="K2451" s="65"/>
      <c r="L2451" s="65"/>
      <c r="N2451" s="65"/>
    </row>
    <row r="2452" spans="1:14">
      <c r="A2452" s="106"/>
      <c r="B2452" s="108"/>
      <c r="C2452" s="108"/>
      <c r="D2452" s="108"/>
      <c r="E2452" s="108"/>
      <c r="F2452" s="108"/>
      <c r="G2452" s="109"/>
      <c r="H2452" s="110"/>
      <c r="K2452" s="65"/>
      <c r="L2452" s="65"/>
      <c r="N2452" s="65"/>
    </row>
    <row r="2453" spans="1:14">
      <c r="A2453" s="106"/>
      <c r="B2453" s="108"/>
      <c r="C2453" s="108"/>
      <c r="D2453" s="108"/>
      <c r="E2453" s="108"/>
      <c r="F2453" s="108"/>
      <c r="G2453" s="109"/>
      <c r="H2453" s="110"/>
      <c r="K2453" s="65"/>
      <c r="L2453" s="65"/>
      <c r="N2453" s="65"/>
    </row>
    <row r="2454" spans="1:14">
      <c r="A2454" s="106"/>
      <c r="B2454" s="108"/>
      <c r="C2454" s="108"/>
      <c r="D2454" s="108"/>
      <c r="E2454" s="108"/>
      <c r="F2454" s="108"/>
      <c r="G2454" s="109"/>
      <c r="H2454" s="110"/>
      <c r="K2454" s="65"/>
      <c r="L2454" s="65"/>
      <c r="N2454" s="65"/>
    </row>
    <row r="2455" spans="1:14">
      <c r="A2455" s="106"/>
      <c r="B2455" s="108"/>
      <c r="C2455" s="108"/>
      <c r="D2455" s="108"/>
      <c r="E2455" s="108"/>
      <c r="F2455" s="108"/>
      <c r="G2455" s="109"/>
      <c r="H2455" s="110"/>
      <c r="K2455" s="65"/>
      <c r="L2455" s="65"/>
      <c r="N2455" s="65"/>
    </row>
    <row r="2456" spans="1:14">
      <c r="A2456" s="106"/>
      <c r="B2456" s="108"/>
      <c r="C2456" s="108"/>
      <c r="D2456" s="108"/>
      <c r="E2456" s="108"/>
      <c r="F2456" s="108"/>
      <c r="G2456" s="109"/>
      <c r="H2456" s="110"/>
      <c r="K2456" s="65"/>
      <c r="L2456" s="65"/>
      <c r="N2456" s="65"/>
    </row>
    <row r="2457" spans="1:14">
      <c r="A2457" s="106"/>
      <c r="B2457" s="108"/>
      <c r="C2457" s="108"/>
      <c r="D2457" s="108"/>
      <c r="E2457" s="108"/>
      <c r="F2457" s="108"/>
      <c r="G2457" s="109"/>
      <c r="H2457" s="110"/>
      <c r="K2457" s="65"/>
      <c r="L2457" s="65"/>
      <c r="N2457" s="65"/>
    </row>
    <row r="2458" spans="1:14">
      <c r="A2458" s="106"/>
      <c r="B2458" s="108"/>
      <c r="C2458" s="108"/>
      <c r="D2458" s="108"/>
      <c r="E2458" s="108"/>
      <c r="F2458" s="108"/>
      <c r="G2458" s="109"/>
      <c r="H2458" s="110"/>
      <c r="K2458" s="65"/>
      <c r="L2458" s="65"/>
      <c r="N2458" s="65"/>
    </row>
    <row r="2459" spans="1:14">
      <c r="A2459" s="106"/>
      <c r="B2459" s="108"/>
      <c r="C2459" s="108"/>
      <c r="D2459" s="108"/>
      <c r="E2459" s="108"/>
      <c r="F2459" s="108"/>
      <c r="G2459" s="109"/>
      <c r="H2459" s="110"/>
      <c r="K2459" s="65"/>
      <c r="L2459" s="65"/>
      <c r="N2459" s="65"/>
    </row>
    <row r="2460" spans="1:14">
      <c r="A2460" s="106"/>
      <c r="B2460" s="108"/>
      <c r="C2460" s="108"/>
      <c r="D2460" s="108"/>
      <c r="E2460" s="108"/>
      <c r="F2460" s="108"/>
      <c r="G2460" s="109"/>
      <c r="H2460" s="110"/>
      <c r="K2460" s="65"/>
      <c r="L2460" s="65"/>
      <c r="N2460" s="65"/>
    </row>
    <row r="2461" spans="1:14">
      <c r="A2461" s="106"/>
      <c r="B2461" s="108"/>
      <c r="C2461" s="108"/>
      <c r="D2461" s="108"/>
      <c r="E2461" s="108"/>
      <c r="F2461" s="108"/>
      <c r="G2461" s="109"/>
      <c r="H2461" s="110"/>
      <c r="K2461" s="65"/>
      <c r="L2461" s="65"/>
      <c r="N2461" s="65"/>
    </row>
    <row r="2462" spans="1:14">
      <c r="A2462" s="106"/>
      <c r="B2462" s="108"/>
      <c r="C2462" s="108"/>
      <c r="D2462" s="108"/>
      <c r="E2462" s="108"/>
      <c r="F2462" s="108"/>
      <c r="G2462" s="109"/>
      <c r="H2462" s="110"/>
      <c r="K2462" s="65"/>
      <c r="L2462" s="65"/>
      <c r="N2462" s="65"/>
    </row>
    <row r="2463" spans="1:14">
      <c r="A2463" s="106"/>
      <c r="B2463" s="108"/>
      <c r="C2463" s="108"/>
      <c r="D2463" s="108"/>
      <c r="E2463" s="108"/>
      <c r="F2463" s="108"/>
      <c r="G2463" s="109"/>
      <c r="H2463" s="110"/>
      <c r="K2463" s="65"/>
      <c r="L2463" s="65"/>
      <c r="N2463" s="65"/>
    </row>
    <row r="2464" spans="1:14">
      <c r="A2464" s="106"/>
      <c r="B2464" s="108"/>
      <c r="C2464" s="108"/>
      <c r="D2464" s="108"/>
      <c r="E2464" s="108"/>
      <c r="F2464" s="108"/>
      <c r="G2464" s="109"/>
      <c r="H2464" s="110"/>
      <c r="K2464" s="65"/>
      <c r="L2464" s="65"/>
      <c r="N2464" s="65"/>
    </row>
    <row r="2465" spans="1:14">
      <c r="A2465" s="106"/>
      <c r="B2465" s="108"/>
      <c r="C2465" s="108"/>
      <c r="D2465" s="108"/>
      <c r="E2465" s="108"/>
      <c r="F2465" s="108"/>
      <c r="G2465" s="109"/>
      <c r="H2465" s="110"/>
      <c r="K2465" s="65"/>
      <c r="L2465" s="65"/>
      <c r="N2465" s="65"/>
    </row>
    <row r="2466" spans="1:14">
      <c r="A2466" s="106"/>
      <c r="B2466" s="108"/>
      <c r="C2466" s="108"/>
      <c r="D2466" s="108"/>
      <c r="E2466" s="108"/>
      <c r="F2466" s="108"/>
      <c r="G2466" s="109"/>
      <c r="H2466" s="110"/>
      <c r="K2466" s="65"/>
      <c r="L2466" s="65"/>
      <c r="N2466" s="65"/>
    </row>
    <row r="2467" spans="1:14">
      <c r="A2467" s="106"/>
      <c r="B2467" s="108"/>
      <c r="C2467" s="108"/>
      <c r="D2467" s="108"/>
      <c r="E2467" s="108"/>
      <c r="F2467" s="108"/>
      <c r="G2467" s="109"/>
      <c r="H2467" s="110"/>
      <c r="K2467" s="65"/>
      <c r="L2467" s="65"/>
      <c r="N2467" s="65"/>
    </row>
    <row r="2468" spans="1:14">
      <c r="A2468" s="106"/>
      <c r="B2468" s="108"/>
      <c r="C2468" s="108"/>
      <c r="D2468" s="108"/>
      <c r="E2468" s="108"/>
      <c r="F2468" s="108"/>
      <c r="G2468" s="109"/>
      <c r="H2468" s="110"/>
      <c r="K2468" s="65"/>
      <c r="L2468" s="65"/>
      <c r="N2468" s="65"/>
    </row>
    <row r="2469" spans="1:14">
      <c r="A2469" s="106"/>
      <c r="B2469" s="108"/>
      <c r="C2469" s="108"/>
      <c r="D2469" s="108"/>
      <c r="E2469" s="108"/>
      <c r="F2469" s="108"/>
      <c r="G2469" s="109"/>
      <c r="H2469" s="110"/>
      <c r="K2469" s="65"/>
      <c r="L2469" s="65"/>
      <c r="N2469" s="65"/>
    </row>
    <row r="2470" spans="1:14">
      <c r="A2470" s="106"/>
      <c r="B2470" s="108"/>
      <c r="C2470" s="108"/>
      <c r="D2470" s="108"/>
      <c r="E2470" s="108"/>
      <c r="F2470" s="108"/>
      <c r="G2470" s="109"/>
      <c r="H2470" s="110"/>
      <c r="K2470" s="65"/>
      <c r="L2470" s="65"/>
      <c r="N2470" s="65"/>
    </row>
    <row r="2471" spans="1:14">
      <c r="A2471" s="106"/>
      <c r="B2471" s="108"/>
      <c r="C2471" s="108"/>
      <c r="D2471" s="108"/>
      <c r="E2471" s="108"/>
      <c r="F2471" s="108"/>
      <c r="G2471" s="109"/>
      <c r="H2471" s="110"/>
      <c r="K2471" s="65"/>
      <c r="L2471" s="65"/>
      <c r="N2471" s="65"/>
    </row>
    <row r="2472" spans="1:14">
      <c r="A2472" s="106"/>
      <c r="B2472" s="108"/>
      <c r="C2472" s="108"/>
      <c r="D2472" s="108"/>
      <c r="E2472" s="108"/>
      <c r="F2472" s="108"/>
      <c r="G2472" s="109"/>
      <c r="H2472" s="110"/>
      <c r="K2472" s="65"/>
      <c r="L2472" s="65"/>
      <c r="N2472" s="65"/>
    </row>
    <row r="2473" spans="1:14">
      <c r="A2473" s="106"/>
      <c r="B2473" s="108"/>
      <c r="C2473" s="108"/>
      <c r="D2473" s="108"/>
      <c r="E2473" s="108"/>
      <c r="F2473" s="108"/>
      <c r="G2473" s="109"/>
      <c r="H2473" s="110"/>
      <c r="K2473" s="65"/>
      <c r="L2473" s="65"/>
      <c r="N2473" s="65"/>
    </row>
    <row r="2474" spans="1:14">
      <c r="A2474" s="106"/>
      <c r="B2474" s="108"/>
      <c r="C2474" s="108"/>
      <c r="D2474" s="108"/>
      <c r="E2474" s="108"/>
      <c r="F2474" s="108"/>
      <c r="G2474" s="109"/>
      <c r="H2474" s="110"/>
      <c r="K2474" s="65"/>
      <c r="L2474" s="65"/>
      <c r="N2474" s="65"/>
    </row>
    <row r="2475" spans="1:14">
      <c r="A2475" s="106"/>
      <c r="B2475" s="108"/>
      <c r="C2475" s="108"/>
      <c r="D2475" s="108"/>
      <c r="E2475" s="108"/>
      <c r="F2475" s="108"/>
      <c r="G2475" s="109"/>
      <c r="H2475" s="110"/>
      <c r="K2475" s="65"/>
      <c r="L2475" s="65"/>
      <c r="N2475" s="65"/>
    </row>
    <row r="2476" spans="1:14">
      <c r="A2476" s="106"/>
      <c r="B2476" s="108"/>
      <c r="C2476" s="108"/>
      <c r="D2476" s="108"/>
      <c r="E2476" s="108"/>
      <c r="F2476" s="108"/>
      <c r="G2476" s="109"/>
      <c r="H2476" s="110"/>
      <c r="K2476" s="65"/>
      <c r="L2476" s="65"/>
      <c r="N2476" s="65"/>
    </row>
    <row r="2477" spans="1:14">
      <c r="A2477" s="106"/>
      <c r="B2477" s="108"/>
      <c r="C2477" s="108"/>
      <c r="D2477" s="108"/>
      <c r="E2477" s="108"/>
      <c r="F2477" s="108"/>
      <c r="G2477" s="109"/>
      <c r="H2477" s="110"/>
      <c r="K2477" s="65"/>
      <c r="L2477" s="65"/>
      <c r="N2477" s="65"/>
    </row>
    <row r="2478" spans="1:14">
      <c r="A2478" s="106"/>
      <c r="B2478" s="108"/>
      <c r="C2478" s="108"/>
      <c r="D2478" s="108"/>
      <c r="E2478" s="108"/>
      <c r="F2478" s="108"/>
      <c r="G2478" s="109"/>
      <c r="H2478" s="110"/>
      <c r="K2478" s="65"/>
      <c r="L2478" s="65"/>
      <c r="N2478" s="65"/>
    </row>
    <row r="2479" spans="1:14">
      <c r="A2479" s="106"/>
      <c r="B2479" s="108"/>
      <c r="C2479" s="108"/>
      <c r="D2479" s="108"/>
      <c r="E2479" s="108"/>
      <c r="F2479" s="108"/>
      <c r="G2479" s="109"/>
      <c r="H2479" s="110"/>
      <c r="K2479" s="65"/>
      <c r="L2479" s="65"/>
      <c r="N2479" s="65"/>
    </row>
    <row r="2480" spans="1:14">
      <c r="A2480" s="106"/>
      <c r="B2480" s="108"/>
      <c r="C2480" s="108"/>
      <c r="D2480" s="108"/>
      <c r="E2480" s="108"/>
      <c r="F2480" s="108"/>
      <c r="G2480" s="109"/>
      <c r="H2480" s="110"/>
      <c r="K2480" s="65"/>
      <c r="L2480" s="65"/>
      <c r="N2480" s="65"/>
    </row>
    <row r="2481" spans="1:14">
      <c r="A2481" s="106"/>
      <c r="B2481" s="108"/>
      <c r="C2481" s="108"/>
      <c r="D2481" s="108"/>
      <c r="E2481" s="108"/>
      <c r="F2481" s="108"/>
      <c r="G2481" s="109"/>
      <c r="H2481" s="110"/>
      <c r="K2481" s="65"/>
      <c r="L2481" s="65"/>
      <c r="N2481" s="65"/>
    </row>
    <row r="2482" spans="1:14">
      <c r="A2482" s="106"/>
      <c r="B2482" s="108"/>
      <c r="C2482" s="108"/>
      <c r="D2482" s="108"/>
      <c r="E2482" s="108"/>
      <c r="F2482" s="108"/>
      <c r="G2482" s="109"/>
      <c r="H2482" s="110"/>
      <c r="K2482" s="65"/>
      <c r="L2482" s="65"/>
      <c r="N2482" s="65"/>
    </row>
    <row r="2483" spans="1:14">
      <c r="A2483" s="106"/>
      <c r="B2483" s="108"/>
      <c r="C2483" s="108"/>
      <c r="D2483" s="108"/>
      <c r="E2483" s="108"/>
      <c r="F2483" s="108"/>
      <c r="G2483" s="109"/>
      <c r="H2483" s="110"/>
      <c r="K2483" s="65"/>
      <c r="L2483" s="65"/>
      <c r="N2483" s="65"/>
    </row>
    <row r="2484" spans="1:14">
      <c r="A2484" s="106"/>
      <c r="B2484" s="108"/>
      <c r="C2484" s="108"/>
      <c r="D2484" s="108"/>
      <c r="E2484" s="108"/>
      <c r="F2484" s="108"/>
      <c r="G2484" s="109"/>
      <c r="H2484" s="110"/>
      <c r="K2484" s="65"/>
      <c r="L2484" s="65"/>
      <c r="N2484" s="65"/>
    </row>
    <row r="2485" spans="1:14">
      <c r="A2485" s="106"/>
      <c r="B2485" s="108"/>
      <c r="C2485" s="108"/>
      <c r="D2485" s="108"/>
      <c r="E2485" s="108"/>
      <c r="F2485" s="108"/>
      <c r="G2485" s="109"/>
      <c r="H2485" s="110"/>
      <c r="K2485" s="65"/>
      <c r="L2485" s="65"/>
      <c r="N2485" s="65"/>
    </row>
    <row r="2486" spans="1:14">
      <c r="A2486" s="106"/>
      <c r="B2486" s="108"/>
      <c r="C2486" s="108"/>
      <c r="D2486" s="108"/>
      <c r="E2486" s="108"/>
      <c r="F2486" s="108"/>
      <c r="G2486" s="109"/>
      <c r="H2486" s="110"/>
      <c r="K2486" s="65"/>
      <c r="L2486" s="65"/>
      <c r="N2486" s="65"/>
    </row>
    <row r="2487" spans="1:14">
      <c r="A2487" s="106"/>
      <c r="B2487" s="108"/>
      <c r="C2487" s="108"/>
      <c r="D2487" s="108"/>
      <c r="E2487" s="108"/>
      <c r="F2487" s="108"/>
      <c r="G2487" s="109"/>
      <c r="H2487" s="110"/>
      <c r="K2487" s="65"/>
      <c r="L2487" s="65"/>
      <c r="N2487" s="65"/>
    </row>
    <row r="2488" spans="1:14">
      <c r="A2488" s="106"/>
      <c r="B2488" s="108"/>
      <c r="C2488" s="108"/>
      <c r="D2488" s="108"/>
      <c r="E2488" s="108"/>
      <c r="F2488" s="108"/>
      <c r="G2488" s="109"/>
      <c r="H2488" s="110"/>
      <c r="K2488" s="65"/>
      <c r="L2488" s="65"/>
      <c r="N2488" s="65"/>
    </row>
    <row r="2489" spans="1:14">
      <c r="A2489" s="106"/>
      <c r="B2489" s="108"/>
      <c r="C2489" s="108"/>
      <c r="D2489" s="108"/>
      <c r="E2489" s="108"/>
      <c r="F2489" s="108"/>
      <c r="G2489" s="109"/>
      <c r="H2489" s="110"/>
      <c r="K2489" s="65"/>
      <c r="L2489" s="65"/>
      <c r="N2489" s="65"/>
    </row>
    <row r="2490" spans="1:14">
      <c r="A2490" s="106"/>
      <c r="B2490" s="108"/>
      <c r="C2490" s="108"/>
      <c r="D2490" s="108"/>
      <c r="E2490" s="108"/>
      <c r="F2490" s="108"/>
      <c r="G2490" s="109"/>
      <c r="H2490" s="110"/>
      <c r="K2490" s="65"/>
      <c r="L2490" s="65"/>
      <c r="N2490" s="65"/>
    </row>
    <row r="2491" spans="1:14">
      <c r="A2491" s="106"/>
      <c r="B2491" s="108"/>
      <c r="C2491" s="108"/>
      <c r="D2491" s="108"/>
      <c r="E2491" s="108"/>
      <c r="F2491" s="108"/>
      <c r="G2491" s="109"/>
      <c r="H2491" s="110"/>
      <c r="K2491" s="65"/>
      <c r="L2491" s="65"/>
      <c r="N2491" s="65"/>
    </row>
    <row r="2492" spans="1:14">
      <c r="A2492" s="106"/>
      <c r="B2492" s="108"/>
      <c r="C2492" s="108"/>
      <c r="D2492" s="108"/>
      <c r="E2492" s="108"/>
      <c r="F2492" s="108"/>
      <c r="G2492" s="109"/>
      <c r="H2492" s="110"/>
      <c r="K2492" s="65"/>
      <c r="L2492" s="65"/>
      <c r="N2492" s="65"/>
    </row>
    <row r="2493" spans="1:14">
      <c r="A2493" s="106"/>
      <c r="B2493" s="108"/>
      <c r="C2493" s="108"/>
      <c r="D2493" s="108"/>
      <c r="E2493" s="108"/>
      <c r="F2493" s="108"/>
      <c r="G2493" s="109"/>
      <c r="H2493" s="110"/>
      <c r="K2493" s="65"/>
      <c r="L2493" s="65"/>
      <c r="N2493" s="65"/>
    </row>
    <row r="2494" spans="1:14">
      <c r="A2494" s="106"/>
      <c r="B2494" s="108"/>
      <c r="C2494" s="108"/>
      <c r="D2494" s="108"/>
      <c r="E2494" s="108"/>
      <c r="F2494" s="108"/>
      <c r="G2494" s="109"/>
      <c r="H2494" s="110"/>
      <c r="K2494" s="65"/>
      <c r="L2494" s="65"/>
      <c r="N2494" s="65"/>
    </row>
    <row r="2495" spans="1:14">
      <c r="A2495" s="106"/>
      <c r="B2495" s="108"/>
      <c r="C2495" s="108"/>
      <c r="D2495" s="108"/>
      <c r="E2495" s="108"/>
      <c r="F2495" s="108"/>
      <c r="G2495" s="109"/>
      <c r="H2495" s="110"/>
      <c r="K2495" s="65"/>
      <c r="L2495" s="65"/>
      <c r="N2495" s="65"/>
    </row>
    <row r="2496" spans="1:14">
      <c r="A2496" s="106"/>
      <c r="B2496" s="108"/>
      <c r="C2496" s="108"/>
      <c r="D2496" s="108"/>
      <c r="E2496" s="108"/>
      <c r="F2496" s="108"/>
      <c r="G2496" s="109"/>
      <c r="H2496" s="110"/>
      <c r="K2496" s="65"/>
      <c r="L2496" s="65"/>
      <c r="N2496" s="65"/>
    </row>
    <row r="2497" spans="1:14">
      <c r="A2497" s="106"/>
      <c r="B2497" s="108"/>
      <c r="C2497" s="108"/>
      <c r="D2497" s="108"/>
      <c r="E2497" s="108"/>
      <c r="F2497" s="108"/>
      <c r="G2497" s="109"/>
      <c r="H2497" s="110"/>
      <c r="K2497" s="65"/>
      <c r="L2497" s="65"/>
      <c r="N2497" s="65"/>
    </row>
    <row r="2498" spans="1:14">
      <c r="A2498" s="106"/>
      <c r="B2498" s="108"/>
      <c r="C2498" s="108"/>
      <c r="D2498" s="108"/>
      <c r="E2498" s="108"/>
      <c r="F2498" s="108"/>
      <c r="G2498" s="109"/>
      <c r="H2498" s="110"/>
      <c r="K2498" s="65"/>
      <c r="L2498" s="65"/>
      <c r="N2498" s="65"/>
    </row>
    <row r="2499" spans="1:14">
      <c r="A2499" s="106"/>
      <c r="B2499" s="108"/>
      <c r="C2499" s="108"/>
      <c r="D2499" s="108"/>
      <c r="E2499" s="108"/>
      <c r="F2499" s="108"/>
      <c r="G2499" s="109"/>
      <c r="H2499" s="110"/>
      <c r="K2499" s="65"/>
      <c r="L2499" s="65"/>
      <c r="N2499" s="65"/>
    </row>
    <row r="2500" spans="1:14">
      <c r="A2500" s="106"/>
      <c r="B2500" s="108"/>
      <c r="C2500" s="108"/>
      <c r="D2500" s="108"/>
      <c r="E2500" s="108"/>
      <c r="F2500" s="108"/>
      <c r="G2500" s="109"/>
      <c r="H2500" s="110"/>
      <c r="K2500" s="65"/>
      <c r="L2500" s="65"/>
      <c r="N2500" s="65"/>
    </row>
    <row r="2501" spans="1:14">
      <c r="A2501" s="106"/>
      <c r="B2501" s="108"/>
      <c r="C2501" s="108"/>
      <c r="D2501" s="108"/>
      <c r="E2501" s="108"/>
      <c r="F2501" s="108"/>
      <c r="G2501" s="109"/>
      <c r="H2501" s="110"/>
      <c r="K2501" s="65"/>
      <c r="L2501" s="65"/>
      <c r="N2501" s="65"/>
    </row>
    <row r="2502" spans="1:14">
      <c r="A2502" s="106"/>
      <c r="B2502" s="108"/>
      <c r="C2502" s="108"/>
      <c r="D2502" s="108"/>
      <c r="E2502" s="108"/>
      <c r="F2502" s="108"/>
      <c r="G2502" s="109"/>
      <c r="H2502" s="110"/>
      <c r="K2502" s="65"/>
      <c r="L2502" s="65"/>
      <c r="N2502" s="65"/>
    </row>
    <row r="2503" spans="1:14">
      <c r="A2503" s="106"/>
      <c r="B2503" s="108"/>
      <c r="C2503" s="108"/>
      <c r="D2503" s="108"/>
      <c r="E2503" s="108"/>
      <c r="F2503" s="108"/>
      <c r="G2503" s="109"/>
      <c r="H2503" s="110"/>
      <c r="K2503" s="65"/>
      <c r="L2503" s="65"/>
      <c r="N2503" s="65"/>
    </row>
    <row r="2504" spans="1:14">
      <c r="A2504" s="106"/>
      <c r="B2504" s="108"/>
      <c r="C2504" s="108"/>
      <c r="D2504" s="108"/>
      <c r="E2504" s="108"/>
      <c r="F2504" s="108"/>
      <c r="G2504" s="109"/>
      <c r="H2504" s="110"/>
      <c r="K2504" s="65"/>
      <c r="L2504" s="65"/>
      <c r="N2504" s="65"/>
    </row>
    <row r="2505" spans="1:14">
      <c r="A2505" s="106"/>
      <c r="B2505" s="108"/>
      <c r="C2505" s="108"/>
      <c r="D2505" s="108"/>
      <c r="E2505" s="108"/>
      <c r="F2505" s="108"/>
      <c r="G2505" s="109"/>
      <c r="H2505" s="110"/>
      <c r="K2505" s="65"/>
      <c r="L2505" s="65"/>
      <c r="N2505" s="65"/>
    </row>
    <row r="2506" spans="1:14">
      <c r="A2506" s="106"/>
      <c r="B2506" s="108"/>
      <c r="C2506" s="108"/>
      <c r="D2506" s="108"/>
      <c r="E2506" s="108"/>
      <c r="F2506" s="108"/>
      <c r="G2506" s="109"/>
      <c r="H2506" s="110"/>
      <c r="K2506" s="65"/>
      <c r="L2506" s="65"/>
      <c r="N2506" s="65"/>
    </row>
    <row r="2507" spans="1:14">
      <c r="A2507" s="106"/>
      <c r="B2507" s="108"/>
      <c r="C2507" s="108"/>
      <c r="D2507" s="108"/>
      <c r="E2507" s="108"/>
      <c r="F2507" s="108"/>
      <c r="G2507" s="109"/>
      <c r="H2507" s="110"/>
      <c r="K2507" s="65"/>
      <c r="L2507" s="65"/>
      <c r="N2507" s="65"/>
    </row>
    <row r="2508" spans="1:14">
      <c r="A2508" s="106"/>
      <c r="B2508" s="108"/>
      <c r="C2508" s="108"/>
      <c r="D2508" s="108"/>
      <c r="E2508" s="108"/>
      <c r="F2508" s="108"/>
      <c r="G2508" s="109"/>
      <c r="H2508" s="110"/>
      <c r="K2508" s="65"/>
      <c r="L2508" s="65"/>
      <c r="N2508" s="65"/>
    </row>
    <row r="2509" spans="1:14">
      <c r="A2509" s="106"/>
      <c r="B2509" s="108"/>
      <c r="C2509" s="108"/>
      <c r="D2509" s="108"/>
      <c r="E2509" s="108"/>
      <c r="F2509" s="108"/>
      <c r="G2509" s="109"/>
      <c r="H2509" s="110"/>
      <c r="K2509" s="65"/>
      <c r="L2509" s="65"/>
      <c r="N2509" s="65"/>
    </row>
    <row r="2510" spans="1:14">
      <c r="A2510" s="106"/>
      <c r="B2510" s="108"/>
      <c r="C2510" s="108"/>
      <c r="D2510" s="108"/>
      <c r="E2510" s="108"/>
      <c r="F2510" s="108"/>
      <c r="G2510" s="109"/>
      <c r="H2510" s="110"/>
      <c r="K2510" s="65"/>
      <c r="L2510" s="65"/>
      <c r="N2510" s="65"/>
    </row>
    <row r="2511" spans="1:14">
      <c r="A2511" s="106"/>
      <c r="B2511" s="108"/>
      <c r="C2511" s="108"/>
      <c r="D2511" s="108"/>
      <c r="E2511" s="108"/>
      <c r="F2511" s="108"/>
      <c r="G2511" s="109"/>
      <c r="H2511" s="110"/>
      <c r="K2511" s="65"/>
      <c r="L2511" s="65"/>
      <c r="N2511" s="65"/>
    </row>
    <row r="2512" spans="1:14">
      <c r="A2512" s="106"/>
      <c r="B2512" s="108"/>
      <c r="C2512" s="108"/>
      <c r="D2512" s="108"/>
      <c r="E2512" s="108"/>
      <c r="F2512" s="108"/>
      <c r="G2512" s="109"/>
      <c r="H2512" s="110"/>
      <c r="K2512" s="65"/>
      <c r="L2512" s="65"/>
      <c r="N2512" s="65"/>
    </row>
    <row r="2513" spans="1:14">
      <c r="A2513" s="106"/>
      <c r="B2513" s="108"/>
      <c r="C2513" s="108"/>
      <c r="D2513" s="108"/>
      <c r="E2513" s="108"/>
      <c r="F2513" s="108"/>
      <c r="G2513" s="109"/>
      <c r="H2513" s="110"/>
      <c r="K2513" s="65"/>
      <c r="L2513" s="65"/>
      <c r="N2513" s="65"/>
    </row>
    <row r="2514" spans="1:14">
      <c r="A2514" s="106"/>
      <c r="B2514" s="108"/>
      <c r="C2514" s="108"/>
      <c r="D2514" s="108"/>
      <c r="E2514" s="108"/>
      <c r="F2514" s="108"/>
      <c r="G2514" s="109"/>
      <c r="H2514" s="110"/>
      <c r="K2514" s="65"/>
      <c r="L2514" s="65"/>
      <c r="N2514" s="65"/>
    </row>
    <row r="2515" spans="1:14">
      <c r="A2515" s="106"/>
      <c r="B2515" s="108"/>
      <c r="C2515" s="108"/>
      <c r="D2515" s="108"/>
      <c r="E2515" s="108"/>
      <c r="F2515" s="108"/>
      <c r="G2515" s="109"/>
      <c r="H2515" s="110"/>
      <c r="K2515" s="65"/>
      <c r="L2515" s="65"/>
      <c r="N2515" s="65"/>
    </row>
    <row r="2516" spans="1:14">
      <c r="A2516" s="106"/>
      <c r="B2516" s="108"/>
      <c r="C2516" s="108"/>
      <c r="D2516" s="108"/>
      <c r="E2516" s="108"/>
      <c r="F2516" s="108"/>
      <c r="G2516" s="109"/>
      <c r="H2516" s="110"/>
      <c r="K2516" s="65"/>
      <c r="L2516" s="65"/>
      <c r="N2516" s="65"/>
    </row>
    <row r="2517" spans="1:14">
      <c r="A2517" s="106"/>
      <c r="B2517" s="108"/>
      <c r="C2517" s="108"/>
      <c r="D2517" s="108"/>
      <c r="E2517" s="108"/>
      <c r="F2517" s="108"/>
      <c r="G2517" s="109"/>
      <c r="H2517" s="110"/>
      <c r="K2517" s="65"/>
      <c r="L2517" s="65"/>
      <c r="N2517" s="65"/>
    </row>
    <row r="2518" spans="1:14">
      <c r="A2518" s="106"/>
      <c r="B2518" s="108"/>
      <c r="C2518" s="108"/>
      <c r="D2518" s="108"/>
      <c r="E2518" s="108"/>
      <c r="F2518" s="108"/>
      <c r="G2518" s="109"/>
      <c r="H2518" s="110"/>
      <c r="K2518" s="65"/>
      <c r="L2518" s="65"/>
      <c r="N2518" s="65"/>
    </row>
    <row r="2519" spans="1:14">
      <c r="A2519" s="106"/>
      <c r="B2519" s="108"/>
      <c r="C2519" s="108"/>
      <c r="D2519" s="108"/>
      <c r="E2519" s="108"/>
      <c r="F2519" s="108"/>
      <c r="G2519" s="109"/>
      <c r="H2519" s="110"/>
      <c r="K2519" s="65"/>
      <c r="L2519" s="65"/>
      <c r="N2519" s="65"/>
    </row>
    <row r="2520" spans="1:14">
      <c r="A2520" s="106"/>
      <c r="B2520" s="108"/>
      <c r="C2520" s="108"/>
      <c r="D2520" s="108"/>
      <c r="E2520" s="108"/>
      <c r="F2520" s="108"/>
      <c r="G2520" s="109"/>
      <c r="H2520" s="110"/>
      <c r="K2520" s="65"/>
      <c r="L2520" s="65"/>
      <c r="N2520" s="65"/>
    </row>
    <row r="2521" spans="1:14">
      <c r="A2521" s="106"/>
      <c r="B2521" s="108"/>
      <c r="C2521" s="108"/>
      <c r="D2521" s="108"/>
      <c r="E2521" s="108"/>
      <c r="F2521" s="108"/>
      <c r="G2521" s="109"/>
      <c r="H2521" s="110"/>
      <c r="K2521" s="65"/>
      <c r="L2521" s="65"/>
      <c r="N2521" s="65"/>
    </row>
    <row r="2522" spans="1:14">
      <c r="A2522" s="106"/>
      <c r="B2522" s="108"/>
      <c r="C2522" s="108"/>
      <c r="D2522" s="108"/>
      <c r="E2522" s="108"/>
      <c r="F2522" s="108"/>
      <c r="G2522" s="109"/>
      <c r="H2522" s="110"/>
      <c r="K2522" s="65"/>
      <c r="L2522" s="65"/>
      <c r="N2522" s="65"/>
    </row>
    <row r="2523" spans="1:14">
      <c r="A2523" s="106"/>
      <c r="B2523" s="108"/>
      <c r="C2523" s="108"/>
      <c r="D2523" s="108"/>
      <c r="E2523" s="108"/>
      <c r="F2523" s="108"/>
      <c r="G2523" s="109"/>
      <c r="H2523" s="110"/>
      <c r="K2523" s="65"/>
      <c r="L2523" s="65"/>
      <c r="N2523" s="65"/>
    </row>
    <row r="2524" spans="1:14">
      <c r="A2524" s="106"/>
      <c r="B2524" s="108"/>
      <c r="C2524" s="108"/>
      <c r="D2524" s="108"/>
      <c r="E2524" s="108"/>
      <c r="F2524" s="108"/>
      <c r="G2524" s="109"/>
      <c r="H2524" s="110"/>
      <c r="K2524" s="65"/>
      <c r="L2524" s="65"/>
      <c r="N2524" s="65"/>
    </row>
    <row r="2525" spans="1:14">
      <c r="A2525" s="106"/>
      <c r="B2525" s="108"/>
      <c r="C2525" s="108"/>
      <c r="D2525" s="108"/>
      <c r="E2525" s="108"/>
      <c r="F2525" s="108"/>
      <c r="G2525" s="109"/>
      <c r="H2525" s="110"/>
      <c r="K2525" s="65"/>
      <c r="L2525" s="65"/>
      <c r="N2525" s="65"/>
    </row>
    <row r="2526" spans="1:14">
      <c r="A2526" s="106"/>
      <c r="B2526" s="108"/>
      <c r="C2526" s="108"/>
      <c r="D2526" s="108"/>
      <c r="E2526" s="108"/>
      <c r="F2526" s="108"/>
      <c r="G2526" s="109"/>
      <c r="H2526" s="110"/>
      <c r="K2526" s="65"/>
      <c r="L2526" s="65"/>
      <c r="N2526" s="65"/>
    </row>
    <row r="2527" spans="1:14">
      <c r="A2527" s="106"/>
      <c r="B2527" s="108"/>
      <c r="C2527" s="108"/>
      <c r="D2527" s="108"/>
      <c r="E2527" s="108"/>
      <c r="F2527" s="108"/>
      <c r="G2527" s="109"/>
      <c r="H2527" s="110"/>
      <c r="K2527" s="65"/>
      <c r="L2527" s="65"/>
      <c r="N2527" s="65"/>
    </row>
    <row r="2528" spans="1:14">
      <c r="A2528" s="106"/>
      <c r="B2528" s="108"/>
      <c r="C2528" s="108"/>
      <c r="D2528" s="108"/>
      <c r="E2528" s="108"/>
      <c r="F2528" s="108"/>
      <c r="G2528" s="109"/>
      <c r="H2528" s="110"/>
      <c r="K2528" s="65"/>
      <c r="L2528" s="65"/>
      <c r="N2528" s="65"/>
    </row>
    <row r="2529" spans="1:14">
      <c r="A2529" s="106"/>
      <c r="B2529" s="108"/>
      <c r="C2529" s="108"/>
      <c r="D2529" s="108"/>
      <c r="E2529" s="108"/>
      <c r="F2529" s="108"/>
      <c r="G2529" s="109"/>
      <c r="H2529" s="110"/>
      <c r="K2529" s="65"/>
      <c r="L2529" s="65"/>
      <c r="N2529" s="65"/>
    </row>
    <row r="2530" spans="1:14">
      <c r="A2530" s="106"/>
      <c r="B2530" s="108"/>
      <c r="C2530" s="108"/>
      <c r="D2530" s="108"/>
      <c r="E2530" s="108"/>
      <c r="F2530" s="108"/>
      <c r="G2530" s="109"/>
      <c r="H2530" s="110"/>
      <c r="K2530" s="65"/>
      <c r="L2530" s="65"/>
      <c r="N2530" s="65"/>
    </row>
    <row r="2531" spans="1:14">
      <c r="A2531" s="106"/>
      <c r="B2531" s="108"/>
      <c r="C2531" s="108"/>
      <c r="D2531" s="108"/>
      <c r="E2531" s="108"/>
      <c r="F2531" s="108"/>
      <c r="G2531" s="109"/>
      <c r="H2531" s="110"/>
      <c r="K2531" s="65"/>
      <c r="L2531" s="65"/>
      <c r="N2531" s="65"/>
    </row>
    <row r="2532" spans="1:14">
      <c r="A2532" s="106"/>
      <c r="B2532" s="108"/>
      <c r="C2532" s="108"/>
      <c r="D2532" s="108"/>
      <c r="E2532" s="108"/>
      <c r="F2532" s="108"/>
      <c r="G2532" s="109"/>
      <c r="H2532" s="110"/>
      <c r="K2532" s="65"/>
      <c r="L2532" s="65"/>
      <c r="N2532" s="65"/>
    </row>
    <row r="2533" spans="1:14">
      <c r="A2533" s="106"/>
      <c r="B2533" s="108"/>
      <c r="C2533" s="108"/>
      <c r="D2533" s="108"/>
      <c r="E2533" s="108"/>
      <c r="F2533" s="108"/>
      <c r="G2533" s="109"/>
      <c r="H2533" s="110"/>
      <c r="K2533" s="65"/>
      <c r="L2533" s="65"/>
      <c r="N2533" s="65"/>
    </row>
    <row r="2534" spans="1:14">
      <c r="A2534" s="106"/>
      <c r="B2534" s="108"/>
      <c r="C2534" s="108"/>
      <c r="D2534" s="108"/>
      <c r="E2534" s="108"/>
      <c r="F2534" s="108"/>
      <c r="G2534" s="109"/>
      <c r="H2534" s="110"/>
      <c r="K2534" s="65"/>
      <c r="L2534" s="65"/>
      <c r="N2534" s="65"/>
    </row>
    <row r="2535" spans="1:14">
      <c r="A2535" s="106"/>
      <c r="B2535" s="108"/>
      <c r="C2535" s="108"/>
      <c r="D2535" s="108"/>
      <c r="E2535" s="108"/>
      <c r="F2535" s="108"/>
      <c r="G2535" s="109"/>
      <c r="H2535" s="110"/>
      <c r="K2535" s="65"/>
      <c r="L2535" s="65"/>
      <c r="N2535" s="65"/>
    </row>
    <row r="2536" spans="1:14">
      <c r="A2536" s="106"/>
      <c r="B2536" s="108"/>
      <c r="C2536" s="108"/>
      <c r="D2536" s="108"/>
      <c r="E2536" s="108"/>
      <c r="F2536" s="108"/>
      <c r="G2536" s="109"/>
      <c r="H2536" s="110"/>
      <c r="K2536" s="65"/>
      <c r="L2536" s="65"/>
      <c r="N2536" s="65"/>
    </row>
    <row r="2537" spans="1:14">
      <c r="A2537" s="106"/>
      <c r="B2537" s="108"/>
      <c r="C2537" s="108"/>
      <c r="D2537" s="108"/>
      <c r="E2537" s="108"/>
      <c r="F2537" s="108"/>
      <c r="G2537" s="109"/>
      <c r="H2537" s="110"/>
      <c r="K2537" s="65"/>
      <c r="L2537" s="65"/>
      <c r="N2537" s="65"/>
    </row>
    <row r="2538" spans="1:14">
      <c r="A2538" s="106"/>
      <c r="B2538" s="108"/>
      <c r="C2538" s="108"/>
      <c r="D2538" s="108"/>
      <c r="E2538" s="108"/>
      <c r="F2538" s="108"/>
      <c r="G2538" s="109"/>
      <c r="H2538" s="110"/>
      <c r="K2538" s="65"/>
      <c r="L2538" s="65"/>
      <c r="N2538" s="65"/>
    </row>
    <row r="2539" spans="1:14">
      <c r="A2539" s="106"/>
      <c r="B2539" s="108"/>
      <c r="C2539" s="108"/>
      <c r="D2539" s="108"/>
      <c r="E2539" s="108"/>
      <c r="F2539" s="108"/>
      <c r="G2539" s="109"/>
      <c r="H2539" s="110"/>
      <c r="K2539" s="65"/>
      <c r="L2539" s="65"/>
      <c r="N2539" s="65"/>
    </row>
    <row r="2540" spans="1:14">
      <c r="A2540" s="106"/>
      <c r="B2540" s="108"/>
      <c r="C2540" s="108"/>
      <c r="D2540" s="108"/>
      <c r="E2540" s="108"/>
      <c r="F2540" s="108"/>
      <c r="G2540" s="109"/>
      <c r="H2540" s="110"/>
      <c r="K2540" s="65"/>
      <c r="L2540" s="65"/>
      <c r="N2540" s="65"/>
    </row>
    <row r="2541" spans="1:14">
      <c r="A2541" s="106"/>
      <c r="B2541" s="108"/>
      <c r="C2541" s="108"/>
      <c r="D2541" s="108"/>
      <c r="E2541" s="108"/>
      <c r="F2541" s="108"/>
      <c r="G2541" s="109"/>
      <c r="H2541" s="110"/>
      <c r="K2541" s="65"/>
      <c r="L2541" s="65"/>
      <c r="N2541" s="65"/>
    </row>
    <row r="2542" spans="1:14">
      <c r="A2542" s="106"/>
      <c r="B2542" s="108"/>
      <c r="C2542" s="108"/>
      <c r="D2542" s="108"/>
      <c r="E2542" s="108"/>
      <c r="F2542" s="108"/>
      <c r="G2542" s="109"/>
      <c r="H2542" s="110"/>
      <c r="K2542" s="65"/>
      <c r="L2542" s="65"/>
      <c r="N2542" s="65"/>
    </row>
    <row r="2543" spans="1:14">
      <c r="A2543" s="106"/>
      <c r="B2543" s="108"/>
      <c r="C2543" s="108"/>
      <c r="D2543" s="108"/>
      <c r="E2543" s="108"/>
      <c r="F2543" s="108"/>
      <c r="G2543" s="109"/>
      <c r="H2543" s="110"/>
      <c r="K2543" s="65"/>
      <c r="L2543" s="65"/>
      <c r="N2543" s="65"/>
    </row>
    <row r="2544" spans="1:14">
      <c r="A2544" s="106"/>
      <c r="B2544" s="108"/>
      <c r="C2544" s="108"/>
      <c r="D2544" s="108"/>
      <c r="E2544" s="108"/>
      <c r="F2544" s="108"/>
      <c r="G2544" s="109"/>
      <c r="H2544" s="110"/>
      <c r="K2544" s="65"/>
      <c r="L2544" s="65"/>
      <c r="N2544" s="65"/>
    </row>
    <row r="2545" spans="1:14">
      <c r="A2545" s="106"/>
      <c r="B2545" s="108"/>
      <c r="C2545" s="108"/>
      <c r="D2545" s="108"/>
      <c r="E2545" s="108"/>
      <c r="F2545" s="108"/>
      <c r="G2545" s="109"/>
      <c r="H2545" s="110"/>
      <c r="K2545" s="65"/>
      <c r="L2545" s="65"/>
      <c r="N2545" s="65"/>
    </row>
    <row r="2546" spans="1:14">
      <c r="A2546" s="106"/>
      <c r="B2546" s="108"/>
      <c r="C2546" s="108"/>
      <c r="D2546" s="108"/>
      <c r="E2546" s="108"/>
      <c r="F2546" s="108"/>
      <c r="G2546" s="109"/>
      <c r="H2546" s="110"/>
      <c r="K2546" s="65"/>
      <c r="L2546" s="65"/>
      <c r="N2546" s="65"/>
    </row>
    <row r="2547" spans="1:14">
      <c r="A2547" s="106"/>
      <c r="B2547" s="108"/>
      <c r="C2547" s="108"/>
      <c r="D2547" s="108"/>
      <c r="E2547" s="108"/>
      <c r="F2547" s="108"/>
      <c r="G2547" s="109"/>
      <c r="H2547" s="110"/>
      <c r="K2547" s="65"/>
      <c r="L2547" s="65"/>
      <c r="N2547" s="65"/>
    </row>
    <row r="2548" spans="1:14">
      <c r="A2548" s="106"/>
      <c r="B2548" s="108"/>
      <c r="C2548" s="108"/>
      <c r="D2548" s="108"/>
      <c r="E2548" s="108"/>
      <c r="F2548" s="108"/>
      <c r="G2548" s="109"/>
      <c r="H2548" s="110"/>
      <c r="K2548" s="65"/>
      <c r="L2548" s="65"/>
      <c r="N2548" s="65"/>
    </row>
    <row r="2549" spans="1:14">
      <c r="A2549" s="106"/>
      <c r="B2549" s="108"/>
      <c r="C2549" s="108"/>
      <c r="D2549" s="108"/>
      <c r="E2549" s="108"/>
      <c r="F2549" s="108"/>
      <c r="G2549" s="109"/>
      <c r="H2549" s="110"/>
      <c r="K2549" s="65"/>
      <c r="L2549" s="65"/>
      <c r="N2549" s="65"/>
    </row>
    <row r="2550" spans="1:14">
      <c r="A2550" s="106"/>
      <c r="B2550" s="108"/>
      <c r="C2550" s="108"/>
      <c r="D2550" s="108"/>
      <c r="E2550" s="108"/>
      <c r="F2550" s="108"/>
      <c r="G2550" s="109"/>
      <c r="H2550" s="110"/>
      <c r="K2550" s="65"/>
      <c r="L2550" s="65"/>
      <c r="N2550" s="65"/>
    </row>
    <row r="2551" spans="1:14">
      <c r="A2551" s="106"/>
      <c r="B2551" s="108"/>
      <c r="C2551" s="108"/>
      <c r="D2551" s="108"/>
      <c r="E2551" s="108"/>
      <c r="F2551" s="108"/>
      <c r="G2551" s="109"/>
      <c r="H2551" s="110"/>
      <c r="K2551" s="65"/>
      <c r="L2551" s="65"/>
      <c r="N2551" s="65"/>
    </row>
    <row r="2552" spans="1:14">
      <c r="A2552" s="106"/>
      <c r="B2552" s="108"/>
      <c r="C2552" s="108"/>
      <c r="D2552" s="108"/>
      <c r="E2552" s="108"/>
      <c r="F2552" s="108"/>
      <c r="G2552" s="109"/>
      <c r="H2552" s="110"/>
      <c r="K2552" s="65"/>
      <c r="L2552" s="65"/>
      <c r="N2552" s="65"/>
    </row>
    <row r="2553" spans="1:14">
      <c r="A2553" s="106"/>
      <c r="B2553" s="108"/>
      <c r="C2553" s="108"/>
      <c r="D2553" s="108"/>
      <c r="E2553" s="108"/>
      <c r="F2553" s="108"/>
      <c r="G2553" s="109"/>
      <c r="H2553" s="110"/>
      <c r="K2553" s="65"/>
      <c r="L2553" s="65"/>
      <c r="N2553" s="65"/>
    </row>
    <row r="2554" spans="1:14">
      <c r="A2554" s="106"/>
      <c r="B2554" s="108"/>
      <c r="C2554" s="108"/>
      <c r="D2554" s="108"/>
      <c r="E2554" s="108"/>
      <c r="F2554" s="108"/>
      <c r="G2554" s="109"/>
      <c r="H2554" s="110"/>
      <c r="K2554" s="65"/>
      <c r="L2554" s="65"/>
      <c r="N2554" s="65"/>
    </row>
    <row r="2555" spans="1:14">
      <c r="A2555" s="106"/>
      <c r="B2555" s="108"/>
      <c r="C2555" s="108"/>
      <c r="D2555" s="108"/>
      <c r="E2555" s="108"/>
      <c r="F2555" s="108"/>
      <c r="G2555" s="109"/>
      <c r="H2555" s="110"/>
      <c r="K2555" s="65"/>
      <c r="L2555" s="65"/>
      <c r="N2555" s="65"/>
    </row>
    <row r="2556" spans="1:14">
      <c r="A2556" s="106"/>
      <c r="B2556" s="108"/>
      <c r="C2556" s="108"/>
      <c r="D2556" s="108"/>
      <c r="E2556" s="108"/>
      <c r="F2556" s="108"/>
      <c r="G2556" s="109"/>
      <c r="H2556" s="110"/>
      <c r="K2556" s="65"/>
      <c r="L2556" s="65"/>
      <c r="N2556" s="65"/>
    </row>
    <row r="2557" spans="1:14">
      <c r="A2557" s="106"/>
      <c r="B2557" s="108"/>
      <c r="C2557" s="108"/>
      <c r="D2557" s="108"/>
      <c r="E2557" s="108"/>
      <c r="F2557" s="108"/>
      <c r="G2557" s="109"/>
      <c r="H2557" s="110"/>
      <c r="K2557" s="65"/>
      <c r="L2557" s="65"/>
      <c r="N2557" s="65"/>
    </row>
    <row r="2558" spans="1:14">
      <c r="A2558" s="106"/>
      <c r="B2558" s="108"/>
      <c r="C2558" s="108"/>
      <c r="D2558" s="108"/>
      <c r="E2558" s="108"/>
      <c r="F2558" s="108"/>
      <c r="G2558" s="109"/>
      <c r="H2558" s="110"/>
      <c r="K2558" s="65"/>
      <c r="L2558" s="65"/>
      <c r="N2558" s="65"/>
    </row>
    <row r="2559" spans="1:14">
      <c r="A2559" s="106"/>
      <c r="B2559" s="108"/>
      <c r="C2559" s="108"/>
      <c r="D2559" s="108"/>
      <c r="E2559" s="108"/>
      <c r="F2559" s="108"/>
      <c r="G2559" s="109"/>
      <c r="H2559" s="110"/>
      <c r="K2559" s="65"/>
      <c r="L2559" s="65"/>
      <c r="N2559" s="65"/>
    </row>
    <row r="2560" spans="1:14">
      <c r="A2560" s="106"/>
      <c r="B2560" s="108"/>
      <c r="C2560" s="108"/>
      <c r="D2560" s="108"/>
      <c r="E2560" s="108"/>
      <c r="F2560" s="108"/>
      <c r="G2560" s="109"/>
      <c r="H2560" s="110"/>
      <c r="K2560" s="65"/>
      <c r="L2560" s="65"/>
      <c r="N2560" s="65"/>
    </row>
    <row r="2561" spans="1:14">
      <c r="A2561" s="106"/>
      <c r="B2561" s="108"/>
      <c r="C2561" s="108"/>
      <c r="D2561" s="108"/>
      <c r="E2561" s="108"/>
      <c r="F2561" s="108"/>
      <c r="G2561" s="109"/>
      <c r="H2561" s="110"/>
      <c r="K2561" s="65"/>
      <c r="L2561" s="65"/>
      <c r="N2561" s="65"/>
    </row>
    <row r="2562" spans="1:14">
      <c r="A2562" s="106"/>
      <c r="B2562" s="108"/>
      <c r="C2562" s="108"/>
      <c r="D2562" s="108"/>
      <c r="E2562" s="108"/>
      <c r="F2562" s="108"/>
      <c r="G2562" s="109"/>
      <c r="H2562" s="110"/>
      <c r="K2562" s="65"/>
      <c r="L2562" s="65"/>
      <c r="N2562" s="65"/>
    </row>
    <row r="2563" spans="1:14">
      <c r="A2563" s="106"/>
      <c r="B2563" s="108"/>
      <c r="C2563" s="108"/>
      <c r="D2563" s="108"/>
      <c r="E2563" s="108"/>
      <c r="F2563" s="108"/>
      <c r="G2563" s="109"/>
      <c r="H2563" s="110"/>
      <c r="K2563" s="65"/>
      <c r="L2563" s="65"/>
      <c r="N2563" s="65"/>
    </row>
    <row r="2564" spans="1:14">
      <c r="A2564" s="106"/>
      <c r="B2564" s="108"/>
      <c r="C2564" s="108"/>
      <c r="D2564" s="108"/>
      <c r="E2564" s="108"/>
      <c r="F2564" s="108"/>
      <c r="G2564" s="109"/>
      <c r="H2564" s="110"/>
      <c r="K2564" s="65"/>
      <c r="L2564" s="65"/>
      <c r="N2564" s="65"/>
    </row>
    <row r="2565" spans="1:14">
      <c r="A2565" s="106"/>
      <c r="B2565" s="108"/>
      <c r="C2565" s="108"/>
      <c r="D2565" s="108"/>
      <c r="E2565" s="108"/>
      <c r="F2565" s="108"/>
      <c r="G2565" s="109"/>
      <c r="H2565" s="110"/>
      <c r="K2565" s="65"/>
      <c r="L2565" s="65"/>
      <c r="N2565" s="65"/>
    </row>
    <row r="2566" spans="1:14">
      <c r="A2566" s="106"/>
      <c r="B2566" s="108"/>
      <c r="C2566" s="108"/>
      <c r="D2566" s="108"/>
      <c r="E2566" s="108"/>
      <c r="F2566" s="108"/>
      <c r="G2566" s="109"/>
      <c r="H2566" s="110"/>
      <c r="K2566" s="65"/>
      <c r="L2566" s="65"/>
      <c r="N2566" s="65"/>
    </row>
    <row r="2567" spans="1:14">
      <c r="A2567" s="106"/>
      <c r="B2567" s="108"/>
      <c r="C2567" s="108"/>
      <c r="D2567" s="108"/>
      <c r="E2567" s="108"/>
      <c r="F2567" s="108"/>
      <c r="G2567" s="109"/>
      <c r="H2567" s="110"/>
      <c r="K2567" s="65"/>
      <c r="L2567" s="65"/>
      <c r="N2567" s="65"/>
    </row>
    <row r="2568" spans="1:14">
      <c r="A2568" s="106"/>
      <c r="B2568" s="108"/>
      <c r="C2568" s="108"/>
      <c r="D2568" s="108"/>
      <c r="E2568" s="108"/>
      <c r="F2568" s="108"/>
      <c r="G2568" s="109"/>
      <c r="H2568" s="110"/>
      <c r="K2568" s="65"/>
      <c r="L2568" s="65"/>
      <c r="N2568" s="65"/>
    </row>
    <row r="2569" spans="1:14">
      <c r="A2569" s="106"/>
      <c r="B2569" s="108"/>
      <c r="C2569" s="108"/>
      <c r="D2569" s="108"/>
      <c r="E2569" s="108"/>
      <c r="F2569" s="108"/>
      <c r="G2569" s="109"/>
      <c r="H2569" s="110"/>
      <c r="K2569" s="65"/>
      <c r="L2569" s="65"/>
      <c r="N2569" s="65"/>
    </row>
    <row r="2570" spans="1:14">
      <c r="A2570" s="106"/>
      <c r="B2570" s="108"/>
      <c r="C2570" s="108"/>
      <c r="D2570" s="108"/>
      <c r="E2570" s="108"/>
      <c r="F2570" s="108"/>
      <c r="G2570" s="109"/>
      <c r="H2570" s="110"/>
      <c r="K2570" s="65"/>
      <c r="L2570" s="65"/>
      <c r="N2570" s="65"/>
    </row>
    <row r="2571" spans="1:14">
      <c r="A2571" s="106"/>
      <c r="B2571" s="108"/>
      <c r="C2571" s="108"/>
      <c r="D2571" s="108"/>
      <c r="E2571" s="108"/>
      <c r="F2571" s="108"/>
      <c r="G2571" s="109"/>
      <c r="H2571" s="110"/>
      <c r="K2571" s="65"/>
      <c r="L2571" s="65"/>
      <c r="N2571" s="65"/>
    </row>
    <row r="2572" spans="1:14">
      <c r="A2572" s="106"/>
      <c r="B2572" s="108"/>
      <c r="C2572" s="108"/>
      <c r="D2572" s="108"/>
      <c r="E2572" s="108"/>
      <c r="F2572" s="108"/>
      <c r="G2572" s="109"/>
      <c r="H2572" s="110"/>
      <c r="K2572" s="65"/>
      <c r="L2572" s="65"/>
      <c r="N2572" s="65"/>
    </row>
    <row r="2573" spans="1:14">
      <c r="A2573" s="106"/>
      <c r="B2573" s="108"/>
      <c r="C2573" s="108"/>
      <c r="D2573" s="108"/>
      <c r="E2573" s="108"/>
      <c r="F2573" s="108"/>
      <c r="G2573" s="109"/>
      <c r="H2573" s="110"/>
      <c r="K2573" s="65"/>
      <c r="L2573" s="65"/>
      <c r="N2573" s="65"/>
    </row>
    <row r="2574" spans="1:14">
      <c r="A2574" s="106"/>
      <c r="B2574" s="108"/>
      <c r="C2574" s="108"/>
      <c r="D2574" s="108"/>
      <c r="E2574" s="108"/>
      <c r="F2574" s="108"/>
      <c r="G2574" s="109"/>
      <c r="H2574" s="110"/>
      <c r="K2574" s="65"/>
      <c r="L2574" s="65"/>
      <c r="N2574" s="65"/>
    </row>
    <row r="2575" spans="1:14">
      <c r="A2575" s="106"/>
      <c r="B2575" s="108"/>
      <c r="C2575" s="108"/>
      <c r="D2575" s="108"/>
      <c r="E2575" s="108"/>
      <c r="F2575" s="108"/>
      <c r="G2575" s="109"/>
      <c r="H2575" s="110"/>
      <c r="K2575" s="65"/>
      <c r="L2575" s="65"/>
      <c r="N2575" s="65"/>
    </row>
    <row r="2576" spans="1:14">
      <c r="A2576" s="106"/>
      <c r="B2576" s="108"/>
      <c r="C2576" s="108"/>
      <c r="D2576" s="108"/>
      <c r="E2576" s="108"/>
      <c r="F2576" s="108"/>
      <c r="G2576" s="109"/>
      <c r="H2576" s="110"/>
      <c r="K2576" s="65"/>
      <c r="L2576" s="65"/>
      <c r="N2576" s="65"/>
    </row>
    <row r="2577" spans="1:14">
      <c r="A2577" s="106"/>
      <c r="B2577" s="108"/>
      <c r="C2577" s="108"/>
      <c r="D2577" s="108"/>
      <c r="E2577" s="108"/>
      <c r="F2577" s="108"/>
      <c r="G2577" s="109"/>
      <c r="H2577" s="110"/>
      <c r="K2577" s="65"/>
      <c r="L2577" s="65"/>
      <c r="N2577" s="65"/>
    </row>
    <row r="2578" spans="1:14">
      <c r="A2578" s="106"/>
      <c r="B2578" s="108"/>
      <c r="C2578" s="108"/>
      <c r="D2578" s="108"/>
      <c r="E2578" s="108"/>
      <c r="F2578" s="108"/>
      <c r="G2578" s="109"/>
      <c r="H2578" s="110"/>
      <c r="K2578" s="65"/>
      <c r="L2578" s="65"/>
      <c r="N2578" s="65"/>
    </row>
    <row r="2579" spans="1:14">
      <c r="A2579" s="106"/>
      <c r="B2579" s="108"/>
      <c r="C2579" s="108"/>
      <c r="D2579" s="108"/>
      <c r="E2579" s="108"/>
      <c r="F2579" s="108"/>
      <c r="G2579" s="109"/>
      <c r="H2579" s="110"/>
      <c r="K2579" s="65"/>
      <c r="L2579" s="65"/>
      <c r="N2579" s="65"/>
    </row>
    <row r="2580" spans="1:14">
      <c r="A2580" s="106"/>
      <c r="B2580" s="108"/>
      <c r="C2580" s="108"/>
      <c r="D2580" s="108"/>
      <c r="E2580" s="108"/>
      <c r="F2580" s="108"/>
      <c r="G2580" s="109"/>
      <c r="H2580" s="110"/>
      <c r="K2580" s="65"/>
      <c r="L2580" s="65"/>
      <c r="N2580" s="65"/>
    </row>
    <row r="2581" spans="1:14">
      <c r="A2581" s="106"/>
      <c r="B2581" s="108"/>
      <c r="C2581" s="108"/>
      <c r="D2581" s="108"/>
      <c r="E2581" s="108"/>
      <c r="F2581" s="108"/>
      <c r="G2581" s="109"/>
      <c r="H2581" s="110"/>
      <c r="K2581" s="65"/>
      <c r="L2581" s="65"/>
      <c r="N2581" s="65"/>
    </row>
    <row r="2582" spans="1:14">
      <c r="A2582" s="106"/>
      <c r="B2582" s="108"/>
      <c r="C2582" s="108"/>
      <c r="D2582" s="108"/>
      <c r="E2582" s="108"/>
      <c r="F2582" s="108"/>
      <c r="G2582" s="109"/>
      <c r="H2582" s="110"/>
      <c r="K2582" s="65"/>
      <c r="L2582" s="65"/>
      <c r="N2582" s="65"/>
    </row>
    <row r="2583" spans="1:14">
      <c r="A2583" s="106"/>
      <c r="B2583" s="108"/>
      <c r="C2583" s="108"/>
      <c r="D2583" s="108"/>
      <c r="E2583" s="108"/>
      <c r="F2583" s="108"/>
      <c r="G2583" s="109"/>
      <c r="H2583" s="110"/>
      <c r="K2583" s="65"/>
      <c r="L2583" s="65"/>
      <c r="N2583" s="65"/>
    </row>
    <row r="2584" spans="1:14">
      <c r="A2584" s="106"/>
      <c r="B2584" s="108"/>
      <c r="C2584" s="108"/>
      <c r="D2584" s="108"/>
      <c r="E2584" s="108"/>
      <c r="F2584" s="108"/>
      <c r="G2584" s="109"/>
      <c r="H2584" s="110"/>
      <c r="K2584" s="65"/>
      <c r="L2584" s="65"/>
      <c r="N2584" s="65"/>
    </row>
    <row r="2585" spans="1:14">
      <c r="A2585" s="106"/>
      <c r="B2585" s="108"/>
      <c r="C2585" s="108"/>
      <c r="D2585" s="108"/>
      <c r="E2585" s="108"/>
      <c r="F2585" s="108"/>
      <c r="G2585" s="109"/>
      <c r="H2585" s="110"/>
      <c r="K2585" s="65"/>
      <c r="L2585" s="65"/>
      <c r="N2585" s="65"/>
    </row>
    <row r="2586" spans="1:14">
      <c r="A2586" s="106"/>
      <c r="B2586" s="108"/>
      <c r="C2586" s="108"/>
      <c r="D2586" s="108"/>
      <c r="E2586" s="108"/>
      <c r="F2586" s="108"/>
      <c r="G2586" s="109"/>
      <c r="H2586" s="110"/>
      <c r="K2586" s="65"/>
      <c r="L2586" s="65"/>
      <c r="N2586" s="65"/>
    </row>
    <row r="2587" spans="1:14">
      <c r="A2587" s="106"/>
      <c r="B2587" s="108"/>
      <c r="C2587" s="108"/>
      <c r="D2587" s="108"/>
      <c r="E2587" s="108"/>
      <c r="F2587" s="108"/>
      <c r="G2587" s="109"/>
      <c r="H2587" s="110"/>
      <c r="K2587" s="65"/>
      <c r="L2587" s="65"/>
      <c r="N2587" s="65"/>
    </row>
    <row r="2588" spans="1:14">
      <c r="A2588" s="106"/>
      <c r="B2588" s="108"/>
      <c r="C2588" s="108"/>
      <c r="D2588" s="108"/>
      <c r="E2588" s="108"/>
      <c r="F2588" s="108"/>
      <c r="G2588" s="109"/>
      <c r="H2588" s="110"/>
      <c r="K2588" s="65"/>
      <c r="L2588" s="65"/>
      <c r="N2588" s="65"/>
    </row>
    <row r="2589" spans="1:14">
      <c r="A2589" s="106"/>
      <c r="B2589" s="108"/>
      <c r="C2589" s="108"/>
      <c r="D2589" s="108"/>
      <c r="E2589" s="108"/>
      <c r="F2589" s="108"/>
      <c r="G2589" s="109"/>
      <c r="H2589" s="110"/>
      <c r="K2589" s="65"/>
      <c r="L2589" s="65"/>
      <c r="N2589" s="65"/>
    </row>
    <row r="2590" spans="1:14">
      <c r="A2590" s="106"/>
      <c r="B2590" s="108"/>
      <c r="C2590" s="108"/>
      <c r="D2590" s="108"/>
      <c r="E2590" s="108"/>
      <c r="F2590" s="108"/>
      <c r="G2590" s="109"/>
      <c r="H2590" s="110"/>
      <c r="K2590" s="65"/>
      <c r="L2590" s="65"/>
      <c r="N2590" s="65"/>
    </row>
    <row r="2591" spans="1:14">
      <c r="A2591" s="106"/>
      <c r="B2591" s="108"/>
      <c r="C2591" s="108"/>
      <c r="D2591" s="108"/>
      <c r="E2591" s="108"/>
      <c r="F2591" s="108"/>
      <c r="G2591" s="109"/>
      <c r="H2591" s="110"/>
      <c r="K2591" s="65"/>
      <c r="L2591" s="65"/>
      <c r="N2591" s="65"/>
    </row>
    <row r="2592" spans="1:14">
      <c r="A2592" s="106"/>
      <c r="B2592" s="108"/>
      <c r="C2592" s="108"/>
      <c r="D2592" s="108"/>
      <c r="E2592" s="108"/>
      <c r="F2592" s="108"/>
      <c r="G2592" s="109"/>
      <c r="H2592" s="110"/>
      <c r="K2592" s="65"/>
      <c r="L2592" s="65"/>
      <c r="N2592" s="65"/>
    </row>
    <row r="2593" spans="1:14">
      <c r="A2593" s="106"/>
      <c r="B2593" s="108"/>
      <c r="C2593" s="108"/>
      <c r="D2593" s="108"/>
      <c r="E2593" s="108"/>
      <c r="F2593" s="108"/>
      <c r="G2593" s="109"/>
      <c r="H2593" s="110"/>
      <c r="K2593" s="65"/>
      <c r="L2593" s="65"/>
      <c r="N2593" s="65"/>
    </row>
    <row r="2594" spans="1:14">
      <c r="A2594" s="106"/>
      <c r="B2594" s="108"/>
      <c r="C2594" s="108"/>
      <c r="D2594" s="108"/>
      <c r="E2594" s="108"/>
      <c r="F2594" s="108"/>
      <c r="G2594" s="109"/>
      <c r="H2594" s="110"/>
      <c r="K2594" s="65"/>
      <c r="L2594" s="65"/>
      <c r="N2594" s="65"/>
    </row>
    <row r="2595" spans="1:14">
      <c r="A2595" s="106"/>
      <c r="B2595" s="108"/>
      <c r="C2595" s="108"/>
      <c r="D2595" s="108"/>
      <c r="E2595" s="108"/>
      <c r="F2595" s="108"/>
      <c r="G2595" s="109"/>
      <c r="H2595" s="110"/>
      <c r="K2595" s="65"/>
      <c r="L2595" s="65"/>
      <c r="N2595" s="65"/>
    </row>
    <row r="2596" spans="1:14">
      <c r="A2596" s="106"/>
      <c r="B2596" s="108"/>
      <c r="C2596" s="108"/>
      <c r="D2596" s="108"/>
      <c r="E2596" s="108"/>
      <c r="F2596" s="108"/>
      <c r="G2596" s="109"/>
      <c r="H2596" s="110"/>
      <c r="K2596" s="65"/>
      <c r="L2596" s="65"/>
      <c r="N2596" s="65"/>
    </row>
    <row r="2597" spans="1:14">
      <c r="A2597" s="106"/>
      <c r="B2597" s="108"/>
      <c r="C2597" s="108"/>
      <c r="D2597" s="108"/>
      <c r="E2597" s="108"/>
      <c r="F2597" s="108"/>
      <c r="G2597" s="109"/>
      <c r="H2597" s="110"/>
      <c r="K2597" s="65"/>
      <c r="L2597" s="65"/>
      <c r="N2597" s="65"/>
    </row>
    <row r="2598" spans="1:14">
      <c r="A2598" s="106"/>
      <c r="B2598" s="108"/>
      <c r="C2598" s="108"/>
      <c r="D2598" s="108"/>
      <c r="E2598" s="108"/>
      <c r="F2598" s="108"/>
      <c r="G2598" s="109"/>
      <c r="H2598" s="110"/>
      <c r="K2598" s="65"/>
      <c r="L2598" s="65"/>
      <c r="N2598" s="65"/>
    </row>
    <row r="2599" spans="1:14">
      <c r="A2599" s="106"/>
      <c r="B2599" s="108"/>
      <c r="C2599" s="108"/>
      <c r="D2599" s="108"/>
      <c r="E2599" s="108"/>
      <c r="F2599" s="108"/>
      <c r="G2599" s="109"/>
      <c r="H2599" s="110"/>
      <c r="K2599" s="65"/>
      <c r="L2599" s="65"/>
      <c r="N2599" s="65"/>
    </row>
    <row r="2600" spans="1:14">
      <c r="A2600" s="106"/>
      <c r="B2600" s="108"/>
      <c r="C2600" s="108"/>
      <c r="D2600" s="108"/>
      <c r="E2600" s="108"/>
      <c r="F2600" s="108"/>
      <c r="G2600" s="109"/>
      <c r="H2600" s="110"/>
      <c r="K2600" s="65"/>
      <c r="L2600" s="65"/>
      <c r="N2600" s="65"/>
    </row>
    <row r="2601" spans="1:14">
      <c r="A2601" s="106"/>
      <c r="B2601" s="108"/>
      <c r="C2601" s="108"/>
      <c r="D2601" s="108"/>
      <c r="E2601" s="108"/>
      <c r="F2601" s="108"/>
      <c r="G2601" s="109"/>
      <c r="H2601" s="110"/>
      <c r="K2601" s="65"/>
      <c r="L2601" s="65"/>
      <c r="N2601" s="65"/>
    </row>
    <row r="2602" spans="1:14">
      <c r="A2602" s="106"/>
      <c r="B2602" s="108"/>
      <c r="C2602" s="108"/>
      <c r="D2602" s="108"/>
      <c r="E2602" s="108"/>
      <c r="F2602" s="108"/>
      <c r="G2602" s="109"/>
      <c r="H2602" s="110"/>
      <c r="K2602" s="65"/>
      <c r="L2602" s="65"/>
      <c r="N2602" s="65"/>
    </row>
    <row r="2603" spans="1:14">
      <c r="A2603" s="106"/>
      <c r="B2603" s="108"/>
      <c r="C2603" s="108"/>
      <c r="D2603" s="108"/>
      <c r="E2603" s="108"/>
      <c r="F2603" s="108"/>
      <c r="G2603" s="109"/>
      <c r="H2603" s="110"/>
      <c r="K2603" s="65"/>
      <c r="L2603" s="65"/>
      <c r="N2603" s="65"/>
    </row>
    <row r="2604" spans="1:14">
      <c r="A2604" s="106"/>
      <c r="B2604" s="108"/>
      <c r="C2604" s="108"/>
      <c r="D2604" s="108"/>
      <c r="E2604" s="108"/>
      <c r="F2604" s="108"/>
      <c r="G2604" s="109"/>
      <c r="H2604" s="110"/>
      <c r="K2604" s="65"/>
      <c r="L2604" s="65"/>
      <c r="N2604" s="65"/>
    </row>
    <row r="2605" spans="1:14">
      <c r="A2605" s="106"/>
      <c r="B2605" s="108"/>
      <c r="C2605" s="108"/>
      <c r="D2605" s="108"/>
      <c r="E2605" s="108"/>
      <c r="F2605" s="108"/>
      <c r="G2605" s="109"/>
      <c r="H2605" s="110"/>
      <c r="K2605" s="65"/>
      <c r="L2605" s="65"/>
      <c r="N2605" s="65"/>
    </row>
    <row r="2606" spans="1:14">
      <c r="A2606" s="106"/>
      <c r="B2606" s="108"/>
      <c r="C2606" s="108"/>
      <c r="D2606" s="108"/>
      <c r="E2606" s="108"/>
      <c r="F2606" s="108"/>
      <c r="G2606" s="109"/>
      <c r="H2606" s="110"/>
      <c r="K2606" s="65"/>
      <c r="L2606" s="65"/>
      <c r="N2606" s="65"/>
    </row>
    <row r="2607" spans="1:14">
      <c r="A2607" s="106"/>
      <c r="B2607" s="108"/>
      <c r="C2607" s="108"/>
      <c r="D2607" s="108"/>
      <c r="E2607" s="108"/>
      <c r="F2607" s="108"/>
      <c r="G2607" s="109"/>
      <c r="H2607" s="110"/>
      <c r="K2607" s="65"/>
      <c r="L2607" s="65"/>
      <c r="N2607" s="65"/>
    </row>
    <row r="2608" spans="1:14">
      <c r="A2608" s="106"/>
      <c r="B2608" s="108"/>
      <c r="C2608" s="108"/>
      <c r="D2608" s="108"/>
      <c r="E2608" s="108"/>
      <c r="F2608" s="108"/>
      <c r="G2608" s="109"/>
      <c r="H2608" s="110"/>
      <c r="K2608" s="65"/>
      <c r="L2608" s="65"/>
      <c r="N2608" s="65"/>
    </row>
    <row r="2609" spans="1:14">
      <c r="A2609" s="106"/>
      <c r="B2609" s="108"/>
      <c r="C2609" s="108"/>
      <c r="D2609" s="108"/>
      <c r="E2609" s="108"/>
      <c r="F2609" s="108"/>
      <c r="G2609" s="109"/>
      <c r="H2609" s="110"/>
      <c r="K2609" s="65"/>
      <c r="L2609" s="65"/>
      <c r="N2609" s="65"/>
    </row>
    <row r="2610" spans="1:14">
      <c r="A2610" s="106"/>
      <c r="B2610" s="108"/>
      <c r="C2610" s="108"/>
      <c r="D2610" s="108"/>
      <c r="E2610" s="108"/>
      <c r="F2610" s="108"/>
      <c r="G2610" s="109"/>
      <c r="H2610" s="110"/>
      <c r="K2610" s="65"/>
      <c r="L2610" s="65"/>
      <c r="N2610" s="65"/>
    </row>
    <row r="2611" spans="1:14">
      <c r="A2611" s="106"/>
      <c r="B2611" s="108"/>
      <c r="C2611" s="108"/>
      <c r="D2611" s="108"/>
      <c r="E2611" s="108"/>
      <c r="F2611" s="108"/>
      <c r="G2611" s="109"/>
      <c r="H2611" s="110"/>
      <c r="K2611" s="65"/>
      <c r="L2611" s="65"/>
      <c r="N2611" s="65"/>
    </row>
    <row r="2612" spans="1:14">
      <c r="A2612" s="106"/>
      <c r="B2612" s="108"/>
      <c r="C2612" s="108"/>
      <c r="D2612" s="108"/>
      <c r="E2612" s="108"/>
      <c r="F2612" s="108"/>
      <c r="G2612" s="109"/>
      <c r="H2612" s="110"/>
      <c r="K2612" s="65"/>
      <c r="L2612" s="65"/>
      <c r="N2612" s="65"/>
    </row>
    <row r="2613" spans="1:14">
      <c r="A2613" s="106"/>
      <c r="B2613" s="108"/>
      <c r="C2613" s="108"/>
      <c r="D2613" s="108"/>
      <c r="E2613" s="108"/>
      <c r="F2613" s="108"/>
      <c r="G2613" s="109"/>
      <c r="H2613" s="110"/>
      <c r="K2613" s="65"/>
      <c r="L2613" s="65"/>
      <c r="N2613" s="65"/>
    </row>
    <row r="2614" spans="1:14">
      <c r="A2614" s="106"/>
      <c r="B2614" s="108"/>
      <c r="C2614" s="108"/>
      <c r="D2614" s="108"/>
      <c r="E2614" s="108"/>
      <c r="F2614" s="108"/>
      <c r="G2614" s="109"/>
      <c r="H2614" s="110"/>
      <c r="K2614" s="65"/>
      <c r="L2614" s="65"/>
      <c r="N2614" s="65"/>
    </row>
    <row r="2615" spans="1:14">
      <c r="A2615" s="106"/>
      <c r="B2615" s="108"/>
      <c r="C2615" s="108"/>
      <c r="D2615" s="108"/>
      <c r="E2615" s="108"/>
      <c r="F2615" s="108"/>
      <c r="G2615" s="109"/>
      <c r="H2615" s="110"/>
      <c r="K2615" s="65"/>
      <c r="L2615" s="65"/>
      <c r="N2615" s="65"/>
    </row>
    <row r="2616" spans="1:14">
      <c r="A2616" s="106"/>
      <c r="B2616" s="108"/>
      <c r="C2616" s="108"/>
      <c r="D2616" s="108"/>
      <c r="E2616" s="108"/>
      <c r="F2616" s="108"/>
      <c r="G2616" s="109"/>
      <c r="H2616" s="110"/>
      <c r="K2616" s="65"/>
      <c r="L2616" s="65"/>
      <c r="N2616" s="65"/>
    </row>
    <row r="2617" spans="1:14">
      <c r="A2617" s="106"/>
      <c r="B2617" s="108"/>
      <c r="C2617" s="108"/>
      <c r="D2617" s="108"/>
      <c r="E2617" s="108"/>
      <c r="F2617" s="108"/>
      <c r="G2617" s="109"/>
      <c r="H2617" s="110"/>
      <c r="K2617" s="65"/>
      <c r="L2617" s="65"/>
      <c r="N2617" s="65"/>
    </row>
    <row r="2618" spans="1:14">
      <c r="A2618" s="106"/>
      <c r="B2618" s="108"/>
      <c r="C2618" s="108"/>
      <c r="D2618" s="108"/>
      <c r="E2618" s="108"/>
      <c r="F2618" s="108"/>
      <c r="G2618" s="109"/>
      <c r="H2618" s="110"/>
      <c r="K2618" s="65"/>
      <c r="L2618" s="65"/>
      <c r="N2618" s="65"/>
    </row>
    <row r="2619" spans="1:14">
      <c r="A2619" s="106"/>
      <c r="B2619" s="108"/>
      <c r="C2619" s="108"/>
      <c r="D2619" s="108"/>
      <c r="E2619" s="108"/>
      <c r="F2619" s="108"/>
      <c r="G2619" s="109"/>
      <c r="H2619" s="110"/>
      <c r="K2619" s="65"/>
      <c r="L2619" s="65"/>
      <c r="N2619" s="65"/>
    </row>
    <row r="2620" spans="1:14">
      <c r="A2620" s="106"/>
      <c r="B2620" s="108"/>
      <c r="C2620" s="108"/>
      <c r="D2620" s="108"/>
      <c r="E2620" s="108"/>
      <c r="F2620" s="108"/>
      <c r="G2620" s="109"/>
      <c r="H2620" s="110"/>
      <c r="K2620" s="65"/>
      <c r="L2620" s="65"/>
      <c r="N2620" s="65"/>
    </row>
    <row r="2621" spans="1:14">
      <c r="A2621" s="106"/>
      <c r="B2621" s="108"/>
      <c r="C2621" s="108"/>
      <c r="D2621" s="108"/>
      <c r="E2621" s="108"/>
      <c r="F2621" s="108"/>
      <c r="G2621" s="109"/>
      <c r="H2621" s="110"/>
      <c r="K2621" s="65"/>
      <c r="L2621" s="65"/>
      <c r="N2621" s="65"/>
    </row>
    <row r="2622" spans="1:14">
      <c r="A2622" s="106"/>
      <c r="B2622" s="108"/>
      <c r="C2622" s="108"/>
      <c r="D2622" s="108"/>
      <c r="E2622" s="108"/>
      <c r="F2622" s="108"/>
      <c r="G2622" s="109"/>
      <c r="H2622" s="110"/>
      <c r="K2622" s="65"/>
      <c r="L2622" s="65"/>
      <c r="N2622" s="65"/>
    </row>
    <row r="2623" spans="1:14">
      <c r="A2623" s="106"/>
      <c r="B2623" s="108"/>
      <c r="C2623" s="108"/>
      <c r="D2623" s="108"/>
      <c r="E2623" s="108"/>
      <c r="F2623" s="108"/>
      <c r="G2623" s="109"/>
      <c r="H2623" s="110"/>
      <c r="K2623" s="65"/>
      <c r="L2623" s="65"/>
      <c r="N2623" s="65"/>
    </row>
    <row r="2624" spans="1:14">
      <c r="A2624" s="106"/>
      <c r="B2624" s="108"/>
      <c r="C2624" s="108"/>
      <c r="D2624" s="108"/>
      <c r="E2624" s="108"/>
      <c r="F2624" s="108"/>
      <c r="G2624" s="109"/>
      <c r="H2624" s="110"/>
      <c r="K2624" s="65"/>
      <c r="L2624" s="65"/>
      <c r="N2624" s="65"/>
    </row>
    <row r="2625" spans="1:14">
      <c r="A2625" s="106"/>
      <c r="B2625" s="108"/>
      <c r="C2625" s="108"/>
      <c r="D2625" s="108"/>
      <c r="E2625" s="108"/>
      <c r="F2625" s="108"/>
      <c r="G2625" s="109"/>
      <c r="H2625" s="110"/>
      <c r="K2625" s="65"/>
      <c r="L2625" s="65"/>
      <c r="N2625" s="65"/>
    </row>
    <row r="2626" spans="1:14">
      <c r="A2626" s="106"/>
      <c r="B2626" s="108"/>
      <c r="C2626" s="108"/>
      <c r="D2626" s="108"/>
      <c r="E2626" s="108"/>
      <c r="F2626" s="108"/>
      <c r="G2626" s="109"/>
      <c r="H2626" s="110"/>
      <c r="K2626" s="65"/>
      <c r="L2626" s="65"/>
      <c r="N2626" s="65"/>
    </row>
    <row r="2627" spans="1:14">
      <c r="A2627" s="106"/>
      <c r="B2627" s="108"/>
      <c r="C2627" s="108"/>
      <c r="D2627" s="108"/>
      <c r="E2627" s="108"/>
      <c r="F2627" s="108"/>
      <c r="G2627" s="109"/>
      <c r="H2627" s="110"/>
      <c r="K2627" s="65"/>
      <c r="L2627" s="65"/>
      <c r="N2627" s="65"/>
    </row>
    <row r="2628" spans="1:14">
      <c r="A2628" s="106"/>
      <c r="B2628" s="108"/>
      <c r="C2628" s="108"/>
      <c r="D2628" s="108"/>
      <c r="E2628" s="108"/>
      <c r="F2628" s="108"/>
      <c r="G2628" s="109"/>
      <c r="H2628" s="110"/>
      <c r="K2628" s="65"/>
      <c r="L2628" s="65"/>
      <c r="N2628" s="65"/>
    </row>
    <row r="2629" spans="1:14">
      <c r="A2629" s="106"/>
      <c r="B2629" s="108"/>
      <c r="C2629" s="108"/>
      <c r="D2629" s="108"/>
      <c r="E2629" s="108"/>
      <c r="F2629" s="108"/>
      <c r="G2629" s="109"/>
      <c r="H2629" s="110"/>
      <c r="K2629" s="65"/>
      <c r="L2629" s="65"/>
      <c r="N2629" s="65"/>
    </row>
    <row r="2630" spans="1:14">
      <c r="A2630" s="106"/>
      <c r="B2630" s="108"/>
      <c r="C2630" s="108"/>
      <c r="D2630" s="108"/>
      <c r="E2630" s="108"/>
      <c r="F2630" s="108"/>
      <c r="G2630" s="109"/>
      <c r="H2630" s="110"/>
      <c r="K2630" s="65"/>
      <c r="L2630" s="65"/>
      <c r="N2630" s="65"/>
    </row>
    <row r="2631" spans="1:14">
      <c r="A2631" s="106"/>
      <c r="B2631" s="108"/>
      <c r="C2631" s="108"/>
      <c r="D2631" s="108"/>
      <c r="E2631" s="108"/>
      <c r="F2631" s="108"/>
      <c r="G2631" s="109"/>
      <c r="H2631" s="110"/>
      <c r="K2631" s="65"/>
      <c r="L2631" s="65"/>
      <c r="N2631" s="65"/>
    </row>
    <row r="2632" spans="1:14">
      <c r="A2632" s="106"/>
      <c r="B2632" s="108"/>
      <c r="C2632" s="108"/>
      <c r="D2632" s="108"/>
      <c r="E2632" s="108"/>
      <c r="F2632" s="108"/>
      <c r="G2632" s="109"/>
      <c r="H2632" s="110"/>
      <c r="K2632" s="65"/>
      <c r="L2632" s="65"/>
      <c r="N2632" s="65"/>
    </row>
    <row r="2633" spans="1:14">
      <c r="A2633" s="106"/>
      <c r="B2633" s="108"/>
      <c r="C2633" s="108"/>
      <c r="D2633" s="108"/>
      <c r="E2633" s="108"/>
      <c r="F2633" s="108"/>
      <c r="G2633" s="109"/>
      <c r="H2633" s="110"/>
      <c r="K2633" s="65"/>
      <c r="L2633" s="65"/>
      <c r="N2633" s="65"/>
    </row>
    <row r="2634" spans="1:14">
      <c r="A2634" s="106"/>
      <c r="B2634" s="108"/>
      <c r="C2634" s="108"/>
      <c r="D2634" s="108"/>
      <c r="E2634" s="108"/>
      <c r="F2634" s="108"/>
      <c r="G2634" s="109"/>
      <c r="H2634" s="110"/>
      <c r="K2634" s="65"/>
      <c r="L2634" s="65"/>
      <c r="N2634" s="65"/>
    </row>
    <row r="2635" spans="1:14">
      <c r="A2635" s="106"/>
      <c r="B2635" s="108"/>
      <c r="C2635" s="108"/>
      <c r="D2635" s="108"/>
      <c r="E2635" s="108"/>
      <c r="F2635" s="108"/>
      <c r="G2635" s="109"/>
      <c r="H2635" s="110"/>
      <c r="K2635" s="65"/>
      <c r="L2635" s="65"/>
      <c r="N2635" s="65"/>
    </row>
    <row r="2636" spans="1:14">
      <c r="A2636" s="106"/>
      <c r="B2636" s="108"/>
      <c r="C2636" s="108"/>
      <c r="D2636" s="108"/>
      <c r="E2636" s="108"/>
      <c r="F2636" s="108"/>
      <c r="G2636" s="109"/>
      <c r="H2636" s="110"/>
      <c r="K2636" s="65"/>
      <c r="L2636" s="65"/>
      <c r="N2636" s="65"/>
    </row>
    <row r="2637" spans="1:14">
      <c r="A2637" s="106"/>
      <c r="B2637" s="108"/>
      <c r="C2637" s="108"/>
      <c r="D2637" s="108"/>
      <c r="E2637" s="108"/>
      <c r="F2637" s="108"/>
      <c r="G2637" s="109"/>
      <c r="H2637" s="110"/>
      <c r="K2637" s="65"/>
      <c r="L2637" s="65"/>
      <c r="N2637" s="65"/>
    </row>
    <row r="2638" spans="1:14">
      <c r="A2638" s="106"/>
      <c r="B2638" s="108"/>
      <c r="C2638" s="108"/>
      <c r="D2638" s="108"/>
      <c r="E2638" s="108"/>
      <c r="F2638" s="108"/>
      <c r="G2638" s="109"/>
      <c r="H2638" s="110"/>
      <c r="K2638" s="65"/>
      <c r="L2638" s="65"/>
      <c r="N2638" s="65"/>
    </row>
    <row r="2639" spans="1:14">
      <c r="A2639" s="106"/>
      <c r="B2639" s="108"/>
      <c r="C2639" s="108"/>
      <c r="D2639" s="108"/>
      <c r="E2639" s="108"/>
      <c r="F2639" s="108"/>
      <c r="G2639" s="109"/>
      <c r="H2639" s="110"/>
      <c r="K2639" s="65"/>
      <c r="L2639" s="65"/>
      <c r="N2639" s="65"/>
    </row>
    <row r="2640" spans="1:14">
      <c r="A2640" s="106"/>
      <c r="B2640" s="108"/>
      <c r="C2640" s="108"/>
      <c r="D2640" s="108"/>
      <c r="E2640" s="108"/>
      <c r="F2640" s="108"/>
      <c r="G2640" s="109"/>
      <c r="H2640" s="110"/>
      <c r="K2640" s="65"/>
      <c r="L2640" s="65"/>
      <c r="N2640" s="65"/>
    </row>
    <row r="2641" spans="1:14">
      <c r="A2641" s="106"/>
      <c r="B2641" s="108"/>
      <c r="C2641" s="108"/>
      <c r="D2641" s="108"/>
      <c r="E2641" s="108"/>
      <c r="F2641" s="108"/>
      <c r="G2641" s="109"/>
      <c r="H2641" s="110"/>
      <c r="K2641" s="65"/>
      <c r="L2641" s="65"/>
      <c r="N2641" s="65"/>
    </row>
    <row r="2642" spans="1:14">
      <c r="A2642" s="106"/>
      <c r="B2642" s="108"/>
      <c r="C2642" s="108"/>
      <c r="D2642" s="108"/>
      <c r="E2642" s="108"/>
      <c r="F2642" s="108"/>
      <c r="G2642" s="109"/>
      <c r="H2642" s="110"/>
      <c r="K2642" s="65"/>
      <c r="L2642" s="65"/>
      <c r="N2642" s="65"/>
    </row>
    <row r="2643" spans="1:14">
      <c r="A2643" s="106"/>
      <c r="B2643" s="108"/>
      <c r="C2643" s="108"/>
      <c r="D2643" s="108"/>
      <c r="E2643" s="108"/>
      <c r="F2643" s="108"/>
      <c r="G2643" s="109"/>
      <c r="H2643" s="110"/>
      <c r="K2643" s="65"/>
      <c r="L2643" s="65"/>
      <c r="N2643" s="65"/>
    </row>
    <row r="2644" spans="1:14">
      <c r="A2644" s="106"/>
      <c r="B2644" s="108"/>
      <c r="C2644" s="108"/>
      <c r="D2644" s="108"/>
      <c r="E2644" s="108"/>
      <c r="F2644" s="108"/>
      <c r="G2644" s="109"/>
      <c r="H2644" s="110"/>
      <c r="K2644" s="65"/>
      <c r="L2644" s="65"/>
      <c r="N2644" s="65"/>
    </row>
    <row r="2645" spans="1:14">
      <c r="A2645" s="106"/>
      <c r="B2645" s="108"/>
      <c r="C2645" s="108"/>
      <c r="D2645" s="108"/>
      <c r="E2645" s="108"/>
      <c r="F2645" s="108"/>
      <c r="G2645" s="109"/>
      <c r="H2645" s="110"/>
      <c r="K2645" s="65"/>
      <c r="L2645" s="65"/>
      <c r="N2645" s="65"/>
    </row>
    <row r="2646" spans="1:14">
      <c r="A2646" s="106"/>
      <c r="B2646" s="108"/>
      <c r="C2646" s="108"/>
      <c r="D2646" s="108"/>
      <c r="E2646" s="108"/>
      <c r="F2646" s="108"/>
      <c r="G2646" s="109"/>
      <c r="H2646" s="110"/>
      <c r="K2646" s="65"/>
      <c r="L2646" s="65"/>
      <c r="N2646" s="65"/>
    </row>
    <row r="2647" spans="1:14">
      <c r="A2647" s="106"/>
      <c r="B2647" s="108"/>
      <c r="C2647" s="108"/>
      <c r="D2647" s="108"/>
      <c r="E2647" s="108"/>
      <c r="F2647" s="108"/>
      <c r="G2647" s="109"/>
      <c r="H2647" s="110"/>
      <c r="K2647" s="65"/>
      <c r="L2647" s="65"/>
      <c r="N2647" s="65"/>
    </row>
    <row r="2648" spans="1:14">
      <c r="A2648" s="106"/>
      <c r="B2648" s="108"/>
      <c r="C2648" s="108"/>
      <c r="D2648" s="108"/>
      <c r="E2648" s="108"/>
      <c r="F2648" s="108"/>
      <c r="G2648" s="109"/>
      <c r="H2648" s="110"/>
      <c r="K2648" s="65"/>
      <c r="L2648" s="65"/>
      <c r="N2648" s="65"/>
    </row>
    <row r="2649" spans="1:14">
      <c r="A2649" s="106"/>
      <c r="B2649" s="108"/>
      <c r="C2649" s="108"/>
      <c r="D2649" s="108"/>
      <c r="E2649" s="108"/>
      <c r="F2649" s="108"/>
      <c r="G2649" s="109"/>
      <c r="H2649" s="110"/>
      <c r="K2649" s="65"/>
      <c r="L2649" s="65"/>
      <c r="N2649" s="65"/>
    </row>
    <row r="2650" spans="1:14">
      <c r="A2650" s="106"/>
      <c r="B2650" s="108"/>
      <c r="C2650" s="108"/>
      <c r="D2650" s="108"/>
      <c r="E2650" s="108"/>
      <c r="F2650" s="108"/>
      <c r="G2650" s="109"/>
      <c r="H2650" s="110"/>
      <c r="K2650" s="65"/>
      <c r="L2650" s="65"/>
      <c r="N2650" s="65"/>
    </row>
    <row r="2651" spans="1:14">
      <c r="A2651" s="106"/>
      <c r="B2651" s="108"/>
      <c r="C2651" s="108"/>
      <c r="D2651" s="108"/>
      <c r="E2651" s="108"/>
      <c r="F2651" s="108"/>
      <c r="G2651" s="109"/>
      <c r="H2651" s="110"/>
      <c r="K2651" s="65"/>
      <c r="L2651" s="65"/>
      <c r="N2651" s="65"/>
    </row>
    <row r="2652" spans="1:14">
      <c r="A2652" s="106"/>
      <c r="B2652" s="108"/>
      <c r="C2652" s="108"/>
      <c r="D2652" s="108"/>
      <c r="E2652" s="108"/>
      <c r="F2652" s="108"/>
      <c r="G2652" s="109"/>
      <c r="H2652" s="110"/>
      <c r="K2652" s="65"/>
      <c r="L2652" s="65"/>
      <c r="N2652" s="65"/>
    </row>
    <row r="2653" spans="1:14">
      <c r="A2653" s="106"/>
      <c r="B2653" s="108"/>
      <c r="C2653" s="108"/>
      <c r="D2653" s="108"/>
      <c r="E2653" s="108"/>
      <c r="F2653" s="108"/>
      <c r="G2653" s="109"/>
      <c r="H2653" s="110"/>
      <c r="K2653" s="65"/>
      <c r="L2653" s="65"/>
      <c r="N2653" s="65"/>
    </row>
    <row r="2654" spans="1:14">
      <c r="A2654" s="106"/>
      <c r="B2654" s="108"/>
      <c r="C2654" s="108"/>
      <c r="D2654" s="108"/>
      <c r="E2654" s="108"/>
      <c r="F2654" s="108"/>
      <c r="G2654" s="109"/>
      <c r="H2654" s="110"/>
      <c r="K2654" s="65"/>
      <c r="L2654" s="65"/>
      <c r="N2654" s="65"/>
    </row>
    <row r="2655" spans="1:14">
      <c r="A2655" s="106"/>
      <c r="B2655" s="108"/>
      <c r="C2655" s="108"/>
      <c r="D2655" s="108"/>
      <c r="E2655" s="108"/>
      <c r="F2655" s="108"/>
      <c r="G2655" s="109"/>
      <c r="H2655" s="110"/>
      <c r="K2655" s="65"/>
      <c r="L2655" s="65"/>
      <c r="N2655" s="65"/>
    </row>
    <row r="2656" spans="1:14">
      <c r="A2656" s="106"/>
      <c r="B2656" s="108"/>
      <c r="C2656" s="108"/>
      <c r="D2656" s="108"/>
      <c r="E2656" s="108"/>
      <c r="F2656" s="108"/>
      <c r="G2656" s="109"/>
      <c r="H2656" s="110"/>
      <c r="K2656" s="65"/>
      <c r="L2656" s="65"/>
      <c r="N2656" s="65"/>
    </row>
    <row r="2657" spans="1:14">
      <c r="A2657" s="106"/>
      <c r="B2657" s="108"/>
      <c r="C2657" s="108"/>
      <c r="D2657" s="108"/>
      <c r="E2657" s="108"/>
      <c r="F2657" s="108"/>
      <c r="G2657" s="109"/>
      <c r="H2657" s="110"/>
      <c r="K2657" s="65"/>
      <c r="L2657" s="65"/>
      <c r="N2657" s="65"/>
    </row>
    <row r="2658" spans="1:14">
      <c r="A2658" s="106"/>
      <c r="B2658" s="108"/>
      <c r="C2658" s="108"/>
      <c r="D2658" s="108"/>
      <c r="E2658" s="108"/>
      <c r="F2658" s="108"/>
      <c r="G2658" s="109"/>
      <c r="H2658" s="110"/>
      <c r="K2658" s="65"/>
      <c r="L2658" s="65"/>
      <c r="N2658" s="65"/>
    </row>
    <row r="2659" spans="1:14">
      <c r="A2659" s="106"/>
      <c r="B2659" s="108"/>
      <c r="C2659" s="108"/>
      <c r="D2659" s="108"/>
      <c r="E2659" s="108"/>
      <c r="F2659" s="108"/>
      <c r="G2659" s="109"/>
      <c r="H2659" s="110"/>
      <c r="K2659" s="65"/>
      <c r="L2659" s="65"/>
      <c r="N2659" s="65"/>
    </row>
    <row r="2660" spans="1:14">
      <c r="A2660" s="106"/>
      <c r="B2660" s="108"/>
      <c r="C2660" s="108"/>
      <c r="D2660" s="108"/>
      <c r="E2660" s="108"/>
      <c r="F2660" s="108"/>
      <c r="G2660" s="109"/>
      <c r="H2660" s="110"/>
      <c r="K2660" s="65"/>
      <c r="L2660" s="65"/>
      <c r="N2660" s="65"/>
    </row>
    <row r="2661" spans="1:14">
      <c r="A2661" s="106"/>
      <c r="B2661" s="108"/>
      <c r="C2661" s="108"/>
      <c r="D2661" s="108"/>
      <c r="E2661" s="108"/>
      <c r="F2661" s="108"/>
      <c r="G2661" s="109"/>
      <c r="H2661" s="110"/>
      <c r="K2661" s="65"/>
      <c r="L2661" s="65"/>
      <c r="N2661" s="65"/>
    </row>
    <row r="2662" spans="1:14">
      <c r="A2662" s="106"/>
      <c r="B2662" s="108"/>
      <c r="C2662" s="108"/>
      <c r="D2662" s="108"/>
      <c r="E2662" s="108"/>
      <c r="F2662" s="108"/>
      <c r="G2662" s="109"/>
      <c r="H2662" s="110"/>
      <c r="K2662" s="65"/>
      <c r="L2662" s="65"/>
      <c r="N2662" s="65"/>
    </row>
    <row r="2663" spans="1:14">
      <c r="A2663" s="106"/>
      <c r="B2663" s="108"/>
      <c r="C2663" s="108"/>
      <c r="D2663" s="108"/>
      <c r="E2663" s="108"/>
      <c r="F2663" s="108"/>
      <c r="G2663" s="109"/>
      <c r="H2663" s="110"/>
      <c r="K2663" s="65"/>
      <c r="L2663" s="65"/>
      <c r="N2663" s="65"/>
    </row>
    <row r="2664" spans="1:14">
      <c r="A2664" s="106"/>
      <c r="B2664" s="108"/>
      <c r="C2664" s="108"/>
      <c r="D2664" s="108"/>
      <c r="E2664" s="108"/>
      <c r="F2664" s="108"/>
      <c r="G2664" s="109"/>
      <c r="H2664" s="110"/>
      <c r="K2664" s="65"/>
      <c r="L2664" s="65"/>
      <c r="N2664" s="65"/>
    </row>
    <row r="2665" spans="1:14">
      <c r="A2665" s="106"/>
      <c r="B2665" s="108"/>
      <c r="C2665" s="108"/>
      <c r="D2665" s="108"/>
      <c r="E2665" s="108"/>
      <c r="F2665" s="108"/>
      <c r="G2665" s="109"/>
      <c r="H2665" s="110"/>
      <c r="K2665" s="65"/>
      <c r="L2665" s="65"/>
      <c r="N2665" s="65"/>
    </row>
    <row r="2666" spans="1:14">
      <c r="A2666" s="106"/>
      <c r="B2666" s="108"/>
      <c r="C2666" s="108"/>
      <c r="D2666" s="108"/>
      <c r="E2666" s="108"/>
      <c r="F2666" s="108"/>
      <c r="G2666" s="109"/>
      <c r="H2666" s="110"/>
      <c r="K2666" s="65"/>
      <c r="L2666" s="65"/>
      <c r="N2666" s="65"/>
    </row>
    <row r="2667" spans="1:14">
      <c r="A2667" s="106"/>
      <c r="B2667" s="108"/>
      <c r="C2667" s="108"/>
      <c r="D2667" s="108"/>
      <c r="E2667" s="108"/>
      <c r="F2667" s="108"/>
      <c r="G2667" s="109"/>
      <c r="H2667" s="110"/>
      <c r="K2667" s="65"/>
      <c r="L2667" s="65"/>
      <c r="N2667" s="65"/>
    </row>
    <row r="2668" spans="1:14">
      <c r="A2668" s="106"/>
      <c r="B2668" s="108"/>
      <c r="C2668" s="108"/>
      <c r="D2668" s="108"/>
      <c r="E2668" s="108"/>
      <c r="F2668" s="108"/>
      <c r="G2668" s="109"/>
      <c r="H2668" s="110"/>
      <c r="K2668" s="65"/>
      <c r="L2668" s="65"/>
      <c r="N2668" s="65"/>
    </row>
    <row r="2669" spans="1:14">
      <c r="A2669" s="106"/>
      <c r="B2669" s="108"/>
      <c r="C2669" s="108"/>
      <c r="D2669" s="108"/>
      <c r="E2669" s="108"/>
      <c r="F2669" s="108"/>
      <c r="G2669" s="109"/>
      <c r="H2669" s="110"/>
      <c r="K2669" s="65"/>
      <c r="L2669" s="65"/>
      <c r="N2669" s="65"/>
    </row>
    <row r="2670" spans="1:14">
      <c r="A2670" s="106"/>
      <c r="B2670" s="108"/>
      <c r="C2670" s="108"/>
      <c r="D2670" s="108"/>
      <c r="E2670" s="108"/>
      <c r="F2670" s="108"/>
      <c r="G2670" s="109"/>
      <c r="H2670" s="110"/>
      <c r="K2670" s="65"/>
      <c r="L2670" s="65"/>
      <c r="N2670" s="65"/>
    </row>
    <row r="2671" spans="1:14">
      <c r="A2671" s="106"/>
      <c r="B2671" s="108"/>
      <c r="C2671" s="108"/>
      <c r="D2671" s="108"/>
      <c r="E2671" s="108"/>
      <c r="F2671" s="108"/>
      <c r="G2671" s="109"/>
      <c r="H2671" s="110"/>
      <c r="K2671" s="65"/>
      <c r="L2671" s="65"/>
      <c r="N2671" s="65"/>
    </row>
    <row r="2672" spans="1:14">
      <c r="A2672" s="106"/>
      <c r="B2672" s="108"/>
      <c r="C2672" s="108"/>
      <c r="D2672" s="108"/>
      <c r="E2672" s="108"/>
      <c r="F2672" s="108"/>
      <c r="G2672" s="109"/>
      <c r="H2672" s="110"/>
      <c r="K2672" s="65"/>
      <c r="L2672" s="65"/>
      <c r="N2672" s="65"/>
    </row>
    <row r="2673" spans="1:14">
      <c r="A2673" s="106"/>
      <c r="B2673" s="108"/>
      <c r="C2673" s="108"/>
      <c r="D2673" s="108"/>
      <c r="E2673" s="108"/>
      <c r="F2673" s="108"/>
      <c r="G2673" s="109"/>
      <c r="H2673" s="110"/>
      <c r="K2673" s="65"/>
      <c r="L2673" s="65"/>
      <c r="N2673" s="65"/>
    </row>
    <row r="2674" spans="1:14">
      <c r="A2674" s="106"/>
      <c r="B2674" s="108"/>
      <c r="C2674" s="108"/>
      <c r="D2674" s="108"/>
      <c r="E2674" s="108"/>
      <c r="F2674" s="108"/>
      <c r="G2674" s="109"/>
      <c r="H2674" s="110"/>
      <c r="K2674" s="65"/>
      <c r="L2674" s="65"/>
      <c r="N2674" s="65"/>
    </row>
    <row r="2675" spans="1:14">
      <c r="A2675" s="106"/>
      <c r="B2675" s="108"/>
      <c r="C2675" s="108"/>
      <c r="D2675" s="108"/>
      <c r="E2675" s="108"/>
      <c r="F2675" s="108"/>
      <c r="G2675" s="109"/>
      <c r="H2675" s="110"/>
      <c r="K2675" s="65"/>
      <c r="L2675" s="65"/>
      <c r="N2675" s="65"/>
    </row>
    <row r="2676" spans="1:14">
      <c r="A2676" s="106"/>
      <c r="B2676" s="108"/>
      <c r="C2676" s="108"/>
      <c r="D2676" s="108"/>
      <c r="E2676" s="108"/>
      <c r="F2676" s="108"/>
      <c r="G2676" s="109"/>
      <c r="H2676" s="110"/>
      <c r="K2676" s="65"/>
      <c r="L2676" s="65"/>
      <c r="N2676" s="65"/>
    </row>
    <row r="2677" spans="1:14">
      <c r="A2677" s="106"/>
      <c r="B2677" s="108"/>
      <c r="C2677" s="108"/>
      <c r="D2677" s="108"/>
      <c r="E2677" s="108"/>
      <c r="F2677" s="108"/>
      <c r="G2677" s="109"/>
      <c r="H2677" s="110"/>
      <c r="K2677" s="65"/>
      <c r="L2677" s="65"/>
      <c r="N2677" s="65"/>
    </row>
    <row r="2678" spans="1:14">
      <c r="A2678" s="106"/>
      <c r="B2678" s="108"/>
      <c r="C2678" s="108"/>
      <c r="D2678" s="108"/>
      <c r="E2678" s="108"/>
      <c r="F2678" s="108"/>
      <c r="G2678" s="109"/>
      <c r="H2678" s="110"/>
      <c r="K2678" s="65"/>
      <c r="L2678" s="65"/>
      <c r="N2678" s="65"/>
    </row>
    <row r="2679" spans="1:14">
      <c r="A2679" s="106"/>
      <c r="B2679" s="108"/>
      <c r="C2679" s="108"/>
      <c r="D2679" s="108"/>
      <c r="E2679" s="108"/>
      <c r="F2679" s="108"/>
      <c r="G2679" s="109"/>
      <c r="H2679" s="110"/>
      <c r="K2679" s="65"/>
      <c r="L2679" s="65"/>
      <c r="N2679" s="65"/>
    </row>
    <row r="2680" spans="1:14">
      <c r="A2680" s="106"/>
      <c r="B2680" s="108"/>
      <c r="C2680" s="108"/>
      <c r="D2680" s="108"/>
      <c r="E2680" s="108"/>
      <c r="F2680" s="108"/>
      <c r="G2680" s="109"/>
      <c r="H2680" s="110"/>
      <c r="K2680" s="65"/>
      <c r="L2680" s="65"/>
      <c r="N2680" s="65"/>
    </row>
    <row r="2681" spans="1:14">
      <c r="A2681" s="106"/>
      <c r="B2681" s="108"/>
      <c r="C2681" s="108"/>
      <c r="D2681" s="108"/>
      <c r="E2681" s="108"/>
      <c r="F2681" s="108"/>
      <c r="G2681" s="109"/>
      <c r="H2681" s="110"/>
      <c r="K2681" s="65"/>
      <c r="L2681" s="65"/>
      <c r="N2681" s="65"/>
    </row>
    <row r="2682" spans="1:14">
      <c r="A2682" s="106"/>
      <c r="B2682" s="108"/>
      <c r="C2682" s="108"/>
      <c r="D2682" s="108"/>
      <c r="E2682" s="108"/>
      <c r="F2682" s="108"/>
      <c r="G2682" s="109"/>
      <c r="H2682" s="110"/>
      <c r="K2682" s="65"/>
      <c r="L2682" s="65"/>
      <c r="N2682" s="65"/>
    </row>
    <row r="2683" spans="1:14">
      <c r="A2683" s="106"/>
      <c r="B2683" s="108"/>
      <c r="C2683" s="108"/>
      <c r="D2683" s="108"/>
      <c r="E2683" s="108"/>
      <c r="F2683" s="108"/>
      <c r="G2683" s="109"/>
      <c r="H2683" s="110"/>
      <c r="K2683" s="65"/>
      <c r="L2683" s="65"/>
      <c r="N2683" s="65"/>
    </row>
    <row r="2684" spans="1:14">
      <c r="A2684" s="106"/>
      <c r="B2684" s="108"/>
      <c r="C2684" s="108"/>
      <c r="D2684" s="108"/>
      <c r="E2684" s="108"/>
      <c r="F2684" s="108"/>
      <c r="G2684" s="109"/>
      <c r="H2684" s="110"/>
      <c r="K2684" s="65"/>
      <c r="L2684" s="65"/>
      <c r="N2684" s="65"/>
    </row>
    <row r="2685" spans="1:14">
      <c r="A2685" s="106"/>
      <c r="B2685" s="108"/>
      <c r="C2685" s="108"/>
      <c r="D2685" s="108"/>
      <c r="E2685" s="108"/>
      <c r="F2685" s="108"/>
      <c r="G2685" s="109"/>
      <c r="H2685" s="110"/>
      <c r="K2685" s="65"/>
      <c r="L2685" s="65"/>
      <c r="N2685" s="65"/>
    </row>
    <row r="2686" spans="1:14">
      <c r="A2686" s="106"/>
      <c r="B2686" s="108"/>
      <c r="C2686" s="108"/>
      <c r="D2686" s="108"/>
      <c r="E2686" s="108"/>
      <c r="F2686" s="108"/>
      <c r="G2686" s="109"/>
      <c r="H2686" s="110"/>
      <c r="K2686" s="65"/>
      <c r="L2686" s="65"/>
      <c r="N2686" s="65"/>
    </row>
    <row r="2687" spans="1:14">
      <c r="A2687" s="106"/>
      <c r="B2687" s="108"/>
      <c r="C2687" s="108"/>
      <c r="D2687" s="108"/>
      <c r="E2687" s="108"/>
      <c r="F2687" s="108"/>
      <c r="G2687" s="109"/>
      <c r="H2687" s="110"/>
      <c r="K2687" s="65"/>
      <c r="L2687" s="65"/>
      <c r="N2687" s="65"/>
    </row>
    <row r="2688" spans="1:14">
      <c r="A2688" s="106"/>
      <c r="B2688" s="108"/>
      <c r="C2688" s="108"/>
      <c r="D2688" s="108"/>
      <c r="E2688" s="108"/>
      <c r="F2688" s="108"/>
      <c r="G2688" s="109"/>
      <c r="H2688" s="110"/>
      <c r="K2688" s="65"/>
      <c r="L2688" s="65"/>
      <c r="N2688" s="65"/>
    </row>
    <row r="2689" spans="1:14">
      <c r="A2689" s="106"/>
      <c r="B2689" s="108"/>
      <c r="C2689" s="108"/>
      <c r="D2689" s="108"/>
      <c r="E2689" s="108"/>
      <c r="F2689" s="108"/>
      <c r="G2689" s="109"/>
      <c r="H2689" s="110"/>
      <c r="K2689" s="65"/>
      <c r="L2689" s="65"/>
      <c r="N2689" s="65"/>
    </row>
    <row r="2690" spans="1:14">
      <c r="A2690" s="106"/>
      <c r="B2690" s="108"/>
      <c r="C2690" s="108"/>
      <c r="D2690" s="108"/>
      <c r="E2690" s="108"/>
      <c r="F2690" s="108"/>
      <c r="G2690" s="109"/>
      <c r="H2690" s="110"/>
      <c r="K2690" s="65"/>
      <c r="L2690" s="65"/>
      <c r="N2690" s="65"/>
    </row>
    <row r="2691" spans="1:14">
      <c r="A2691" s="106"/>
      <c r="B2691" s="108"/>
      <c r="C2691" s="108"/>
      <c r="D2691" s="108"/>
      <c r="E2691" s="108"/>
      <c r="F2691" s="108"/>
      <c r="G2691" s="109"/>
      <c r="H2691" s="110"/>
      <c r="K2691" s="65"/>
      <c r="L2691" s="65"/>
      <c r="N2691" s="65"/>
    </row>
    <row r="2692" spans="1:14">
      <c r="A2692" s="106"/>
      <c r="B2692" s="108"/>
      <c r="C2692" s="108"/>
      <c r="D2692" s="108"/>
      <c r="E2692" s="108"/>
      <c r="F2692" s="108"/>
      <c r="G2692" s="109"/>
      <c r="H2692" s="110"/>
      <c r="K2692" s="65"/>
      <c r="L2692" s="65"/>
      <c r="N2692" s="65"/>
    </row>
    <row r="2693" spans="1:14">
      <c r="A2693" s="106"/>
      <c r="B2693" s="108"/>
      <c r="C2693" s="108"/>
      <c r="D2693" s="108"/>
      <c r="E2693" s="108"/>
      <c r="F2693" s="108"/>
      <c r="G2693" s="109"/>
      <c r="H2693" s="110"/>
      <c r="K2693" s="65"/>
      <c r="L2693" s="65"/>
      <c r="N2693" s="65"/>
    </row>
    <row r="2694" spans="1:14">
      <c r="A2694" s="106"/>
      <c r="B2694" s="108"/>
      <c r="C2694" s="108"/>
      <c r="D2694" s="108"/>
      <c r="E2694" s="108"/>
      <c r="F2694" s="108"/>
      <c r="G2694" s="109"/>
      <c r="H2694" s="110"/>
      <c r="K2694" s="65"/>
      <c r="L2694" s="65"/>
      <c r="N2694" s="65"/>
    </row>
    <row r="2695" spans="1:14">
      <c r="A2695" s="106"/>
      <c r="B2695" s="108"/>
      <c r="C2695" s="108"/>
      <c r="D2695" s="108"/>
      <c r="E2695" s="108"/>
      <c r="F2695" s="108"/>
      <c r="G2695" s="109"/>
      <c r="H2695" s="110"/>
      <c r="K2695" s="65"/>
      <c r="L2695" s="65"/>
      <c r="N2695" s="65"/>
    </row>
    <row r="2696" spans="1:14">
      <c r="A2696" s="106"/>
      <c r="B2696" s="108"/>
      <c r="C2696" s="108"/>
      <c r="D2696" s="108"/>
      <c r="E2696" s="108"/>
      <c r="F2696" s="108"/>
      <c r="G2696" s="109"/>
      <c r="H2696" s="110"/>
      <c r="K2696" s="65"/>
      <c r="L2696" s="65"/>
      <c r="N2696" s="65"/>
    </row>
    <row r="2697" spans="1:14">
      <c r="A2697" s="106"/>
      <c r="B2697" s="108"/>
      <c r="C2697" s="108"/>
      <c r="D2697" s="108"/>
      <c r="E2697" s="108"/>
      <c r="F2697" s="108"/>
      <c r="G2697" s="109"/>
      <c r="H2697" s="110"/>
      <c r="K2697" s="65"/>
      <c r="L2697" s="65"/>
      <c r="N2697" s="65"/>
    </row>
    <row r="2698" spans="1:14">
      <c r="A2698" s="106"/>
      <c r="B2698" s="108"/>
      <c r="C2698" s="108"/>
      <c r="D2698" s="108"/>
      <c r="E2698" s="108"/>
      <c r="F2698" s="108"/>
      <c r="G2698" s="109"/>
      <c r="H2698" s="110"/>
      <c r="K2698" s="65"/>
      <c r="L2698" s="65"/>
      <c r="N2698" s="65"/>
    </row>
    <row r="2699" spans="1:14">
      <c r="A2699" s="106"/>
      <c r="B2699" s="108"/>
      <c r="C2699" s="108"/>
      <c r="D2699" s="108"/>
      <c r="E2699" s="108"/>
      <c r="F2699" s="108"/>
      <c r="G2699" s="109"/>
      <c r="H2699" s="110"/>
      <c r="K2699" s="65"/>
      <c r="L2699" s="65"/>
      <c r="N2699" s="65"/>
    </row>
    <row r="2700" spans="1:14">
      <c r="A2700" s="106"/>
      <c r="B2700" s="108"/>
      <c r="C2700" s="108"/>
      <c r="D2700" s="108"/>
      <c r="E2700" s="108"/>
      <c r="F2700" s="108"/>
      <c r="G2700" s="109"/>
      <c r="H2700" s="110"/>
      <c r="K2700" s="65"/>
      <c r="L2700" s="65"/>
      <c r="N2700" s="65"/>
    </row>
    <row r="2701" spans="1:14">
      <c r="A2701" s="106"/>
      <c r="B2701" s="108"/>
      <c r="C2701" s="108"/>
      <c r="D2701" s="108"/>
      <c r="E2701" s="108"/>
      <c r="F2701" s="108"/>
      <c r="G2701" s="109"/>
      <c r="H2701" s="110"/>
      <c r="K2701" s="65"/>
      <c r="L2701" s="65"/>
      <c r="N2701" s="65"/>
    </row>
    <row r="2702" spans="1:14">
      <c r="A2702" s="106"/>
      <c r="B2702" s="108"/>
      <c r="C2702" s="108"/>
      <c r="D2702" s="108"/>
      <c r="E2702" s="108"/>
      <c r="F2702" s="108"/>
      <c r="G2702" s="109"/>
      <c r="H2702" s="110"/>
      <c r="K2702" s="65"/>
      <c r="L2702" s="65"/>
      <c r="N2702" s="65"/>
    </row>
    <row r="2703" spans="1:14">
      <c r="A2703" s="106"/>
      <c r="B2703" s="108"/>
      <c r="C2703" s="108"/>
      <c r="D2703" s="108"/>
      <c r="E2703" s="108"/>
      <c r="F2703" s="108"/>
      <c r="G2703" s="109"/>
      <c r="H2703" s="110"/>
      <c r="K2703" s="65"/>
      <c r="L2703" s="65"/>
      <c r="N2703" s="65"/>
    </row>
    <row r="2704" spans="1:14">
      <c r="A2704" s="106"/>
      <c r="B2704" s="108"/>
      <c r="C2704" s="108"/>
      <c r="D2704" s="108"/>
      <c r="E2704" s="108"/>
      <c r="F2704" s="108"/>
      <c r="G2704" s="109"/>
      <c r="H2704" s="110"/>
      <c r="K2704" s="65"/>
      <c r="L2704" s="65"/>
      <c r="N2704" s="65"/>
    </row>
    <row r="2705" spans="1:14">
      <c r="A2705" s="106"/>
      <c r="B2705" s="108"/>
      <c r="C2705" s="108"/>
      <c r="D2705" s="108"/>
      <c r="E2705" s="108"/>
      <c r="F2705" s="108"/>
      <c r="G2705" s="109"/>
      <c r="H2705" s="110"/>
      <c r="K2705" s="65"/>
      <c r="L2705" s="65"/>
      <c r="N2705" s="65"/>
    </row>
    <row r="2706" spans="1:14">
      <c r="A2706" s="106"/>
      <c r="B2706" s="108"/>
      <c r="C2706" s="108"/>
      <c r="D2706" s="108"/>
      <c r="E2706" s="108"/>
      <c r="F2706" s="108"/>
      <c r="G2706" s="109"/>
      <c r="H2706" s="110"/>
      <c r="K2706" s="65"/>
      <c r="L2706" s="65"/>
      <c r="N2706" s="65"/>
    </row>
    <row r="2707" spans="1:14">
      <c r="A2707" s="106"/>
      <c r="B2707" s="108"/>
      <c r="C2707" s="108"/>
      <c r="D2707" s="108"/>
      <c r="E2707" s="108"/>
      <c r="F2707" s="108"/>
      <c r="G2707" s="109"/>
      <c r="H2707" s="110"/>
      <c r="K2707" s="65"/>
      <c r="L2707" s="65"/>
      <c r="N2707" s="65"/>
    </row>
    <row r="2708" spans="1:14">
      <c r="A2708" s="106"/>
      <c r="B2708" s="108"/>
      <c r="C2708" s="108"/>
      <c r="D2708" s="108"/>
      <c r="E2708" s="108"/>
      <c r="F2708" s="108"/>
      <c r="G2708" s="109"/>
      <c r="H2708" s="110"/>
      <c r="K2708" s="65"/>
      <c r="L2708" s="65"/>
      <c r="N2708" s="65"/>
    </row>
    <row r="2709" spans="1:14">
      <c r="A2709" s="106"/>
      <c r="B2709" s="108"/>
      <c r="C2709" s="108"/>
      <c r="D2709" s="108"/>
      <c r="E2709" s="108"/>
      <c r="F2709" s="108"/>
      <c r="G2709" s="109"/>
      <c r="H2709" s="110"/>
      <c r="K2709" s="65"/>
      <c r="L2709" s="65"/>
      <c r="N2709" s="65"/>
    </row>
    <row r="2710" spans="1:14">
      <c r="A2710" s="106"/>
      <c r="B2710" s="108"/>
      <c r="C2710" s="108"/>
      <c r="D2710" s="108"/>
      <c r="E2710" s="108"/>
      <c r="F2710" s="108"/>
      <c r="G2710" s="109"/>
      <c r="H2710" s="110"/>
      <c r="K2710" s="65"/>
      <c r="L2710" s="65"/>
      <c r="N2710" s="65"/>
    </row>
    <row r="2711" spans="1:14">
      <c r="A2711" s="106"/>
      <c r="B2711" s="108"/>
      <c r="C2711" s="108"/>
      <c r="D2711" s="108"/>
      <c r="E2711" s="108"/>
      <c r="F2711" s="108"/>
      <c r="G2711" s="109"/>
      <c r="H2711" s="110"/>
      <c r="K2711" s="65"/>
      <c r="L2711" s="65"/>
      <c r="N2711" s="65"/>
    </row>
    <row r="2712" spans="1:14">
      <c r="A2712" s="106"/>
      <c r="B2712" s="108"/>
      <c r="C2712" s="108"/>
      <c r="D2712" s="108"/>
      <c r="E2712" s="108"/>
      <c r="F2712" s="108"/>
      <c r="G2712" s="109"/>
      <c r="H2712" s="110"/>
      <c r="K2712" s="65"/>
      <c r="L2712" s="65"/>
      <c r="N2712" s="65"/>
    </row>
    <row r="2713" spans="1:14">
      <c r="A2713" s="106"/>
      <c r="B2713" s="108"/>
      <c r="C2713" s="108"/>
      <c r="D2713" s="108"/>
      <c r="E2713" s="108"/>
      <c r="F2713" s="108"/>
      <c r="G2713" s="109"/>
      <c r="H2713" s="110"/>
      <c r="K2713" s="65"/>
      <c r="L2713" s="65"/>
      <c r="N2713" s="65"/>
    </row>
    <row r="2714" spans="1:14">
      <c r="A2714" s="106"/>
      <c r="B2714" s="108"/>
      <c r="C2714" s="108"/>
      <c r="D2714" s="108"/>
      <c r="E2714" s="108"/>
      <c r="F2714" s="108"/>
      <c r="G2714" s="109"/>
      <c r="H2714" s="110"/>
      <c r="K2714" s="65"/>
      <c r="L2714" s="65"/>
      <c r="N2714" s="65"/>
    </row>
    <row r="2715" spans="1:14">
      <c r="A2715" s="106"/>
      <c r="B2715" s="108"/>
      <c r="C2715" s="108"/>
      <c r="D2715" s="108"/>
      <c r="E2715" s="108"/>
      <c r="F2715" s="108"/>
      <c r="G2715" s="109"/>
      <c r="H2715" s="110"/>
      <c r="K2715" s="65"/>
      <c r="L2715" s="65"/>
      <c r="N2715" s="65"/>
    </row>
    <row r="2716" spans="1:14">
      <c r="A2716" s="106"/>
      <c r="B2716" s="108"/>
      <c r="C2716" s="108"/>
      <c r="D2716" s="108"/>
      <c r="E2716" s="108"/>
      <c r="F2716" s="108"/>
      <c r="G2716" s="109"/>
      <c r="H2716" s="110"/>
      <c r="K2716" s="65"/>
      <c r="L2716" s="65"/>
      <c r="N2716" s="65"/>
    </row>
    <row r="2717" spans="1:14">
      <c r="A2717" s="106"/>
      <c r="B2717" s="108"/>
      <c r="C2717" s="108"/>
      <c r="D2717" s="108"/>
      <c r="E2717" s="108"/>
      <c r="F2717" s="108"/>
      <c r="G2717" s="109"/>
      <c r="H2717" s="110"/>
      <c r="K2717" s="65"/>
      <c r="L2717" s="65"/>
      <c r="N2717" s="65"/>
    </row>
    <row r="2718" spans="1:14">
      <c r="A2718" s="106"/>
      <c r="B2718" s="108"/>
      <c r="C2718" s="108"/>
      <c r="D2718" s="108"/>
      <c r="E2718" s="108"/>
      <c r="F2718" s="108"/>
      <c r="G2718" s="109"/>
      <c r="H2718" s="110"/>
      <c r="K2718" s="65"/>
      <c r="L2718" s="65"/>
      <c r="N2718" s="65"/>
    </row>
    <row r="2719" spans="1:14">
      <c r="A2719" s="106"/>
      <c r="B2719" s="108"/>
      <c r="C2719" s="108"/>
      <c r="D2719" s="108"/>
      <c r="E2719" s="108"/>
      <c r="F2719" s="108"/>
      <c r="G2719" s="109"/>
      <c r="H2719" s="110"/>
      <c r="K2719" s="65"/>
      <c r="L2719" s="65"/>
      <c r="N2719" s="65"/>
    </row>
    <row r="2720" spans="1:14">
      <c r="A2720" s="106"/>
      <c r="B2720" s="108"/>
      <c r="C2720" s="108"/>
      <c r="D2720" s="108"/>
      <c r="E2720" s="108"/>
      <c r="F2720" s="108"/>
      <c r="G2720" s="109"/>
      <c r="H2720" s="110"/>
      <c r="K2720" s="65"/>
      <c r="L2720" s="65"/>
      <c r="N2720" s="65"/>
    </row>
    <row r="2721" spans="1:14">
      <c r="A2721" s="106"/>
      <c r="B2721" s="108"/>
      <c r="C2721" s="108"/>
      <c r="D2721" s="108"/>
      <c r="E2721" s="108"/>
      <c r="F2721" s="108"/>
      <c r="G2721" s="109"/>
      <c r="H2721" s="110"/>
      <c r="K2721" s="65"/>
      <c r="L2721" s="65"/>
      <c r="N2721" s="65"/>
    </row>
    <row r="2722" spans="1:14">
      <c r="A2722" s="106"/>
      <c r="B2722" s="108"/>
      <c r="C2722" s="108"/>
      <c r="D2722" s="108"/>
      <c r="E2722" s="108"/>
      <c r="F2722" s="108"/>
      <c r="G2722" s="109"/>
      <c r="H2722" s="110"/>
      <c r="K2722" s="65"/>
      <c r="L2722" s="65"/>
      <c r="N2722" s="65"/>
    </row>
    <row r="2723" spans="1:14">
      <c r="A2723" s="106"/>
      <c r="B2723" s="108"/>
      <c r="C2723" s="108"/>
      <c r="D2723" s="108"/>
      <c r="E2723" s="108"/>
      <c r="F2723" s="108"/>
      <c r="G2723" s="109"/>
      <c r="H2723" s="110"/>
      <c r="K2723" s="65"/>
      <c r="L2723" s="65"/>
      <c r="N2723" s="65"/>
    </row>
    <row r="2724" spans="1:14">
      <c r="A2724" s="106"/>
      <c r="B2724" s="108"/>
      <c r="C2724" s="108"/>
      <c r="D2724" s="108"/>
      <c r="E2724" s="108"/>
      <c r="F2724" s="108"/>
      <c r="G2724" s="109"/>
      <c r="H2724" s="110"/>
      <c r="K2724" s="65"/>
      <c r="L2724" s="65"/>
      <c r="N2724" s="65"/>
    </row>
    <row r="2725" spans="1:14">
      <c r="A2725" s="106"/>
      <c r="B2725" s="108"/>
      <c r="C2725" s="108"/>
      <c r="D2725" s="108"/>
      <c r="E2725" s="108"/>
      <c r="F2725" s="108"/>
      <c r="G2725" s="109"/>
      <c r="H2725" s="110"/>
      <c r="K2725" s="65"/>
      <c r="L2725" s="65"/>
      <c r="N2725" s="65"/>
    </row>
    <row r="2726" spans="1:14">
      <c r="A2726" s="106"/>
      <c r="B2726" s="108"/>
      <c r="C2726" s="108"/>
      <c r="D2726" s="108"/>
      <c r="E2726" s="108"/>
      <c r="F2726" s="108"/>
      <c r="G2726" s="109"/>
      <c r="H2726" s="110"/>
      <c r="K2726" s="65"/>
      <c r="L2726" s="65"/>
      <c r="N2726" s="65"/>
    </row>
  </sheetData>
  <sheetProtection selectLockedCells="1"/>
  <protectedRanges>
    <protectedRange password="C78C" sqref="H135:I138" name="Range1"/>
  </protectedRanges>
  <mergeCells count="17">
    <mergeCell ref="A3:B3"/>
    <mergeCell ref="C3:D3"/>
    <mergeCell ref="I3:J3"/>
    <mergeCell ref="A4:B4"/>
    <mergeCell ref="C4:D4"/>
    <mergeCell ref="I4:J4"/>
    <mergeCell ref="A5:B5"/>
    <mergeCell ref="C5:D5"/>
    <mergeCell ref="I5:J5"/>
    <mergeCell ref="A6:B6"/>
    <mergeCell ref="C6:D6"/>
    <mergeCell ref="I6:J6"/>
    <mergeCell ref="A8:J8"/>
    <mergeCell ref="A9:J9"/>
    <mergeCell ref="A48:J48"/>
    <mergeCell ref="A50:J50"/>
    <mergeCell ref="A81:J81"/>
  </mergeCells>
  <dataValidations count="2">
    <dataValidation type="date" operator="greaterThan" allowBlank="1" showInputMessage="1" showErrorMessage="1" error="!!!Date format incorrect!!!!" prompt="Date must be in dd/mm/yyyy" sqref="I3:J4">
      <formula1>1</formula1>
    </dataValidation>
    <dataValidation type="list" allowBlank="1" showInputMessage="1" showErrorMessage="1" sqref="G152 G160 G167 G174">
      <formula1>"8,10,12,16,20,25,30,32"</formula1>
    </dataValidation>
  </dataValidations>
  <pageMargins left="0.70866141732283472" right="0.23622047244094491" top="0.23622047244094491" bottom="0.35433070866141736" header="0.39370078740157483" footer="0.19685039370078741"/>
  <pageSetup paperSize="9" scale="73" fitToWidth="0" fitToHeight="0" orientation="portrait" r:id="rId1"/>
  <headerFooter alignWithMargins="0">
    <oddHeader>&amp;R&amp;"Arial,Regular"&amp;10Page : &amp;P OF &amp;N</oddHeader>
  </headerFooter>
  <rowBreaks count="5" manualBreakCount="5">
    <brk id="69" max="9" man="1"/>
    <brk id="123" max="9" man="1"/>
    <brk id="218" max="9" man="1"/>
    <brk id="357" max="10" man="1"/>
    <brk id="413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70"/>
  <sheetViews>
    <sheetView view="pageBreakPreview" topLeftCell="A31" zoomScale="115" zoomScaleNormal="100" zoomScaleSheetLayoutView="115" workbookViewId="0">
      <selection activeCell="K48" sqref="K48"/>
    </sheetView>
  </sheetViews>
  <sheetFormatPr defaultRowHeight="15"/>
  <cols>
    <col min="1" max="1" width="5" customWidth="1"/>
    <col min="3" max="3" width="10" bestFit="1" customWidth="1"/>
    <col min="7" max="7" width="8" customWidth="1"/>
    <col min="9" max="9" width="9.42578125" customWidth="1"/>
    <col min="11" max="11" width="9.42578125" customWidth="1"/>
    <col min="12" max="12" width="9.140625" customWidth="1"/>
    <col min="13" max="13" width="9.7109375" customWidth="1"/>
  </cols>
  <sheetData>
    <row r="1" spans="1:13">
      <c r="A1" s="1"/>
      <c r="B1" s="15"/>
      <c r="C1" s="2"/>
      <c r="D1" s="2"/>
      <c r="E1" s="2"/>
      <c r="F1" s="15" t="s">
        <v>181</v>
      </c>
      <c r="G1" s="2"/>
      <c r="H1" s="2"/>
      <c r="I1" s="2"/>
      <c r="J1" s="2"/>
      <c r="K1" s="2"/>
      <c r="L1" s="440"/>
      <c r="M1" s="14"/>
    </row>
    <row r="2" spans="1:13">
      <c r="A2" s="388"/>
      <c r="B2" s="3" t="s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13"/>
    </row>
    <row r="3" spans="1:13">
      <c r="A3" s="38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13"/>
    </row>
    <row r="4" spans="1:13">
      <c r="A4" s="388"/>
      <c r="B4" s="4" t="s">
        <v>18</v>
      </c>
      <c r="C4" s="4"/>
      <c r="D4" s="4"/>
      <c r="E4" s="4"/>
      <c r="F4" s="4"/>
      <c r="G4" s="4"/>
      <c r="H4" s="4"/>
      <c r="I4" s="4"/>
      <c r="J4" s="4"/>
      <c r="K4" s="4"/>
      <c r="L4" s="4"/>
      <c r="M4" s="13"/>
    </row>
    <row r="5" spans="1:13">
      <c r="A5" s="388"/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13"/>
    </row>
    <row r="6" spans="1:13">
      <c r="A6" s="388"/>
      <c r="B6" s="4" t="s">
        <v>182</v>
      </c>
      <c r="C6" s="4"/>
      <c r="D6" s="4"/>
      <c r="E6" s="4"/>
      <c r="F6" s="4"/>
      <c r="G6" s="4"/>
      <c r="H6" s="4"/>
      <c r="I6" s="4"/>
      <c r="J6" s="4"/>
      <c r="K6" s="4"/>
      <c r="L6" s="4"/>
      <c r="M6" s="13"/>
    </row>
    <row r="7" spans="1:13">
      <c r="A7" s="38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3"/>
    </row>
    <row r="8" spans="1:13">
      <c r="A8" s="38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3"/>
    </row>
    <row r="9" spans="1:13">
      <c r="A9" s="388"/>
      <c r="B9" s="4" t="s">
        <v>6</v>
      </c>
      <c r="C9" s="4"/>
      <c r="D9" s="4"/>
      <c r="E9" s="4"/>
      <c r="F9" s="4"/>
      <c r="G9" s="4"/>
      <c r="H9" s="4"/>
      <c r="I9" s="4"/>
      <c r="J9" s="4"/>
      <c r="K9" s="4"/>
      <c r="L9" s="4"/>
      <c r="M9" s="13"/>
    </row>
    <row r="10" spans="1:13">
      <c r="A10" s="388"/>
      <c r="B10" s="4" t="s">
        <v>5</v>
      </c>
      <c r="C10" s="4" t="s">
        <v>1</v>
      </c>
      <c r="D10" s="5">
        <f>Input!H23</f>
        <v>30</v>
      </c>
      <c r="E10" s="4" t="s">
        <v>3</v>
      </c>
      <c r="F10" s="4"/>
      <c r="G10" s="4" t="s">
        <v>183</v>
      </c>
      <c r="H10" s="5" t="s">
        <v>30</v>
      </c>
      <c r="I10" s="5">
        <f>Input!H89</f>
        <v>500</v>
      </c>
      <c r="J10" s="5" t="s">
        <v>0</v>
      </c>
      <c r="K10" s="5"/>
      <c r="L10" s="4"/>
      <c r="M10" s="13"/>
    </row>
    <row r="11" spans="1:13">
      <c r="A11" s="388"/>
      <c r="B11" s="5" t="s">
        <v>20</v>
      </c>
      <c r="C11" s="4"/>
      <c r="D11" s="5"/>
      <c r="E11" s="4"/>
      <c r="F11" s="4"/>
      <c r="G11" s="4"/>
      <c r="H11" s="4"/>
      <c r="I11" s="5"/>
      <c r="J11" s="4"/>
      <c r="K11" s="5"/>
      <c r="L11" s="4"/>
      <c r="M11" s="13"/>
    </row>
    <row r="12" spans="1:13" ht="18">
      <c r="A12" s="388"/>
      <c r="B12" s="4" t="s">
        <v>184</v>
      </c>
      <c r="C12" s="4" t="s">
        <v>1</v>
      </c>
      <c r="D12" s="5">
        <f>Input!H81</f>
        <v>2100.0000000000027</v>
      </c>
      <c r="E12" s="4" t="s">
        <v>0</v>
      </c>
      <c r="F12" s="4"/>
      <c r="G12" s="4"/>
      <c r="H12" s="4"/>
      <c r="I12" s="4"/>
      <c r="J12" s="4"/>
      <c r="K12" s="4"/>
      <c r="L12" s="4"/>
      <c r="M12" s="13"/>
    </row>
    <row r="13" spans="1:13">
      <c r="A13" s="388"/>
      <c r="B13" s="4" t="s">
        <v>21</v>
      </c>
      <c r="C13" s="4" t="s">
        <v>1</v>
      </c>
      <c r="D13" s="5" t="s">
        <v>7</v>
      </c>
      <c r="E13" s="4" t="s">
        <v>22</v>
      </c>
      <c r="F13" s="4"/>
      <c r="G13" s="4" t="s">
        <v>23</v>
      </c>
      <c r="H13" s="4"/>
      <c r="I13" s="4"/>
      <c r="J13" s="4"/>
      <c r="K13" s="4"/>
      <c r="L13" s="4"/>
      <c r="M13" s="13"/>
    </row>
    <row r="14" spans="1:13">
      <c r="A14" s="388"/>
      <c r="B14" s="4"/>
      <c r="C14" s="4" t="s">
        <v>1</v>
      </c>
      <c r="D14" s="148">
        <f>D12</f>
        <v>2100.0000000000027</v>
      </c>
      <c r="E14" s="4" t="s">
        <v>0</v>
      </c>
      <c r="F14" s="4"/>
      <c r="G14" s="4" t="s">
        <v>24</v>
      </c>
      <c r="H14" s="4"/>
      <c r="I14" s="4"/>
      <c r="J14" s="4"/>
      <c r="K14" s="4"/>
      <c r="L14" s="4"/>
      <c r="M14" s="13"/>
    </row>
    <row r="15" spans="1:13">
      <c r="A15" s="388"/>
      <c r="B15" s="4"/>
      <c r="C15" s="4"/>
      <c r="D15" s="5"/>
      <c r="E15" s="4"/>
      <c r="F15" s="4"/>
      <c r="G15" s="4" t="s">
        <v>25</v>
      </c>
      <c r="H15" s="4"/>
      <c r="I15" s="4"/>
      <c r="J15" s="4"/>
      <c r="K15" s="4"/>
      <c r="L15" s="4"/>
      <c r="M15" s="13"/>
    </row>
    <row r="16" spans="1:13">
      <c r="A16" s="38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3"/>
    </row>
    <row r="17" spans="1:13">
      <c r="A17" s="38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3"/>
    </row>
    <row r="18" spans="1:13">
      <c r="A18" s="388"/>
      <c r="B18" s="4" t="s">
        <v>8</v>
      </c>
      <c r="C18" s="4" t="s">
        <v>1</v>
      </c>
      <c r="D18" s="140">
        <f>MIN((1+(SQRT(200/D12))), 2)</f>
        <v>1.3086066999241837</v>
      </c>
      <c r="E18" s="4" t="s">
        <v>9</v>
      </c>
      <c r="F18" s="4"/>
      <c r="G18" s="4"/>
      <c r="H18" s="4"/>
      <c r="I18" s="4"/>
      <c r="J18" s="4"/>
      <c r="K18" s="4"/>
      <c r="L18" s="4"/>
      <c r="M18" s="13"/>
    </row>
    <row r="19" spans="1:13">
      <c r="A19" s="388"/>
      <c r="B19" s="4"/>
      <c r="C19" s="4"/>
      <c r="D19" s="140"/>
      <c r="E19" s="4"/>
      <c r="F19" s="4"/>
      <c r="G19" s="4"/>
      <c r="H19" s="4"/>
      <c r="I19" s="4"/>
      <c r="J19" s="4"/>
      <c r="K19" s="4"/>
      <c r="L19" s="4"/>
      <c r="M19" s="13"/>
    </row>
    <row r="20" spans="1:13" ht="18">
      <c r="A20" s="388"/>
      <c r="B20" s="4" t="s">
        <v>13</v>
      </c>
      <c r="C20" s="4" t="s">
        <v>1</v>
      </c>
      <c r="D20" s="4" t="s">
        <v>185</v>
      </c>
      <c r="E20" s="4"/>
      <c r="F20" s="4"/>
      <c r="G20" s="4" t="s">
        <v>14</v>
      </c>
      <c r="H20" s="4" t="s">
        <v>1</v>
      </c>
      <c r="I20" s="5">
        <f>Input!H44</f>
        <v>1.5</v>
      </c>
      <c r="J20" s="4" t="s">
        <v>4</v>
      </c>
      <c r="K20" s="4"/>
      <c r="L20" s="4"/>
      <c r="M20" s="13"/>
    </row>
    <row r="21" spans="1:13" ht="18">
      <c r="A21" s="388"/>
      <c r="B21" s="4" t="s">
        <v>13</v>
      </c>
      <c r="C21" s="4" t="s">
        <v>1</v>
      </c>
      <c r="D21" s="10">
        <f>0.18/I20</f>
        <v>0.12</v>
      </c>
      <c r="E21" s="4"/>
      <c r="F21" s="4"/>
      <c r="G21" s="4" t="s">
        <v>26</v>
      </c>
      <c r="H21" s="4"/>
      <c r="I21" s="4"/>
      <c r="J21" s="4"/>
      <c r="K21" s="4"/>
      <c r="L21" s="4"/>
      <c r="M21" s="13"/>
    </row>
    <row r="22" spans="1:13">
      <c r="A22" s="388"/>
      <c r="B22" s="4"/>
      <c r="C22" s="4"/>
      <c r="D22" s="10"/>
      <c r="E22" s="4"/>
      <c r="F22" s="4"/>
      <c r="G22" s="4"/>
      <c r="H22" s="4"/>
      <c r="I22" s="4"/>
      <c r="J22" s="4"/>
      <c r="K22" s="4"/>
      <c r="L22" s="4"/>
      <c r="M22" s="13"/>
    </row>
    <row r="23" spans="1:13" ht="18.75">
      <c r="A23" s="388"/>
      <c r="B23" s="4" t="s">
        <v>15</v>
      </c>
      <c r="C23" s="4" t="s">
        <v>1</v>
      </c>
      <c r="D23" s="4" t="s">
        <v>186</v>
      </c>
      <c r="E23" s="4"/>
      <c r="F23" s="4"/>
      <c r="G23" s="4" t="s">
        <v>16</v>
      </c>
      <c r="H23" s="4"/>
      <c r="I23" s="4"/>
      <c r="J23" s="4"/>
      <c r="K23" s="4"/>
      <c r="L23" s="4"/>
      <c r="M23" s="13"/>
    </row>
    <row r="24" spans="1:13" ht="18">
      <c r="A24" s="388"/>
      <c r="B24" s="4" t="s">
        <v>15</v>
      </c>
      <c r="C24" s="4" t="s">
        <v>1</v>
      </c>
      <c r="D24" s="140">
        <f>(0.035*((D18)^1.5)*((D10)^0.5))</f>
        <v>0.2869738875165751</v>
      </c>
      <c r="E24" s="4"/>
      <c r="F24" s="4"/>
      <c r="G24" s="4"/>
      <c r="H24" s="4"/>
      <c r="I24" s="4"/>
      <c r="J24" s="4"/>
      <c r="K24" s="4"/>
      <c r="L24" s="4"/>
      <c r="M24" s="13"/>
    </row>
    <row r="25" spans="1:13">
      <c r="A25" s="38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3"/>
    </row>
    <row r="26" spans="1:13">
      <c r="A26" s="38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3"/>
    </row>
    <row r="27" spans="1:13">
      <c r="A27" s="38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3"/>
    </row>
    <row r="28" spans="1:13" s="349" customFormat="1">
      <c r="A28" s="388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13"/>
    </row>
    <row r="29" spans="1:13" s="349" customFormat="1" ht="18">
      <c r="A29" s="388"/>
      <c r="B29" s="4" t="s">
        <v>10</v>
      </c>
      <c r="C29" s="4" t="s">
        <v>11</v>
      </c>
      <c r="D29" s="4"/>
      <c r="E29" s="4"/>
      <c r="F29" s="5"/>
      <c r="G29" s="5"/>
      <c r="H29" s="4"/>
      <c r="I29" s="4"/>
      <c r="J29" s="4"/>
      <c r="K29" s="4"/>
      <c r="L29" s="5"/>
      <c r="M29" s="13"/>
    </row>
    <row r="30" spans="1:13" s="349" customFormat="1" ht="18">
      <c r="A30" s="388"/>
      <c r="B30" s="4" t="s">
        <v>10</v>
      </c>
      <c r="C30" s="4" t="s">
        <v>1</v>
      </c>
      <c r="D30" s="442">
        <v>1000</v>
      </c>
      <c r="E30" s="4" t="s">
        <v>0</v>
      </c>
      <c r="F30" s="5"/>
      <c r="G30" s="5"/>
      <c r="H30" s="4"/>
      <c r="I30" s="4"/>
      <c r="J30" s="4"/>
      <c r="K30" s="4"/>
      <c r="L30" s="5"/>
      <c r="M30" s="13"/>
    </row>
    <row r="31" spans="1:13" s="349" customFormat="1">
      <c r="A31" s="388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13"/>
    </row>
    <row r="32" spans="1:13" s="349" customFormat="1" ht="21">
      <c r="A32" s="388"/>
      <c r="B32" s="8" t="s">
        <v>502</v>
      </c>
      <c r="C32" s="5" t="s">
        <v>30</v>
      </c>
      <c r="D32" s="4">
        <f>Flexure!G162/('Punching Shear'!D30*'Punching Shear'!D14)</f>
        <v>1.4965986394557802E-3</v>
      </c>
      <c r="E32" s="4"/>
      <c r="F32" s="4"/>
      <c r="J32" s="4"/>
      <c r="K32" s="4"/>
      <c r="L32" s="5"/>
      <c r="M32" s="13"/>
    </row>
    <row r="33" spans="1:13" s="349" customFormat="1" ht="21">
      <c r="A33" s="388"/>
      <c r="B33" s="8" t="s">
        <v>503</v>
      </c>
      <c r="C33" s="4" t="s">
        <v>30</v>
      </c>
      <c r="D33" s="4">
        <f>Flexure!G176/('Punching Shear'!D30*'Punching Shear'!D14)</f>
        <v>1.4965986394557802E-3</v>
      </c>
      <c r="E33" s="4"/>
      <c r="F33" s="4"/>
      <c r="J33" s="4"/>
      <c r="K33" s="4"/>
      <c r="L33" s="5"/>
      <c r="M33" s="13"/>
    </row>
    <row r="34" spans="1:13" ht="24">
      <c r="A34" s="388"/>
      <c r="B34" s="441" t="s">
        <v>504</v>
      </c>
      <c r="C34" s="4"/>
      <c r="D34" s="9">
        <f>SQRT(D32*D33)</f>
        <v>1.4965986394557802E-3</v>
      </c>
      <c r="E34" s="4" t="s">
        <v>12</v>
      </c>
      <c r="F34" s="4"/>
      <c r="J34" s="4"/>
      <c r="K34" s="4"/>
      <c r="L34" s="4"/>
      <c r="M34" s="13"/>
    </row>
    <row r="35" spans="1:13" ht="21">
      <c r="A35" s="388"/>
      <c r="B35" s="8"/>
      <c r="C35" s="4"/>
      <c r="D35" s="9"/>
      <c r="E35" s="4"/>
      <c r="F35" s="4"/>
      <c r="J35" s="4"/>
      <c r="K35" s="4"/>
      <c r="L35" s="4"/>
      <c r="M35" s="13"/>
    </row>
    <row r="36" spans="1:13" ht="18.75">
      <c r="A36" s="388"/>
      <c r="B36" s="4" t="s">
        <v>27</v>
      </c>
      <c r="C36" s="4" t="s">
        <v>1</v>
      </c>
      <c r="D36" s="141">
        <f>(D21*D18*((100*D34*D10)^0.333)*(2*D12/D14))</f>
        <v>0.51785937075121891</v>
      </c>
      <c r="E36" s="4" t="s">
        <v>28</v>
      </c>
      <c r="F36" s="4"/>
      <c r="G36" s="4"/>
      <c r="H36" s="4"/>
      <c r="I36" s="4"/>
      <c r="J36" s="4"/>
      <c r="K36" s="4"/>
      <c r="L36" s="4"/>
      <c r="M36" s="13"/>
    </row>
    <row r="37" spans="1:13" ht="18.75">
      <c r="A37" s="388"/>
      <c r="B37" s="4" t="s">
        <v>29</v>
      </c>
      <c r="C37" s="4" t="s">
        <v>1</v>
      </c>
      <c r="D37" s="141">
        <f>D24*(2*D12/D14)</f>
        <v>0.5739477750331502</v>
      </c>
      <c r="E37" s="4" t="s">
        <v>28</v>
      </c>
      <c r="F37" s="4"/>
      <c r="G37" s="4"/>
      <c r="H37" s="4"/>
      <c r="I37" s="4"/>
      <c r="J37" s="4"/>
      <c r="K37" s="4"/>
      <c r="L37" s="4"/>
      <c r="M37" s="13"/>
    </row>
    <row r="38" spans="1:13" ht="18">
      <c r="A38" s="388"/>
      <c r="B38" s="4" t="s">
        <v>187</v>
      </c>
      <c r="C38" s="4" t="s">
        <v>1</v>
      </c>
      <c r="D38" s="11" t="s">
        <v>188</v>
      </c>
      <c r="E38" s="4"/>
      <c r="F38" s="4"/>
      <c r="G38" s="4" t="s">
        <v>189</v>
      </c>
      <c r="H38" s="4"/>
      <c r="I38" s="4"/>
      <c r="J38" s="4"/>
      <c r="K38" s="4"/>
      <c r="L38" s="4"/>
      <c r="M38" s="13"/>
    </row>
    <row r="39" spans="1:13">
      <c r="A39" s="388"/>
      <c r="B39" s="4" t="s">
        <v>103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13"/>
    </row>
    <row r="40" spans="1:13">
      <c r="A40" s="38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13"/>
    </row>
    <row r="41" spans="1:13">
      <c r="A41" s="388"/>
      <c r="B41" s="4"/>
      <c r="C41" s="4"/>
      <c r="D41" s="4"/>
      <c r="E41" s="4"/>
      <c r="F41" s="4"/>
      <c r="G41" s="4" t="s">
        <v>104</v>
      </c>
      <c r="H41" s="4"/>
      <c r="I41" s="4"/>
      <c r="J41" s="4"/>
      <c r="K41" s="4"/>
      <c r="L41" s="4"/>
      <c r="M41" s="13"/>
    </row>
    <row r="42" spans="1:13">
      <c r="A42" s="38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13"/>
    </row>
    <row r="43" spans="1:13">
      <c r="A43" s="388"/>
      <c r="B43" s="4" t="s">
        <v>105</v>
      </c>
      <c r="C43" s="12" t="s">
        <v>30</v>
      </c>
      <c r="D43" s="11">
        <f>0.6*(1-(D10/250))</f>
        <v>0.52800000000000002</v>
      </c>
      <c r="E43" s="4"/>
      <c r="F43" s="4"/>
      <c r="G43" s="4"/>
      <c r="H43" s="4"/>
      <c r="I43" s="4"/>
      <c r="J43" s="4"/>
      <c r="K43" s="4"/>
      <c r="L43" s="4"/>
      <c r="M43" s="13"/>
    </row>
    <row r="44" spans="1:13" ht="18">
      <c r="A44" s="388"/>
      <c r="B44" s="142" t="s">
        <v>190</v>
      </c>
      <c r="C44" s="12" t="s">
        <v>30</v>
      </c>
      <c r="D44" s="6">
        <v>0.85</v>
      </c>
      <c r="E44" s="143"/>
      <c r="F44" s="4"/>
      <c r="G44" s="144"/>
      <c r="H44" s="4"/>
      <c r="I44" s="4"/>
      <c r="J44" s="4"/>
      <c r="K44" s="4"/>
      <c r="L44" s="4"/>
      <c r="M44" s="13"/>
    </row>
    <row r="45" spans="1:13" ht="18">
      <c r="A45" s="388"/>
      <c r="B45" s="4" t="s">
        <v>191</v>
      </c>
      <c r="C45" s="4" t="s">
        <v>1</v>
      </c>
      <c r="D45" s="145" t="s">
        <v>192</v>
      </c>
      <c r="E45" s="12" t="s">
        <v>30</v>
      </c>
      <c r="F45" s="146">
        <f>D44*D10/I20</f>
        <v>17</v>
      </c>
      <c r="G45" s="10" t="s">
        <v>108</v>
      </c>
      <c r="H45" s="4"/>
      <c r="I45" s="4"/>
      <c r="J45" s="4"/>
      <c r="K45" s="4"/>
      <c r="L45" s="4"/>
      <c r="M45" s="13"/>
    </row>
    <row r="46" spans="1:13" ht="18.75">
      <c r="A46" s="388"/>
      <c r="B46" s="4" t="s">
        <v>187</v>
      </c>
      <c r="C46" s="4" t="s">
        <v>1</v>
      </c>
      <c r="D46" s="7">
        <f>0.4*F45*D43</f>
        <v>3.5904000000000007</v>
      </c>
      <c r="E46" s="4" t="s">
        <v>28</v>
      </c>
      <c r="F46" s="4"/>
      <c r="G46" s="4"/>
      <c r="H46" s="12"/>
      <c r="I46" s="4"/>
      <c r="J46" s="4"/>
      <c r="K46" s="4"/>
      <c r="L46" s="4"/>
      <c r="M46" s="13"/>
    </row>
    <row r="47" spans="1:13">
      <c r="A47" s="388"/>
      <c r="B47" s="147"/>
      <c r="C47" s="4"/>
      <c r="D47" s="10"/>
      <c r="E47" s="143"/>
      <c r="F47" s="4"/>
      <c r="G47" s="144"/>
      <c r="H47" s="143"/>
      <c r="I47" s="4"/>
      <c r="J47" s="4"/>
      <c r="K47" s="4"/>
      <c r="L47" s="4"/>
      <c r="M47" s="13"/>
    </row>
    <row r="48" spans="1:13" ht="17.25">
      <c r="A48" s="388"/>
      <c r="B48" s="147" t="s">
        <v>355</v>
      </c>
      <c r="C48" s="4"/>
      <c r="D48" s="10"/>
      <c r="E48" s="329">
        <f>MAX('Staad Stress Resulsts'!Q27:R42)</f>
        <v>0.38700000000000001</v>
      </c>
      <c r="F48" s="4" t="s">
        <v>28</v>
      </c>
      <c r="G48" s="144"/>
      <c r="H48" s="143"/>
      <c r="I48" s="4"/>
      <c r="J48" s="4"/>
      <c r="K48" s="4"/>
      <c r="L48" s="4"/>
      <c r="M48" s="13"/>
    </row>
    <row r="49" spans="1:13">
      <c r="A49" s="388"/>
      <c r="B49" s="147"/>
      <c r="C49" s="4"/>
      <c r="D49" s="10"/>
      <c r="E49" s="143"/>
      <c r="F49" s="4"/>
      <c r="G49" s="144"/>
      <c r="H49" s="143"/>
      <c r="I49" s="4"/>
      <c r="J49" s="4"/>
      <c r="K49" s="4"/>
      <c r="L49" s="4"/>
      <c r="M49" s="13"/>
    </row>
    <row r="50" spans="1:13">
      <c r="A50" s="388"/>
      <c r="B50" s="147"/>
      <c r="C50" s="330" t="str">
        <f>IF(D36&gt;E48,"Ok, safe in Shear","Revise depth")</f>
        <v>Ok, safe in Shear</v>
      </c>
      <c r="D50" s="10"/>
      <c r="E50" s="143"/>
      <c r="F50" s="4"/>
      <c r="G50" s="144"/>
      <c r="H50" s="143"/>
      <c r="I50" s="4"/>
      <c r="J50" s="4"/>
      <c r="K50" s="4"/>
      <c r="L50" s="4"/>
      <c r="M50" s="13"/>
    </row>
    <row r="51" spans="1:13" ht="15.75" customHeight="1">
      <c r="A51" s="388"/>
      <c r="B51" s="147"/>
      <c r="C51" s="4"/>
      <c r="D51" s="10"/>
      <c r="E51" s="143"/>
      <c r="F51" s="4"/>
      <c r="G51" s="144"/>
      <c r="H51" s="143"/>
      <c r="I51" s="4"/>
      <c r="J51" s="4"/>
      <c r="K51" s="4"/>
      <c r="L51" s="4"/>
      <c r="M51" s="13"/>
    </row>
    <row r="52" spans="1:13">
      <c r="A52" s="1"/>
      <c r="B52" s="2" t="s">
        <v>193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8">
      <c r="A53" s="388"/>
      <c r="B53" s="4" t="s">
        <v>194</v>
      </c>
      <c r="C53" s="4" t="s">
        <v>1</v>
      </c>
      <c r="D53" s="4" t="s">
        <v>195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>
      <c r="A54" s="388"/>
      <c r="B54" s="4" t="s">
        <v>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ht="18">
      <c r="A55" s="388"/>
      <c r="B55" s="4" t="s">
        <v>196</v>
      </c>
      <c r="C55" s="4" t="s">
        <v>1</v>
      </c>
      <c r="D55" s="139">
        <f>Input!H92</f>
        <v>1950</v>
      </c>
      <c r="E55" s="143" t="s">
        <v>102</v>
      </c>
      <c r="F55" s="4"/>
      <c r="G55" s="4" t="s">
        <v>197</v>
      </c>
      <c r="H55" s="4"/>
      <c r="I55" s="4"/>
      <c r="J55" s="4"/>
      <c r="K55" s="4"/>
      <c r="L55" s="4"/>
      <c r="M55" s="4"/>
    </row>
    <row r="56" spans="1:13" ht="17.25">
      <c r="A56" s="388"/>
      <c r="B56" s="4" t="s">
        <v>198</v>
      </c>
      <c r="C56" s="4" t="s">
        <v>1</v>
      </c>
      <c r="D56" s="148">
        <f>3.142*((2*D14+I10)^2)/4</f>
        <v>17351695.000000041</v>
      </c>
      <c r="E56" s="4" t="s">
        <v>2</v>
      </c>
      <c r="F56" s="4"/>
      <c r="G56" s="4" t="s">
        <v>199</v>
      </c>
      <c r="H56" s="4"/>
      <c r="I56" s="138">
        <f>Input!H29</f>
        <v>25</v>
      </c>
      <c r="J56" s="4" t="s">
        <v>200</v>
      </c>
      <c r="K56" s="4"/>
      <c r="L56" s="4"/>
      <c r="M56" s="4"/>
    </row>
    <row r="57" spans="1:13">
      <c r="A57" s="388"/>
      <c r="B57" s="5" t="s">
        <v>201</v>
      </c>
      <c r="C57" s="5"/>
      <c r="D57" s="4"/>
      <c r="E57" s="4"/>
      <c r="F57" s="4"/>
      <c r="G57" s="4"/>
      <c r="H57" s="4"/>
      <c r="I57" s="5"/>
      <c r="J57" s="4"/>
      <c r="K57" s="4"/>
      <c r="L57" s="4"/>
      <c r="M57" s="4"/>
    </row>
    <row r="58" spans="1:13" ht="18">
      <c r="A58" s="388"/>
      <c r="B58" s="4" t="s">
        <v>202</v>
      </c>
      <c r="C58" s="4" t="s">
        <v>1</v>
      </c>
      <c r="D58" s="144">
        <f>(D56*D12*I56/10^9)</f>
        <v>910.96398750000333</v>
      </c>
      <c r="E58" s="143" t="s">
        <v>102</v>
      </c>
      <c r="F58" s="4"/>
      <c r="G58" s="4" t="s">
        <v>203</v>
      </c>
      <c r="H58" s="4"/>
      <c r="I58" s="4"/>
      <c r="J58" s="4"/>
      <c r="K58" s="4"/>
      <c r="L58" s="4"/>
      <c r="M58" s="4"/>
    </row>
    <row r="59" spans="1:13">
      <c r="A59" s="388"/>
      <c r="B59" s="4"/>
      <c r="C59" s="4"/>
      <c r="D59" s="4"/>
      <c r="E59" s="4"/>
      <c r="F59" s="4"/>
      <c r="G59" s="4" t="s">
        <v>204</v>
      </c>
      <c r="H59" s="4"/>
      <c r="I59" s="4"/>
      <c r="J59" s="4"/>
      <c r="K59" s="4"/>
      <c r="L59" s="4"/>
      <c r="M59" s="4"/>
    </row>
    <row r="60" spans="1:13">
      <c r="A60" s="388"/>
      <c r="B60" s="5" t="s">
        <v>205</v>
      </c>
      <c r="C60" s="4"/>
      <c r="D60" s="141"/>
      <c r="E60" s="4"/>
      <c r="F60" s="4"/>
      <c r="G60" s="4"/>
      <c r="H60" s="4"/>
      <c r="I60" s="4"/>
      <c r="J60" s="4"/>
      <c r="K60" s="4"/>
      <c r="L60" s="4"/>
      <c r="M60" s="4"/>
    </row>
    <row r="61" spans="1:13" ht="18">
      <c r="A61" s="388"/>
      <c r="B61" s="5" t="s">
        <v>206</v>
      </c>
      <c r="C61" s="4" t="s">
        <v>1</v>
      </c>
      <c r="D61" s="149">
        <f>3.142*I10</f>
        <v>1571</v>
      </c>
      <c r="E61" s="4" t="s">
        <v>0</v>
      </c>
      <c r="F61" s="4"/>
      <c r="G61" s="144" t="s">
        <v>207</v>
      </c>
      <c r="H61" s="12"/>
      <c r="I61" s="150"/>
      <c r="J61" s="10"/>
      <c r="K61" s="4"/>
      <c r="L61" s="4"/>
      <c r="M61" s="4"/>
    </row>
    <row r="62" spans="1:13" ht="18">
      <c r="A62" s="388"/>
      <c r="B62" s="4" t="s">
        <v>208</v>
      </c>
      <c r="C62" s="4" t="s">
        <v>1</v>
      </c>
      <c r="D62" s="4" t="s">
        <v>209</v>
      </c>
      <c r="E62" s="4"/>
      <c r="F62" s="4"/>
      <c r="G62" s="144"/>
      <c r="H62" s="12"/>
      <c r="I62" s="150"/>
      <c r="J62" s="10"/>
      <c r="K62" s="4"/>
      <c r="L62" s="4"/>
      <c r="M62" s="4"/>
    </row>
    <row r="63" spans="1:13" ht="18.75">
      <c r="A63" s="388"/>
      <c r="B63" s="4" t="s">
        <v>208</v>
      </c>
      <c r="C63" s="4" t="s">
        <v>1</v>
      </c>
      <c r="D63" s="151">
        <f>D55*1000/(D61*D12)</f>
        <v>0.59107029189778959</v>
      </c>
      <c r="E63" s="4" t="s">
        <v>28</v>
      </c>
      <c r="F63" s="4" t="str">
        <f>IF(G63&gt;D63,"&lt;","&gt;")</f>
        <v>&lt;</v>
      </c>
      <c r="G63" s="144">
        <f>D46</f>
        <v>3.5904000000000007</v>
      </c>
      <c r="H63" s="4" t="s">
        <v>28</v>
      </c>
      <c r="I63" s="4" t="str">
        <f>IF(G63&gt;D63,"Ok, safe at pile perimeter","Revise depth")</f>
        <v>Ok, safe at pile perimeter</v>
      </c>
      <c r="J63" s="4"/>
      <c r="K63" s="4"/>
      <c r="L63" s="4"/>
      <c r="M63" s="4"/>
    </row>
    <row r="64" spans="1:13" ht="18">
      <c r="A64" s="388"/>
      <c r="B64" s="4"/>
      <c r="C64" s="4"/>
      <c r="D64" s="4"/>
      <c r="E64" s="4"/>
      <c r="F64" s="4"/>
      <c r="G64" s="4" t="s">
        <v>210</v>
      </c>
      <c r="H64" s="4"/>
      <c r="I64" s="4"/>
      <c r="J64" s="4"/>
      <c r="K64" s="4"/>
      <c r="L64" s="4"/>
      <c r="M64" s="4"/>
    </row>
    <row r="65" spans="1:13">
      <c r="A65" s="388"/>
      <c r="B65" s="5" t="s">
        <v>211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7.25">
      <c r="A66" s="388"/>
      <c r="B66" s="4" t="s">
        <v>212</v>
      </c>
      <c r="C66" s="4" t="s">
        <v>1</v>
      </c>
      <c r="D66" s="10">
        <f>(3.142*(2*D14+I10))</f>
        <v>14767.400000000016</v>
      </c>
      <c r="E66" s="4" t="s">
        <v>2</v>
      </c>
      <c r="F66" s="4"/>
      <c r="G66" s="4" t="s">
        <v>213</v>
      </c>
      <c r="H66" s="4"/>
      <c r="I66" s="4"/>
      <c r="J66" s="4"/>
      <c r="K66" s="4"/>
      <c r="L66" s="4"/>
      <c r="M66" s="4"/>
    </row>
    <row r="67" spans="1:13" ht="18">
      <c r="A67" s="388"/>
      <c r="B67" s="4" t="s">
        <v>214</v>
      </c>
      <c r="C67" s="4" t="s">
        <v>1</v>
      </c>
      <c r="D67" s="4" t="s">
        <v>215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ht="18.75">
      <c r="A68" s="388"/>
      <c r="B68" s="4" t="s">
        <v>208</v>
      </c>
      <c r="C68" s="4" t="s">
        <v>1</v>
      </c>
      <c r="D68" s="140">
        <f>((D55-D58)*1000)/(D66*D12)</f>
        <v>3.3504818286998778E-2</v>
      </c>
      <c r="E68" s="4" t="s">
        <v>28</v>
      </c>
      <c r="F68" s="4" t="str">
        <f>IF(G68&gt;D68,"&lt;","&gt;")</f>
        <v>&lt;</v>
      </c>
      <c r="G68" s="144">
        <f>IF(D36&gt;D37,D36,D37)</f>
        <v>0.5739477750331502</v>
      </c>
      <c r="H68" s="4" t="s">
        <v>28</v>
      </c>
      <c r="I68" s="4" t="str">
        <f>IF(G68&gt;D68,"Ok, no shear reinf. req.","Revise depth")</f>
        <v>Ok, no shear reinf. req.</v>
      </c>
      <c r="J68" s="4"/>
      <c r="K68" s="4"/>
      <c r="L68" s="4"/>
      <c r="M68" s="4"/>
    </row>
    <row r="69" spans="1:13" ht="18">
      <c r="A69" s="388"/>
      <c r="B69" s="4"/>
      <c r="C69" s="4"/>
      <c r="D69" s="4"/>
      <c r="E69" s="4"/>
      <c r="F69" s="4"/>
      <c r="G69" s="4" t="s">
        <v>216</v>
      </c>
      <c r="H69" s="4"/>
      <c r="I69" s="4"/>
      <c r="J69" s="4"/>
      <c r="K69" s="4"/>
      <c r="L69" s="4"/>
      <c r="M69" s="4"/>
    </row>
    <row r="70" spans="1:13">
      <c r="A70" s="38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</sheetData>
  <conditionalFormatting sqref="I68">
    <cfRule type="containsText" dxfId="20" priority="13" operator="containsText" text="Revise depth">
      <formula>NOT(ISERROR(SEARCH("Revise depth",I68)))</formula>
    </cfRule>
    <cfRule type="containsText" dxfId="19" priority="14" operator="containsText" text="Ok, no shear reinf. req">
      <formula>NOT(ISERROR(SEARCH("Ok, no shear reinf. req",I68)))</formula>
    </cfRule>
  </conditionalFormatting>
  <conditionalFormatting sqref="I63">
    <cfRule type="containsText" dxfId="18" priority="9" operator="containsText" text="Revise depth">
      <formula>NOT(ISERROR(SEARCH("Revise depth",I63)))</formula>
    </cfRule>
    <cfRule type="containsText" dxfId="17" priority="10" operator="containsText" text="Ok, safe at pile perimeter">
      <formula>NOT(ISERROR(SEARCH("Ok, safe at pile perimeter",I63)))</formula>
    </cfRule>
  </conditionalFormatting>
  <conditionalFormatting sqref="C50">
    <cfRule type="containsText" dxfId="16" priority="3" operator="containsText" text="Revise depth">
      <formula>NOT(ISERROR(SEARCH("Revise depth",C50)))</formula>
    </cfRule>
    <cfRule type="containsText" dxfId="15" priority="4" operator="containsText" text="Ok, safe at pile perimeter">
      <formula>NOT(ISERROR(SEARCH("Ok, safe at pile perimeter",C50)))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Revise depth" id="{B45F3C58-D1EB-42FF-866C-F1FB66C3623A}">
            <xm:f>NOT(ISERROR(SEARCH("Revise depth",'\\p666705\666705-MPE\AP_0_XX.XX_0_Civil_Eng\Documents\Latest\BE\Ammonia\Concrete design sheets\[punching shear updated.xlsx]punching ftg or pcap'!#REF!)))</xm:f>
            <x14:dxf>
              <font>
                <b/>
                <i val="0"/>
                <color rgb="FFFF0000"/>
              </font>
            </x14:dxf>
          </x14:cfRule>
          <x14:cfRule type="containsText" priority="12" operator="containsText" text="Ok, safe at col.perimeter" id="{23ECB5FE-98CD-4947-A9A4-FC85CD4C1C60}">
            <xm:f>NOT(ISERROR(SEARCH("Ok, safe at col.perimeter",'\\p666705\666705-MPE\AP_0_XX.XX_0_Civil_Eng\Documents\Latest\BE\Ammonia\Concrete design sheets\[punching shear updated.xlsx]punching ftg or pcap'!#REF!)))</xm:f>
            <x14:dxf>
              <font>
                <b/>
                <i val="0"/>
                <color rgb="FF00B050"/>
              </font>
            </x14:dxf>
          </x14:cfRule>
          <xm:sqref>I46:I51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T92"/>
  <sheetViews>
    <sheetView view="pageBreakPreview" topLeftCell="A58" zoomScale="115" zoomScaleNormal="100" zoomScaleSheetLayoutView="115" workbookViewId="0">
      <selection activeCell="M65" sqref="M65"/>
    </sheetView>
  </sheetViews>
  <sheetFormatPr defaultRowHeight="15"/>
  <cols>
    <col min="3" max="3" width="10" bestFit="1" customWidth="1"/>
    <col min="6" max="6" width="10.140625" customWidth="1"/>
    <col min="9" max="9" width="13.42578125" customWidth="1"/>
  </cols>
  <sheetData>
    <row r="2" spans="1:20">
      <c r="A2" s="389" t="s">
        <v>32</v>
      </c>
      <c r="B2" s="390"/>
      <c r="C2" s="4"/>
      <c r="D2" s="4"/>
      <c r="E2" s="4"/>
      <c r="F2" s="4"/>
      <c r="G2" s="4"/>
      <c r="H2" s="4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</row>
    <row r="3" spans="1:20">
      <c r="A3" s="390"/>
      <c r="B3" s="350"/>
      <c r="C3" s="350"/>
      <c r="D3" s="350"/>
      <c r="E3" s="350"/>
      <c r="F3" s="350"/>
      <c r="G3" s="350"/>
      <c r="H3" s="350"/>
      <c r="I3" s="391"/>
      <c r="J3" s="350"/>
      <c r="K3" s="390"/>
      <c r="L3" s="390"/>
      <c r="M3" s="390"/>
      <c r="N3" s="390"/>
      <c r="O3" s="390"/>
      <c r="P3" s="390"/>
      <c r="Q3" s="390"/>
      <c r="R3" s="390"/>
      <c r="S3" s="390"/>
      <c r="T3" s="390"/>
    </row>
    <row r="4" spans="1:20">
      <c r="A4" s="390"/>
      <c r="B4" s="390" t="s">
        <v>447</v>
      </c>
      <c r="C4" s="350"/>
      <c r="D4" s="350"/>
      <c r="E4" s="350"/>
      <c r="F4" s="350" t="s">
        <v>30</v>
      </c>
      <c r="G4" s="350"/>
      <c r="H4" s="350">
        <v>0.3</v>
      </c>
      <c r="I4" s="392" t="s">
        <v>0</v>
      </c>
      <c r="J4" s="350"/>
      <c r="K4" s="390"/>
      <c r="L4" s="390"/>
      <c r="M4" s="390"/>
      <c r="N4" s="390"/>
      <c r="O4" s="390"/>
      <c r="P4" s="390"/>
      <c r="Q4" s="390"/>
      <c r="R4" s="390"/>
      <c r="S4" s="390"/>
      <c r="T4" s="390"/>
    </row>
    <row r="5" spans="1:20">
      <c r="A5" s="390"/>
      <c r="B5" s="390" t="s">
        <v>451</v>
      </c>
      <c r="C5" s="390"/>
      <c r="D5" s="390"/>
      <c r="E5" s="390"/>
      <c r="F5" s="390"/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0"/>
      <c r="R5" s="390"/>
      <c r="S5" s="390"/>
      <c r="T5" s="390"/>
    </row>
    <row r="6" spans="1:20">
      <c r="A6" s="390"/>
      <c r="B6" s="390"/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0"/>
      <c r="O6" s="390"/>
      <c r="P6" s="390"/>
      <c r="Q6" s="390"/>
      <c r="R6" s="390"/>
      <c r="S6" s="390"/>
      <c r="T6" s="390"/>
    </row>
    <row r="7" spans="1:20">
      <c r="A7" s="390"/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</row>
    <row r="8" spans="1:20">
      <c r="A8" s="390"/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  <c r="Q8" s="390"/>
      <c r="R8" s="390"/>
      <c r="S8" s="390"/>
      <c r="T8" s="390"/>
    </row>
    <row r="9" spans="1:20">
      <c r="A9" s="390"/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</row>
    <row r="10" spans="1:20">
      <c r="A10" s="390"/>
      <c r="B10" s="390"/>
      <c r="C10" s="390"/>
      <c r="D10" s="390"/>
      <c r="E10" s="390"/>
      <c r="F10" s="390"/>
      <c r="G10" s="390"/>
      <c r="H10" s="390"/>
      <c r="I10" s="390"/>
      <c r="J10" s="390"/>
      <c r="K10" s="390"/>
      <c r="L10" s="390"/>
      <c r="M10" s="390"/>
      <c r="N10" s="390"/>
      <c r="O10" s="390"/>
      <c r="P10" s="390"/>
      <c r="Q10" s="390"/>
      <c r="R10" s="390"/>
      <c r="S10" s="390"/>
      <c r="T10" s="390"/>
    </row>
    <row r="11" spans="1:20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</row>
    <row r="12" spans="1:20">
      <c r="A12" s="390"/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0"/>
      <c r="O12" s="390"/>
      <c r="P12" s="390"/>
      <c r="Q12" s="390"/>
      <c r="R12" s="390"/>
      <c r="S12" s="390"/>
      <c r="T12" s="390"/>
    </row>
    <row r="13" spans="1:20">
      <c r="A13" s="390"/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</row>
    <row r="14" spans="1:20">
      <c r="A14" s="390"/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0"/>
      <c r="N14" s="390"/>
      <c r="O14" s="390"/>
      <c r="P14" s="390"/>
      <c r="Q14" s="390"/>
      <c r="R14" s="390"/>
      <c r="S14" s="390"/>
      <c r="T14" s="390"/>
    </row>
    <row r="15" spans="1:20">
      <c r="A15" s="390"/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</row>
    <row r="16" spans="1:20">
      <c r="A16" s="390"/>
      <c r="B16" s="390"/>
      <c r="C16" s="390"/>
      <c r="D16" s="390"/>
      <c r="E16" s="390"/>
      <c r="F16" s="390"/>
      <c r="G16" s="390"/>
      <c r="H16" s="390"/>
      <c r="I16" s="390"/>
      <c r="J16" s="390"/>
      <c r="K16" s="390"/>
      <c r="L16" s="390"/>
      <c r="M16" s="390"/>
      <c r="N16" s="390"/>
      <c r="O16" s="390"/>
      <c r="P16" s="390"/>
      <c r="Q16" s="390"/>
      <c r="R16" s="390"/>
      <c r="S16" s="390"/>
      <c r="T16" s="390"/>
    </row>
    <row r="17" spans="1:20">
      <c r="A17" s="390"/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90"/>
      <c r="R17" s="390"/>
      <c r="S17" s="390"/>
      <c r="T17" s="390"/>
    </row>
    <row r="18" spans="1:20" ht="17.25">
      <c r="A18" s="390"/>
      <c r="B18" s="393" t="s">
        <v>448</v>
      </c>
      <c r="D18" s="390"/>
      <c r="E18" s="390"/>
      <c r="F18" s="390"/>
      <c r="G18" s="394" t="s">
        <v>30</v>
      </c>
      <c r="H18" s="390">
        <f>Input!H23</f>
        <v>30</v>
      </c>
      <c r="I18" s="216" t="s">
        <v>269</v>
      </c>
      <c r="J18" s="390"/>
      <c r="K18" s="390"/>
      <c r="L18" s="390"/>
      <c r="M18" s="390"/>
      <c r="N18" s="390"/>
      <c r="O18" s="390"/>
      <c r="P18" s="390"/>
      <c r="Q18" s="390"/>
      <c r="R18" s="390"/>
      <c r="S18" s="390"/>
      <c r="T18" s="390"/>
    </row>
    <row r="19" spans="1:20" s="349" customFormat="1" ht="17.25">
      <c r="A19" s="390"/>
      <c r="B19" s="393" t="s">
        <v>450</v>
      </c>
      <c r="C19" s="407"/>
      <c r="D19" s="390"/>
      <c r="E19" s="390"/>
      <c r="F19" s="390"/>
      <c r="G19" s="394" t="s">
        <v>30</v>
      </c>
      <c r="H19" s="395">
        <v>2.9</v>
      </c>
      <c r="I19" s="216" t="s">
        <v>269</v>
      </c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</row>
    <row r="20" spans="1:20">
      <c r="A20" s="390"/>
      <c r="B20" s="393" t="s">
        <v>420</v>
      </c>
      <c r="C20" s="350"/>
      <c r="D20" s="350"/>
      <c r="E20" s="350"/>
      <c r="F20" s="350"/>
      <c r="G20" s="394" t="s">
        <v>30</v>
      </c>
      <c r="H20" s="350">
        <f>Input!H37</f>
        <v>50</v>
      </c>
      <c r="I20" s="350" t="s">
        <v>0</v>
      </c>
      <c r="J20" s="390"/>
      <c r="K20" s="390"/>
      <c r="L20" s="390"/>
      <c r="M20" s="390"/>
      <c r="N20" s="390"/>
      <c r="Q20" s="390"/>
      <c r="R20" s="390"/>
      <c r="S20" s="390"/>
      <c r="T20" s="390"/>
    </row>
    <row r="21" spans="1:20" ht="17.25">
      <c r="A21" s="390"/>
      <c r="B21" s="393" t="s">
        <v>421</v>
      </c>
      <c r="C21" s="350"/>
      <c r="D21" s="350"/>
      <c r="E21" s="350"/>
      <c r="F21" s="350"/>
      <c r="G21" s="394" t="s">
        <v>30</v>
      </c>
      <c r="H21" s="395">
        <v>0.8</v>
      </c>
      <c r="I21" s="350"/>
      <c r="J21" s="390"/>
      <c r="K21" s="390"/>
      <c r="L21" s="390"/>
      <c r="M21" s="390"/>
      <c r="N21" s="390"/>
      <c r="Q21" s="390"/>
      <c r="R21" s="390"/>
      <c r="S21" s="390"/>
      <c r="T21" s="390"/>
    </row>
    <row r="22" spans="1:20" ht="17.25">
      <c r="A22" s="390"/>
      <c r="B22" s="393" t="s">
        <v>422</v>
      </c>
      <c r="C22" s="350"/>
      <c r="D22" s="350"/>
      <c r="E22" s="350"/>
      <c r="F22" s="350"/>
      <c r="G22" s="394" t="s">
        <v>30</v>
      </c>
      <c r="H22" s="395">
        <v>0.5</v>
      </c>
      <c r="I22" s="350"/>
      <c r="J22" s="390"/>
      <c r="K22" s="390"/>
      <c r="L22" s="390"/>
      <c r="M22" s="390"/>
      <c r="N22" s="390"/>
      <c r="Q22" s="390"/>
      <c r="R22" s="390"/>
      <c r="S22" s="390"/>
      <c r="T22" s="390"/>
    </row>
    <row r="23" spans="1:20" ht="19.5">
      <c r="A23" s="390"/>
      <c r="B23" s="396" t="s">
        <v>423</v>
      </c>
      <c r="C23" s="350"/>
      <c r="D23" s="350"/>
      <c r="E23" s="350"/>
      <c r="F23" s="350"/>
      <c r="G23" s="394" t="s">
        <v>30</v>
      </c>
      <c r="H23" s="350">
        <f>(VLOOKUP(C55,$C$50:$H$53,6,FALSE))</f>
        <v>20</v>
      </c>
      <c r="I23" s="350" t="s">
        <v>0</v>
      </c>
      <c r="J23" s="390"/>
      <c r="K23" s="390"/>
      <c r="L23" s="390"/>
      <c r="M23" s="390"/>
      <c r="N23" s="390"/>
      <c r="Q23" s="390"/>
      <c r="R23" s="390"/>
      <c r="S23" s="390"/>
      <c r="T23" s="390"/>
    </row>
    <row r="24" spans="1:20">
      <c r="A24" s="390"/>
      <c r="B24" s="406" t="s">
        <v>8</v>
      </c>
      <c r="C24" s="350"/>
      <c r="D24" s="350"/>
      <c r="E24" s="350"/>
      <c r="F24" s="350"/>
      <c r="G24" s="394" t="s">
        <v>30</v>
      </c>
      <c r="H24" s="350">
        <f>VLOOKUP(C55,C50:G53,2,)</f>
        <v>1.108E-2</v>
      </c>
      <c r="I24" s="350"/>
      <c r="J24" s="390"/>
      <c r="K24" s="390"/>
      <c r="L24" s="390"/>
      <c r="M24" s="390"/>
      <c r="N24" s="390"/>
      <c r="Q24" s="390"/>
      <c r="R24" s="390"/>
      <c r="S24" s="390"/>
      <c r="T24" s="390"/>
    </row>
    <row r="25" spans="1:20" ht="17.25">
      <c r="A25" s="390"/>
      <c r="B25" s="393" t="s">
        <v>424</v>
      </c>
      <c r="C25" s="350"/>
      <c r="D25" s="350"/>
      <c r="E25" s="350"/>
      <c r="F25" s="350"/>
      <c r="G25" s="394" t="s">
        <v>30</v>
      </c>
      <c r="H25" s="405">
        <f>MIN(2.5*(E28-MIN(E50:E53)),(E28-E27)/3,E28/2)*1000</f>
        <v>175000</v>
      </c>
      <c r="I25" s="350" t="s">
        <v>31</v>
      </c>
      <c r="Q25" s="390"/>
      <c r="R25" s="390"/>
      <c r="S25" s="390"/>
      <c r="T25" s="390"/>
    </row>
    <row r="26" spans="1:20" s="349" customFormat="1" ht="24">
      <c r="A26" s="390"/>
      <c r="B26" s="393"/>
      <c r="C26" s="350" t="s">
        <v>425</v>
      </c>
      <c r="D26" s="390"/>
      <c r="E26" s="390"/>
      <c r="F26" s="390"/>
      <c r="G26" s="394"/>
      <c r="H26" s="405"/>
      <c r="I26" s="350"/>
      <c r="K26" s="350"/>
      <c r="L26" s="390"/>
      <c r="M26" s="390"/>
      <c r="N26" s="390"/>
      <c r="Q26" s="390"/>
      <c r="R26" s="390"/>
      <c r="S26" s="390"/>
      <c r="T26" s="390"/>
    </row>
    <row r="27" spans="1:20" s="349" customFormat="1">
      <c r="A27" s="390"/>
      <c r="B27" s="393"/>
      <c r="C27" s="410" t="s">
        <v>427</v>
      </c>
      <c r="D27" s="390" t="s">
        <v>30</v>
      </c>
      <c r="E27" s="390">
        <f>2*(E50-MIN(F50:F53))</f>
        <v>23.380000000004657</v>
      </c>
      <c r="F27" s="390" t="s">
        <v>0</v>
      </c>
      <c r="G27" s="394"/>
      <c r="H27" s="405"/>
      <c r="I27" s="350"/>
      <c r="K27" s="350"/>
      <c r="L27" s="390"/>
      <c r="M27" s="390"/>
      <c r="N27" s="390"/>
      <c r="Q27" s="390"/>
      <c r="R27" s="390"/>
      <c r="S27" s="390"/>
      <c r="T27" s="390"/>
    </row>
    <row r="28" spans="1:20">
      <c r="A28" s="390"/>
      <c r="B28" s="409" t="s">
        <v>426</v>
      </c>
      <c r="C28" s="409" t="s">
        <v>449</v>
      </c>
      <c r="D28" s="394" t="s">
        <v>30</v>
      </c>
      <c r="E28" s="397">
        <f>Input!H80</f>
        <v>2170.0000000000027</v>
      </c>
      <c r="F28" s="350" t="s">
        <v>0</v>
      </c>
      <c r="J28" s="390"/>
      <c r="Q28" s="390"/>
      <c r="R28" s="390"/>
      <c r="S28" s="390"/>
      <c r="T28" s="390"/>
    </row>
    <row r="29" spans="1:20" ht="17.25">
      <c r="A29" s="390"/>
      <c r="B29" s="350" t="s">
        <v>428</v>
      </c>
      <c r="C29" s="350" t="s">
        <v>429</v>
      </c>
      <c r="D29" s="394" t="s">
        <v>30</v>
      </c>
      <c r="E29" s="414">
        <f>ROUNDUP(VLOOKUP(C55,C50:G53,5)/H25,5)</f>
        <v>1.796E-2</v>
      </c>
      <c r="F29" s="350"/>
      <c r="G29" s="411"/>
      <c r="I29" s="350"/>
      <c r="J29" s="390"/>
      <c r="K29" s="390"/>
      <c r="L29" s="390"/>
      <c r="M29" s="390"/>
      <c r="N29" s="390"/>
      <c r="Q29" s="390"/>
      <c r="R29" s="390"/>
      <c r="S29" s="390"/>
      <c r="T29" s="390"/>
    </row>
    <row r="30" spans="1:20">
      <c r="A30" s="390"/>
      <c r="B30" s="390"/>
      <c r="C30" s="390"/>
      <c r="D30" s="390"/>
      <c r="E30" s="390"/>
      <c r="F30" s="390"/>
      <c r="G30" s="390"/>
      <c r="H30" s="390"/>
      <c r="I30" s="390"/>
      <c r="J30" s="390"/>
      <c r="K30" s="390"/>
      <c r="L30" s="390"/>
      <c r="M30" s="390"/>
      <c r="N30" s="390"/>
      <c r="O30" s="390"/>
      <c r="P30" s="390"/>
      <c r="Q30" s="390"/>
      <c r="R30" s="390"/>
      <c r="S30" s="390"/>
      <c r="T30" s="390"/>
    </row>
    <row r="31" spans="1:20" ht="17.25">
      <c r="A31" s="390"/>
      <c r="B31" s="393" t="s">
        <v>430</v>
      </c>
      <c r="C31" s="350"/>
      <c r="D31" s="350"/>
      <c r="E31" s="350"/>
      <c r="F31" s="350"/>
      <c r="G31" s="350"/>
      <c r="H31" s="350"/>
      <c r="I31" s="350"/>
      <c r="J31" s="350"/>
      <c r="K31" s="390"/>
      <c r="L31" s="390"/>
      <c r="M31" s="390"/>
      <c r="N31" s="390"/>
      <c r="O31" s="390"/>
      <c r="P31" s="390"/>
      <c r="Q31" s="390"/>
      <c r="R31" s="390"/>
      <c r="S31" s="390"/>
      <c r="T31" s="390"/>
    </row>
    <row r="32" spans="1:20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0"/>
      <c r="N32" s="390"/>
      <c r="O32" s="390"/>
      <c r="P32" s="390"/>
      <c r="Q32" s="390"/>
      <c r="R32" s="390"/>
      <c r="S32" s="390"/>
      <c r="T32" s="390"/>
    </row>
    <row r="33" spans="1:20" ht="17.25">
      <c r="A33" s="390"/>
      <c r="B33" s="393" t="s">
        <v>431</v>
      </c>
      <c r="C33" s="394" t="str">
        <f>CONCATENATE("= 3.4 x",H20," + 0.8 x 0.5 x 0.425 x ( ",H23,"/",E29,")")</f>
        <v>= 3.4 x50 + 0.8 x 0.5 x 0.425 x ( 20/0.01796)</v>
      </c>
      <c r="D33" s="350"/>
      <c r="E33" s="350"/>
      <c r="F33" s="350"/>
      <c r="G33" s="350"/>
      <c r="H33" s="394" t="s">
        <v>30</v>
      </c>
      <c r="I33" s="413">
        <f>ROUNDUP(3.4*H20+H21*H22*0.425*H23/E29,2)</f>
        <v>359.31</v>
      </c>
      <c r="J33" s="350"/>
      <c r="L33" s="390"/>
      <c r="M33" s="390"/>
      <c r="N33" s="390"/>
      <c r="O33" s="390"/>
      <c r="P33" s="390"/>
      <c r="Q33" s="390"/>
      <c r="R33" s="390"/>
      <c r="S33" s="390"/>
      <c r="T33" s="390"/>
    </row>
    <row r="34" spans="1:20">
      <c r="A34" s="390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</row>
    <row r="35" spans="1:20">
      <c r="A35" s="390"/>
      <c r="B35" s="390"/>
      <c r="C35" s="390"/>
      <c r="D35" s="390"/>
      <c r="E35" s="390"/>
      <c r="F35" s="390"/>
      <c r="G35" s="390"/>
      <c r="H35" s="390"/>
      <c r="I35" s="390"/>
      <c r="J35" s="390"/>
      <c r="K35" s="390"/>
      <c r="L35" s="390"/>
      <c r="M35" s="390"/>
      <c r="N35" s="390"/>
      <c r="O35" s="390"/>
      <c r="P35" s="390"/>
      <c r="Q35" s="390"/>
      <c r="R35" s="390"/>
      <c r="S35" s="390"/>
      <c r="T35" s="390"/>
    </row>
    <row r="36" spans="1:20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</row>
    <row r="37" spans="1:20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0"/>
      <c r="P37" s="390"/>
      <c r="Q37" s="390"/>
      <c r="R37" s="390"/>
      <c r="S37" s="390"/>
      <c r="T37" s="390"/>
    </row>
    <row r="38" spans="1:20">
      <c r="A38" s="390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</row>
    <row r="39" spans="1:20">
      <c r="A39" s="390"/>
      <c r="B39" s="390"/>
      <c r="C39" s="390"/>
      <c r="D39" s="390"/>
      <c r="E39" s="390"/>
      <c r="F39" s="390"/>
      <c r="G39" s="390"/>
      <c r="H39" s="390"/>
      <c r="I39" s="390"/>
      <c r="J39" s="390"/>
      <c r="K39" s="390"/>
      <c r="L39" s="390"/>
      <c r="M39" s="390"/>
      <c r="N39" s="390"/>
      <c r="O39" s="390"/>
      <c r="P39" s="390"/>
      <c r="Q39" s="390"/>
      <c r="R39" s="390"/>
      <c r="S39" s="390"/>
      <c r="T39" s="390"/>
    </row>
    <row r="40" spans="1:20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</row>
    <row r="41" spans="1:20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0"/>
      <c r="P41" s="390"/>
      <c r="Q41" s="390"/>
      <c r="R41" s="390"/>
      <c r="S41" s="390"/>
      <c r="T41" s="390"/>
    </row>
    <row r="42" spans="1:20">
      <c r="A42" s="390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</row>
    <row r="43" spans="1:20">
      <c r="A43" s="390"/>
      <c r="B43" s="390"/>
      <c r="C43" s="390"/>
      <c r="D43" s="390"/>
      <c r="E43" s="390"/>
      <c r="F43" s="390"/>
      <c r="G43" s="390"/>
      <c r="H43" s="390"/>
      <c r="I43" s="390"/>
      <c r="J43" s="390"/>
      <c r="K43" s="390"/>
      <c r="L43" s="390"/>
      <c r="M43" s="390"/>
      <c r="N43" s="390"/>
      <c r="O43" s="390"/>
      <c r="P43" s="390"/>
      <c r="Q43" s="390"/>
      <c r="R43" s="390"/>
      <c r="S43" s="390"/>
      <c r="T43" s="390"/>
    </row>
    <row r="44" spans="1:20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</row>
    <row r="45" spans="1:20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0"/>
      <c r="P45" s="390"/>
      <c r="Q45" s="390"/>
      <c r="R45" s="390"/>
      <c r="S45" s="390"/>
      <c r="T45" s="390"/>
    </row>
    <row r="46" spans="1:20">
      <c r="A46" s="390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</row>
    <row r="47" spans="1:20">
      <c r="A47" s="390"/>
      <c r="B47" s="390"/>
      <c r="C47" s="390"/>
      <c r="D47" s="390"/>
      <c r="E47" s="390"/>
      <c r="F47" s="390"/>
      <c r="G47" s="390"/>
      <c r="H47" s="390"/>
      <c r="I47" s="390"/>
      <c r="J47" s="390"/>
      <c r="K47" s="390"/>
      <c r="L47" s="390"/>
      <c r="M47" s="390"/>
      <c r="N47" s="390"/>
      <c r="O47" s="390"/>
      <c r="P47" s="390"/>
      <c r="Q47" s="390"/>
      <c r="R47" s="390"/>
      <c r="S47" s="390"/>
      <c r="T47" s="390"/>
    </row>
    <row r="48" spans="1:20" ht="24.75" customHeight="1">
      <c r="A48" s="390"/>
      <c r="B48" s="503" t="s">
        <v>457</v>
      </c>
      <c r="C48" s="502" t="s">
        <v>432</v>
      </c>
      <c r="D48" s="502" t="s">
        <v>323</v>
      </c>
      <c r="E48" s="502" t="s">
        <v>7</v>
      </c>
      <c r="F48" s="502" t="s">
        <v>139</v>
      </c>
      <c r="G48" s="502" t="s">
        <v>433</v>
      </c>
      <c r="H48" s="502" t="s">
        <v>453</v>
      </c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</row>
    <row r="49" spans="1:20" ht="22.5" customHeight="1">
      <c r="A49" s="390"/>
      <c r="B49" s="503"/>
      <c r="C49" s="502"/>
      <c r="D49" s="502"/>
      <c r="E49" s="502"/>
      <c r="F49" s="502"/>
      <c r="G49" s="502"/>
      <c r="H49" s="502"/>
      <c r="I49" s="390"/>
      <c r="J49" s="390"/>
      <c r="K49" s="390"/>
      <c r="L49" s="390"/>
      <c r="M49" s="390"/>
      <c r="N49" s="390"/>
      <c r="O49" s="390"/>
      <c r="P49" s="390"/>
      <c r="Q49" s="390"/>
      <c r="R49" s="390"/>
      <c r="S49" s="390"/>
      <c r="T49" s="390"/>
    </row>
    <row r="50" spans="1:20">
      <c r="A50" s="390"/>
      <c r="B50" s="399" t="s">
        <v>434</v>
      </c>
      <c r="C50" s="400">
        <f>ABS(L50)</f>
        <v>1464.5800000000002</v>
      </c>
      <c r="D50" s="401">
        <f>ROUNDUP(C50*1000000/(1000*E50*E50*$H$18),5)</f>
        <v>1.108E-2</v>
      </c>
      <c r="E50" s="402">
        <f>Input!H81</f>
        <v>2100.0000000000027</v>
      </c>
      <c r="F50" s="412">
        <f>ROUNDUP(0.5*E50*(1+(1-2*D50)^0.5),2)</f>
        <v>2088.3100000000004</v>
      </c>
      <c r="G50" s="403">
        <f>Flexure!G154</f>
        <v>3142.8571428571427</v>
      </c>
      <c r="H50" s="400">
        <f>Flexure!G152</f>
        <v>20</v>
      </c>
      <c r="I50" s="390"/>
      <c r="J50" s="390"/>
      <c r="K50" s="390"/>
      <c r="L50" s="447">
        <f>MAX('Staad Stress Resulsts'!L65:M66)</f>
        <v>1464.5800000000002</v>
      </c>
      <c r="M50" s="390"/>
      <c r="N50" s="390"/>
      <c r="O50" s="390"/>
      <c r="P50" s="390"/>
      <c r="Q50" s="390"/>
      <c r="R50" s="390"/>
      <c r="S50" s="390"/>
      <c r="T50" s="390"/>
    </row>
    <row r="51" spans="1:20">
      <c r="A51" s="390" t="s">
        <v>34</v>
      </c>
      <c r="B51" s="399" t="s">
        <v>435</v>
      </c>
      <c r="C51" s="400">
        <f>ABS(L52)</f>
        <v>1449.4250000000002</v>
      </c>
      <c r="D51" s="401">
        <f t="shared" ref="D51:D53" si="0">ROUNDUP(C51*1000000/(1000*E51*E51*$H$18),5)</f>
        <v>1.0959999999999999E-2</v>
      </c>
      <c r="E51" s="402">
        <f>E50</f>
        <v>2100.0000000000027</v>
      </c>
      <c r="F51" s="412">
        <f t="shared" ref="F51:F53" si="1">ROUNDUP(0.5*E51*(1+(1-2*D51)^0.5),2)</f>
        <v>2088.4300000000003</v>
      </c>
      <c r="G51" s="403">
        <f>Flexure!G169</f>
        <v>3142.8571428571427</v>
      </c>
      <c r="H51" s="400">
        <f>Flexure!G167</f>
        <v>20</v>
      </c>
      <c r="I51" s="390"/>
      <c r="J51" s="390"/>
      <c r="K51" s="390"/>
      <c r="L51" s="447">
        <f>MIN('Staad Stress Resulsts'!L65:M66)</f>
        <v>-317.048</v>
      </c>
      <c r="M51" s="390"/>
      <c r="N51" s="390"/>
      <c r="O51" s="390"/>
      <c r="P51" s="390"/>
      <c r="Q51" s="390"/>
      <c r="R51" s="390"/>
      <c r="S51" s="390"/>
      <c r="T51" s="390"/>
    </row>
    <row r="52" spans="1:20">
      <c r="A52" s="390"/>
      <c r="B52" s="399" t="s">
        <v>436</v>
      </c>
      <c r="C52" s="400">
        <f>ABS(L51)</f>
        <v>317.048</v>
      </c>
      <c r="D52" s="401">
        <f t="shared" si="0"/>
        <v>2.4000000000000002E-3</v>
      </c>
      <c r="E52" s="402">
        <f t="shared" ref="E52:E53" si="2">E51</f>
        <v>2100.0000000000027</v>
      </c>
      <c r="F52" s="412">
        <f t="shared" si="1"/>
        <v>2097.48</v>
      </c>
      <c r="G52" s="403">
        <f>Flexure!G162</f>
        <v>3142.8571428571427</v>
      </c>
      <c r="H52" s="400">
        <f>Flexure!G160</f>
        <v>20</v>
      </c>
      <c r="I52" s="390"/>
      <c r="J52" s="390"/>
      <c r="K52" s="390"/>
      <c r="L52" s="447">
        <f>MAX('Staad Stress Resulsts'!N65:O66)</f>
        <v>1449.4250000000002</v>
      </c>
      <c r="M52" s="390"/>
      <c r="N52" s="390"/>
      <c r="O52" s="390"/>
      <c r="P52" s="390"/>
      <c r="Q52" s="390"/>
      <c r="R52" s="390"/>
      <c r="S52" s="390"/>
      <c r="T52" s="390"/>
    </row>
    <row r="53" spans="1:20">
      <c r="A53" s="390"/>
      <c r="B53" s="399" t="s">
        <v>437</v>
      </c>
      <c r="C53" s="400">
        <f>ABS(L53)</f>
        <v>1152.4560000000001</v>
      </c>
      <c r="D53" s="401">
        <f t="shared" si="0"/>
        <v>8.7200000000000003E-3</v>
      </c>
      <c r="E53" s="402">
        <f t="shared" si="2"/>
        <v>2100.0000000000027</v>
      </c>
      <c r="F53" s="412">
        <f t="shared" si="1"/>
        <v>2090.8100000000004</v>
      </c>
      <c r="G53" s="403">
        <f>Flexure!G176</f>
        <v>3142.8571428571427</v>
      </c>
      <c r="H53" s="400">
        <f>Flexure!G174</f>
        <v>20</v>
      </c>
      <c r="I53" s="390"/>
      <c r="J53" s="390"/>
      <c r="K53" s="390"/>
      <c r="L53" s="447">
        <f>MIN('Staad Stress Resulsts'!N65:O66)</f>
        <v>-1152.4560000000001</v>
      </c>
      <c r="M53" s="390"/>
      <c r="N53" s="390"/>
      <c r="O53" s="390"/>
      <c r="P53" s="390"/>
      <c r="Q53" s="390"/>
      <c r="R53" s="390"/>
      <c r="S53" s="390"/>
      <c r="T53" s="390"/>
    </row>
    <row r="54" spans="1:20">
      <c r="A54" s="390"/>
      <c r="B54" s="390"/>
      <c r="C54" s="404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</row>
    <row r="55" spans="1:20">
      <c r="A55" s="390"/>
      <c r="B55" s="390" t="s">
        <v>438</v>
      </c>
      <c r="C55" s="404">
        <f>MAX(C50:C53)</f>
        <v>1464.5800000000002</v>
      </c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0"/>
      <c r="O55" s="390"/>
      <c r="P55" s="390"/>
      <c r="Q55" s="390"/>
      <c r="R55" s="390"/>
      <c r="S55" s="390"/>
      <c r="T55" s="390"/>
    </row>
    <row r="56" spans="1:20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</row>
    <row r="57" spans="1:20" ht="17.25">
      <c r="A57" s="390"/>
      <c r="B57" s="350" t="s">
        <v>454</v>
      </c>
      <c r="C57" s="350"/>
      <c r="D57" s="350"/>
      <c r="E57" s="350"/>
      <c r="F57" s="394" t="s">
        <v>30</v>
      </c>
      <c r="G57" s="346">
        <f>(C55*10^6)/(VLOOKUP(C55,$C$50:$G$53,5,FALSE)*(VLOOKUP(C55,$C$50:$G$53,4,FALSE)))</f>
        <v>223.14825254522904</v>
      </c>
      <c r="H57" s="350" t="s">
        <v>439</v>
      </c>
      <c r="I57" s="390"/>
      <c r="M57" s="390"/>
      <c r="N57" s="390"/>
      <c r="O57" s="390"/>
      <c r="P57" s="390"/>
      <c r="Q57" s="390"/>
      <c r="R57" s="390"/>
      <c r="S57" s="390"/>
      <c r="T57" s="390"/>
    </row>
    <row r="58" spans="1:20">
      <c r="A58" s="390"/>
      <c r="B58" s="390"/>
      <c r="C58" s="390"/>
      <c r="D58" s="390"/>
      <c r="E58" s="390"/>
      <c r="F58" s="390"/>
      <c r="G58" s="390"/>
      <c r="H58" s="390"/>
      <c r="I58" s="390"/>
      <c r="M58" s="390"/>
      <c r="N58" s="390"/>
      <c r="O58" s="390"/>
      <c r="P58" s="390"/>
      <c r="Q58" s="390"/>
      <c r="R58" s="390"/>
      <c r="S58" s="390"/>
      <c r="T58" s="390"/>
    </row>
    <row r="59" spans="1:20" ht="18">
      <c r="A59" s="390"/>
      <c r="B59" s="393" t="s">
        <v>440</v>
      </c>
      <c r="C59" s="350"/>
      <c r="D59" s="350"/>
      <c r="E59" s="350"/>
      <c r="F59" s="394" t="s">
        <v>30</v>
      </c>
      <c r="G59" s="350">
        <f>ROUNDDOWN((2*10^5)/(33*10^3),3)</f>
        <v>6.06</v>
      </c>
      <c r="H59" s="350"/>
      <c r="I59" s="390"/>
      <c r="M59" s="390"/>
      <c r="N59" s="390"/>
      <c r="O59" s="390"/>
      <c r="P59" s="390"/>
      <c r="Q59" s="390"/>
      <c r="R59" s="390"/>
      <c r="S59" s="390"/>
      <c r="T59" s="390"/>
    </row>
    <row r="60" spans="1:20">
      <c r="A60" s="390"/>
      <c r="B60" s="350" t="s">
        <v>441</v>
      </c>
      <c r="C60" s="350"/>
      <c r="D60" s="350"/>
      <c r="E60" s="350"/>
      <c r="F60" s="350"/>
      <c r="G60" s="350"/>
      <c r="H60" s="350"/>
      <c r="I60" s="390"/>
      <c r="M60" s="390"/>
      <c r="N60" s="390"/>
      <c r="O60" s="390"/>
      <c r="P60" s="390"/>
      <c r="Q60" s="390"/>
      <c r="R60" s="390"/>
      <c r="S60" s="390"/>
      <c r="T60" s="390"/>
    </row>
    <row r="61" spans="1:20">
      <c r="A61" s="390"/>
      <c r="B61" s="390"/>
      <c r="C61" s="390"/>
      <c r="D61" s="390"/>
      <c r="E61" s="390"/>
      <c r="F61" s="390"/>
      <c r="G61" s="390"/>
      <c r="H61" s="390"/>
      <c r="I61" s="390"/>
      <c r="M61" s="390"/>
      <c r="N61" s="390"/>
      <c r="O61" s="390"/>
      <c r="P61" s="390"/>
      <c r="Q61" s="390"/>
      <c r="R61" s="390"/>
      <c r="S61" s="390"/>
      <c r="T61" s="390"/>
    </row>
    <row r="62" spans="1:20" ht="17.25">
      <c r="A62" s="390"/>
      <c r="B62" s="393" t="s">
        <v>442</v>
      </c>
      <c r="C62" s="350"/>
      <c r="D62" s="350"/>
      <c r="E62" s="350"/>
      <c r="F62" s="394" t="s">
        <v>30</v>
      </c>
      <c r="G62" s="395">
        <v>0.4</v>
      </c>
      <c r="H62" s="350"/>
      <c r="I62" s="390"/>
      <c r="M62" s="390"/>
      <c r="N62" s="390"/>
      <c r="O62" s="390"/>
      <c r="P62" s="390"/>
      <c r="Q62" s="390"/>
      <c r="R62" s="390"/>
      <c r="S62" s="390"/>
      <c r="T62" s="390"/>
    </row>
    <row r="63" spans="1:20">
      <c r="A63" s="390"/>
      <c r="B63" s="390"/>
      <c r="C63" s="390"/>
      <c r="D63" s="390"/>
      <c r="E63" s="390"/>
      <c r="F63" s="390"/>
      <c r="G63" s="390"/>
      <c r="H63" s="390"/>
      <c r="I63" s="390"/>
      <c r="M63" s="390"/>
      <c r="N63" s="390"/>
      <c r="O63" s="390"/>
      <c r="P63" s="390"/>
      <c r="Q63" s="390"/>
      <c r="R63" s="390"/>
      <c r="S63" s="390"/>
      <c r="T63" s="390"/>
    </row>
    <row r="64" spans="1:20" ht="17.25">
      <c r="A64" s="390"/>
      <c r="B64" s="393" t="s">
        <v>443</v>
      </c>
      <c r="C64" s="350"/>
      <c r="D64" s="350"/>
      <c r="E64" s="350"/>
      <c r="F64" s="394" t="s">
        <v>30</v>
      </c>
      <c r="G64" s="346">
        <f>H19</f>
        <v>2.9</v>
      </c>
      <c r="H64" s="350" t="s">
        <v>439</v>
      </c>
      <c r="I64" s="390"/>
      <c r="M64" s="390"/>
      <c r="N64" s="390"/>
      <c r="O64" s="390"/>
      <c r="P64" s="390"/>
      <c r="Q64" s="390"/>
      <c r="R64" s="390"/>
      <c r="S64" s="390"/>
      <c r="T64" s="390"/>
    </row>
    <row r="65" spans="1:20">
      <c r="A65" s="390"/>
      <c r="C65" s="390"/>
      <c r="D65" s="390"/>
      <c r="E65" s="390"/>
      <c r="F65" s="390"/>
      <c r="G65" s="390"/>
      <c r="H65" s="390"/>
      <c r="I65" s="390"/>
      <c r="M65" s="390"/>
      <c r="N65" s="390"/>
      <c r="O65" s="390"/>
      <c r="P65" s="390"/>
      <c r="Q65" s="390"/>
      <c r="R65" s="390"/>
      <c r="S65" s="390"/>
      <c r="T65" s="390"/>
    </row>
    <row r="66" spans="1:20" ht="18.75">
      <c r="A66" s="390"/>
      <c r="B66" s="350" t="s">
        <v>444</v>
      </c>
      <c r="C66" s="381" t="s">
        <v>30</v>
      </c>
      <c r="D66" s="408" t="s">
        <v>452</v>
      </c>
      <c r="F66" s="394" t="s">
        <v>30</v>
      </c>
      <c r="G66" s="501">
        <f>IF(((G57-((G62*G64*(1+G59*E29))/E29))/(2*10^5))&gt;(0.6*G57/(2*10^5)),((G57-((G62*G64*(1+G59*E29))/E29))/(2*10^5)),(0.6*G57/(2*10^5)))</f>
        <v>7.5765339635643471E-4</v>
      </c>
      <c r="H66" s="501"/>
      <c r="I66" s="390"/>
      <c r="M66" s="390"/>
      <c r="N66" s="390"/>
      <c r="O66" s="390"/>
      <c r="P66" s="390"/>
      <c r="Q66" s="390"/>
      <c r="R66" s="390"/>
      <c r="S66" s="390"/>
      <c r="T66" s="390"/>
    </row>
    <row r="67" spans="1:20">
      <c r="A67" s="390"/>
      <c r="B67" s="390"/>
      <c r="C67" s="390"/>
      <c r="D67" s="390"/>
      <c r="E67" s="390"/>
      <c r="F67" s="390"/>
      <c r="G67" s="390"/>
      <c r="H67" s="390"/>
      <c r="I67" s="390"/>
      <c r="M67" s="390"/>
      <c r="N67" s="390"/>
      <c r="O67" s="390"/>
      <c r="P67" s="390"/>
      <c r="Q67" s="390"/>
      <c r="R67" s="390"/>
      <c r="S67" s="390"/>
      <c r="T67" s="390"/>
    </row>
    <row r="68" spans="1:20" ht="17.25">
      <c r="A68" s="390"/>
      <c r="B68" s="350" t="s">
        <v>445</v>
      </c>
      <c r="C68" s="350"/>
      <c r="D68" s="350"/>
      <c r="E68" s="350"/>
      <c r="F68" s="394" t="s">
        <v>30</v>
      </c>
      <c r="G68" s="398">
        <f>ROUNDUP(G66*I33,3)</f>
        <v>0.27300000000000002</v>
      </c>
      <c r="H68" s="350" t="s">
        <v>0</v>
      </c>
      <c r="I68" s="390"/>
      <c r="M68" s="390"/>
      <c r="N68" s="390"/>
      <c r="O68" s="390"/>
      <c r="P68" s="390"/>
      <c r="Q68" s="390"/>
      <c r="R68" s="390"/>
      <c r="S68" s="390"/>
      <c r="T68" s="390"/>
    </row>
    <row r="69" spans="1:20" ht="17.25">
      <c r="A69" s="390"/>
      <c r="B69" s="350"/>
      <c r="C69" s="350"/>
      <c r="D69" s="350"/>
      <c r="E69" s="350"/>
      <c r="F69" s="350"/>
      <c r="G69" s="381" t="str">
        <f>IF(G68&lt;H4,"&lt;","&gt;")</f>
        <v>&lt;</v>
      </c>
      <c r="H69" s="350" t="s">
        <v>446</v>
      </c>
      <c r="I69" s="391" t="str">
        <f>IF(G68&lt;H4,"Safe ","Revise")</f>
        <v xml:space="preserve">Safe </v>
      </c>
      <c r="M69" s="390"/>
      <c r="N69" s="390"/>
      <c r="O69" s="390"/>
      <c r="P69" s="390"/>
      <c r="Q69" s="390"/>
      <c r="R69" s="390"/>
      <c r="S69" s="390"/>
      <c r="T69" s="390"/>
    </row>
    <row r="70" spans="1:20">
      <c r="A70" s="390"/>
      <c r="B70" s="350"/>
      <c r="C70" s="350"/>
      <c r="D70" s="350"/>
      <c r="E70" s="350"/>
      <c r="F70" s="350"/>
      <c r="G70" s="350"/>
      <c r="H70" s="390"/>
      <c r="I70" s="350"/>
      <c r="J70" s="393"/>
      <c r="K70" s="350"/>
      <c r="L70" s="390"/>
      <c r="M70" s="390"/>
      <c r="N70" s="390"/>
      <c r="O70" s="390"/>
      <c r="P70" s="390"/>
      <c r="Q70" s="390"/>
      <c r="R70" s="390"/>
      <c r="S70" s="390"/>
      <c r="T70" s="390"/>
    </row>
    <row r="71" spans="1:20">
      <c r="A71" s="389"/>
      <c r="B71" s="389"/>
      <c r="C71" s="4"/>
      <c r="D71" s="4"/>
      <c r="E71" s="4"/>
      <c r="F71" s="350"/>
      <c r="G71" s="350"/>
      <c r="H71" s="390"/>
      <c r="I71" s="350"/>
      <c r="J71" s="393"/>
      <c r="K71" s="350"/>
      <c r="L71" s="391"/>
      <c r="M71" s="390"/>
      <c r="N71" s="390"/>
      <c r="O71" s="390"/>
      <c r="P71" s="390"/>
      <c r="Q71" s="390"/>
      <c r="R71" s="390"/>
      <c r="S71" s="390"/>
      <c r="T71" s="390"/>
    </row>
    <row r="72" spans="1:20">
      <c r="A72" s="390"/>
      <c r="B72" s="390"/>
      <c r="C72" s="390"/>
      <c r="D72" s="390"/>
      <c r="E72" s="390"/>
      <c r="F72" s="390"/>
      <c r="G72" s="390"/>
      <c r="H72" s="390"/>
      <c r="I72" s="390"/>
      <c r="J72" s="390"/>
      <c r="K72" s="390"/>
      <c r="L72" s="390"/>
      <c r="M72" s="390"/>
      <c r="N72" s="390"/>
      <c r="O72" s="390"/>
      <c r="P72" s="390"/>
      <c r="Q72" s="390"/>
      <c r="R72" s="390"/>
      <c r="S72" s="390"/>
      <c r="T72" s="390"/>
    </row>
    <row r="73" spans="1:20">
      <c r="A73" s="390"/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</row>
    <row r="74" spans="1:20">
      <c r="A74" s="390"/>
      <c r="B74" s="390"/>
      <c r="C74" s="390"/>
      <c r="D74" s="390"/>
      <c r="E74" s="390"/>
      <c r="F74" s="390"/>
      <c r="G74" s="390"/>
      <c r="H74" s="390"/>
      <c r="I74" s="390"/>
      <c r="J74" s="390"/>
      <c r="K74" s="390"/>
      <c r="L74" s="390"/>
      <c r="M74" s="390"/>
      <c r="N74" s="390"/>
      <c r="O74" s="390"/>
      <c r="P74" s="390"/>
      <c r="Q74" s="390"/>
      <c r="R74" s="390"/>
      <c r="S74" s="390"/>
      <c r="T74" s="390"/>
    </row>
    <row r="75" spans="1:20">
      <c r="A75" s="390"/>
      <c r="B75" s="390"/>
      <c r="C75" s="390"/>
      <c r="D75" s="390"/>
      <c r="E75" s="390"/>
      <c r="F75" s="390"/>
      <c r="G75" s="390"/>
      <c r="H75" s="390"/>
      <c r="I75" s="390"/>
      <c r="J75" s="390"/>
      <c r="K75" s="390"/>
      <c r="L75" s="390"/>
      <c r="M75" s="390"/>
      <c r="N75" s="390"/>
      <c r="O75" s="390"/>
      <c r="P75" s="390"/>
      <c r="Q75" s="390"/>
      <c r="R75" s="390"/>
      <c r="S75" s="390"/>
      <c r="T75" s="390"/>
    </row>
    <row r="76" spans="1:20">
      <c r="A76" s="390"/>
      <c r="B76" s="390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0"/>
      <c r="O76" s="390"/>
      <c r="P76" s="390"/>
      <c r="Q76" s="390"/>
      <c r="R76" s="390"/>
      <c r="S76" s="390"/>
      <c r="T76" s="390"/>
    </row>
    <row r="77" spans="1:20">
      <c r="A77" s="390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0"/>
      <c r="P77" s="390"/>
      <c r="Q77" s="390"/>
      <c r="R77" s="390"/>
      <c r="S77" s="390"/>
      <c r="T77" s="390"/>
    </row>
    <row r="78" spans="1:20">
      <c r="A78" s="390"/>
      <c r="B78" s="390"/>
      <c r="C78" s="390"/>
      <c r="D78" s="390"/>
      <c r="E78" s="390"/>
      <c r="F78" s="390"/>
      <c r="G78" s="390"/>
      <c r="H78" s="390"/>
      <c r="I78" s="390"/>
      <c r="J78" s="390"/>
      <c r="K78" s="390"/>
      <c r="L78" s="390"/>
      <c r="M78" s="390"/>
      <c r="N78" s="390"/>
      <c r="O78" s="390"/>
      <c r="P78" s="390"/>
      <c r="Q78" s="390"/>
      <c r="R78" s="390"/>
      <c r="S78" s="390"/>
      <c r="T78" s="390"/>
    </row>
    <row r="79" spans="1:20">
      <c r="A79" s="390"/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0"/>
      <c r="O79" s="390"/>
      <c r="P79" s="390"/>
      <c r="Q79" s="390"/>
      <c r="R79" s="390"/>
      <c r="S79" s="390"/>
      <c r="T79" s="390"/>
    </row>
    <row r="80" spans="1:20">
      <c r="A80" s="390"/>
      <c r="B80" s="390"/>
      <c r="C80" s="390"/>
      <c r="D80" s="390"/>
      <c r="E80" s="390"/>
      <c r="F80" s="390"/>
      <c r="G80" s="390"/>
      <c r="H80" s="390"/>
      <c r="I80" s="390"/>
      <c r="J80" s="390"/>
      <c r="K80" s="390"/>
      <c r="L80" s="390"/>
      <c r="M80" s="390"/>
      <c r="N80" s="390"/>
      <c r="O80" s="390"/>
      <c r="P80" s="390"/>
      <c r="Q80" s="390"/>
      <c r="R80" s="390"/>
      <c r="S80" s="390"/>
      <c r="T80" s="390"/>
    </row>
    <row r="81" spans="1:20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0"/>
      <c r="N81" s="390"/>
      <c r="O81" s="390"/>
      <c r="P81" s="390"/>
      <c r="Q81" s="390"/>
      <c r="R81" s="390"/>
      <c r="S81" s="390"/>
      <c r="T81" s="390"/>
    </row>
    <row r="82" spans="1:20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0"/>
      <c r="N82" s="390"/>
      <c r="O82" s="390"/>
      <c r="P82" s="390"/>
      <c r="Q82" s="390"/>
      <c r="R82" s="390"/>
      <c r="S82" s="390"/>
      <c r="T82" s="390"/>
    </row>
    <row r="83" spans="1:20">
      <c r="A83" s="390"/>
      <c r="B83" s="390"/>
      <c r="C83" s="390"/>
      <c r="D83" s="390"/>
      <c r="E83" s="390"/>
      <c r="F83" s="390"/>
      <c r="G83" s="390"/>
      <c r="H83" s="390"/>
      <c r="I83" s="390"/>
      <c r="J83" s="390"/>
      <c r="K83" s="390"/>
      <c r="L83" s="390"/>
      <c r="M83" s="390"/>
      <c r="N83" s="390"/>
      <c r="O83" s="390"/>
      <c r="P83" s="390"/>
      <c r="Q83" s="390"/>
      <c r="R83" s="390"/>
      <c r="S83" s="390"/>
      <c r="T83" s="390"/>
    </row>
    <row r="84" spans="1:20">
      <c r="A84" s="390"/>
      <c r="B84" s="390"/>
      <c r="C84" s="390"/>
      <c r="D84" s="390"/>
      <c r="E84" s="390"/>
      <c r="F84" s="390"/>
      <c r="G84" s="390"/>
      <c r="H84" s="390"/>
      <c r="I84" s="390"/>
      <c r="J84" s="390"/>
      <c r="K84" s="390"/>
      <c r="L84" s="390"/>
      <c r="M84" s="390"/>
      <c r="N84" s="390"/>
      <c r="O84" s="390"/>
      <c r="P84" s="390"/>
      <c r="Q84" s="390"/>
      <c r="R84" s="390"/>
      <c r="S84" s="390"/>
      <c r="T84" s="390"/>
    </row>
    <row r="85" spans="1:20">
      <c r="A85" s="390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390"/>
      <c r="O85" s="390"/>
      <c r="P85" s="390"/>
      <c r="Q85" s="390"/>
      <c r="R85" s="390"/>
      <c r="S85" s="390"/>
      <c r="T85" s="390"/>
    </row>
    <row r="86" spans="1:20">
      <c r="A86" s="390"/>
      <c r="B86" s="390"/>
      <c r="C86" s="390"/>
      <c r="D86" s="390"/>
      <c r="E86" s="390"/>
      <c r="F86" s="390"/>
      <c r="G86" s="390"/>
      <c r="H86" s="390"/>
      <c r="I86" s="390"/>
      <c r="J86" s="390"/>
      <c r="K86" s="390"/>
      <c r="L86" s="390"/>
      <c r="M86" s="390"/>
      <c r="N86" s="390"/>
      <c r="O86" s="390"/>
      <c r="P86" s="390"/>
      <c r="Q86" s="390"/>
      <c r="R86" s="390"/>
      <c r="S86" s="390"/>
      <c r="T86" s="390"/>
    </row>
    <row r="87" spans="1:20">
      <c r="A87" s="390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</row>
    <row r="88" spans="1:20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390"/>
      <c r="O88" s="390"/>
      <c r="P88" s="390"/>
      <c r="Q88" s="390"/>
      <c r="R88" s="390"/>
      <c r="S88" s="390"/>
      <c r="T88" s="390"/>
    </row>
    <row r="89" spans="1:20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</row>
    <row r="90" spans="1:20">
      <c r="A90" s="390"/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  <c r="N90" s="390"/>
      <c r="O90" s="390"/>
      <c r="P90" s="390"/>
      <c r="Q90" s="390"/>
      <c r="R90" s="390"/>
      <c r="S90" s="390"/>
      <c r="T90" s="390"/>
    </row>
    <row r="91" spans="1:20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0"/>
      <c r="N91" s="390"/>
      <c r="O91" s="390"/>
      <c r="P91" s="390"/>
      <c r="Q91" s="390"/>
      <c r="R91" s="390"/>
      <c r="S91" s="390"/>
      <c r="T91" s="390"/>
    </row>
    <row r="92" spans="1:20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0"/>
      <c r="N92" s="390"/>
      <c r="O92" s="390"/>
      <c r="P92" s="390"/>
      <c r="Q92" s="390"/>
      <c r="R92" s="390"/>
      <c r="S92" s="390"/>
      <c r="T92" s="390"/>
    </row>
  </sheetData>
  <mergeCells count="8">
    <mergeCell ref="G66:H66"/>
    <mergeCell ref="H48:H49"/>
    <mergeCell ref="B48:B49"/>
    <mergeCell ref="C48:C49"/>
    <mergeCell ref="D48:D49"/>
    <mergeCell ref="E48:E49"/>
    <mergeCell ref="F48:F49"/>
    <mergeCell ref="G48:G49"/>
  </mergeCells>
  <pageMargins left="0.7" right="0.7" top="0.75" bottom="0.75" header="0.3" footer="0.3"/>
  <pageSetup paperSize="9" scale="99" orientation="portrait" verticalDpi="90" r:id="rId1"/>
  <rowBreaks count="1" manualBreakCount="1">
    <brk id="4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Q61"/>
  <sheetViews>
    <sheetView topLeftCell="A25" zoomScaleNormal="100" workbookViewId="0">
      <selection activeCell="I29" sqref="I29"/>
    </sheetView>
  </sheetViews>
  <sheetFormatPr defaultRowHeight="12.75"/>
  <cols>
    <col min="1" max="1" width="4.140625" style="17" customWidth="1"/>
    <col min="2" max="3" width="9.140625" style="17"/>
    <col min="4" max="4" width="9.5703125" style="17" bestFit="1" customWidth="1"/>
    <col min="5" max="5" width="9.140625" style="17"/>
    <col min="6" max="6" width="7" style="17" customWidth="1"/>
    <col min="7" max="7" width="9.140625" style="17"/>
    <col min="8" max="8" width="5.42578125" style="17" customWidth="1"/>
    <col min="9" max="9" width="9.140625" style="17"/>
    <col min="10" max="10" width="6.5703125" style="17" customWidth="1"/>
    <col min="11" max="16384" width="9.140625" style="17"/>
  </cols>
  <sheetData>
    <row r="1" spans="1:17">
      <c r="K1" s="18"/>
      <c r="L1" s="17" t="s">
        <v>76</v>
      </c>
    </row>
    <row r="2" spans="1:17">
      <c r="A2" s="19"/>
      <c r="B2" s="20" t="s">
        <v>77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17">
      <c r="A3" s="386"/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7">
      <c r="A4" s="386"/>
      <c r="B4" s="25" t="s">
        <v>5</v>
      </c>
      <c r="C4" s="25" t="s">
        <v>1</v>
      </c>
      <c r="D4" s="37">
        <f>Input!H23</f>
        <v>30</v>
      </c>
      <c r="E4" s="25" t="s">
        <v>3</v>
      </c>
      <c r="F4" s="25"/>
      <c r="G4" s="25"/>
      <c r="H4" s="25"/>
      <c r="I4" s="25"/>
      <c r="J4" s="25"/>
      <c r="K4" s="25"/>
      <c r="L4" s="25"/>
      <c r="M4" s="25"/>
      <c r="N4" s="26"/>
    </row>
    <row r="5" spans="1:17">
      <c r="A5" s="386"/>
      <c r="B5" s="25" t="s">
        <v>7</v>
      </c>
      <c r="C5" s="25" t="s">
        <v>1</v>
      </c>
      <c r="D5" s="37">
        <f>Input!H81</f>
        <v>2100.0000000000027</v>
      </c>
      <c r="E5" s="25" t="s">
        <v>86</v>
      </c>
      <c r="F5" s="25"/>
      <c r="G5" s="25"/>
      <c r="H5" s="25"/>
      <c r="I5" s="25"/>
      <c r="J5" s="25"/>
      <c r="K5" s="25"/>
      <c r="L5" s="25"/>
      <c r="M5" s="25"/>
      <c r="N5" s="26"/>
    </row>
    <row r="6" spans="1:17">
      <c r="A6" s="386"/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6"/>
    </row>
    <row r="7" spans="1:17">
      <c r="A7" s="23"/>
      <c r="B7" s="25" t="s">
        <v>78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6"/>
    </row>
    <row r="8" spans="1:17" ht="15.75">
      <c r="A8" s="23"/>
      <c r="B8" s="25" t="s">
        <v>79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6"/>
    </row>
    <row r="9" spans="1:17">
      <c r="A9" s="23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6"/>
    </row>
    <row r="10" spans="1:17" ht="21.75" customHeight="1">
      <c r="A10" s="23"/>
      <c r="B10" s="25" t="s">
        <v>80</v>
      </c>
      <c r="C10" s="25" t="s">
        <v>418</v>
      </c>
      <c r="D10" s="25"/>
      <c r="E10" s="25"/>
      <c r="F10" s="25"/>
      <c r="G10" s="25" t="s">
        <v>81</v>
      </c>
      <c r="H10" s="25"/>
      <c r="I10" s="25"/>
      <c r="J10" s="25"/>
      <c r="K10" s="25"/>
      <c r="L10" s="25"/>
      <c r="M10" s="25"/>
      <c r="N10" s="26"/>
      <c r="Q10" s="383"/>
    </row>
    <row r="11" spans="1:17">
      <c r="A11" s="23"/>
      <c r="B11" s="25" t="s">
        <v>82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6"/>
    </row>
    <row r="12" spans="1:17" ht="15.75">
      <c r="A12" s="23"/>
      <c r="B12" s="25" t="s">
        <v>83</v>
      </c>
      <c r="C12" s="25" t="s">
        <v>84</v>
      </c>
      <c r="D12" s="25"/>
      <c r="E12" s="25"/>
      <c r="F12" s="25"/>
      <c r="G12" s="25" t="s">
        <v>85</v>
      </c>
      <c r="H12" s="25"/>
      <c r="I12" s="25"/>
      <c r="J12" s="25"/>
      <c r="K12" s="25"/>
      <c r="L12" s="25"/>
      <c r="M12" s="25"/>
      <c r="N12" s="26"/>
    </row>
    <row r="13" spans="1:17">
      <c r="A13" s="23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6"/>
    </row>
    <row r="14" spans="1:17">
      <c r="A14" s="23"/>
      <c r="B14" s="25" t="s">
        <v>6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</row>
    <row r="15" spans="1:17">
      <c r="A15" s="23"/>
      <c r="B15" s="25"/>
      <c r="C15" s="25"/>
      <c r="D15" s="25"/>
      <c r="E15" s="25"/>
      <c r="F15" s="25"/>
      <c r="L15" s="25"/>
      <c r="M15" s="25"/>
      <c r="N15" s="26"/>
    </row>
    <row r="16" spans="1:17">
      <c r="A16" s="23"/>
      <c r="B16" s="25"/>
      <c r="C16" s="25"/>
      <c r="D16" s="25"/>
      <c r="E16" s="25"/>
      <c r="F16" s="25"/>
      <c r="L16" s="25"/>
      <c r="M16" s="25"/>
      <c r="N16" s="26"/>
    </row>
    <row r="17" spans="1:14">
      <c r="A17" s="23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6"/>
    </row>
    <row r="18" spans="1:14">
      <c r="A18" s="23"/>
      <c r="B18" s="25" t="s">
        <v>8</v>
      </c>
      <c r="C18" s="25" t="s">
        <v>1</v>
      </c>
      <c r="D18" s="28">
        <f>MIN((1+(SQRT(200/D5))), 2)</f>
        <v>1.3086066999241837</v>
      </c>
      <c r="E18" s="25" t="s">
        <v>87</v>
      </c>
      <c r="F18" s="25"/>
      <c r="G18" s="25"/>
      <c r="H18" s="25"/>
      <c r="I18" s="25"/>
      <c r="J18" s="25"/>
      <c r="K18" s="25"/>
      <c r="L18" s="25"/>
      <c r="M18" s="25"/>
      <c r="N18" s="26"/>
    </row>
    <row r="19" spans="1:14">
      <c r="A19" s="23"/>
      <c r="B19" s="25"/>
      <c r="C19" s="25"/>
      <c r="D19" s="25"/>
      <c r="E19" s="25"/>
      <c r="F19" s="25"/>
      <c r="N19" s="26"/>
    </row>
    <row r="20" spans="1:14">
      <c r="A20" s="23"/>
      <c r="B20" s="25"/>
      <c r="C20" s="25"/>
      <c r="D20" s="25"/>
      <c r="E20" s="25"/>
      <c r="F20" s="25"/>
      <c r="N20" s="26"/>
    </row>
    <row r="21" spans="1:14">
      <c r="A21" s="23"/>
      <c r="B21" s="25"/>
      <c r="C21" s="25"/>
      <c r="D21" s="30"/>
      <c r="E21" s="25"/>
      <c r="F21" s="25"/>
      <c r="K21" s="25"/>
      <c r="L21" s="25"/>
      <c r="M21" s="25"/>
      <c r="N21" s="26"/>
    </row>
    <row r="22" spans="1:14">
      <c r="A22" s="23"/>
      <c r="B22" s="25"/>
      <c r="C22" s="25"/>
      <c r="D22" s="30"/>
      <c r="E22" s="25"/>
      <c r="F22" s="25"/>
      <c r="K22" s="25"/>
      <c r="L22" s="25"/>
      <c r="M22" s="25"/>
      <c r="N22" s="26"/>
    </row>
    <row r="23" spans="1:14">
      <c r="A23" s="386"/>
      <c r="B23" s="25"/>
      <c r="C23" s="25"/>
      <c r="D23" s="30"/>
      <c r="E23" s="25"/>
      <c r="F23" s="25"/>
      <c r="G23" s="25"/>
      <c r="H23" s="25"/>
      <c r="I23" s="387"/>
      <c r="J23" s="25"/>
      <c r="K23" s="25"/>
      <c r="L23" s="25"/>
      <c r="M23" s="25"/>
      <c r="N23" s="26"/>
    </row>
    <row r="24" spans="1:14">
      <c r="A24" s="386"/>
      <c r="B24" s="25" t="s">
        <v>90</v>
      </c>
      <c r="C24" s="27">
        <f>IF(D26=Flexure!G154,Flexure!G152,Flexure!G167)</f>
        <v>20</v>
      </c>
      <c r="D24" s="25" t="s">
        <v>0</v>
      </c>
      <c r="E24" s="25" t="s">
        <v>91</v>
      </c>
      <c r="F24" s="27">
        <f>IF(D26=Flexure!G154,Flexure!G153,Flexure!G168)</f>
        <v>100</v>
      </c>
      <c r="G24" s="25" t="s">
        <v>92</v>
      </c>
      <c r="H24" s="17" t="s">
        <v>419</v>
      </c>
      <c r="I24" s="387"/>
      <c r="J24" s="25"/>
      <c r="K24" s="25"/>
      <c r="L24" s="25"/>
      <c r="M24" s="25"/>
      <c r="N24" s="26"/>
    </row>
    <row r="25" spans="1:14">
      <c r="A25" s="386"/>
      <c r="G25" s="25"/>
      <c r="H25" s="25"/>
      <c r="I25" s="387"/>
      <c r="J25" s="25"/>
      <c r="K25" s="25"/>
      <c r="L25" s="25"/>
      <c r="M25" s="25"/>
      <c r="N25" s="26"/>
    </row>
    <row r="26" spans="1:14" ht="15.75">
      <c r="A26" s="386"/>
      <c r="B26" s="25" t="s">
        <v>88</v>
      </c>
      <c r="C26" s="25" t="s">
        <v>1</v>
      </c>
      <c r="D26" s="29">
        <f>MIN(Flexure!G162,Flexure!G169)</f>
        <v>3142.8571428571427</v>
      </c>
      <c r="E26" s="25" t="s">
        <v>89</v>
      </c>
      <c r="F26" s="25"/>
      <c r="G26" s="25"/>
      <c r="H26" s="25"/>
      <c r="I26" s="387"/>
      <c r="J26" s="25"/>
      <c r="K26" s="25"/>
      <c r="L26" s="25"/>
      <c r="M26" s="25"/>
      <c r="N26" s="26"/>
    </row>
    <row r="27" spans="1:14">
      <c r="A27" s="386"/>
      <c r="B27" s="25"/>
      <c r="C27" s="25"/>
      <c r="D27" s="25"/>
      <c r="E27" s="25"/>
      <c r="F27" s="25"/>
      <c r="G27" s="25"/>
      <c r="H27" s="25"/>
      <c r="I27" s="387"/>
      <c r="J27" s="25"/>
      <c r="K27" s="25"/>
      <c r="L27" s="25"/>
      <c r="M27" s="25"/>
      <c r="N27" s="26"/>
    </row>
    <row r="28" spans="1:14" ht="15.75">
      <c r="A28" s="386"/>
      <c r="B28" s="25" t="s">
        <v>93</v>
      </c>
      <c r="C28" s="25" t="s">
        <v>11</v>
      </c>
      <c r="D28" s="25"/>
      <c r="E28" s="25"/>
      <c r="F28" s="25"/>
      <c r="G28" s="25"/>
      <c r="H28" s="25"/>
      <c r="I28" s="387"/>
      <c r="J28" s="25"/>
      <c r="K28" s="25"/>
      <c r="L28" s="25"/>
      <c r="M28" s="25"/>
      <c r="N28" s="26"/>
    </row>
    <row r="29" spans="1:14" ht="15.75">
      <c r="A29" s="386"/>
      <c r="B29" s="25" t="s">
        <v>93</v>
      </c>
      <c r="C29" s="25" t="s">
        <v>1</v>
      </c>
      <c r="D29" s="31">
        <v>1000</v>
      </c>
      <c r="E29" s="25" t="s">
        <v>0</v>
      </c>
      <c r="F29" s="25"/>
      <c r="G29" s="25"/>
      <c r="H29" s="25"/>
      <c r="I29" s="387"/>
      <c r="J29" s="25"/>
      <c r="K29" s="25"/>
      <c r="L29" s="25"/>
      <c r="M29" s="25"/>
      <c r="N29" s="26"/>
    </row>
    <row r="30" spans="1:14">
      <c r="A30" s="386"/>
      <c r="B30" s="25"/>
      <c r="C30" s="25"/>
      <c r="D30" s="30"/>
      <c r="E30" s="25"/>
      <c r="F30" s="25"/>
      <c r="G30" s="25"/>
      <c r="H30" s="25"/>
      <c r="I30" s="387"/>
      <c r="J30" s="25"/>
      <c r="K30" s="25"/>
      <c r="L30" s="25"/>
      <c r="M30" s="25"/>
      <c r="N30" s="26"/>
    </row>
    <row r="31" spans="1:14" ht="15.75">
      <c r="A31" s="23"/>
      <c r="B31" s="32" t="s">
        <v>94</v>
      </c>
      <c r="C31" s="25" t="s">
        <v>1</v>
      </c>
      <c r="D31" s="33">
        <f>ROUNDDOWN(D26/(D5*D29),4)</f>
        <v>1.4E-3</v>
      </c>
      <c r="E31" s="25" t="s">
        <v>95</v>
      </c>
      <c r="F31" s="25"/>
      <c r="G31" s="25"/>
      <c r="H31" s="25"/>
      <c r="I31" s="25"/>
      <c r="J31" s="25"/>
      <c r="K31" s="25"/>
      <c r="L31" s="25"/>
      <c r="M31" s="25"/>
      <c r="N31" s="26"/>
    </row>
    <row r="32" spans="1:14">
      <c r="A32" s="23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6"/>
    </row>
    <row r="33" spans="1:14" ht="15.75">
      <c r="A33" s="23"/>
      <c r="B33" s="25" t="s">
        <v>96</v>
      </c>
      <c r="C33" s="25" t="s">
        <v>1</v>
      </c>
      <c r="D33" s="25" t="s">
        <v>97</v>
      </c>
      <c r="E33" s="25"/>
      <c r="F33" s="25"/>
      <c r="G33" s="25" t="s">
        <v>98</v>
      </c>
      <c r="H33" s="25" t="s">
        <v>1</v>
      </c>
      <c r="I33" s="37">
        <f>Input!H44</f>
        <v>1.5</v>
      </c>
      <c r="J33" s="25" t="s">
        <v>4</v>
      </c>
      <c r="K33" s="25"/>
      <c r="L33" s="25"/>
      <c r="M33" s="25"/>
      <c r="N33" s="26"/>
    </row>
    <row r="34" spans="1:14" ht="15.75">
      <c r="A34" s="23"/>
      <c r="B34" s="25" t="s">
        <v>96</v>
      </c>
      <c r="C34" s="25" t="s">
        <v>1</v>
      </c>
      <c r="D34" s="32">
        <f>0.18/I33</f>
        <v>0.12</v>
      </c>
      <c r="E34" s="25"/>
      <c r="F34" s="25"/>
      <c r="G34" s="25" t="s">
        <v>99</v>
      </c>
      <c r="H34" s="25"/>
      <c r="I34" s="25"/>
      <c r="J34" s="25"/>
      <c r="K34" s="25"/>
      <c r="L34" s="25"/>
      <c r="M34" s="25"/>
      <c r="N34" s="26"/>
    </row>
    <row r="35" spans="1:14">
      <c r="A35" s="23"/>
      <c r="B35" s="25"/>
      <c r="C35" s="25"/>
      <c r="D35" s="32"/>
      <c r="E35" s="25"/>
      <c r="F35" s="25"/>
      <c r="G35" s="25"/>
      <c r="H35" s="25"/>
      <c r="I35" s="25"/>
      <c r="J35" s="25"/>
      <c r="K35" s="25"/>
      <c r="L35" s="25"/>
      <c r="M35" s="25"/>
      <c r="N35" s="26"/>
    </row>
    <row r="36" spans="1:14" ht="15.75">
      <c r="A36" s="23"/>
      <c r="B36" s="25" t="s">
        <v>100</v>
      </c>
      <c r="C36" s="25" t="s">
        <v>1</v>
      </c>
      <c r="D36" s="25" t="s">
        <v>101</v>
      </c>
      <c r="E36" s="25"/>
      <c r="F36" s="25"/>
      <c r="G36" s="25" t="s">
        <v>16</v>
      </c>
      <c r="H36" s="25"/>
      <c r="I36" s="25"/>
      <c r="J36" s="25"/>
      <c r="K36" s="25"/>
      <c r="L36" s="25"/>
      <c r="M36" s="25"/>
      <c r="N36" s="26"/>
    </row>
    <row r="37" spans="1:14" ht="15.75">
      <c r="A37" s="23"/>
      <c r="B37" s="25" t="s">
        <v>100</v>
      </c>
      <c r="C37" s="25" t="s">
        <v>1</v>
      </c>
      <c r="D37" s="28">
        <f>ROUNDDOWN((0.035*((D18)^1.5)*((D4)^0.5)),3)</f>
        <v>0.28599999999999998</v>
      </c>
      <c r="E37" s="25"/>
      <c r="F37" s="25"/>
      <c r="G37" s="25"/>
      <c r="H37" s="25"/>
      <c r="I37" s="25"/>
      <c r="J37" s="25"/>
      <c r="K37" s="25"/>
      <c r="L37" s="25"/>
      <c r="M37" s="25"/>
      <c r="N37" s="26"/>
    </row>
    <row r="38" spans="1:14" ht="15.75">
      <c r="A38" s="23"/>
      <c r="B38" s="25" t="s">
        <v>80</v>
      </c>
      <c r="C38" s="25" t="s">
        <v>1</v>
      </c>
      <c r="D38" s="34">
        <f>ROUNDDOWN(((D34*D18*((100*D31*D4)^0.333)*(D29*D5))/1000),2)</f>
        <v>531.79999999999995</v>
      </c>
      <c r="E38" s="35" t="s">
        <v>102</v>
      </c>
      <c r="F38" s="25"/>
      <c r="G38" s="25"/>
      <c r="H38" s="25"/>
      <c r="I38" s="25"/>
      <c r="J38" s="25"/>
      <c r="K38" s="25"/>
      <c r="L38" s="25"/>
      <c r="M38" s="25"/>
      <c r="N38" s="26"/>
    </row>
    <row r="39" spans="1:14" ht="15.75">
      <c r="A39" s="23"/>
      <c r="B39" s="25" t="s">
        <v>83</v>
      </c>
      <c r="C39" s="25" t="s">
        <v>1</v>
      </c>
      <c r="D39" s="34">
        <f>ROUNDDOWN((D37*D29*D5)/1000,2)</f>
        <v>600.6</v>
      </c>
      <c r="E39" s="35" t="s">
        <v>102</v>
      </c>
      <c r="F39" s="25"/>
      <c r="G39" s="25"/>
      <c r="H39" s="25"/>
      <c r="I39" s="32"/>
      <c r="J39" s="25"/>
      <c r="K39" s="25"/>
      <c r="L39" s="25"/>
      <c r="M39" s="25"/>
      <c r="N39" s="26"/>
    </row>
    <row r="40" spans="1:14">
      <c r="A40" s="23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6"/>
    </row>
    <row r="41" spans="1:14">
      <c r="A41" s="23"/>
      <c r="B41" s="25" t="s">
        <v>103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6"/>
    </row>
    <row r="42" spans="1:14">
      <c r="A42" s="23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6"/>
    </row>
    <row r="43" spans="1:14">
      <c r="A43" s="23"/>
      <c r="B43" s="25"/>
      <c r="C43" s="25"/>
      <c r="D43" s="25"/>
      <c r="E43" s="25"/>
      <c r="F43" s="25"/>
      <c r="G43" s="25" t="s">
        <v>104</v>
      </c>
      <c r="H43" s="25"/>
      <c r="I43" s="25"/>
      <c r="J43" s="25"/>
      <c r="K43" s="25"/>
      <c r="L43" s="25"/>
      <c r="M43" s="25"/>
      <c r="N43" s="26"/>
    </row>
    <row r="44" spans="1:14">
      <c r="A44" s="23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</row>
    <row r="45" spans="1:14">
      <c r="A45" s="23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6"/>
    </row>
    <row r="46" spans="1:14">
      <c r="A46" s="23"/>
      <c r="B46" s="25" t="s">
        <v>105</v>
      </c>
      <c r="C46" s="25" t="s">
        <v>1</v>
      </c>
      <c r="D46" s="28">
        <f>ROUNDDOWN(0.6*(1-(D4/250)),3)</f>
        <v>0.52800000000000002</v>
      </c>
      <c r="E46" s="25"/>
      <c r="F46" s="25"/>
      <c r="G46" s="25"/>
      <c r="H46" s="25"/>
      <c r="I46" s="25"/>
      <c r="J46" s="25"/>
      <c r="K46" s="25"/>
      <c r="L46" s="25"/>
      <c r="M46" s="25"/>
      <c r="N46" s="26"/>
    </row>
    <row r="47" spans="1:14" ht="15.75">
      <c r="A47" s="23"/>
      <c r="B47" s="25" t="s">
        <v>106</v>
      </c>
      <c r="C47" s="25" t="s">
        <v>1</v>
      </c>
      <c r="D47" s="34" t="s">
        <v>107</v>
      </c>
      <c r="E47" s="25"/>
      <c r="F47" s="25"/>
      <c r="G47" s="25" t="s">
        <v>108</v>
      </c>
      <c r="H47" s="25"/>
      <c r="I47" s="25"/>
      <c r="J47" s="25"/>
      <c r="K47" s="25"/>
      <c r="L47" s="25"/>
      <c r="M47" s="25"/>
      <c r="N47" s="26"/>
    </row>
    <row r="48" spans="1:14" ht="15.75">
      <c r="A48" s="23"/>
      <c r="B48" s="34" t="s">
        <v>109</v>
      </c>
      <c r="C48" s="25" t="s">
        <v>1</v>
      </c>
      <c r="D48" s="32">
        <v>0.85</v>
      </c>
      <c r="E48" s="25"/>
      <c r="F48" s="25"/>
      <c r="G48" s="25" t="s">
        <v>110</v>
      </c>
      <c r="H48" s="25"/>
      <c r="I48" s="25"/>
      <c r="J48" s="25"/>
      <c r="K48" s="25"/>
      <c r="L48" s="25"/>
      <c r="M48" s="25"/>
      <c r="N48" s="26"/>
    </row>
    <row r="49" spans="1:14" ht="15.75">
      <c r="A49" s="23"/>
      <c r="B49" s="25" t="s">
        <v>106</v>
      </c>
      <c r="C49" s="25" t="s">
        <v>1</v>
      </c>
      <c r="D49" s="32">
        <f>(D48*D4)/I33</f>
        <v>17</v>
      </c>
      <c r="E49" s="25"/>
      <c r="F49" s="25"/>
      <c r="G49" s="25"/>
      <c r="H49" s="25"/>
      <c r="I49" s="25"/>
      <c r="J49" s="25"/>
      <c r="K49" s="25"/>
      <c r="L49" s="25"/>
      <c r="M49" s="25"/>
      <c r="N49" s="26"/>
    </row>
    <row r="50" spans="1:14" ht="15.75">
      <c r="A50" s="23"/>
      <c r="B50" s="25" t="s">
        <v>111</v>
      </c>
      <c r="C50" s="25"/>
      <c r="D50" s="32"/>
      <c r="E50" s="25" t="s">
        <v>1</v>
      </c>
      <c r="F50" s="385">
        <f>'Staad Stress Resulsts'!Q25</f>
        <v>839.7900000000011</v>
      </c>
      <c r="G50" s="35" t="s">
        <v>102</v>
      </c>
      <c r="H50" s="25"/>
      <c r="I50" s="25"/>
      <c r="J50" s="25"/>
      <c r="K50" s="25"/>
      <c r="L50" s="25"/>
      <c r="M50" s="25"/>
      <c r="N50" s="26"/>
    </row>
    <row r="51" spans="1:14" ht="15.75">
      <c r="A51" s="23"/>
      <c r="B51" s="25" t="s">
        <v>112</v>
      </c>
      <c r="C51" s="25" t="s">
        <v>113</v>
      </c>
      <c r="D51" s="25" t="s">
        <v>114</v>
      </c>
      <c r="E51" s="25"/>
      <c r="F51" s="25"/>
      <c r="G51" s="25" t="s">
        <v>115</v>
      </c>
      <c r="H51" s="25"/>
      <c r="I51" s="25"/>
      <c r="J51" s="25"/>
      <c r="K51" s="25"/>
      <c r="L51" s="25"/>
      <c r="M51" s="25"/>
      <c r="N51" s="26"/>
    </row>
    <row r="52" spans="1:14">
      <c r="A52" s="23"/>
      <c r="B52" s="36">
        <f>F50</f>
        <v>839.7900000000011</v>
      </c>
      <c r="C52" s="25" t="s">
        <v>113</v>
      </c>
      <c r="D52" s="32">
        <f>(0.5*D29*D5*D46*D49)/1000</f>
        <v>9424.8000000000138</v>
      </c>
      <c r="E52" s="35" t="s">
        <v>102</v>
      </c>
      <c r="F52" s="25"/>
      <c r="G52" s="25"/>
      <c r="H52" s="25"/>
      <c r="I52" s="25"/>
      <c r="J52" s="25"/>
      <c r="K52" s="25"/>
      <c r="L52" s="25"/>
      <c r="M52" s="25"/>
      <c r="N52" s="26"/>
    </row>
    <row r="53" spans="1:14">
      <c r="A53" s="23"/>
      <c r="B53" s="37" t="s">
        <v>116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</row>
    <row r="54" spans="1:14" ht="15.75">
      <c r="A54" s="23"/>
      <c r="B54" s="25" t="s">
        <v>112</v>
      </c>
      <c r="C54" s="25" t="s">
        <v>113</v>
      </c>
      <c r="D54" s="25" t="s">
        <v>80</v>
      </c>
      <c r="E54" s="25"/>
      <c r="F54" s="25"/>
      <c r="G54" s="25"/>
      <c r="H54" s="25"/>
      <c r="I54" s="25"/>
      <c r="J54" s="25"/>
      <c r="K54" s="25"/>
      <c r="L54" s="25"/>
      <c r="M54" s="25"/>
      <c r="N54" s="26"/>
    </row>
    <row r="55" spans="1:14">
      <c r="A55" s="23"/>
      <c r="B55" s="32">
        <f>F50</f>
        <v>839.7900000000011</v>
      </c>
      <c r="C55" s="25" t="str">
        <f>IF(D55&gt;B55,"&lt;","&gt;")</f>
        <v>&gt;</v>
      </c>
      <c r="D55" s="34">
        <f>IF(D38&gt;D39,D38,D39)</f>
        <v>600.6</v>
      </c>
      <c r="F55" s="35"/>
      <c r="G55" s="25" t="str">
        <f>IF(D55&gt;B55,"Ok, shear reduction check not required","See shear reduction check")</f>
        <v>See shear reduction check</v>
      </c>
      <c r="J55" s="25"/>
      <c r="K55" s="25"/>
      <c r="L55" s="25"/>
      <c r="M55" s="25"/>
      <c r="N55" s="26"/>
    </row>
    <row r="56" spans="1:14">
      <c r="A56" s="23"/>
      <c r="B56" s="32"/>
      <c r="C56" s="25"/>
      <c r="D56" s="34"/>
      <c r="F56" s="35"/>
      <c r="G56" s="25"/>
      <c r="J56" s="25"/>
      <c r="K56" s="25"/>
      <c r="L56" s="25"/>
      <c r="M56" s="25"/>
      <c r="N56" s="26"/>
    </row>
    <row r="57" spans="1:14">
      <c r="A57" s="23"/>
      <c r="B57" s="37" t="s">
        <v>117</v>
      </c>
      <c r="C57" s="25"/>
      <c r="D57" s="32"/>
      <c r="E57" s="35"/>
      <c r="F57" s="25"/>
      <c r="G57" s="34"/>
      <c r="H57" s="35"/>
      <c r="I57" s="25"/>
      <c r="J57" s="25"/>
      <c r="K57" s="25"/>
      <c r="L57" s="25"/>
      <c r="M57" s="25"/>
      <c r="N57" s="26"/>
    </row>
    <row r="58" spans="1:14" ht="15.75">
      <c r="A58" s="23"/>
      <c r="B58" s="25" t="s">
        <v>118</v>
      </c>
      <c r="C58" s="25" t="s">
        <v>1</v>
      </c>
      <c r="D58" s="34" t="s">
        <v>119</v>
      </c>
      <c r="E58" s="35"/>
      <c r="F58" s="37" t="s">
        <v>120</v>
      </c>
      <c r="G58" s="34" t="s">
        <v>121</v>
      </c>
      <c r="H58" s="25" t="s">
        <v>1</v>
      </c>
      <c r="I58" s="32" t="s">
        <v>7</v>
      </c>
      <c r="J58" s="25" t="s">
        <v>122</v>
      </c>
      <c r="K58" s="25"/>
      <c r="L58" s="25"/>
      <c r="M58" s="25"/>
      <c r="N58" s="26"/>
    </row>
    <row r="59" spans="1:14">
      <c r="A59" s="23"/>
      <c r="B59" s="25" t="s">
        <v>118</v>
      </c>
      <c r="C59" s="25" t="s">
        <v>1</v>
      </c>
      <c r="D59" s="34">
        <f>(D5)/(2*D5)</f>
        <v>0.5</v>
      </c>
      <c r="E59" s="35"/>
      <c r="F59" s="25"/>
      <c r="G59" s="34"/>
      <c r="H59" s="25"/>
      <c r="I59" s="32"/>
      <c r="J59" s="25"/>
      <c r="K59" s="25"/>
      <c r="L59" s="25"/>
      <c r="M59" s="25"/>
      <c r="N59" s="26"/>
    </row>
    <row r="60" spans="1:14" ht="15.75">
      <c r="A60" s="23"/>
      <c r="B60" s="25" t="s">
        <v>123</v>
      </c>
      <c r="C60" s="25" t="s">
        <v>1</v>
      </c>
      <c r="D60" s="32">
        <f>D59*F50</f>
        <v>419.89500000000055</v>
      </c>
      <c r="E60" s="25" t="str">
        <f>IF(F60&gt;D60,"&lt;","&gt;")</f>
        <v>&lt;</v>
      </c>
      <c r="F60" s="34">
        <f>IF(D38&gt;D39,D38,D39)</f>
        <v>600.6</v>
      </c>
      <c r="H60" s="35"/>
      <c r="I60" s="25" t="str">
        <f>IF(F60&gt;D60,"Hence safe","Revise depth")</f>
        <v>Hence safe</v>
      </c>
      <c r="K60" s="25"/>
      <c r="L60" s="25"/>
      <c r="M60" s="25"/>
      <c r="N60" s="26"/>
    </row>
    <row r="61" spans="1:14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40"/>
    </row>
  </sheetData>
  <conditionalFormatting sqref="I57 G55:G56">
    <cfRule type="containsText" dxfId="12" priority="3" operator="containsText" text="See Shear reduction check">
      <formula>NOT(ISERROR(SEARCH("See Shear reduction check",G55)))</formula>
    </cfRule>
    <cfRule type="containsText" dxfId="11" priority="4" operator="containsText" text="Ok, shear reduction check not required">
      <formula>NOT(ISERROR(SEARCH("Ok, shear reduction check not required",G55)))</formula>
    </cfRule>
  </conditionalFormatting>
  <conditionalFormatting sqref="I60">
    <cfRule type="containsText" dxfId="10" priority="1" operator="containsText" text="Revise depth">
      <formula>NOT(ISERROR(SEARCH("Revise depth",I60)))</formula>
    </cfRule>
    <cfRule type="containsText" dxfId="9" priority="2" operator="containsText" text="Hence safe">
      <formula>NOT(ISERROR(SEARCH("Hence safe",I60)))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I24" sqref="I24"/>
    </sheetView>
  </sheetViews>
  <sheetFormatPr defaultRowHeight="15"/>
  <cols>
    <col min="1" max="1" width="15.42578125" customWidth="1"/>
  </cols>
  <sheetData>
    <row r="2" spans="1:6">
      <c r="A2" s="417" t="s">
        <v>462</v>
      </c>
    </row>
    <row r="3" spans="1:6" s="349" customFormat="1">
      <c r="A3" s="16" t="s">
        <v>458</v>
      </c>
    </row>
    <row r="4" spans="1:6" s="349" customFormat="1">
      <c r="A4" s="418" t="s">
        <v>459</v>
      </c>
      <c r="B4" s="349">
        <f>Input!H83</f>
        <v>20.5</v>
      </c>
      <c r="C4" s="349" t="s">
        <v>325</v>
      </c>
    </row>
    <row r="5" spans="1:6" s="349" customFormat="1">
      <c r="A5" s="418" t="s">
        <v>460</v>
      </c>
      <c r="B5" s="349">
        <f>Input!H84</f>
        <v>12</v>
      </c>
      <c r="C5" s="349" t="s">
        <v>325</v>
      </c>
    </row>
    <row r="6" spans="1:6" s="349" customFormat="1">
      <c r="A6" s="418" t="s">
        <v>461</v>
      </c>
      <c r="B6" s="349">
        <f>Input!H80</f>
        <v>2170.0000000000027</v>
      </c>
      <c r="C6" s="349" t="s">
        <v>0</v>
      </c>
    </row>
    <row r="7" spans="1:6" s="349" customFormat="1">
      <c r="A7" s="418"/>
    </row>
    <row r="8" spans="1:6">
      <c r="A8" s="16" t="s">
        <v>463</v>
      </c>
    </row>
    <row r="9" spans="1:6">
      <c r="A9" s="503" t="s">
        <v>457</v>
      </c>
      <c r="B9" s="503" t="s">
        <v>465</v>
      </c>
      <c r="C9" s="503" t="s">
        <v>466</v>
      </c>
      <c r="D9" s="503" t="s">
        <v>455</v>
      </c>
      <c r="E9" s="503" t="s">
        <v>456</v>
      </c>
      <c r="F9" s="503" t="s">
        <v>322</v>
      </c>
    </row>
    <row r="10" spans="1:6">
      <c r="A10" s="503"/>
      <c r="B10" s="503"/>
      <c r="C10" s="503"/>
      <c r="D10" s="503"/>
      <c r="E10" s="503"/>
      <c r="F10" s="503"/>
    </row>
    <row r="11" spans="1:6">
      <c r="A11" s="399" t="s">
        <v>434</v>
      </c>
      <c r="B11" s="415">
        <f>Flexure!G151</f>
        <v>2444.546570944593</v>
      </c>
      <c r="C11" s="415">
        <f>Flexure!G154</f>
        <v>3142.8571428571427</v>
      </c>
      <c r="D11" s="415">
        <f>'Crack Width'!H50</f>
        <v>20</v>
      </c>
      <c r="E11" s="416">
        <f>Flexure!G153</f>
        <v>100</v>
      </c>
      <c r="F11" s="419" t="str">
        <f>IF(B11&lt;C11,"O.K","Revise")</f>
        <v>O.K</v>
      </c>
    </row>
    <row r="12" spans="1:6">
      <c r="A12" s="399" t="s">
        <v>435</v>
      </c>
      <c r="B12" s="415">
        <f>Flexure!G166</f>
        <v>2798.5432701634704</v>
      </c>
      <c r="C12" s="415">
        <f>Flexure!G169</f>
        <v>3142.8571428571427</v>
      </c>
      <c r="D12" s="415">
        <f>'Crack Width'!H51</f>
        <v>20</v>
      </c>
      <c r="E12" s="416">
        <f>Flexure!G168</f>
        <v>100</v>
      </c>
      <c r="F12" s="419" t="str">
        <f t="shared" ref="F12:F14" si="0">IF(B12&lt;C12,"O.K","Revise")</f>
        <v>O.K</v>
      </c>
    </row>
    <row r="13" spans="1:6">
      <c r="A13" s="399" t="s">
        <v>436</v>
      </c>
      <c r="B13" s="415">
        <f>Flexure!G159</f>
        <v>1144.7913259613106</v>
      </c>
      <c r="C13" s="415">
        <f>Flexure!G162</f>
        <v>3142.8571428571427</v>
      </c>
      <c r="D13" s="415">
        <f>'Crack Width'!H52</f>
        <v>20</v>
      </c>
      <c r="E13" s="416">
        <f>Flexure!G161</f>
        <v>100</v>
      </c>
      <c r="F13" s="419" t="str">
        <f t="shared" si="0"/>
        <v>O.K</v>
      </c>
    </row>
    <row r="14" spans="1:6">
      <c r="A14" s="399" t="s">
        <v>437</v>
      </c>
      <c r="B14" s="415">
        <f>Flexure!G173</f>
        <v>2683.3785725576604</v>
      </c>
      <c r="C14" s="415">
        <f>Flexure!G176</f>
        <v>3142.8571428571427</v>
      </c>
      <c r="D14" s="415">
        <f>'Crack Width'!H53</f>
        <v>20</v>
      </c>
      <c r="E14" s="416">
        <f>Flexure!G175</f>
        <v>100</v>
      </c>
      <c r="F14" s="419" t="str">
        <f t="shared" si="0"/>
        <v>O.K</v>
      </c>
    </row>
    <row r="17" spans="1:5">
      <c r="A17" s="16" t="s">
        <v>469</v>
      </c>
    </row>
    <row r="18" spans="1:5" ht="15" customHeight="1">
      <c r="A18" s="503" t="s">
        <v>470</v>
      </c>
      <c r="B18" s="503" t="s">
        <v>471</v>
      </c>
      <c r="C18" s="503"/>
      <c r="D18" s="503" t="s">
        <v>322</v>
      </c>
      <c r="E18" s="25"/>
    </row>
    <row r="19" spans="1:5">
      <c r="A19" s="503"/>
      <c r="B19" s="503"/>
      <c r="C19" s="503"/>
      <c r="D19" s="503"/>
      <c r="E19" s="25"/>
    </row>
    <row r="20" spans="1:5">
      <c r="A20" s="503"/>
      <c r="B20" s="503"/>
      <c r="C20" s="503"/>
      <c r="D20" s="503"/>
    </row>
    <row r="21" spans="1:5">
      <c r="A21" s="416">
        <f>'Punching Shear'!E48</f>
        <v>0.38700000000000001</v>
      </c>
      <c r="B21" s="504">
        <f>'Punching Shear'!D36</f>
        <v>0.51785937075121891</v>
      </c>
      <c r="C21" s="505"/>
      <c r="D21" s="419" t="str">
        <f>IF(A21&lt;B21,"O.K","Revise")</f>
        <v>O.K</v>
      </c>
    </row>
    <row r="23" spans="1:5">
      <c r="A23" s="16" t="s">
        <v>472</v>
      </c>
    </row>
    <row r="24" spans="1:5" ht="15" customHeight="1">
      <c r="A24" s="506" t="s">
        <v>473</v>
      </c>
      <c r="B24" s="503" t="s">
        <v>474</v>
      </c>
      <c r="C24" s="503"/>
      <c r="D24" s="503" t="s">
        <v>322</v>
      </c>
    </row>
    <row r="25" spans="1:5">
      <c r="A25" s="507"/>
      <c r="B25" s="503"/>
      <c r="C25" s="503"/>
      <c r="D25" s="503"/>
    </row>
    <row r="26" spans="1:5">
      <c r="A26" s="416">
        <f>'Crack Width'!G68</f>
        <v>0.27300000000000002</v>
      </c>
      <c r="B26" s="504">
        <f>'Crack Width'!H4</f>
        <v>0.3</v>
      </c>
      <c r="C26" s="505"/>
      <c r="D26" s="419" t="str">
        <f>IF(A26&lt;B26,"O.K","Revise")</f>
        <v>O.K</v>
      </c>
    </row>
    <row r="29" spans="1:5">
      <c r="A29" s="16" t="s">
        <v>464</v>
      </c>
    </row>
    <row r="30" spans="1:5" ht="15" customHeight="1">
      <c r="A30" s="503" t="s">
        <v>467</v>
      </c>
      <c r="B30" s="503" t="s">
        <v>468</v>
      </c>
      <c r="C30" s="503"/>
      <c r="D30" s="503" t="s">
        <v>322</v>
      </c>
    </row>
    <row r="31" spans="1:5">
      <c r="A31" s="503"/>
      <c r="B31" s="503"/>
      <c r="C31" s="503"/>
      <c r="D31" s="503"/>
    </row>
    <row r="32" spans="1:5">
      <c r="A32" s="416">
        <f>'One Way Shear'!D60</f>
        <v>419.89500000000055</v>
      </c>
      <c r="B32" s="504">
        <f>'One Way Shear'!F60</f>
        <v>600.6</v>
      </c>
      <c r="C32" s="505"/>
      <c r="D32" s="419" t="str">
        <f>IF(A32&lt;B32,"O.K","Revise")</f>
        <v>O.K</v>
      </c>
    </row>
  </sheetData>
  <mergeCells count="18">
    <mergeCell ref="F9:F10"/>
    <mergeCell ref="A9:A10"/>
    <mergeCell ref="D9:D10"/>
    <mergeCell ref="E9:E10"/>
    <mergeCell ref="B9:B10"/>
    <mergeCell ref="C9:C10"/>
    <mergeCell ref="B26:C26"/>
    <mergeCell ref="A30:A31"/>
    <mergeCell ref="B30:C31"/>
    <mergeCell ref="B32:C32"/>
    <mergeCell ref="D30:D31"/>
    <mergeCell ref="A18:A20"/>
    <mergeCell ref="B18:C20"/>
    <mergeCell ref="D18:D20"/>
    <mergeCell ref="B21:C21"/>
    <mergeCell ref="A24:A25"/>
    <mergeCell ref="B24:C25"/>
    <mergeCell ref="D24:D25"/>
  </mergeCells>
  <conditionalFormatting sqref="F11:F14">
    <cfRule type="containsText" dxfId="8" priority="11" operator="containsText" text="Revise">
      <formula>NOT(ISERROR(SEARCH("Revise",F11)))</formula>
    </cfRule>
  </conditionalFormatting>
  <conditionalFormatting sqref="F11">
    <cfRule type="containsText" dxfId="7" priority="10" operator="containsText" text="O.K">
      <formula>NOT(ISERROR(SEARCH("O.K",F11)))</formula>
    </cfRule>
  </conditionalFormatting>
  <conditionalFormatting sqref="F12:F14">
    <cfRule type="containsText" dxfId="6" priority="9" operator="containsText" text="O.K">
      <formula>NOT(ISERROR(SEARCH("O.K",F12)))</formula>
    </cfRule>
  </conditionalFormatting>
  <conditionalFormatting sqref="D32">
    <cfRule type="containsText" dxfId="5" priority="8" operator="containsText" text="Revise">
      <formula>NOT(ISERROR(SEARCH("Revise",D32)))</formula>
    </cfRule>
  </conditionalFormatting>
  <conditionalFormatting sqref="D32">
    <cfRule type="containsText" dxfId="4" priority="7" operator="containsText" text="O.K">
      <formula>NOT(ISERROR(SEARCH("O.K",D32)))</formula>
    </cfRule>
  </conditionalFormatting>
  <conditionalFormatting sqref="D21">
    <cfRule type="containsText" dxfId="3" priority="4" operator="containsText" text="Revise">
      <formula>NOT(ISERROR(SEARCH("Revise",D21)))</formula>
    </cfRule>
  </conditionalFormatting>
  <conditionalFormatting sqref="D21">
    <cfRule type="containsText" dxfId="2" priority="3" operator="containsText" text="O.K">
      <formula>NOT(ISERROR(SEARCH("O.K",D21)))</formula>
    </cfRule>
  </conditionalFormatting>
  <conditionalFormatting sqref="D26">
    <cfRule type="containsText" dxfId="1" priority="2" operator="containsText" text="Revise">
      <formula>NOT(ISERROR(SEARCH("Revise",D26)))</formula>
    </cfRule>
  </conditionalFormatting>
  <conditionalFormatting sqref="D26">
    <cfRule type="containsText" dxfId="0" priority="1" operator="containsText" text="O.K">
      <formula>NOT(ISERROR(SEARCH("O.K",D26)))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76"/>
  <sheetViews>
    <sheetView topLeftCell="M1" workbookViewId="0">
      <selection activeCell="V28" sqref="V28"/>
    </sheetView>
  </sheetViews>
  <sheetFormatPr defaultRowHeight="15"/>
  <cols>
    <col min="1" max="2" width="0" hidden="1" customWidth="1"/>
    <col min="3" max="3" width="23.7109375" hidden="1" customWidth="1"/>
    <col min="4" max="4" width="10.42578125" hidden="1" customWidth="1"/>
    <col min="5" max="5" width="10.85546875" hidden="1" customWidth="1"/>
    <col min="6" max="6" width="0" hidden="1" customWidth="1"/>
    <col min="7" max="7" width="13.5703125" hidden="1" customWidth="1"/>
    <col min="8" max="8" width="8.85546875" hidden="1" customWidth="1"/>
    <col min="9" max="10" width="0" hidden="1" customWidth="1"/>
    <col min="11" max="11" width="13.28515625" hidden="1" customWidth="1"/>
    <col min="12" max="12" width="0" hidden="1" customWidth="1"/>
    <col min="14" max="14" width="10.5703125" bestFit="1" customWidth="1"/>
    <col min="15" max="15" width="21.7109375" customWidth="1"/>
    <col min="16" max="16" width="21.7109375" style="349" customWidth="1"/>
    <col min="17" max="17" width="8.140625" style="349" customWidth="1"/>
    <col min="18" max="19" width="8.7109375" style="349" customWidth="1"/>
    <col min="20" max="20" width="8.5703125" style="349" customWidth="1"/>
    <col min="21" max="21" width="8.5703125" customWidth="1"/>
  </cols>
  <sheetData>
    <row r="2" spans="3:22">
      <c r="M2" s="434"/>
      <c r="N2" s="434" t="s">
        <v>499</v>
      </c>
      <c r="O2" s="434" t="s">
        <v>500</v>
      </c>
      <c r="P2" s="436"/>
    </row>
    <row r="3" spans="3:22">
      <c r="M3" s="434" t="s">
        <v>496</v>
      </c>
      <c r="N3" s="434">
        <v>225</v>
      </c>
      <c r="O3" s="434">
        <v>555</v>
      </c>
      <c r="P3" s="436"/>
    </row>
    <row r="4" spans="3:22">
      <c r="C4" s="350" t="s">
        <v>229</v>
      </c>
      <c r="D4" s="350"/>
      <c r="E4" s="350"/>
      <c r="F4" s="349"/>
      <c r="G4" s="351">
        <v>500</v>
      </c>
      <c r="H4" s="350" t="s">
        <v>0</v>
      </c>
      <c r="M4" s="434" t="s">
        <v>497</v>
      </c>
      <c r="N4" s="434">
        <v>392</v>
      </c>
      <c r="O4" s="434">
        <v>950</v>
      </c>
      <c r="P4" s="436"/>
    </row>
    <row r="5" spans="3:22">
      <c r="C5" s="350" t="s">
        <v>230</v>
      </c>
      <c r="D5" s="350"/>
      <c r="E5" s="350"/>
      <c r="F5" s="349"/>
      <c r="G5" s="351">
        <v>25</v>
      </c>
      <c r="H5" s="350" t="s">
        <v>234</v>
      </c>
      <c r="M5" s="434" t="s">
        <v>498</v>
      </c>
      <c r="N5" s="434">
        <v>510</v>
      </c>
      <c r="O5" s="434">
        <v>1250</v>
      </c>
      <c r="P5" s="436"/>
    </row>
    <row r="6" spans="3:22" s="349" customFormat="1">
      <c r="C6" s="350" t="s">
        <v>346</v>
      </c>
      <c r="D6" s="350"/>
      <c r="E6" s="350"/>
      <c r="G6" s="345" t="s">
        <v>376</v>
      </c>
      <c r="H6" s="350"/>
      <c r="M6"/>
      <c r="N6"/>
      <c r="O6" s="437">
        <v>997</v>
      </c>
      <c r="P6" s="437"/>
    </row>
    <row r="8" spans="3:22" s="349" customFormat="1" ht="15" customHeight="1">
      <c r="C8" s="130" t="s">
        <v>377</v>
      </c>
      <c r="G8" s="351" t="s">
        <v>406</v>
      </c>
      <c r="M8" s="505" t="s">
        <v>505</v>
      </c>
      <c r="N8" s="505" t="s">
        <v>513</v>
      </c>
      <c r="O8" s="508" t="s">
        <v>514</v>
      </c>
      <c r="P8" s="508" t="s">
        <v>515</v>
      </c>
      <c r="Q8" s="508" t="s">
        <v>516</v>
      </c>
      <c r="R8" s="508"/>
      <c r="S8" s="508"/>
      <c r="T8" s="508" t="s">
        <v>517</v>
      </c>
      <c r="U8" s="508"/>
      <c r="V8" s="508"/>
    </row>
    <row r="9" spans="3:22" s="349" customFormat="1">
      <c r="C9" s="130" t="s">
        <v>378</v>
      </c>
      <c r="G9" s="351" t="s">
        <v>407</v>
      </c>
      <c r="M9" s="505"/>
      <c r="N9" s="505"/>
      <c r="O9" s="508"/>
      <c r="P9" s="508"/>
      <c r="Q9" s="436" t="s">
        <v>496</v>
      </c>
      <c r="R9" s="436" t="s">
        <v>497</v>
      </c>
      <c r="S9" s="436" t="s">
        <v>498</v>
      </c>
      <c r="T9" s="436" t="s">
        <v>496</v>
      </c>
      <c r="U9" s="436" t="s">
        <v>497</v>
      </c>
      <c r="V9" s="436" t="s">
        <v>498</v>
      </c>
    </row>
    <row r="10" spans="3:22" s="349" customFormat="1">
      <c r="M10" s="436" t="s">
        <v>506</v>
      </c>
      <c r="N10" s="436">
        <v>29</v>
      </c>
      <c r="O10" s="436">
        <v>1950</v>
      </c>
      <c r="P10" s="436">
        <v>4300</v>
      </c>
      <c r="Q10" s="435">
        <f t="shared" ref="Q10:Q16" si="0">$N$3*(N10/20)</f>
        <v>326.25</v>
      </c>
      <c r="R10" s="435">
        <f t="shared" ref="R10:R16" si="1">$N$4*(N10/20)</f>
        <v>568.4</v>
      </c>
      <c r="S10" s="435">
        <f t="shared" ref="S10:S16" si="2">$N$5*(N10/20)</f>
        <v>739.5</v>
      </c>
      <c r="T10" s="435">
        <f t="shared" ref="T10:T16" si="3">$O$3*(N10/20)</f>
        <v>804.75</v>
      </c>
      <c r="U10" s="435">
        <f t="shared" ref="U10:U16" si="4">$O$4*(N10/20)</f>
        <v>1377.5</v>
      </c>
      <c r="V10" s="435">
        <f>$O$5*(N10/20)</f>
        <v>1812.5</v>
      </c>
    </row>
    <row r="11" spans="3:22" s="349" customFormat="1">
      <c r="C11" s="130" t="s">
        <v>379</v>
      </c>
      <c r="G11" s="349">
        <f>IF(G8="3x3 Pile group",IF(G9="3D",0.2,0),IF(G8="4x4 Pile group",IF(G9="3D",0.35,IF(G9="4D",0.2,0))))</f>
        <v>0</v>
      </c>
      <c r="M11" s="436" t="s">
        <v>507</v>
      </c>
      <c r="N11" s="436">
        <v>19.3</v>
      </c>
      <c r="O11" s="436">
        <v>1846</v>
      </c>
      <c r="P11" s="436">
        <v>4300</v>
      </c>
      <c r="Q11" s="435">
        <f t="shared" si="0"/>
        <v>217.12500000000003</v>
      </c>
      <c r="R11" s="435">
        <f t="shared" si="1"/>
        <v>378.28000000000003</v>
      </c>
      <c r="S11" s="435">
        <f t="shared" si="2"/>
        <v>492.15000000000003</v>
      </c>
      <c r="T11" s="435">
        <f t="shared" si="3"/>
        <v>535.57500000000005</v>
      </c>
      <c r="U11" s="435">
        <f t="shared" si="4"/>
        <v>916.75000000000011</v>
      </c>
      <c r="V11" s="435">
        <f>$O$5*(N11/20)</f>
        <v>1206.25</v>
      </c>
    </row>
    <row r="12" spans="3:22" s="349" customFormat="1">
      <c r="M12" s="436" t="s">
        <v>508</v>
      </c>
      <c r="N12" s="436">
        <v>20.3</v>
      </c>
      <c r="O12" s="436">
        <v>1950</v>
      </c>
      <c r="P12" s="436">
        <v>4300</v>
      </c>
      <c r="Q12" s="435">
        <f t="shared" si="0"/>
        <v>228.37500000000003</v>
      </c>
      <c r="R12" s="435">
        <f t="shared" si="1"/>
        <v>397.88000000000005</v>
      </c>
      <c r="S12" s="435">
        <f t="shared" si="2"/>
        <v>517.65000000000009</v>
      </c>
      <c r="T12" s="435">
        <f t="shared" si="3"/>
        <v>563.32500000000005</v>
      </c>
      <c r="U12" s="435">
        <f t="shared" si="4"/>
        <v>964.25000000000011</v>
      </c>
      <c r="V12" s="435">
        <f>$O$5*(N12/20)</f>
        <v>1268.7500000000002</v>
      </c>
    </row>
    <row r="13" spans="3:22">
      <c r="C13" s="16" t="s">
        <v>356</v>
      </c>
      <c r="D13" s="349"/>
      <c r="E13" s="349"/>
      <c r="F13" s="349"/>
      <c r="G13" s="349"/>
      <c r="H13" s="349"/>
      <c r="I13" s="349"/>
      <c r="M13" s="436" t="s">
        <v>509</v>
      </c>
      <c r="N13" s="436">
        <v>20</v>
      </c>
      <c r="O13" s="436">
        <v>1950</v>
      </c>
      <c r="P13" s="436">
        <v>4300</v>
      </c>
      <c r="Q13" s="435">
        <f t="shared" si="0"/>
        <v>225</v>
      </c>
      <c r="R13" s="435">
        <f t="shared" si="1"/>
        <v>392</v>
      </c>
      <c r="S13" s="435">
        <f t="shared" si="2"/>
        <v>510</v>
      </c>
      <c r="T13" s="435">
        <f t="shared" si="3"/>
        <v>555</v>
      </c>
      <c r="U13" s="435">
        <f t="shared" si="4"/>
        <v>950</v>
      </c>
      <c r="V13" s="435">
        <f>$O$5*(N13/20)</f>
        <v>1250</v>
      </c>
    </row>
    <row r="14" spans="3:22">
      <c r="M14" s="436" t="s">
        <v>510</v>
      </c>
      <c r="N14" s="436">
        <v>19.100000000000001</v>
      </c>
      <c r="O14" s="436">
        <v>1950</v>
      </c>
      <c r="P14" s="436">
        <v>4300</v>
      </c>
      <c r="Q14" s="435">
        <f t="shared" si="0"/>
        <v>214.87500000000003</v>
      </c>
      <c r="R14" s="435">
        <f t="shared" si="1"/>
        <v>374.36</v>
      </c>
      <c r="S14" s="435">
        <f t="shared" si="2"/>
        <v>487.05</v>
      </c>
      <c r="T14" s="435">
        <f t="shared" si="3"/>
        <v>530.02500000000009</v>
      </c>
      <c r="U14" s="435">
        <f t="shared" si="4"/>
        <v>907.25000000000011</v>
      </c>
      <c r="V14" s="435">
        <f>$O$5*(N14/20)</f>
        <v>1193.75</v>
      </c>
    </row>
    <row r="15" spans="3:22">
      <c r="C15" s="349" t="s">
        <v>357</v>
      </c>
      <c r="D15" s="349"/>
      <c r="E15" s="349"/>
      <c r="F15" s="349"/>
      <c r="G15" s="351">
        <v>810</v>
      </c>
      <c r="H15" s="349" t="s">
        <v>102</v>
      </c>
      <c r="I15" s="349" t="s">
        <v>358</v>
      </c>
      <c r="K15" s="349">
        <v>1950</v>
      </c>
      <c r="M15" s="436" t="s">
        <v>511</v>
      </c>
      <c r="N15" s="436">
        <v>15</v>
      </c>
      <c r="O15" s="436">
        <v>1950</v>
      </c>
      <c r="P15" s="436">
        <v>4300</v>
      </c>
      <c r="Q15" s="435">
        <f t="shared" si="0"/>
        <v>168.75</v>
      </c>
      <c r="R15" s="435">
        <f t="shared" si="1"/>
        <v>294</v>
      </c>
      <c r="S15" s="435">
        <f t="shared" si="2"/>
        <v>382.5</v>
      </c>
      <c r="T15" s="435">
        <f t="shared" si="3"/>
        <v>416.25</v>
      </c>
      <c r="U15" s="435">
        <f t="shared" si="4"/>
        <v>712.5</v>
      </c>
      <c r="V15" s="435">
        <f>O6*(N15/20)</f>
        <v>747.75</v>
      </c>
    </row>
    <row r="16" spans="3:22">
      <c r="M16" s="436" t="s">
        <v>512</v>
      </c>
      <c r="N16" s="436">
        <v>21.3</v>
      </c>
      <c r="O16" s="436">
        <v>1950</v>
      </c>
      <c r="P16" s="436">
        <v>4300</v>
      </c>
      <c r="Q16" s="435">
        <f t="shared" si="0"/>
        <v>239.625</v>
      </c>
      <c r="R16" s="435">
        <f t="shared" si="1"/>
        <v>417.47999999999996</v>
      </c>
      <c r="S16" s="435">
        <f t="shared" si="2"/>
        <v>543.15</v>
      </c>
      <c r="T16" s="435">
        <f t="shared" si="3"/>
        <v>591.07499999999993</v>
      </c>
      <c r="U16" s="435">
        <f t="shared" si="4"/>
        <v>1011.75</v>
      </c>
      <c r="V16" s="435">
        <f>O6*(N16/20)</f>
        <v>1061.8049999999998</v>
      </c>
    </row>
    <row r="17" spans="3:19">
      <c r="C17" s="349" t="s">
        <v>359</v>
      </c>
      <c r="D17" s="349"/>
      <c r="E17" s="349"/>
      <c r="F17" s="349"/>
      <c r="G17" s="351">
        <v>0.39</v>
      </c>
      <c r="H17" s="349" t="s">
        <v>360</v>
      </c>
      <c r="I17" s="349"/>
    </row>
    <row r="19" spans="3:19">
      <c r="C19" s="349" t="s">
        <v>361</v>
      </c>
      <c r="D19" s="349"/>
      <c r="E19" s="349"/>
      <c r="F19" s="349"/>
      <c r="G19" s="351">
        <v>621</v>
      </c>
      <c r="H19" s="349" t="s">
        <v>102</v>
      </c>
      <c r="I19" s="349" t="s">
        <v>358</v>
      </c>
      <c r="K19" s="349">
        <f>G19*1.4</f>
        <v>869.4</v>
      </c>
    </row>
    <row r="21" spans="3:19">
      <c r="C21" s="349" t="s">
        <v>362</v>
      </c>
      <c r="D21" s="349"/>
      <c r="E21" s="349"/>
      <c r="F21" s="349"/>
      <c r="G21" s="351">
        <v>63</v>
      </c>
      <c r="H21" s="349" t="s">
        <v>102</v>
      </c>
      <c r="I21" s="349" t="s">
        <v>358</v>
      </c>
      <c r="K21" s="349">
        <f>G21*1.4</f>
        <v>88.199999999999989</v>
      </c>
    </row>
    <row r="24" spans="3:19" s="349" customFormat="1">
      <c r="C24" s="349" t="s">
        <v>414</v>
      </c>
      <c r="F24" s="349" t="s">
        <v>415</v>
      </c>
      <c r="G24" s="349">
        <f>G15/G17*100</f>
        <v>207692.30769230766</v>
      </c>
    </row>
    <row r="25" spans="3:19" s="349" customFormat="1">
      <c r="F25" s="349" t="s">
        <v>416</v>
      </c>
      <c r="G25" s="349">
        <f>G21/2*100</f>
        <v>3150</v>
      </c>
      <c r="Q25" s="443"/>
      <c r="R25" s="443"/>
      <c r="S25" s="443"/>
    </row>
    <row r="26" spans="3:19" s="349" customFormat="1">
      <c r="F26" s="349" t="s">
        <v>417</v>
      </c>
      <c r="G26" s="349">
        <f>G21/2*100</f>
        <v>3150</v>
      </c>
      <c r="Q26" s="443"/>
      <c r="R26" s="443"/>
      <c r="S26" s="443"/>
    </row>
    <row r="27" spans="3:19" s="349" customFormat="1">
      <c r="Q27" s="443"/>
      <c r="R27" s="443"/>
      <c r="S27" s="443"/>
    </row>
    <row r="28" spans="3:19" s="349" customFormat="1">
      <c r="Q28" s="443"/>
      <c r="R28" s="443"/>
      <c r="S28" s="443"/>
    </row>
    <row r="29" spans="3:19">
      <c r="C29" s="16" t="s">
        <v>363</v>
      </c>
      <c r="D29" s="349"/>
      <c r="E29" s="349"/>
      <c r="F29" s="349"/>
      <c r="G29" s="349"/>
      <c r="H29" s="349"/>
    </row>
    <row r="30" spans="3:19">
      <c r="M30" s="437"/>
    </row>
    <row r="31" spans="3:19">
      <c r="C31" s="349" t="s">
        <v>364</v>
      </c>
      <c r="D31" s="349"/>
      <c r="E31" s="349"/>
      <c r="F31" s="349"/>
      <c r="G31" s="349"/>
      <c r="H31" s="349"/>
      <c r="M31" s="438"/>
      <c r="O31" s="437"/>
      <c r="P31" s="437"/>
      <c r="Q31" s="437"/>
      <c r="R31" s="437"/>
      <c r="S31" s="437"/>
    </row>
    <row r="32" spans="3:19">
      <c r="M32" s="438"/>
      <c r="O32" s="437"/>
      <c r="P32" s="437"/>
      <c r="Q32" s="437"/>
      <c r="R32" s="437"/>
      <c r="S32" s="437"/>
    </row>
    <row r="33" spans="3:8">
      <c r="C33" s="349" t="s">
        <v>365</v>
      </c>
      <c r="D33" s="349"/>
      <c r="E33" s="349"/>
      <c r="F33" s="349"/>
      <c r="G33" s="351">
        <v>1950</v>
      </c>
      <c r="H33" s="349" t="s">
        <v>102</v>
      </c>
    </row>
    <row r="34" spans="3:8">
      <c r="C34" s="349" t="s">
        <v>366</v>
      </c>
      <c r="D34" s="349"/>
      <c r="E34" s="349"/>
      <c r="F34" s="349"/>
      <c r="G34" s="351">
        <v>100</v>
      </c>
      <c r="H34" s="349" t="s">
        <v>102</v>
      </c>
    </row>
    <row r="36" spans="3:8">
      <c r="C36" s="349" t="s">
        <v>367</v>
      </c>
      <c r="D36" s="349"/>
      <c r="E36" s="349"/>
      <c r="F36" s="349"/>
      <c r="G36" s="351">
        <v>510</v>
      </c>
      <c r="H36" s="349" t="s">
        <v>102</v>
      </c>
    </row>
    <row r="37" spans="3:8">
      <c r="C37" s="349" t="s">
        <v>366</v>
      </c>
      <c r="D37" s="349"/>
      <c r="E37" s="349"/>
      <c r="F37" s="349"/>
      <c r="G37" s="351">
        <v>80</v>
      </c>
      <c r="H37" s="349" t="s">
        <v>102</v>
      </c>
    </row>
    <row r="40" spans="3:8">
      <c r="C40" s="349" t="s">
        <v>368</v>
      </c>
      <c r="D40" s="349"/>
      <c r="E40" s="349"/>
      <c r="F40" s="349"/>
      <c r="G40" s="349"/>
      <c r="H40" s="349"/>
    </row>
    <row r="42" spans="3:8">
      <c r="C42" s="349"/>
      <c r="D42" s="352" t="s">
        <v>369</v>
      </c>
      <c r="E42" s="352" t="s">
        <v>370</v>
      </c>
      <c r="F42" s="349"/>
      <c r="G42" s="349"/>
      <c r="H42" s="349"/>
    </row>
    <row r="43" spans="3:8">
      <c r="C43" s="349"/>
      <c r="D43" s="352">
        <v>1950</v>
      </c>
      <c r="E43" s="352">
        <v>100</v>
      </c>
      <c r="F43" s="349"/>
      <c r="G43" s="349"/>
      <c r="H43" s="349"/>
    </row>
    <row r="44" spans="3:8">
      <c r="C44" s="349"/>
      <c r="D44" s="352">
        <v>520</v>
      </c>
      <c r="E44" s="352">
        <v>80</v>
      </c>
      <c r="F44" s="349"/>
      <c r="G44" s="349"/>
      <c r="H44" s="349"/>
    </row>
    <row r="45" spans="3:8">
      <c r="C45" s="349"/>
      <c r="D45" s="352">
        <v>250</v>
      </c>
      <c r="E45" s="352">
        <v>60</v>
      </c>
      <c r="F45" s="349"/>
      <c r="G45" s="349"/>
      <c r="H45" s="349"/>
    </row>
    <row r="46" spans="3:8">
      <c r="C46" s="349"/>
      <c r="D46" s="352">
        <v>0</v>
      </c>
      <c r="E46" s="352">
        <v>42</v>
      </c>
      <c r="F46" s="349"/>
      <c r="G46" s="349"/>
      <c r="H46" s="349"/>
    </row>
    <row r="47" spans="3:8">
      <c r="C47" s="348"/>
      <c r="D47" s="352">
        <v>-100</v>
      </c>
      <c r="E47" s="352">
        <v>35</v>
      </c>
      <c r="F47" s="349"/>
      <c r="G47" s="349"/>
      <c r="H47" s="349"/>
    </row>
    <row r="48" spans="3:8">
      <c r="C48" s="348"/>
      <c r="D48" s="352">
        <v>-200</v>
      </c>
      <c r="E48" s="352">
        <v>25</v>
      </c>
      <c r="F48" s="349"/>
      <c r="G48" s="349"/>
      <c r="H48" s="349"/>
    </row>
    <row r="49" spans="3:14">
      <c r="C49" s="348"/>
      <c r="D49" s="352">
        <v>-400</v>
      </c>
      <c r="E49" s="352">
        <v>14</v>
      </c>
      <c r="F49" s="349"/>
      <c r="G49" s="349"/>
      <c r="H49" s="349"/>
    </row>
    <row r="50" spans="3:14">
      <c r="C50" s="348"/>
      <c r="D50" s="352">
        <v>-510</v>
      </c>
      <c r="E50" s="352">
        <v>6</v>
      </c>
      <c r="F50" s="349"/>
      <c r="G50" s="349"/>
      <c r="H50" s="349"/>
    </row>
    <row r="53" spans="3:14">
      <c r="C53" s="349" t="s">
        <v>371</v>
      </c>
      <c r="D53" s="349"/>
      <c r="E53" s="349"/>
      <c r="F53" s="349"/>
      <c r="G53" s="349">
        <f>MIN(K15,G33)</f>
        <v>1950</v>
      </c>
      <c r="H53" s="349" t="s">
        <v>102</v>
      </c>
    </row>
    <row r="54" spans="3:14" ht="15.75" thickBot="1">
      <c r="G54" s="349"/>
    </row>
    <row r="55" spans="3:14" ht="30.75" thickBot="1">
      <c r="C55" s="349" t="s">
        <v>372</v>
      </c>
      <c r="D55" s="349"/>
      <c r="E55" s="349"/>
      <c r="F55" s="349"/>
      <c r="G55" s="349">
        <f>MIN(K19,G36)</f>
        <v>510</v>
      </c>
      <c r="H55" s="349" t="s">
        <v>102</v>
      </c>
      <c r="K55" s="375" t="s">
        <v>408</v>
      </c>
      <c r="M55" s="365" t="s">
        <v>410</v>
      </c>
      <c r="N55" s="364"/>
    </row>
    <row r="56" spans="3:14" ht="15.75" thickBot="1">
      <c r="K56" s="376"/>
      <c r="M56" s="355" t="s">
        <v>409</v>
      </c>
      <c r="N56" s="356" t="s">
        <v>35</v>
      </c>
    </row>
    <row r="57" spans="3:14" s="349" customFormat="1" ht="15.75" customHeight="1" thickBot="1">
      <c r="C57" s="339" t="s">
        <v>388</v>
      </c>
      <c r="D57" s="338"/>
      <c r="E57" s="338"/>
      <c r="F57" s="338"/>
      <c r="G57" s="332">
        <f>'Pile Reaction Check'!E50</f>
        <v>689.5179999999998</v>
      </c>
      <c r="H57" s="337" t="s">
        <v>102</v>
      </c>
      <c r="J57" s="359"/>
      <c r="K57" s="361"/>
      <c r="M57" s="357" t="s">
        <v>102</v>
      </c>
      <c r="N57" s="358" t="s">
        <v>102</v>
      </c>
    </row>
    <row r="58" spans="3:14" s="349" customFormat="1" ht="15.75" thickBot="1">
      <c r="C58" s="336" t="s">
        <v>374</v>
      </c>
      <c r="D58" s="335"/>
      <c r="E58" s="335"/>
      <c r="F58" s="335"/>
      <c r="G58" s="334">
        <f ca="1">K58</f>
        <v>82.370881118881101</v>
      </c>
      <c r="H58" s="333" t="s">
        <v>102</v>
      </c>
      <c r="J58" s="360"/>
      <c r="K58" s="363">
        <f ca="1">IF($G57&lt;$M$58,0,IF($G57&gt;($M$65-1),$N$65,(FORECAST($G57,OFFSET($N$58:$N$65,MATCH($G57,$M$58:$M$65,1)-1,0,2),OFFSET($M$58:$M$65,MATCH($G57,$M$58:$M$65,1)-1,0,2)))))</f>
        <v>82.370881118881101</v>
      </c>
      <c r="M58" s="366">
        <v>-510</v>
      </c>
      <c r="N58" s="367">
        <v>6</v>
      </c>
    </row>
    <row r="59" spans="3:14" s="349" customFormat="1">
      <c r="J59" s="360"/>
      <c r="K59" s="363"/>
      <c r="M59" s="366">
        <v>-400</v>
      </c>
      <c r="N59" s="367">
        <v>14</v>
      </c>
    </row>
    <row r="60" spans="3:14" s="349" customFormat="1" ht="15.75" thickBot="1">
      <c r="J60" s="362"/>
      <c r="K60" s="363"/>
      <c r="M60" s="366">
        <v>-200</v>
      </c>
      <c r="N60" s="367">
        <v>28</v>
      </c>
    </row>
    <row r="61" spans="3:14">
      <c r="C61" s="339" t="s">
        <v>373</v>
      </c>
      <c r="D61" s="338"/>
      <c r="E61" s="338"/>
      <c r="F61" s="338"/>
      <c r="G61" s="332">
        <f>'Pile Reaction Check'!E59</f>
        <v>-214.1930000000001</v>
      </c>
      <c r="H61" s="337" t="s">
        <v>102</v>
      </c>
      <c r="J61" s="362"/>
      <c r="K61" s="363"/>
      <c r="M61" s="366">
        <v>-100</v>
      </c>
      <c r="N61" s="367">
        <v>35</v>
      </c>
    </row>
    <row r="62" spans="3:14" ht="15.75" thickBot="1">
      <c r="C62" s="336" t="s">
        <v>374</v>
      </c>
      <c r="D62" s="335"/>
      <c r="E62" s="335"/>
      <c r="F62" s="335"/>
      <c r="G62" s="334">
        <f ca="1">K62</f>
        <v>27.006489999999992</v>
      </c>
      <c r="H62" s="333" t="s">
        <v>102</v>
      </c>
      <c r="J62" s="364"/>
      <c r="K62" s="363">
        <f ca="1">IF($G61&lt;$M$58,0,IF($G61&gt;($M$65-1),$N$65,(FORECAST($G61,OFFSET($N$58:$N$65,MATCH($G61,$M$58:$M$65,1)-1,0,2),OFFSET($M$58:$M$65,MATCH($G61,$M$58:$M$65,1)-1,0,2)))))</f>
        <v>27.006489999999992</v>
      </c>
      <c r="M62" s="366">
        <v>0</v>
      </c>
      <c r="N62" s="367">
        <v>42</v>
      </c>
    </row>
    <row r="63" spans="3:14">
      <c r="J63" s="364"/>
      <c r="K63" s="363"/>
      <c r="M63" s="366">
        <v>250</v>
      </c>
      <c r="N63" s="367">
        <v>60</v>
      </c>
    </row>
    <row r="64" spans="3:14" ht="15.75" thickBot="1">
      <c r="J64" s="364"/>
      <c r="K64" s="363"/>
      <c r="M64" s="366">
        <v>520</v>
      </c>
      <c r="N64" s="367">
        <v>80</v>
      </c>
    </row>
    <row r="65" spans="3:14" ht="15.75" thickBot="1">
      <c r="C65" s="339" t="s">
        <v>393</v>
      </c>
      <c r="D65" s="338"/>
      <c r="E65" s="338"/>
      <c r="F65" s="338"/>
      <c r="G65" s="332">
        <f>'Pile Reaction Check'!E42</f>
        <v>294.93299999999999</v>
      </c>
      <c r="H65" s="337" t="s">
        <v>102</v>
      </c>
      <c r="J65" s="364"/>
      <c r="K65" s="363"/>
      <c r="M65" s="372">
        <v>1950</v>
      </c>
      <c r="N65" s="373">
        <v>100</v>
      </c>
    </row>
    <row r="66" spans="3:14" ht="15.75" thickBot="1">
      <c r="C66" s="336" t="s">
        <v>374</v>
      </c>
      <c r="D66" s="335"/>
      <c r="E66" s="335"/>
      <c r="F66" s="335"/>
      <c r="G66" s="334">
        <f ca="1">K66</f>
        <v>63.328370370370365</v>
      </c>
      <c r="H66" s="333" t="s">
        <v>102</v>
      </c>
      <c r="J66" s="364"/>
      <c r="K66" s="363">
        <f ca="1">IF($G65&lt;$M$58,0,IF($G65&gt;($M$65-1),$N$65,(FORECAST($G65,OFFSET($N$58:$N$65,MATCH($G65,$M$58:$M$65,1)-1,0,2),OFFSET($M$58:$M$65,MATCH($G65,$M$58:$M$65,1)-1,0,2)))))</f>
        <v>63.328370370370365</v>
      </c>
      <c r="M66" s="374" t="s">
        <v>411</v>
      </c>
      <c r="N66" s="364"/>
    </row>
    <row r="67" spans="3:14">
      <c r="J67" s="364"/>
      <c r="K67" s="363"/>
    </row>
    <row r="68" spans="3:14" s="349" customFormat="1" ht="15.75" thickBot="1">
      <c r="J68" s="368"/>
      <c r="K68" s="363"/>
    </row>
    <row r="69" spans="3:14">
      <c r="C69" s="339" t="s">
        <v>393</v>
      </c>
      <c r="D69" s="338"/>
      <c r="E69" s="338"/>
      <c r="F69" s="338"/>
      <c r="G69" s="332">
        <f>'Pile Reaction Check'!E44</f>
        <v>399.30799999999999</v>
      </c>
      <c r="H69" s="337" t="s">
        <v>102</v>
      </c>
      <c r="J69" s="369"/>
      <c r="K69" s="363"/>
    </row>
    <row r="70" spans="3:14" ht="15.75" thickBot="1">
      <c r="C70" s="336" t="s">
        <v>374</v>
      </c>
      <c r="D70" s="335"/>
      <c r="E70" s="335"/>
      <c r="F70" s="335"/>
      <c r="G70" s="334">
        <f ca="1">K70</f>
        <v>71.059851851851846</v>
      </c>
      <c r="H70" s="333" t="s">
        <v>102</v>
      </c>
      <c r="J70" s="370"/>
      <c r="K70" s="363">
        <f ca="1">IF($G69&lt;$M$58,0,IF($G69&gt;($M$65-1),$N$65,(FORECAST($G69,OFFSET($N$58:$N$65,MATCH($G69,$M$58:$M$65,1)-1,0,2),OFFSET($M$58:$M$65,MATCH($G69,$M$58:$M$65,1)-1,0,2)))))</f>
        <v>71.059851851851846</v>
      </c>
    </row>
    <row r="71" spans="3:14">
      <c r="J71" s="371"/>
      <c r="K71" s="377"/>
    </row>
    <row r="72" spans="3:14">
      <c r="J72" s="371"/>
      <c r="K72" s="378"/>
    </row>
    <row r="73" spans="3:14">
      <c r="J73" s="371"/>
      <c r="K73" s="378"/>
    </row>
    <row r="74" spans="3:14">
      <c r="J74" s="371"/>
      <c r="K74" s="378"/>
    </row>
    <row r="75" spans="3:14">
      <c r="J75" s="371"/>
      <c r="K75" s="378"/>
    </row>
    <row r="76" spans="3:14">
      <c r="J76" s="371"/>
      <c r="K76" s="378"/>
    </row>
  </sheetData>
  <mergeCells count="6">
    <mergeCell ref="T8:V8"/>
    <mergeCell ref="M8:M9"/>
    <mergeCell ref="N8:N9"/>
    <mergeCell ref="O8:O9"/>
    <mergeCell ref="P8:P9"/>
    <mergeCell ref="Q8:S8"/>
  </mergeCells>
  <dataValidations disablePrompts="1" count="3">
    <dataValidation type="list" allowBlank="1" showInputMessage="1" showErrorMessage="1" sqref="G6">
      <formula1>"Type I, Type II, Type III, Type IV"</formula1>
    </dataValidation>
    <dataValidation type="list" allowBlank="1" showInputMessage="1" showErrorMessage="1" sqref="G8">
      <formula1>"3x3 Pile group, 4x4 Pile group, Single Pile"</formula1>
    </dataValidation>
    <dataValidation type="list" allowBlank="1" showInputMessage="1" showErrorMessage="1" sqref="G9">
      <formula1>"3D, 4D, &gt;5D"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Input</vt:lpstr>
      <vt:lpstr>Pile Reaction Check</vt:lpstr>
      <vt:lpstr>Staad Stress Resulsts</vt:lpstr>
      <vt:lpstr>Flexure</vt:lpstr>
      <vt:lpstr>Punching Shear</vt:lpstr>
      <vt:lpstr>Crack Width</vt:lpstr>
      <vt:lpstr>One Way Shear</vt:lpstr>
      <vt:lpstr>SUMMARY </vt:lpstr>
      <vt:lpstr>Pile Capacities</vt:lpstr>
      <vt:lpstr>Sheet1</vt:lpstr>
      <vt:lpstr>'Crack Width'!Print_Area</vt:lpstr>
      <vt:lpstr>Flexure!Print_Area</vt:lpstr>
      <vt:lpstr>Input!Print_Area</vt:lpstr>
      <vt:lpstr>'One Way Shear'!Print_Area</vt:lpstr>
      <vt:lpstr>'Pile Reaction Check'!Print_Area</vt:lpstr>
      <vt:lpstr>'Punching Shear'!Print_Area</vt:lpstr>
      <vt:lpstr>'Staad Stress Resulsts'!Print_Area</vt:lpstr>
      <vt:lpstr>Flexure!Print_Titles</vt:lpstr>
      <vt:lpstr>Input!Print_Titles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2018-07-25T11:19:19Z</dcterms:modified>
</cp:coreProperties>
</file>