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iaxial Bending" sheetId="4" r:id="rId1"/>
    <sheet name="Sheet2" sheetId="2" r:id="rId2"/>
    <sheet name="Sheet3" sheetId="3" r:id="rId3"/>
    <sheet name="Void" sheetId="1" r:id="rId4"/>
  </sheets>
  <definedNames>
    <definedName name="_xlnm.Print_Area" localSheetId="0">'Biaxial Bending'!$A$1:$I$225</definedName>
    <definedName name="_xlnm.Print_Area" localSheetId="3">Void!$A$1:$Q$133</definedName>
  </definedNames>
  <calcPr calcId="145621"/>
</workbook>
</file>

<file path=xl/calcChain.xml><?xml version="1.0" encoding="utf-8"?>
<calcChain xmlns="http://schemas.openxmlformats.org/spreadsheetml/2006/main">
  <c r="G224" i="4" l="1"/>
  <c r="E224" i="4"/>
  <c r="G222" i="4"/>
  <c r="E222" i="4"/>
  <c r="G214" i="4" l="1"/>
  <c r="H68" i="4" l="1"/>
  <c r="H67" i="4"/>
  <c r="H18" i="4"/>
  <c r="H69" i="4" l="1"/>
  <c r="H25" i="4"/>
  <c r="H82" i="4" s="1"/>
  <c r="H24" i="4"/>
  <c r="H28" i="4" s="1"/>
  <c r="C181" i="4" s="1"/>
  <c r="C191" i="4" s="1"/>
  <c r="H26" i="4"/>
  <c r="D35" i="4"/>
  <c r="A51" i="4" l="1"/>
  <c r="H27" i="4" l="1"/>
  <c r="H39" i="4" l="1"/>
  <c r="H85" i="4" l="1"/>
  <c r="C95" i="4" s="1"/>
  <c r="F209" i="4" l="1"/>
  <c r="C218" i="4"/>
  <c r="E216" i="4"/>
  <c r="F207" i="4"/>
  <c r="H210" i="4"/>
  <c r="H40" i="4"/>
  <c r="C212" i="4" l="1"/>
  <c r="H13" i="4"/>
  <c r="H63" i="4" l="1"/>
  <c r="H195" i="4" s="1"/>
  <c r="C177" i="4"/>
  <c r="H41" i="4" l="1"/>
  <c r="H22" i="4"/>
  <c r="H9" i="4"/>
  <c r="D36" i="4" l="1"/>
  <c r="C97" i="4"/>
  <c r="H71" i="4"/>
  <c r="D156" i="4"/>
  <c r="C215" i="4"/>
  <c r="C219" i="4" s="1"/>
  <c r="E149" i="4"/>
  <c r="E92" i="4"/>
  <c r="H43" i="4"/>
  <c r="C42" i="4" s="1"/>
  <c r="H42" i="4"/>
  <c r="C41" i="4" s="1"/>
  <c r="M34" i="4"/>
  <c r="C182" i="4"/>
  <c r="C186" i="4"/>
  <c r="C192" i="4" s="1"/>
  <c r="C92" i="4"/>
  <c r="E127" i="4"/>
  <c r="A92" i="4"/>
  <c r="A100" i="4"/>
  <c r="B90" i="4"/>
  <c r="H129" i="4"/>
  <c r="D137" i="4"/>
  <c r="A101" i="4"/>
  <c r="A95" i="4"/>
  <c r="H141" i="4"/>
  <c r="D143" i="4" s="1"/>
  <c r="D129" i="4"/>
  <c r="C88" i="4"/>
  <c r="C124" i="4"/>
  <c r="F124" i="4"/>
  <c r="F120" i="4"/>
  <c r="G108" i="4"/>
  <c r="E93" i="4"/>
  <c r="D108" i="4"/>
  <c r="H79" i="4"/>
  <c r="H92" i="4" s="1"/>
  <c r="C120" i="4"/>
  <c r="H74" i="4"/>
  <c r="H20" i="1"/>
  <c r="H81" i="1" s="1"/>
  <c r="F164" i="4" l="1"/>
  <c r="C188" i="4"/>
  <c r="C195" i="4" s="1"/>
  <c r="E195" i="4" s="1"/>
  <c r="D34" i="4"/>
  <c r="C38" i="4" s="1"/>
  <c r="G110" i="4"/>
  <c r="E120" i="4"/>
  <c r="F121" i="4"/>
  <c r="F125" i="4"/>
  <c r="E124" i="4"/>
  <c r="K92" i="4"/>
  <c r="K93" i="4"/>
  <c r="F108" i="4"/>
  <c r="H16" i="1"/>
  <c r="C97" i="1" s="1"/>
  <c r="A44" i="4" l="1"/>
  <c r="A43" i="4"/>
  <c r="F196" i="4"/>
  <c r="C100" i="4"/>
  <c r="H9" i="1"/>
  <c r="H53" i="1" s="1"/>
  <c r="H61" i="1" s="1"/>
  <c r="H12" i="1"/>
  <c r="C93" i="1" s="1"/>
  <c r="F166" i="4" l="1"/>
  <c r="L167" i="4" s="1"/>
  <c r="D67" i="1"/>
  <c r="H72" i="1"/>
  <c r="D78" i="1"/>
  <c r="H50" i="1"/>
  <c r="H48" i="1"/>
  <c r="H45" i="1"/>
  <c r="D72" i="1" s="1"/>
  <c r="H42" i="1"/>
  <c r="D61" i="1" s="1"/>
  <c r="E81" i="1" l="1"/>
  <c r="H51" i="1"/>
  <c r="H22" i="1"/>
  <c r="F97" i="1" l="1"/>
  <c r="H83" i="1"/>
  <c r="G81" i="1"/>
  <c r="E93" i="1"/>
  <c r="F93" i="1"/>
  <c r="F98" i="1"/>
  <c r="F94" i="1"/>
  <c r="E97" i="1"/>
</calcChain>
</file>

<file path=xl/sharedStrings.xml><?xml version="1.0" encoding="utf-8"?>
<sst xmlns="http://schemas.openxmlformats.org/spreadsheetml/2006/main" count="444" uniqueCount="196">
  <si>
    <t>Column Design as per Euro code</t>
  </si>
  <si>
    <t>Length of pedestal, L</t>
  </si>
  <si>
    <t>Width of pedestal, B</t>
  </si>
  <si>
    <t>Height of pedestal, H</t>
  </si>
  <si>
    <t>Diameter of longitudinal bar, Db</t>
  </si>
  <si>
    <t>Diameter of transevese bar, Dt</t>
  </si>
  <si>
    <t>Cover to longitudinal reinforcement, c</t>
  </si>
  <si>
    <t>d' = c + Db/2</t>
  </si>
  <si>
    <t>=</t>
  </si>
  <si>
    <t>mm</t>
  </si>
  <si>
    <t>Critical load case for pedestal design</t>
  </si>
  <si>
    <t>Beam number</t>
  </si>
  <si>
    <t>kN</t>
  </si>
  <si>
    <t>Moment about X-axis, Mx</t>
  </si>
  <si>
    <t>kN-m</t>
  </si>
  <si>
    <t>Moment about Y-axis, My</t>
  </si>
  <si>
    <t>(Refer Table 3.0, EN1992-1-1)</t>
  </si>
  <si>
    <r>
      <t>N/mm</t>
    </r>
    <r>
      <rPr>
        <vertAlign val="superscript"/>
        <sz val="11"/>
        <color theme="1"/>
        <rFont val="TKTypeRegular"/>
        <family val="2"/>
      </rPr>
      <t>2</t>
    </r>
  </si>
  <si>
    <t>Grade of Concrete, fck</t>
  </si>
  <si>
    <t>Axial tensile strength of concrete, fctm</t>
  </si>
  <si>
    <t>Grade of Steel, fyk</t>
  </si>
  <si>
    <r>
      <t xml:space="preserve">Material factor for concrete, </t>
    </r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c</t>
    </r>
  </si>
  <si>
    <r>
      <t xml:space="preserve">Reduction factor for concrete compressive strength, </t>
    </r>
    <r>
      <rPr>
        <sz val="11"/>
        <color theme="1"/>
        <rFont val="Symbol"/>
        <family val="1"/>
        <charset val="2"/>
      </rPr>
      <t>a</t>
    </r>
  </si>
  <si>
    <t>Design value of concrete cylinder compressive strength, fcd</t>
  </si>
  <si>
    <t>mx</t>
  </si>
  <si>
    <t>Mx</t>
  </si>
  <si>
    <r>
      <t>L x 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x fcd</t>
    </r>
  </si>
  <si>
    <t>my</t>
  </si>
  <si>
    <r>
      <t>B x L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x fcd</t>
    </r>
  </si>
  <si>
    <t>Mmax = Greater of Mx or My</t>
  </si>
  <si>
    <t>Mmin = Lesser of Mx or My</t>
  </si>
  <si>
    <t>Mmin / Mmax</t>
  </si>
  <si>
    <t>Pu</t>
  </si>
  <si>
    <t>Axial load, Pu</t>
  </si>
  <si>
    <r>
      <t>L x B</t>
    </r>
    <r>
      <rPr>
        <sz val="11"/>
        <color theme="1"/>
        <rFont val="Calibri"/>
        <family val="2"/>
        <scheme val="minor"/>
      </rPr>
      <t xml:space="preserve"> x fcd</t>
    </r>
  </si>
  <si>
    <t xml:space="preserve">Referring to chart </t>
  </si>
  <si>
    <t>of Design Aid for Eurocode 2</t>
  </si>
  <si>
    <t>1) For Mx</t>
  </si>
  <si>
    <t>For values of</t>
  </si>
  <si>
    <t>&amp;</t>
  </si>
  <si>
    <t>As x fyd</t>
  </si>
  <si>
    <t>L x B x fcd</t>
  </si>
  <si>
    <r>
      <t xml:space="preserve">Material factor for steel, </t>
    </r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s</t>
    </r>
  </si>
  <si>
    <t>Design yield strength of reinforcement, fyd</t>
  </si>
  <si>
    <r>
      <t>mm</t>
    </r>
    <r>
      <rPr>
        <vertAlign val="superscript"/>
        <sz val="11"/>
        <color theme="1"/>
        <rFont val="Calibri"/>
        <family val="2"/>
        <scheme val="minor"/>
      </rPr>
      <t>2</t>
    </r>
  </si>
  <si>
    <t>My</t>
  </si>
  <si>
    <t>2) For My</t>
  </si>
  <si>
    <t>Ast required</t>
  </si>
  <si>
    <t>Therefore, As1 =</t>
  </si>
  <si>
    <t>Therefore, As2 =</t>
  </si>
  <si>
    <t>As1 + As2</t>
  </si>
  <si>
    <t>The total amount of longitudinal reinforcement should not be less than As,min.</t>
  </si>
  <si>
    <t>Area of concrete, Ac</t>
  </si>
  <si>
    <r>
      <t>mm</t>
    </r>
    <r>
      <rPr>
        <vertAlign val="superscript"/>
        <sz val="11"/>
        <color theme="1"/>
        <rFont val="TKTypeRegular"/>
        <family val="2"/>
      </rPr>
      <t>2</t>
    </r>
  </si>
  <si>
    <t>As, min</t>
  </si>
  <si>
    <t>The area of longitudinal reinforcement should not exceed As,max.</t>
  </si>
  <si>
    <t>As,max = 0.04 Ac =</t>
  </si>
  <si>
    <t>Nos. of Longitudinal bar, Nb</t>
  </si>
  <si>
    <t>(Ast, provided)</t>
  </si>
  <si>
    <t>Area of longitudinal Reinforcement, Ast, provided</t>
  </si>
  <si>
    <t>B'</t>
  </si>
  <si>
    <t>L'</t>
  </si>
  <si>
    <t>Axial load, Ned</t>
  </si>
  <si>
    <t>Ned</t>
  </si>
  <si>
    <t>Using approximate method for design of column with axial compression + bending</t>
  </si>
  <si>
    <t>b</t>
  </si>
  <si>
    <t xml:space="preserve">1       - </t>
  </si>
  <si>
    <t xml:space="preserve">Since </t>
  </si>
  <si>
    <t>+</t>
  </si>
  <si>
    <r>
      <t xml:space="preserve">+       </t>
    </r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 xml:space="preserve">  x</t>
    </r>
  </si>
  <si>
    <t>of 'Design aid for Eurocode-2'.</t>
  </si>
  <si>
    <t>As</t>
  </si>
  <si>
    <t>Moment of resistance of section about</t>
  </si>
  <si>
    <t xml:space="preserve">Now, </t>
  </si>
  <si>
    <t>Ast, provided x fyd</t>
  </si>
  <si>
    <t>Mrdy</t>
  </si>
  <si>
    <t>NRd</t>
  </si>
  <si>
    <t>Compression resistance of section, NRd</t>
  </si>
  <si>
    <t>Ac x fcd + Ast, provided x fyd</t>
  </si>
  <si>
    <t xml:space="preserve">Therefore, </t>
  </si>
  <si>
    <t>Ned / NRd</t>
  </si>
  <si>
    <t>a</t>
  </si>
  <si>
    <t>For the section to be satisfactory</t>
  </si>
  <si>
    <t>Design of column for 'Compression + Biaxial bending'</t>
  </si>
  <si>
    <t>Moment about Z-axis, Mz</t>
  </si>
  <si>
    <t>Mz</t>
  </si>
  <si>
    <t>mz</t>
  </si>
  <si>
    <t xml:space="preserve"> My</t>
  </si>
  <si>
    <t xml:space="preserve"> Mz</t>
  </si>
  <si>
    <t>MRdz</t>
  </si>
  <si>
    <t xml:space="preserve">  My  </t>
  </si>
  <si>
    <t xml:space="preserve"> Mz </t>
  </si>
  <si>
    <t>Mrdz</t>
  </si>
  <si>
    <t>Diameter of transverse bar, Dt</t>
  </si>
  <si>
    <t>Referring to chart</t>
  </si>
  <si>
    <t>Check for shear</t>
  </si>
  <si>
    <t>As per clause 6.2.2, design value of shear resistance of concrete without shear reinforcement is</t>
  </si>
  <si>
    <t>Where,</t>
  </si>
  <si>
    <r>
      <t>C</t>
    </r>
    <r>
      <rPr>
        <vertAlign val="subscript"/>
        <sz val="11"/>
        <color theme="1"/>
        <rFont val="TKTypeRegular"/>
        <family val="2"/>
      </rPr>
      <t>Rd,c</t>
    </r>
  </si>
  <si>
    <r>
      <t>0.18/γ</t>
    </r>
    <r>
      <rPr>
        <vertAlign val="subscript"/>
        <sz val="11"/>
        <color theme="1"/>
        <rFont val="TKTypeRegular"/>
        <family val="2"/>
      </rPr>
      <t>c</t>
    </r>
  </si>
  <si>
    <r>
      <t>γ</t>
    </r>
    <r>
      <rPr>
        <vertAlign val="subscript"/>
        <sz val="11"/>
        <color theme="1"/>
        <rFont val="TKTypeRegular"/>
        <family val="2"/>
      </rPr>
      <t>c =</t>
    </r>
  </si>
  <si>
    <t>(Refer Table 2.1N, EN 1992-1-1)</t>
  </si>
  <si>
    <t>k</t>
  </si>
  <si>
    <t>p</t>
  </si>
  <si>
    <r>
      <t>k</t>
    </r>
    <r>
      <rPr>
        <vertAlign val="subscript"/>
        <sz val="11"/>
        <color theme="1"/>
        <rFont val="Calibri"/>
        <family val="2"/>
        <scheme val="minor"/>
      </rPr>
      <t>1</t>
    </r>
  </si>
  <si>
    <t>s</t>
  </si>
  <si>
    <r>
      <t>v</t>
    </r>
    <r>
      <rPr>
        <vertAlign val="subscript"/>
        <sz val="11"/>
        <color theme="1"/>
        <rFont val="TKTypeRegular"/>
        <family val="2"/>
      </rPr>
      <t>min</t>
    </r>
  </si>
  <si>
    <r>
      <t>0.035 k</t>
    </r>
    <r>
      <rPr>
        <vertAlign val="superscript"/>
        <sz val="11"/>
        <color theme="1"/>
        <rFont val="TKTypeRegular"/>
        <family val="2"/>
      </rPr>
      <t>3/2</t>
    </r>
    <r>
      <rPr>
        <sz val="11"/>
        <color theme="1"/>
        <rFont val="TKTypeRegular"/>
        <family val="2"/>
      </rPr>
      <t xml:space="preserve"> fck</t>
    </r>
    <r>
      <rPr>
        <vertAlign val="superscript"/>
        <sz val="11"/>
        <color theme="1"/>
        <rFont val="TKTypeRegular"/>
        <family val="2"/>
      </rPr>
      <t>1/2</t>
    </r>
  </si>
  <si>
    <r>
      <t>v</t>
    </r>
    <r>
      <rPr>
        <vertAlign val="subscript"/>
        <sz val="11"/>
        <color theme="1"/>
        <rFont val="TKTypeRegular"/>
        <family val="2"/>
      </rPr>
      <t>Rd,c</t>
    </r>
  </si>
  <si>
    <r>
      <t>v</t>
    </r>
    <r>
      <rPr>
        <vertAlign val="subscript"/>
        <sz val="11"/>
        <color theme="1"/>
        <rFont val="TKTypeRegular"/>
        <family val="2"/>
      </rPr>
      <t>Rd,c min</t>
    </r>
  </si>
  <si>
    <t>Therefore,</t>
  </si>
  <si>
    <t>Shear in Y- Dir, Fy</t>
  </si>
  <si>
    <t>Shear in Z- Dir, Fz</t>
  </si>
  <si>
    <r>
      <t>Resultant shear on section, Fr = sqrt(Fy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+Fz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</si>
  <si>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Fr</t>
  </si>
  <si>
    <t>For members with shear reinforcement shear resisitance is smaller value of:</t>
  </si>
  <si>
    <t>and</t>
  </si>
  <si>
    <t>(Refer  EQ. 6.8,  EN 1992-1-1 )</t>
  </si>
  <si>
    <t>(Refer  EQ. 6.9,  EN 1992-1-1 )</t>
  </si>
  <si>
    <t>B' = B - c - Db/2</t>
  </si>
  <si>
    <t>L' = L - c - Db/2</t>
  </si>
  <si>
    <t>(As per clause 5, Work Instructions,  Doc. No:PDE-CVC-G00-EB-0002)</t>
  </si>
  <si>
    <t>Design yield strength of reinforcement, fyd   =</t>
  </si>
  <si>
    <r>
      <t xml:space="preserve">fyk / </t>
    </r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TKTypeRegular"/>
        <family val="2"/>
      </rPr>
      <t>s</t>
    </r>
  </si>
  <si>
    <t>Gross area of concrete, Ac = L x B</t>
  </si>
  <si>
    <t>Length of pedestal, L  (parallel to Y-axis)</t>
  </si>
  <si>
    <t>Staad member number</t>
  </si>
  <si>
    <t>Design value of concrete cylinder compressive strength, fcd =</t>
  </si>
  <si>
    <t>NA +A2 TO BS EN 1992-1-1, TABLE-NA.1</t>
  </si>
  <si>
    <t>(As per clause 3.1.6, 1P, en 1992-1-1 ed 11)</t>
  </si>
  <si>
    <t>(As per clause 2.4.2.4-1,en 1992-1-1 ed 11)</t>
  </si>
  <si>
    <r>
      <t xml:space="preserve">α * fck / </t>
    </r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TKTypeRegular"/>
        <family val="2"/>
      </rPr>
      <t>c</t>
    </r>
  </si>
  <si>
    <t>CL-9.5.2</t>
  </si>
  <si>
    <t>As per table shown in clause 5.8.9-4 of EN-1992-1-1</t>
  </si>
  <si>
    <t>EN 1992-1-1 ED 11</t>
  </si>
  <si>
    <t>EQ.-39 (EN 1992-1-1 ED 11)</t>
  </si>
  <si>
    <t>REFERING CHART</t>
  </si>
  <si>
    <t>d'/B =</t>
  </si>
  <si>
    <t>CHECK FOR SLENDERNESS RATIO</t>
  </si>
  <si>
    <t>ƛlim  =</t>
  </si>
  <si>
    <t>20 A .B.C</t>
  </si>
  <si>
    <t>√n</t>
  </si>
  <si>
    <t>CL-5.8.3.1  EN-1992-1-1 ED-11</t>
  </si>
  <si>
    <t>A  = 1/(1+0.2ⱷeff) =</t>
  </si>
  <si>
    <t>B  =  √1+2ῳ  =</t>
  </si>
  <si>
    <r>
      <rPr>
        <sz val="12"/>
        <color theme="1"/>
        <rFont val="Calibri"/>
        <family val="2"/>
      </rPr>
      <t>ⱷ</t>
    </r>
    <r>
      <rPr>
        <sz val="11"/>
        <color theme="1"/>
        <rFont val="Calibri"/>
        <family val="2"/>
      </rPr>
      <t>eff =EFFECTIVE CREEP RATIO</t>
    </r>
  </si>
  <si>
    <r>
      <rPr>
        <sz val="14"/>
        <color theme="1"/>
        <rFont val="Calibri"/>
        <family val="2"/>
      </rPr>
      <t>ṟ</t>
    </r>
    <r>
      <rPr>
        <sz val="12"/>
        <color theme="1"/>
        <rFont val="Calibri"/>
        <family val="2"/>
      </rPr>
      <t>min  = MOMENT RATIO=0.7</t>
    </r>
  </si>
  <si>
    <t xml:space="preserve">ῳ  =MECHANICAL REINFORCEMENT RATIO = </t>
  </si>
  <si>
    <t>Ac x Fcd</t>
  </si>
  <si>
    <t>n  =  relative normal ratio</t>
  </si>
  <si>
    <r>
      <t>C  = 1.7-</t>
    </r>
    <r>
      <rPr>
        <sz val="14"/>
        <color theme="1"/>
        <rFont val="Calibri"/>
        <family val="2"/>
        <scheme val="minor"/>
      </rPr>
      <t>ṟ</t>
    </r>
    <r>
      <rPr>
        <sz val="11"/>
        <color theme="1"/>
        <rFont val="Calibri"/>
        <family val="2"/>
        <scheme val="minor"/>
      </rPr>
      <t>min =</t>
    </r>
  </si>
  <si>
    <t>n = Ned /(Ac X fcd) =</t>
  </si>
  <si>
    <t>As x Fyd  =</t>
  </si>
  <si>
    <r>
      <t>effective length/</t>
    </r>
    <r>
      <rPr>
        <sz val="14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min</t>
    </r>
  </si>
  <si>
    <t>A =</t>
  </si>
  <si>
    <t>C/S AREA OF SHEAR REINF. =</t>
  </si>
  <si>
    <r>
      <t>A</t>
    </r>
    <r>
      <rPr>
        <sz val="8"/>
        <color theme="1"/>
        <rFont val="Calibri"/>
        <family val="2"/>
        <scheme val="minor"/>
      </rPr>
      <t xml:space="preserve">Rd,s </t>
    </r>
    <r>
      <rPr>
        <sz val="12"/>
        <color theme="1"/>
        <rFont val="Calibri"/>
        <family val="2"/>
        <scheme val="minor"/>
      </rPr>
      <t xml:space="preserve">= </t>
    </r>
  </si>
  <si>
    <t xml:space="preserve">S = </t>
  </si>
  <si>
    <t>SPACING OF STIRRUPS =</t>
  </si>
  <si>
    <t xml:space="preserve">Z = </t>
  </si>
  <si>
    <t>Fywd  =</t>
  </si>
  <si>
    <t xml:space="preserve">design yield strength for shear reinforcement  = </t>
  </si>
  <si>
    <r>
      <t>0.8*f</t>
    </r>
    <r>
      <rPr>
        <sz val="8"/>
        <color theme="1"/>
        <rFont val="Calibri"/>
        <family val="2"/>
        <scheme val="minor"/>
      </rPr>
      <t>ywk</t>
    </r>
    <r>
      <rPr>
        <sz val="11"/>
        <color theme="1"/>
        <rFont val="Calibri"/>
        <family val="2"/>
        <scheme val="minor"/>
      </rPr>
      <t xml:space="preserve"> =</t>
    </r>
  </si>
  <si>
    <r>
      <t>cot</t>
    </r>
    <r>
      <rPr>
        <sz val="11"/>
        <color theme="1"/>
        <rFont val="Calibri"/>
        <family val="2"/>
      </rPr>
      <t>Ө =</t>
    </r>
  </si>
  <si>
    <t>Actual shear force required to carry by shear reinforcement =</t>
  </si>
  <si>
    <t>α</t>
  </si>
  <si>
    <t>fcd =</t>
  </si>
  <si>
    <t xml:space="preserve">kN  &lt; VRd,s </t>
  </si>
  <si>
    <t>ok</t>
  </si>
  <si>
    <r>
      <t>V</t>
    </r>
    <r>
      <rPr>
        <sz val="8"/>
        <color theme="1"/>
        <rFont val="Calibri"/>
        <family val="2"/>
        <scheme val="minor"/>
      </rPr>
      <t xml:space="preserve">1  </t>
    </r>
    <r>
      <rPr>
        <sz val="11"/>
        <color theme="1"/>
        <rFont val="Calibri"/>
        <family val="2"/>
        <scheme val="minor"/>
      </rPr>
      <t xml:space="preserve"> =</t>
    </r>
  </si>
  <si>
    <r>
      <t>0.6(1-(f</t>
    </r>
    <r>
      <rPr>
        <sz val="8"/>
        <color theme="1"/>
        <rFont val="Calibri"/>
        <family val="2"/>
        <scheme val="minor"/>
      </rPr>
      <t>ck</t>
    </r>
    <r>
      <rPr>
        <sz val="11"/>
        <color theme="1"/>
        <rFont val="Calibri"/>
        <family val="2"/>
        <scheme val="minor"/>
      </rPr>
      <t>/250))   =</t>
    </r>
  </si>
  <si>
    <r>
      <t>(V</t>
    </r>
    <r>
      <rPr>
        <sz val="8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>= STRENGTH REDUCTION FACTOR FOR CONCRETE)</t>
    </r>
  </si>
  <si>
    <r>
      <t>cot</t>
    </r>
    <r>
      <rPr>
        <sz val="11"/>
        <color theme="1"/>
        <rFont val="Calibri"/>
        <family val="2"/>
      </rPr>
      <t>θ</t>
    </r>
    <r>
      <rPr>
        <sz val="12.65"/>
        <color theme="1"/>
        <rFont val="Calibri"/>
        <family val="2"/>
      </rPr>
      <t xml:space="preserve"> + </t>
    </r>
    <r>
      <rPr>
        <sz val="11"/>
        <color theme="1"/>
        <rFont val="Calibri"/>
        <family val="2"/>
      </rPr>
      <t>tanθ   =</t>
    </r>
  </si>
  <si>
    <t>LEVER ARM = 0.9B</t>
  </si>
  <si>
    <r>
      <t>V</t>
    </r>
    <r>
      <rPr>
        <b/>
        <sz val="8"/>
        <color theme="1"/>
        <rFont val="Calibri"/>
        <family val="2"/>
        <scheme val="minor"/>
      </rPr>
      <t xml:space="preserve">Rd,max </t>
    </r>
    <r>
      <rPr>
        <b/>
        <sz val="12"/>
        <color theme="1"/>
        <rFont val="Calibri"/>
        <family val="2"/>
        <scheme val="minor"/>
      </rPr>
      <t xml:space="preserve">= </t>
    </r>
  </si>
  <si>
    <r>
      <t>V</t>
    </r>
    <r>
      <rPr>
        <b/>
        <sz val="8"/>
        <color theme="1"/>
        <rFont val="Calibri"/>
        <family val="2"/>
        <scheme val="minor"/>
      </rPr>
      <t xml:space="preserve">Rd,s </t>
    </r>
    <r>
      <rPr>
        <b/>
        <sz val="12"/>
        <color theme="1"/>
        <rFont val="Calibri"/>
        <family val="2"/>
        <scheme val="minor"/>
      </rPr>
      <t xml:space="preserve">= </t>
    </r>
  </si>
  <si>
    <t>&gt;  VRd,s</t>
  </si>
  <si>
    <t>CL-5.8.3.2  EN-1992-1-1 ED-11</t>
  </si>
  <si>
    <t>Effective length</t>
  </si>
  <si>
    <t>I @z=</t>
  </si>
  <si>
    <t>√I@z/A =</t>
  </si>
  <si>
    <t>I @y=</t>
  </si>
  <si>
    <t>√I@y/A =</t>
  </si>
  <si>
    <t>ƛ z=</t>
  </si>
  <si>
    <t>ƛ y=</t>
  </si>
  <si>
    <t>Width of pedestal, B  (parallel to z-axis)</t>
  </si>
  <si>
    <t>deff</t>
  </si>
  <si>
    <t>Maximum moment, Mmax</t>
  </si>
  <si>
    <t>Minimum moment, Mmin</t>
  </si>
  <si>
    <t>Longitudinal Reinforcement =</t>
  </si>
  <si>
    <t>Shear Reinforcement =</t>
  </si>
  <si>
    <t>c/c</t>
  </si>
  <si>
    <t>spacing</t>
  </si>
  <si>
    <t>of</t>
  </si>
  <si>
    <t>Dia. Bars</t>
  </si>
  <si>
    <t>Dia. Bar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</si>
</sst>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6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color theme="1"/>
      <name val="TKTypeRegular"/>
      <family val="2"/>
    </font>
    <font>
      <b/>
      <sz val="11"/>
      <name val="TKTypeRegular"/>
      <family val="2"/>
    </font>
    <font>
      <b/>
      <sz val="11"/>
      <color theme="1"/>
      <name val="TKTypeRegular"/>
      <family val="2"/>
    </font>
    <font>
      <b/>
      <sz val="11"/>
      <color rgb="FF0000FF"/>
      <name val="TKTypeRegular"/>
      <family val="2"/>
    </font>
    <font>
      <vertAlign val="superscript"/>
      <sz val="11"/>
      <color theme="1"/>
      <name val="TKTypeRegular"/>
      <family val="2"/>
    </font>
    <font>
      <sz val="11"/>
      <color theme="1"/>
      <name val="Symbol"/>
      <family val="1"/>
      <charset val="2"/>
    </font>
    <font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vertAlign val="subscript"/>
      <sz val="11"/>
      <color theme="1"/>
      <name val="TKTypeRegular"/>
      <family val="2"/>
    </font>
    <font>
      <b/>
      <sz val="10"/>
      <color rgb="FF0000FF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.65"/>
      <color theme="1"/>
      <name val="Calibri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/>
    <xf numFmtId="1" fontId="2" fillId="0" borderId="0" xfId="0" applyNumberFormat="1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2" borderId="0" xfId="0" applyFill="1" applyAlignment="1">
      <alignment horizontal="center"/>
    </xf>
    <xf numFmtId="1" fontId="0" fillId="0" borderId="0" xfId="0" applyNumberFormat="1"/>
    <xf numFmtId="2" fontId="0" fillId="2" borderId="0" xfId="0" applyNumberFormat="1" applyFill="1"/>
    <xf numFmtId="0" fontId="9" fillId="0" borderId="0" xfId="0" applyFont="1" applyAlignment="1">
      <alignment horizontal="center"/>
    </xf>
    <xf numFmtId="1" fontId="0" fillId="2" borderId="0" xfId="0" applyNumberFormat="1" applyFill="1"/>
    <xf numFmtId="1" fontId="2" fillId="2" borderId="0" xfId="0" applyNumberFormat="1" applyFont="1" applyFill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0" fontId="0" fillId="0" borderId="1" xfId="0" quotePrefix="1" applyBorder="1" applyAlignment="1">
      <alignment horizontal="center"/>
    </xf>
    <xf numFmtId="165" fontId="0" fillId="0" borderId="0" xfId="0" applyNumberFormat="1"/>
    <xf numFmtId="0" fontId="7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Border="1" applyAlignment="1">
      <alignment horizontal="left"/>
    </xf>
    <xf numFmtId="0" fontId="0" fillId="2" borderId="0" xfId="0" applyFill="1"/>
    <xf numFmtId="2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0" borderId="0" xfId="0" applyNumberFormat="1" applyBorder="1" applyAlignment="1">
      <alignment horizontal="center"/>
    </xf>
    <xf numFmtId="1" fontId="11" fillId="0" borderId="0" xfId="0" applyNumberFormat="1" applyFont="1" applyBorder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/>
    <xf numFmtId="0" fontId="1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2" fillId="0" borderId="0" xfId="0" applyFont="1"/>
    <xf numFmtId="0" fontId="2" fillId="0" borderId="0" xfId="0" applyFont="1" applyBorder="1"/>
    <xf numFmtId="0" fontId="14" fillId="0" borderId="0" xfId="0" applyFont="1" applyBorder="1" applyAlignment="1">
      <alignment vertical="center" wrapText="1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7" fillId="0" borderId="0" xfId="0" applyFont="1"/>
    <xf numFmtId="1" fontId="0" fillId="0" borderId="0" xfId="0" applyNumberFormat="1" applyAlignment="1">
      <alignment horizontal="left"/>
    </xf>
    <xf numFmtId="0" fontId="2" fillId="0" borderId="0" xfId="0" quotePrefix="1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1" fillId="0" borderId="0" xfId="0" applyFont="1"/>
    <xf numFmtId="0" fontId="11" fillId="0" borderId="0" xfId="0" applyFont="1" applyBorder="1"/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7" fillId="0" borderId="0" xfId="0" applyFont="1"/>
    <xf numFmtId="164" fontId="0" fillId="0" borderId="0" xfId="0" applyNumberFormat="1"/>
    <xf numFmtId="0" fontId="20" fillId="0" borderId="0" xfId="0" applyFont="1"/>
    <xf numFmtId="1" fontId="0" fillId="3" borderId="0" xfId="0" applyNumberFormat="1" applyFill="1"/>
    <xf numFmtId="0" fontId="0" fillId="2" borderId="0" xfId="0" applyFill="1" applyAlignment="1">
      <alignment horizontal="right"/>
    </xf>
    <xf numFmtId="0" fontId="20" fillId="0" borderId="0" xfId="0" quotePrefix="1" applyFont="1"/>
    <xf numFmtId="1" fontId="20" fillId="0" borderId="0" xfId="0" applyNumberFormat="1" applyFont="1"/>
    <xf numFmtId="0" fontId="20" fillId="0" borderId="0" xfId="0" applyFont="1" applyAlignment="1">
      <alignment horizontal="center"/>
    </xf>
    <xf numFmtId="2" fontId="20" fillId="0" borderId="0" xfId="0" applyNumberFormat="1" applyFont="1"/>
    <xf numFmtId="2" fontId="20" fillId="2" borderId="0" xfId="0" applyNumberFormat="1" applyFont="1" applyFill="1"/>
    <xf numFmtId="0" fontId="20" fillId="0" borderId="0" xfId="0" applyFont="1" applyAlignment="1">
      <alignment horizontal="center"/>
    </xf>
    <xf numFmtId="1" fontId="20" fillId="2" borderId="0" xfId="0" applyNumberFormat="1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4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488674</xdr:colOff>
      <xdr:row>44</xdr:row>
      <xdr:rowOff>0</xdr:rowOff>
    </xdr:from>
    <xdr:to>
      <xdr:col>4</xdr:col>
      <xdr:colOff>255837</xdr:colOff>
      <xdr:row>56</xdr:row>
      <xdr:rowOff>173935</xdr:rowOff>
    </xdr:to>
    <xdr:grpSp>
      <xdr:nvGrpSpPr>
        <xdr:cNvPr id="2" name="Group 1"/>
        <xdr:cNvGrpSpPr/>
      </xdr:nvGrpSpPr>
      <xdr:grpSpPr>
        <a:xfrm>
          <a:off x="488674" y="8675688"/>
          <a:ext cx="2505601" cy="2459935"/>
          <a:chOff x="1069040" y="2204357"/>
          <a:chExt cx="2018184" cy="2230931"/>
        </a:xfrm>
      </xdr:grpSpPr>
      <xdr:pic>
        <xdr:nvPicPr>
          <xdr:cNvPr id="3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69040" y="2832847"/>
            <a:ext cx="1943100" cy="16024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cxnSp macro="">
        <xdr:nvCxnSpPr>
          <xdr:cNvPr id="4" name="Straight Arrow Connector 3"/>
          <xdr:cNvCxnSpPr/>
        </xdr:nvCxnSpPr>
        <xdr:spPr>
          <a:xfrm flipV="1">
            <a:off x="1952705" y="2418230"/>
            <a:ext cx="0" cy="1008530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Arrow Connector 4"/>
          <xdr:cNvCxnSpPr/>
        </xdr:nvCxnSpPr>
        <xdr:spPr>
          <a:xfrm>
            <a:off x="1946942" y="3428041"/>
            <a:ext cx="923364" cy="0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TextBox 5"/>
          <xdr:cNvSpPr txBox="1"/>
        </xdr:nvSpPr>
        <xdr:spPr>
          <a:xfrm>
            <a:off x="1834243" y="2204357"/>
            <a:ext cx="226783" cy="22622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IN" sz="1100"/>
              <a:t>Y</a:t>
            </a:r>
          </a:p>
        </xdr:txBody>
      </xdr:sp>
      <xdr:sp macro="" textlink="">
        <xdr:nvSpPr>
          <xdr:cNvPr id="7" name="TextBox 6"/>
          <xdr:cNvSpPr txBox="1"/>
        </xdr:nvSpPr>
        <xdr:spPr>
          <a:xfrm>
            <a:off x="2890157" y="3292928"/>
            <a:ext cx="197067" cy="2399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IN" sz="1100"/>
              <a:t>z</a:t>
            </a:r>
          </a:p>
        </xdr:txBody>
      </xdr:sp>
    </xdr:grpSp>
    <xdr:clientData/>
  </xdr:twoCellAnchor>
  <xdr:oneCellAnchor>
    <xdr:from>
      <xdr:col>1</xdr:col>
      <xdr:colOff>248478</xdr:colOff>
      <xdr:row>52</xdr:row>
      <xdr:rowOff>82826</xdr:rowOff>
    </xdr:from>
    <xdr:ext cx="184731" cy="264560"/>
    <xdr:sp macro="" textlink="">
      <xdr:nvSpPr>
        <xdr:cNvPr id="9" name="TextBox 8"/>
        <xdr:cNvSpPr txBox="1"/>
      </xdr:nvSpPr>
      <xdr:spPr>
        <a:xfrm>
          <a:off x="861391" y="57978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</xdr:col>
      <xdr:colOff>16588</xdr:colOff>
      <xdr:row>112</xdr:row>
      <xdr:rowOff>16564</xdr:rowOff>
    </xdr:from>
    <xdr:ext cx="4050195" cy="1316935"/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9501" y="17641955"/>
          <a:ext cx="4050195" cy="1316935"/>
        </a:xfrm>
        <a:prstGeom prst="rect">
          <a:avLst/>
        </a:prstGeom>
      </xdr:spPr>
    </xdr:pic>
    <xdr:clientData/>
  </xdr:oneCellAnchor>
  <xdr:twoCellAnchor editAs="oneCell">
    <xdr:from>
      <xdr:col>0</xdr:col>
      <xdr:colOff>91109</xdr:colOff>
      <xdr:row>158</xdr:row>
      <xdr:rowOff>74544</xdr:rowOff>
    </xdr:from>
    <xdr:to>
      <xdr:col>3</xdr:col>
      <xdr:colOff>266023</xdr:colOff>
      <xdr:row>162</xdr:row>
      <xdr:rowOff>45877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109" y="23845631"/>
          <a:ext cx="2104762" cy="733333"/>
        </a:xfrm>
        <a:prstGeom prst="rect">
          <a:avLst/>
        </a:prstGeom>
      </xdr:spPr>
    </xdr:pic>
    <xdr:clientData/>
  </xdr:twoCellAnchor>
  <xdr:twoCellAnchor>
    <xdr:from>
      <xdr:col>0</xdr:col>
      <xdr:colOff>86803</xdr:colOff>
      <xdr:row>162</xdr:row>
      <xdr:rowOff>57978</xdr:rowOff>
    </xdr:from>
    <xdr:to>
      <xdr:col>3</xdr:col>
      <xdr:colOff>94421</xdr:colOff>
      <xdr:row>165</xdr:row>
      <xdr:rowOff>33130</xdr:rowOff>
    </xdr:to>
    <xdr:grpSp>
      <xdr:nvGrpSpPr>
        <xdr:cNvPr id="18" name="Group 17"/>
        <xdr:cNvGrpSpPr/>
      </xdr:nvGrpSpPr>
      <xdr:grpSpPr>
        <a:xfrm>
          <a:off x="86803" y="31466666"/>
          <a:ext cx="1928493" cy="546652"/>
          <a:chOff x="86803" y="24591065"/>
          <a:chExt cx="1937466" cy="546652"/>
        </a:xfrm>
      </xdr:grpSpPr>
      <xdr:sp macro="" textlink="">
        <xdr:nvSpPr>
          <xdr:cNvPr id="12" name="Left Bracket 11"/>
          <xdr:cNvSpPr/>
        </xdr:nvSpPr>
        <xdr:spPr>
          <a:xfrm>
            <a:off x="86803" y="24715304"/>
            <a:ext cx="45719" cy="422413"/>
          </a:xfrm>
          <a:prstGeom prst="leftBracket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13" name="Right Bracket 12"/>
          <xdr:cNvSpPr/>
        </xdr:nvSpPr>
        <xdr:spPr>
          <a:xfrm>
            <a:off x="513522" y="24715304"/>
            <a:ext cx="66261" cy="422413"/>
          </a:xfrm>
          <a:prstGeom prst="rightBracket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14" name="Left Bracket 13"/>
          <xdr:cNvSpPr/>
        </xdr:nvSpPr>
        <xdr:spPr>
          <a:xfrm>
            <a:off x="1324225" y="24710334"/>
            <a:ext cx="45719" cy="422413"/>
          </a:xfrm>
          <a:prstGeom prst="leftBracket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15" name="Right Bracket 14"/>
          <xdr:cNvSpPr/>
        </xdr:nvSpPr>
        <xdr:spPr>
          <a:xfrm>
            <a:off x="1750944" y="24710334"/>
            <a:ext cx="66261" cy="422413"/>
          </a:xfrm>
          <a:prstGeom prst="rightBracket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571500" y="24591065"/>
            <a:ext cx="207065" cy="2650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IN" sz="1100"/>
              <a:t>a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1817204" y="24594378"/>
            <a:ext cx="207065" cy="2650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IN" sz="1100"/>
              <a:t>a</a:t>
            </a:r>
          </a:p>
        </xdr:txBody>
      </xdr:sp>
    </xdr:grpSp>
    <xdr:clientData/>
  </xdr:twoCellAnchor>
  <xdr:twoCellAnchor editAs="oneCell">
    <xdr:from>
      <xdr:col>0</xdr:col>
      <xdr:colOff>99391</xdr:colOff>
      <xdr:row>170</xdr:row>
      <xdr:rowOff>57979</xdr:rowOff>
    </xdr:from>
    <xdr:to>
      <xdr:col>4</xdr:col>
      <xdr:colOff>140804</xdr:colOff>
      <xdr:row>173</xdr:row>
      <xdr:rowOff>162707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391" y="26305566"/>
          <a:ext cx="2791239" cy="676228"/>
        </a:xfrm>
        <a:prstGeom prst="rect">
          <a:avLst/>
        </a:prstGeom>
      </xdr:spPr>
    </xdr:pic>
    <xdr:clientData/>
  </xdr:twoCellAnchor>
  <xdr:twoCellAnchor editAs="oneCell">
    <xdr:from>
      <xdr:col>0</xdr:col>
      <xdr:colOff>74542</xdr:colOff>
      <xdr:row>176</xdr:row>
      <xdr:rowOff>198782</xdr:rowOff>
    </xdr:from>
    <xdr:to>
      <xdr:col>3</xdr:col>
      <xdr:colOff>445348</xdr:colOff>
      <xdr:row>179</xdr:row>
      <xdr:rowOff>2439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542" y="28591565"/>
          <a:ext cx="2300654" cy="400005"/>
        </a:xfrm>
        <a:prstGeom prst="rect">
          <a:avLst/>
        </a:prstGeom>
      </xdr:spPr>
    </xdr:pic>
    <xdr:clientData/>
  </xdr:twoCellAnchor>
  <xdr:twoCellAnchor editAs="oneCell">
    <xdr:from>
      <xdr:col>0</xdr:col>
      <xdr:colOff>24847</xdr:colOff>
      <xdr:row>183</xdr:row>
      <xdr:rowOff>66260</xdr:rowOff>
    </xdr:from>
    <xdr:to>
      <xdr:col>3</xdr:col>
      <xdr:colOff>720586</xdr:colOff>
      <xdr:row>184</xdr:row>
      <xdr:rowOff>77155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847" y="28881456"/>
          <a:ext cx="2625587" cy="201395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273326</xdr:colOff>
      <xdr:row>198</xdr:row>
      <xdr:rowOff>66261</xdr:rowOff>
    </xdr:from>
    <xdr:to>
      <xdr:col>3</xdr:col>
      <xdr:colOff>786847</xdr:colOff>
      <xdr:row>200</xdr:row>
      <xdr:rowOff>159824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86239" y="32832261"/>
          <a:ext cx="1830456" cy="474563"/>
        </a:xfrm>
        <a:prstGeom prst="rect">
          <a:avLst/>
        </a:prstGeom>
      </xdr:spPr>
    </xdr:pic>
    <xdr:clientData/>
  </xdr:twoCellAnchor>
  <xdr:twoCellAnchor editAs="oneCell">
    <xdr:from>
      <xdr:col>0</xdr:col>
      <xdr:colOff>115956</xdr:colOff>
      <xdr:row>202</xdr:row>
      <xdr:rowOff>8283</xdr:rowOff>
    </xdr:from>
    <xdr:to>
      <xdr:col>4</xdr:col>
      <xdr:colOff>646043</xdr:colOff>
      <xdr:row>203</xdr:row>
      <xdr:rowOff>181320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5956" y="33536283"/>
          <a:ext cx="3279913" cy="363537"/>
        </a:xfrm>
        <a:prstGeom prst="rect">
          <a:avLst/>
        </a:prstGeom>
      </xdr:spPr>
    </xdr:pic>
    <xdr:clientData/>
  </xdr:twoCellAnchor>
  <xdr:twoCellAnchor>
    <xdr:from>
      <xdr:col>1</xdr:col>
      <xdr:colOff>612912</xdr:colOff>
      <xdr:row>46</xdr:row>
      <xdr:rowOff>0</xdr:rowOff>
    </xdr:from>
    <xdr:to>
      <xdr:col>3</xdr:col>
      <xdr:colOff>347868</xdr:colOff>
      <xdr:row>46</xdr:row>
      <xdr:rowOff>8283</xdr:rowOff>
    </xdr:to>
    <xdr:cxnSp macro="">
      <xdr:nvCxnSpPr>
        <xdr:cNvPr id="24" name="Straight Arrow Connector 23"/>
        <xdr:cNvCxnSpPr/>
      </xdr:nvCxnSpPr>
      <xdr:spPr>
        <a:xfrm>
          <a:off x="1222512" y="9077325"/>
          <a:ext cx="1049406" cy="8283"/>
        </a:xfrm>
        <a:prstGeom prst="straightConnector1">
          <a:avLst/>
        </a:prstGeom>
        <a:ln>
          <a:solidFill>
            <a:schemeClr val="tx1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198782</xdr:colOff>
      <xdr:row>47</xdr:row>
      <xdr:rowOff>144118</xdr:rowOff>
    </xdr:from>
    <xdr:to>
      <xdr:col>4</xdr:col>
      <xdr:colOff>202095</xdr:colOff>
      <xdr:row>53</xdr:row>
      <xdr:rowOff>24849</xdr:rowOff>
    </xdr:to>
    <xdr:cxnSp macro="">
      <xdr:nvCxnSpPr>
        <xdr:cNvPr id="26" name="Straight Arrow Connector 25"/>
        <xdr:cNvCxnSpPr/>
      </xdr:nvCxnSpPr>
      <xdr:spPr>
        <a:xfrm flipH="1">
          <a:off x="2941982" y="9411943"/>
          <a:ext cx="3313" cy="1023731"/>
        </a:xfrm>
        <a:prstGeom prst="straightConnector1">
          <a:avLst/>
        </a:prstGeom>
        <a:ln>
          <a:solidFill>
            <a:schemeClr val="tx1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248478</xdr:colOff>
      <xdr:row>46</xdr:row>
      <xdr:rowOff>66262</xdr:rowOff>
    </xdr:from>
    <xdr:to>
      <xdr:col>2</xdr:col>
      <xdr:colOff>480392</xdr:colOff>
      <xdr:row>46</xdr:row>
      <xdr:rowOff>157370</xdr:rowOff>
    </xdr:to>
    <xdr:sp macro="" textlink="">
      <xdr:nvSpPr>
        <xdr:cNvPr id="28" name="Curved Down Arrow 27"/>
        <xdr:cNvSpPr/>
      </xdr:nvSpPr>
      <xdr:spPr>
        <a:xfrm>
          <a:off x="1499152" y="10601740"/>
          <a:ext cx="231914" cy="91108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446434</xdr:colOff>
      <xdr:row>50</xdr:row>
      <xdr:rowOff>65433</xdr:rowOff>
    </xdr:from>
    <xdr:to>
      <xdr:col>3</xdr:col>
      <xdr:colOff>537542</xdr:colOff>
      <xdr:row>51</xdr:row>
      <xdr:rowOff>106847</xdr:rowOff>
    </xdr:to>
    <xdr:sp macro="" textlink="">
      <xdr:nvSpPr>
        <xdr:cNvPr id="29" name="Curved Down Arrow 28"/>
        <xdr:cNvSpPr/>
      </xdr:nvSpPr>
      <xdr:spPr>
        <a:xfrm rot="16200000">
          <a:off x="2305879" y="11433314"/>
          <a:ext cx="231914" cy="91108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oneCellAnchor>
    <xdr:from>
      <xdr:col>3</xdr:col>
      <xdr:colOff>455544</xdr:colOff>
      <xdr:row>48</xdr:row>
      <xdr:rowOff>182216</xdr:rowOff>
    </xdr:from>
    <xdr:ext cx="449540" cy="264560"/>
    <xdr:sp macro="" textlink="">
      <xdr:nvSpPr>
        <xdr:cNvPr id="30" name="TextBox 29"/>
        <xdr:cNvSpPr txBox="1"/>
      </xdr:nvSpPr>
      <xdr:spPr>
        <a:xfrm>
          <a:off x="2385392" y="6278216"/>
          <a:ext cx="4495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mz</a:t>
          </a:r>
        </a:p>
      </xdr:txBody>
    </xdr:sp>
    <xdr:clientData/>
  </xdr:oneCellAnchor>
  <xdr:oneCellAnchor>
    <xdr:from>
      <xdr:col>2</xdr:col>
      <xdr:colOff>210379</xdr:colOff>
      <xdr:row>55</xdr:row>
      <xdr:rowOff>119269</xdr:rowOff>
    </xdr:from>
    <xdr:ext cx="626164" cy="264560"/>
    <xdr:sp macro="" textlink="">
      <xdr:nvSpPr>
        <xdr:cNvPr id="31" name="TextBox 30"/>
        <xdr:cNvSpPr txBox="1"/>
      </xdr:nvSpPr>
      <xdr:spPr>
        <a:xfrm>
          <a:off x="1461053" y="10894943"/>
          <a:ext cx="6261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=400</a:t>
          </a:r>
        </a:p>
      </xdr:txBody>
    </xdr:sp>
    <xdr:clientData/>
  </xdr:oneCellAnchor>
  <xdr:oneCellAnchor>
    <xdr:from>
      <xdr:col>1</xdr:col>
      <xdr:colOff>41418</xdr:colOff>
      <xdr:row>216</xdr:row>
      <xdr:rowOff>33130</xdr:rowOff>
    </xdr:from>
    <xdr:ext cx="275909" cy="170624"/>
    <xdr:sp macro="" textlink="">
      <xdr:nvSpPr>
        <xdr:cNvPr id="19" name="TextBox 18"/>
        <xdr:cNvSpPr txBox="1"/>
      </xdr:nvSpPr>
      <xdr:spPr>
        <a:xfrm>
          <a:off x="654331" y="41189413"/>
          <a:ext cx="275909" cy="1706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500"/>
            <a:t>CW</a:t>
          </a:r>
        </a:p>
      </xdr:txBody>
    </xdr:sp>
    <xdr:clientData/>
  </xdr:oneCellAnchor>
  <xdr:oneCellAnchor>
    <xdr:from>
      <xdr:col>1</xdr:col>
      <xdr:colOff>281608</xdr:colOff>
      <xdr:row>216</xdr:row>
      <xdr:rowOff>33130</xdr:rowOff>
    </xdr:from>
    <xdr:ext cx="347869" cy="157370"/>
    <xdr:sp macro="" textlink="">
      <xdr:nvSpPr>
        <xdr:cNvPr id="25" name="TextBox 24"/>
        <xdr:cNvSpPr txBox="1"/>
      </xdr:nvSpPr>
      <xdr:spPr>
        <a:xfrm>
          <a:off x="894521" y="41189413"/>
          <a:ext cx="347869" cy="157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IN" sz="1100"/>
            <a:t>=</a:t>
          </a:r>
        </a:p>
      </xdr:txBody>
    </xdr:sp>
    <xdr:clientData/>
  </xdr:oneCellAnchor>
  <xdr:twoCellAnchor editAs="oneCell">
    <xdr:from>
      <xdr:col>9</xdr:col>
      <xdr:colOff>200026</xdr:colOff>
      <xdr:row>58</xdr:row>
      <xdr:rowOff>28575</xdr:rowOff>
    </xdr:from>
    <xdr:to>
      <xdr:col>18</xdr:col>
      <xdr:colOff>533401</xdr:colOff>
      <xdr:row>72</xdr:row>
      <xdr:rowOff>19050</xdr:rowOff>
    </xdr:to>
    <xdr:pic>
      <xdr:nvPicPr>
        <xdr:cNvPr id="32" name="Picture 31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49850" t="17385" r="2644" b="54779"/>
        <a:stretch/>
      </xdr:blipFill>
      <xdr:spPr>
        <a:xfrm>
          <a:off x="6496051" y="11391900"/>
          <a:ext cx="5791200" cy="2714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18</xdr:col>
      <xdr:colOff>398782</xdr:colOff>
      <xdr:row>36</xdr:row>
      <xdr:rowOff>27762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81000"/>
          <a:ext cx="10152382" cy="65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16</xdr:col>
      <xdr:colOff>122743</xdr:colOff>
      <xdr:row>67</xdr:row>
      <xdr:rowOff>94572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7429500"/>
          <a:ext cx="8657143" cy="542857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17</xdr:col>
      <xdr:colOff>608382</xdr:colOff>
      <xdr:row>102</xdr:row>
      <xdr:rowOff>65905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13335000"/>
          <a:ext cx="9752382" cy="61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105</xdr:row>
      <xdr:rowOff>38100</xdr:rowOff>
    </xdr:from>
    <xdr:to>
      <xdr:col>18</xdr:col>
      <xdr:colOff>417828</xdr:colOff>
      <xdr:row>138</xdr:row>
      <xdr:rowOff>151586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755"/>
        <a:stretch/>
      </xdr:blipFill>
      <xdr:spPr>
        <a:xfrm>
          <a:off x="1209675" y="20040600"/>
          <a:ext cx="10180953" cy="6399986"/>
        </a:xfrm>
        <a:prstGeom prst="rect">
          <a:avLst/>
        </a:prstGeom>
      </xdr:spPr>
    </xdr:pic>
    <xdr:clientData/>
  </xdr:twoCellAnchor>
  <xdr:twoCellAnchor editAs="oneCell">
    <xdr:from>
      <xdr:col>19</xdr:col>
      <xdr:colOff>440873</xdr:colOff>
      <xdr:row>2</xdr:row>
      <xdr:rowOff>87085</xdr:rowOff>
    </xdr:from>
    <xdr:to>
      <xdr:col>33</xdr:col>
      <xdr:colOff>563616</xdr:colOff>
      <xdr:row>30</xdr:row>
      <xdr:rowOff>134038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074980" y="468085"/>
          <a:ext cx="8695243" cy="5380953"/>
        </a:xfrm>
        <a:prstGeom prst="rect">
          <a:avLst/>
        </a:prstGeom>
      </xdr:spPr>
    </xdr:pic>
    <xdr:clientData/>
  </xdr:twoCellAnchor>
  <xdr:twoCellAnchor>
    <xdr:from>
      <xdr:col>23</xdr:col>
      <xdr:colOff>112062</xdr:colOff>
      <xdr:row>25</xdr:row>
      <xdr:rowOff>156882</xdr:rowOff>
    </xdr:from>
    <xdr:to>
      <xdr:col>25</xdr:col>
      <xdr:colOff>398236</xdr:colOff>
      <xdr:row>25</xdr:row>
      <xdr:rowOff>156882</xdr:rowOff>
    </xdr:to>
    <xdr:cxnSp macro="">
      <xdr:nvCxnSpPr>
        <xdr:cNvPr id="10" name="Straight Connector 9"/>
        <xdr:cNvCxnSpPr/>
      </xdr:nvCxnSpPr>
      <xdr:spPr>
        <a:xfrm>
          <a:off x="14209062" y="4919382"/>
          <a:ext cx="151200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155082</xdr:colOff>
      <xdr:row>25</xdr:row>
      <xdr:rowOff>82373</xdr:rowOff>
    </xdr:from>
    <xdr:to>
      <xdr:col>25</xdr:col>
      <xdr:colOff>155082</xdr:colOff>
      <xdr:row>26</xdr:row>
      <xdr:rowOff>143873</xdr:rowOff>
    </xdr:to>
    <xdr:cxnSp macro="">
      <xdr:nvCxnSpPr>
        <xdr:cNvPr id="11" name="Straight Connector 10"/>
        <xdr:cNvCxnSpPr/>
      </xdr:nvCxnSpPr>
      <xdr:spPr>
        <a:xfrm rot="16200000">
          <a:off x="15157023" y="4970873"/>
          <a:ext cx="25200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78442</xdr:colOff>
      <xdr:row>32</xdr:row>
      <xdr:rowOff>168089</xdr:rowOff>
    </xdr:from>
    <xdr:to>
      <xdr:col>33</xdr:col>
      <xdr:colOff>568700</xdr:colOff>
      <xdr:row>60</xdr:row>
      <xdr:rowOff>43613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75677" y="6264089"/>
          <a:ext cx="8961905" cy="5209524"/>
        </a:xfrm>
        <a:prstGeom prst="rect">
          <a:avLst/>
        </a:prstGeom>
      </xdr:spPr>
    </xdr:pic>
    <xdr:clientData/>
  </xdr:twoCellAnchor>
  <xdr:twoCellAnchor>
    <xdr:from>
      <xdr:col>22</xdr:col>
      <xdr:colOff>515472</xdr:colOff>
      <xdr:row>55</xdr:row>
      <xdr:rowOff>67235</xdr:rowOff>
    </xdr:from>
    <xdr:to>
      <xdr:col>25</xdr:col>
      <xdr:colOff>196528</xdr:colOff>
      <xdr:row>55</xdr:row>
      <xdr:rowOff>67235</xdr:rowOff>
    </xdr:to>
    <xdr:cxnSp macro="">
      <xdr:nvCxnSpPr>
        <xdr:cNvPr id="13" name="Straight Connector 12"/>
        <xdr:cNvCxnSpPr/>
      </xdr:nvCxnSpPr>
      <xdr:spPr>
        <a:xfrm>
          <a:off x="13828060" y="10544735"/>
          <a:ext cx="1496409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558491</xdr:colOff>
      <xdr:row>54</xdr:row>
      <xdr:rowOff>183226</xdr:rowOff>
    </xdr:from>
    <xdr:to>
      <xdr:col>24</xdr:col>
      <xdr:colOff>558491</xdr:colOff>
      <xdr:row>56</xdr:row>
      <xdr:rowOff>54226</xdr:rowOff>
    </xdr:to>
    <xdr:cxnSp macro="">
      <xdr:nvCxnSpPr>
        <xdr:cNvPr id="14" name="Straight Connector 13"/>
        <xdr:cNvCxnSpPr/>
      </xdr:nvCxnSpPr>
      <xdr:spPr>
        <a:xfrm rot="16200000">
          <a:off x="14955315" y="10596226"/>
          <a:ext cx="25200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203152</xdr:colOff>
      <xdr:row>22</xdr:row>
      <xdr:rowOff>164232</xdr:rowOff>
    </xdr:from>
    <xdr:to>
      <xdr:col>4</xdr:col>
      <xdr:colOff>453360</xdr:colOff>
      <xdr:row>34</xdr:row>
      <xdr:rowOff>109163</xdr:rowOff>
    </xdr:to>
    <xdr:grpSp>
      <xdr:nvGrpSpPr>
        <xdr:cNvPr id="12" name="Group 11"/>
        <xdr:cNvGrpSpPr/>
      </xdr:nvGrpSpPr>
      <xdr:grpSpPr>
        <a:xfrm>
          <a:off x="816065" y="4545732"/>
          <a:ext cx="2155208" cy="2230931"/>
          <a:chOff x="1069040" y="2204357"/>
          <a:chExt cx="2079008" cy="2230931"/>
        </a:xfrm>
      </xdr:grpSpPr>
      <xdr:pic>
        <xdr:nvPicPr>
          <xdr:cNvPr id="2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69040" y="2832847"/>
            <a:ext cx="1943100" cy="16024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cxnSp macro="">
        <xdr:nvCxnSpPr>
          <xdr:cNvPr id="4" name="Straight Arrow Connector 3"/>
          <xdr:cNvCxnSpPr/>
        </xdr:nvCxnSpPr>
        <xdr:spPr>
          <a:xfrm flipV="1">
            <a:off x="1952705" y="2418230"/>
            <a:ext cx="0" cy="1008530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Straight Arrow Connector 8"/>
          <xdr:cNvCxnSpPr/>
        </xdr:nvCxnSpPr>
        <xdr:spPr>
          <a:xfrm>
            <a:off x="1946942" y="3428041"/>
            <a:ext cx="923364" cy="0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TextBox 9"/>
          <xdr:cNvSpPr txBox="1"/>
        </xdr:nvSpPr>
        <xdr:spPr>
          <a:xfrm>
            <a:off x="1834243" y="2204357"/>
            <a:ext cx="25789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IN" sz="1100"/>
              <a:t>X</a:t>
            </a: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2890157" y="3292928"/>
            <a:ext cx="25789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IN" sz="1100"/>
              <a:t>Y</a:t>
            </a:r>
          </a:p>
        </xdr:txBody>
      </xdr:sp>
    </xdr:grpSp>
    <xdr:clientData/>
  </xdr:twoCellAnchor>
  <xdr:twoCellAnchor editAs="oneCell">
    <xdr:from>
      <xdr:col>0</xdr:col>
      <xdr:colOff>157370</xdr:colOff>
      <xdr:row>84</xdr:row>
      <xdr:rowOff>99392</xdr:rowOff>
    </xdr:from>
    <xdr:to>
      <xdr:col>6</xdr:col>
      <xdr:colOff>463826</xdr:colOff>
      <xdr:row>90</xdr:row>
      <xdr:rowOff>183496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370" y="16242196"/>
          <a:ext cx="4050195" cy="1227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24"/>
  <sheetViews>
    <sheetView tabSelected="1" view="pageBreakPreview" topLeftCell="A207" zoomScale="120" zoomScaleNormal="100" zoomScaleSheetLayoutView="120" workbookViewId="0">
      <selection activeCell="I223" sqref="I223"/>
    </sheetView>
  </sheetViews>
  <sheetFormatPr defaultRowHeight="15" x14ac:dyDescent="0.25"/>
  <cols>
    <col min="2" max="2" width="9.5703125" customWidth="1"/>
    <col min="3" max="3" width="10.140625" bestFit="1" customWidth="1"/>
    <col min="4" max="4" width="12.28515625" bestFit="1" customWidth="1"/>
    <col min="5" max="5" width="11.5703125" customWidth="1"/>
    <col min="6" max="6" width="10.28515625" customWidth="1"/>
    <col min="8" max="8" width="13.140625" bestFit="1" customWidth="1"/>
    <col min="11" max="11" width="8.7109375" customWidth="1"/>
  </cols>
  <sheetData>
    <row r="2" spans="1:21" ht="21" x14ac:dyDescent="0.35">
      <c r="A2" s="1" t="s">
        <v>83</v>
      </c>
    </row>
    <row r="4" spans="1:21" ht="16.5" x14ac:dyDescent="0.25">
      <c r="A4" t="s">
        <v>18</v>
      </c>
      <c r="C4" s="3"/>
      <c r="D4" s="3"/>
      <c r="E4" s="3"/>
      <c r="F4" s="3"/>
      <c r="G4" s="2" t="s">
        <v>8</v>
      </c>
      <c r="H4" s="21">
        <v>30</v>
      </c>
      <c r="I4" s="3" t="s">
        <v>17</v>
      </c>
      <c r="J4" s="3"/>
      <c r="K4" s="4"/>
      <c r="L4" s="9"/>
      <c r="M4" s="5"/>
      <c r="N4" s="6"/>
      <c r="O4" s="5"/>
      <c r="P4" s="7"/>
      <c r="Q4" s="3"/>
      <c r="R4" s="3"/>
      <c r="S4" s="3"/>
      <c r="T4" s="6"/>
      <c r="U4" s="6"/>
    </row>
    <row r="5" spans="1:21" ht="16.5" x14ac:dyDescent="0.25">
      <c r="A5" t="s">
        <v>19</v>
      </c>
      <c r="C5" s="3"/>
      <c r="D5" s="3"/>
      <c r="E5" s="3"/>
      <c r="F5" s="3"/>
      <c r="G5" s="2" t="s">
        <v>8</v>
      </c>
      <c r="H5" s="22">
        <v>2.9</v>
      </c>
      <c r="I5" s="3" t="s">
        <v>17</v>
      </c>
      <c r="J5" s="3"/>
      <c r="K5" s="4"/>
      <c r="L5" s="9"/>
      <c r="M5" s="5"/>
      <c r="N5" s="6"/>
      <c r="O5" s="8"/>
      <c r="P5" s="7"/>
      <c r="Q5" s="3"/>
      <c r="R5" s="3"/>
      <c r="S5" s="3"/>
      <c r="T5" s="6"/>
      <c r="U5" s="6"/>
    </row>
    <row r="6" spans="1:21" x14ac:dyDescent="0.25">
      <c r="A6" t="s">
        <v>16</v>
      </c>
      <c r="C6" s="3"/>
      <c r="D6" s="3"/>
      <c r="E6" s="3"/>
      <c r="F6" s="3"/>
      <c r="G6" s="2"/>
      <c r="H6" s="11"/>
      <c r="I6" s="3"/>
      <c r="J6" s="3"/>
      <c r="K6" s="4"/>
      <c r="L6" s="9"/>
      <c r="M6" s="5"/>
      <c r="N6" s="6"/>
      <c r="O6" s="8"/>
      <c r="P6" s="7"/>
      <c r="Q6" s="3"/>
      <c r="R6" s="3"/>
      <c r="S6" s="3"/>
      <c r="T6" s="6"/>
      <c r="U6" s="6"/>
    </row>
    <row r="7" spans="1:21" x14ac:dyDescent="0.25">
      <c r="A7" t="s">
        <v>21</v>
      </c>
      <c r="C7" s="3"/>
      <c r="D7" s="3"/>
      <c r="E7" s="3"/>
      <c r="F7" s="3"/>
      <c r="G7" s="2" t="s">
        <v>8</v>
      </c>
      <c r="H7" s="22">
        <v>1.5</v>
      </c>
      <c r="I7" s="3"/>
      <c r="J7" t="s">
        <v>130</v>
      </c>
      <c r="K7" s="4"/>
      <c r="L7" s="9"/>
      <c r="M7" s="5"/>
      <c r="N7" s="6"/>
      <c r="O7" s="8"/>
      <c r="P7" s="7"/>
      <c r="Q7" s="3"/>
      <c r="R7" s="3"/>
      <c r="S7" s="3"/>
      <c r="T7" s="6"/>
      <c r="U7" s="6"/>
    </row>
    <row r="8" spans="1:21" x14ac:dyDescent="0.25">
      <c r="A8" t="s">
        <v>22</v>
      </c>
      <c r="C8" s="3"/>
      <c r="D8" s="3"/>
      <c r="E8" s="3"/>
      <c r="F8" s="3"/>
      <c r="G8" s="2" t="s">
        <v>8</v>
      </c>
      <c r="H8" s="23">
        <v>0.85</v>
      </c>
      <c r="I8" s="3"/>
      <c r="J8" s="3" t="s">
        <v>128</v>
      </c>
      <c r="K8" s="4"/>
      <c r="L8" s="9"/>
      <c r="M8" s="5"/>
      <c r="N8" s="6"/>
      <c r="O8" s="8"/>
      <c r="P8" s="7"/>
      <c r="Q8" s="3"/>
      <c r="R8" s="3"/>
      <c r="S8" s="3"/>
      <c r="T8" s="6"/>
      <c r="U8" s="6"/>
    </row>
    <row r="9" spans="1:21" ht="16.5" x14ac:dyDescent="0.25">
      <c r="A9" t="s">
        <v>127</v>
      </c>
      <c r="C9" s="3"/>
      <c r="D9" s="3"/>
      <c r="E9" s="3"/>
      <c r="F9" s="3" t="s">
        <v>131</v>
      </c>
      <c r="G9" s="2" t="s">
        <v>8</v>
      </c>
      <c r="H9" s="11">
        <f>H4*H8/H7</f>
        <v>17</v>
      </c>
      <c r="I9" s="3" t="s">
        <v>17</v>
      </c>
      <c r="J9" s="3"/>
      <c r="K9" s="4"/>
      <c r="L9" s="9"/>
      <c r="M9" s="5"/>
      <c r="N9" s="6"/>
      <c r="O9" s="8"/>
      <c r="P9" s="7"/>
      <c r="Q9" s="3"/>
      <c r="R9" s="3"/>
      <c r="S9" s="3"/>
      <c r="T9" s="6"/>
      <c r="U9" s="6"/>
    </row>
    <row r="10" spans="1:21" x14ac:dyDescent="0.25">
      <c r="A10" t="s">
        <v>129</v>
      </c>
      <c r="C10" s="3"/>
      <c r="D10" s="3"/>
      <c r="E10" s="3"/>
      <c r="F10" s="3"/>
      <c r="G10" s="2"/>
      <c r="H10" s="11"/>
      <c r="I10" s="3"/>
      <c r="J10" s="3"/>
      <c r="K10" s="4"/>
      <c r="L10" s="9"/>
      <c r="M10" s="5"/>
      <c r="N10" s="6"/>
      <c r="O10" s="8"/>
      <c r="P10" s="7"/>
      <c r="Q10" s="3"/>
      <c r="R10" s="3"/>
      <c r="S10" s="3"/>
      <c r="T10" s="6"/>
      <c r="U10" s="6"/>
    </row>
    <row r="11" spans="1:21" ht="16.5" x14ac:dyDescent="0.25">
      <c r="A11" t="s">
        <v>20</v>
      </c>
      <c r="C11" s="3"/>
      <c r="D11" s="3"/>
      <c r="E11" s="3"/>
      <c r="F11" s="3"/>
      <c r="G11" s="2" t="s">
        <v>8</v>
      </c>
      <c r="H11" s="21">
        <v>500</v>
      </c>
      <c r="I11" s="3" t="s">
        <v>17</v>
      </c>
      <c r="J11" s="3"/>
      <c r="K11" s="4"/>
      <c r="L11" s="3"/>
      <c r="M11" s="5"/>
      <c r="N11" s="6"/>
      <c r="O11" s="5"/>
      <c r="P11" s="7"/>
      <c r="Q11" s="6"/>
      <c r="R11" s="6"/>
      <c r="S11" s="6"/>
      <c r="T11" s="6"/>
      <c r="U11" s="6"/>
    </row>
    <row r="12" spans="1:21" x14ac:dyDescent="0.25">
      <c r="A12" t="s">
        <v>42</v>
      </c>
      <c r="C12" s="3"/>
      <c r="D12" s="3"/>
      <c r="E12" s="3"/>
      <c r="F12" s="3"/>
      <c r="G12" s="2" t="s">
        <v>8</v>
      </c>
      <c r="H12" s="23">
        <v>1.1499999999999999</v>
      </c>
      <c r="I12" s="3"/>
      <c r="J12" s="3"/>
      <c r="K12" s="4"/>
      <c r="L12" s="9"/>
      <c r="M12" s="5"/>
      <c r="N12" s="6"/>
      <c r="O12" s="5"/>
      <c r="P12" s="7"/>
      <c r="Q12" s="6"/>
      <c r="R12" s="6"/>
      <c r="S12" s="6"/>
      <c r="T12" s="6"/>
      <c r="U12" s="6"/>
    </row>
    <row r="13" spans="1:21" ht="16.5" x14ac:dyDescent="0.25">
      <c r="A13" t="s">
        <v>122</v>
      </c>
      <c r="C13" s="3"/>
      <c r="D13" s="3"/>
      <c r="E13" s="3" t="s">
        <v>123</v>
      </c>
      <c r="F13" s="3"/>
      <c r="G13" s="2" t="s">
        <v>8</v>
      </c>
      <c r="H13" s="11">
        <f>ROUNDUP(H11/H12,0)</f>
        <v>435</v>
      </c>
      <c r="I13" s="3" t="s">
        <v>17</v>
      </c>
      <c r="J13" s="3"/>
      <c r="K13" s="4"/>
      <c r="L13" s="9"/>
      <c r="M13" s="5"/>
      <c r="N13" s="6"/>
      <c r="O13" s="5"/>
      <c r="P13" s="7"/>
      <c r="Q13" s="6"/>
      <c r="R13" s="6"/>
      <c r="S13" s="6"/>
      <c r="T13" s="6"/>
      <c r="U13" s="6"/>
    </row>
    <row r="14" spans="1:21" x14ac:dyDescent="0.25">
      <c r="A14" t="s">
        <v>121</v>
      </c>
      <c r="C14" s="3"/>
      <c r="D14" s="3"/>
      <c r="E14" s="3"/>
      <c r="F14" s="3"/>
      <c r="G14" s="2"/>
      <c r="H14" s="11"/>
      <c r="I14" s="3"/>
      <c r="J14" s="3"/>
      <c r="K14" s="4"/>
      <c r="L14" s="9"/>
      <c r="M14" s="5"/>
      <c r="N14" s="6"/>
      <c r="O14" s="5"/>
      <c r="P14" s="7"/>
      <c r="Q14" s="6"/>
      <c r="R14" s="6"/>
      <c r="S14" s="6"/>
      <c r="T14" s="6"/>
      <c r="U14" s="6"/>
    </row>
    <row r="15" spans="1:21" x14ac:dyDescent="0.25">
      <c r="A15" t="s">
        <v>125</v>
      </c>
      <c r="G15" s="2" t="s">
        <v>8</v>
      </c>
      <c r="H15" s="20">
        <v>1600</v>
      </c>
      <c r="I15" t="s">
        <v>9</v>
      </c>
      <c r="L15" s="10"/>
    </row>
    <row r="16" spans="1:21" x14ac:dyDescent="0.25">
      <c r="A16" t="s">
        <v>185</v>
      </c>
      <c r="G16" s="2" t="s">
        <v>8</v>
      </c>
      <c r="H16" s="20">
        <v>400</v>
      </c>
      <c r="I16" t="s">
        <v>9</v>
      </c>
    </row>
    <row r="17" spans="1:9" x14ac:dyDescent="0.25">
      <c r="A17" t="s">
        <v>3</v>
      </c>
      <c r="G17" s="2" t="s">
        <v>8</v>
      </c>
      <c r="H17" s="20">
        <v>600</v>
      </c>
      <c r="I17" t="s">
        <v>9</v>
      </c>
    </row>
    <row r="18" spans="1:9" ht="16.5" x14ac:dyDescent="0.25">
      <c r="A18" t="s">
        <v>124</v>
      </c>
      <c r="G18" s="2" t="s">
        <v>8</v>
      </c>
      <c r="H18" s="17">
        <f>H16*H15</f>
        <v>640000</v>
      </c>
      <c r="I18" s="3" t="s">
        <v>53</v>
      </c>
    </row>
    <row r="19" spans="1:9" x14ac:dyDescent="0.25">
      <c r="A19" t="s">
        <v>6</v>
      </c>
      <c r="G19" s="2" t="s">
        <v>8</v>
      </c>
      <c r="H19" s="20">
        <v>50</v>
      </c>
      <c r="I19" t="s">
        <v>9</v>
      </c>
    </row>
    <row r="20" spans="1:9" x14ac:dyDescent="0.25">
      <c r="A20" t="s">
        <v>4</v>
      </c>
      <c r="G20" s="2" t="s">
        <v>8</v>
      </c>
      <c r="H20" s="20">
        <v>12</v>
      </c>
      <c r="I20" t="s">
        <v>9</v>
      </c>
    </row>
    <row r="21" spans="1:9" x14ac:dyDescent="0.25">
      <c r="A21" t="s">
        <v>57</v>
      </c>
      <c r="G21" s="2" t="s">
        <v>8</v>
      </c>
      <c r="H21" s="20">
        <v>28</v>
      </c>
    </row>
    <row r="22" spans="1:9" ht="16.5" x14ac:dyDescent="0.25">
      <c r="A22" t="s">
        <v>59</v>
      </c>
      <c r="G22" s="2" t="s">
        <v>8</v>
      </c>
      <c r="H22" s="17">
        <f>(PI()/4*H20*H20)*H21</f>
        <v>3166.7253948185116</v>
      </c>
      <c r="I22" s="3" t="s">
        <v>53</v>
      </c>
    </row>
    <row r="23" spans="1:9" x14ac:dyDescent="0.25">
      <c r="A23" t="s">
        <v>93</v>
      </c>
      <c r="G23" s="2" t="s">
        <v>8</v>
      </c>
      <c r="H23" s="20">
        <v>8</v>
      </c>
      <c r="I23" t="s">
        <v>9</v>
      </c>
    </row>
    <row r="24" spans="1:9" x14ac:dyDescent="0.25">
      <c r="A24" t="s">
        <v>7</v>
      </c>
      <c r="G24" s="2" t="s">
        <v>8</v>
      </c>
      <c r="H24" s="17">
        <f>H19+H20/2</f>
        <v>56</v>
      </c>
      <c r="I24" t="s">
        <v>9</v>
      </c>
    </row>
    <row r="25" spans="1:9" x14ac:dyDescent="0.25">
      <c r="A25" t="s">
        <v>119</v>
      </c>
      <c r="G25" s="2" t="s">
        <v>8</v>
      </c>
      <c r="H25" s="17">
        <f>H16-2*H19-H20</f>
        <v>288</v>
      </c>
      <c r="I25" t="s">
        <v>9</v>
      </c>
    </row>
    <row r="26" spans="1:9" x14ac:dyDescent="0.25">
      <c r="A26" t="s">
        <v>120</v>
      </c>
      <c r="G26" s="2" t="s">
        <v>8</v>
      </c>
      <c r="H26" s="17">
        <f>H15-2*H19-H20</f>
        <v>1488</v>
      </c>
      <c r="I26" t="s">
        <v>9</v>
      </c>
    </row>
    <row r="27" spans="1:9" x14ac:dyDescent="0.25">
      <c r="A27" t="s">
        <v>178</v>
      </c>
      <c r="G27" s="2" t="s">
        <v>8</v>
      </c>
      <c r="H27" s="20">
        <f>2*H17</f>
        <v>1200</v>
      </c>
      <c r="I27" t="s">
        <v>9</v>
      </c>
    </row>
    <row r="28" spans="1:9" x14ac:dyDescent="0.25">
      <c r="A28" t="s">
        <v>186</v>
      </c>
      <c r="G28" s="2"/>
      <c r="H28" s="17">
        <f>H15-H24</f>
        <v>1544</v>
      </c>
    </row>
    <row r="29" spans="1:9" x14ac:dyDescent="0.25">
      <c r="A29" s="56" t="s">
        <v>138</v>
      </c>
      <c r="B29" s="55"/>
      <c r="C29" s="55"/>
      <c r="D29" t="s">
        <v>142</v>
      </c>
      <c r="G29" s="2"/>
      <c r="H29" s="17"/>
    </row>
    <row r="30" spans="1:9" x14ac:dyDescent="0.25">
      <c r="G30" s="2"/>
      <c r="H30" s="17"/>
    </row>
    <row r="31" spans="1:9" x14ac:dyDescent="0.25">
      <c r="B31" s="57" t="s">
        <v>139</v>
      </c>
      <c r="C31" s="12" t="s">
        <v>140</v>
      </c>
      <c r="G31" s="2"/>
      <c r="H31" s="17"/>
    </row>
    <row r="32" spans="1:9" x14ac:dyDescent="0.25">
      <c r="C32" s="58" t="s">
        <v>141</v>
      </c>
      <c r="G32" s="2"/>
      <c r="H32" s="17"/>
    </row>
    <row r="33" spans="1:13" ht="15.75" x14ac:dyDescent="0.25">
      <c r="B33" t="s">
        <v>143</v>
      </c>
      <c r="D33" s="63">
        <v>0.7</v>
      </c>
      <c r="F33" s="43"/>
      <c r="G33" s="57" t="s">
        <v>145</v>
      </c>
      <c r="H33" s="17"/>
    </row>
    <row r="34" spans="1:13" x14ac:dyDescent="0.25">
      <c r="B34" t="s">
        <v>144</v>
      </c>
      <c r="D34" s="60">
        <f>SQRT(1+0.2*M34)</f>
        <v>1.0125819279375734</v>
      </c>
      <c r="G34" t="s">
        <v>147</v>
      </c>
      <c r="H34" s="17"/>
      <c r="L34" s="12" t="s">
        <v>152</v>
      </c>
      <c r="M34">
        <f>(H22*H13)/(H18*H9)</f>
        <v>0.12661080392886512</v>
      </c>
    </row>
    <row r="35" spans="1:13" ht="18.75" x14ac:dyDescent="0.3">
      <c r="B35" t="s">
        <v>150</v>
      </c>
      <c r="D35">
        <f>1.7-0.7</f>
        <v>1</v>
      </c>
      <c r="G35" s="59" t="s">
        <v>146</v>
      </c>
      <c r="H35" s="17"/>
      <c r="L35" t="s">
        <v>148</v>
      </c>
    </row>
    <row r="36" spans="1:13" x14ac:dyDescent="0.25">
      <c r="B36" t="s">
        <v>151</v>
      </c>
      <c r="D36">
        <f>H60*1000/(H18*H9)</f>
        <v>1.587251838235294E-2</v>
      </c>
      <c r="G36" t="s">
        <v>149</v>
      </c>
    </row>
    <row r="38" spans="1:13" x14ac:dyDescent="0.25">
      <c r="B38" s="57" t="s">
        <v>139</v>
      </c>
      <c r="C38">
        <f>(20*D33*D34*D35)/SQRT(D36)</f>
        <v>112.52144179521498</v>
      </c>
    </row>
    <row r="39" spans="1:13" x14ac:dyDescent="0.25">
      <c r="A39" t="s">
        <v>177</v>
      </c>
      <c r="G39" t="s">
        <v>181</v>
      </c>
      <c r="H39">
        <f>(H15*H16*H16*H16)/12</f>
        <v>8533333333.333333</v>
      </c>
    </row>
    <row r="40" spans="1:13" ht="18.75" x14ac:dyDescent="0.3">
      <c r="B40" s="43" t="s">
        <v>183</v>
      </c>
      <c r="C40" t="s">
        <v>153</v>
      </c>
      <c r="G40" t="s">
        <v>179</v>
      </c>
      <c r="H40">
        <f>(H16*H15*H15*H15)/12</f>
        <v>136533333333.33333</v>
      </c>
    </row>
    <row r="41" spans="1:13" x14ac:dyDescent="0.25">
      <c r="B41" s="43" t="s">
        <v>8</v>
      </c>
      <c r="C41">
        <f>(H27)/H42</f>
        <v>2.598076211353316</v>
      </c>
      <c r="G41" t="s">
        <v>154</v>
      </c>
      <c r="H41" s="17">
        <f>H18</f>
        <v>640000</v>
      </c>
    </row>
    <row r="42" spans="1:13" x14ac:dyDescent="0.25">
      <c r="B42" s="43" t="s">
        <v>184</v>
      </c>
      <c r="C42">
        <f>(H27)/H43</f>
        <v>10.392304845413264</v>
      </c>
      <c r="G42" t="s">
        <v>180</v>
      </c>
      <c r="H42">
        <f>SQRT(H40/H41)</f>
        <v>461.8802153517006</v>
      </c>
    </row>
    <row r="43" spans="1:13" x14ac:dyDescent="0.25">
      <c r="A43" s="61" t="str">
        <f>IF(C38&gt;C41,"column is short column about z,  second order analysis can be ignore","column is slender")</f>
        <v>column is short column about z,  second order analysis can be ignore</v>
      </c>
      <c r="G43" t="s">
        <v>182</v>
      </c>
      <c r="H43">
        <f>SQRT(H39/H41)</f>
        <v>115.47005383792515</v>
      </c>
    </row>
    <row r="44" spans="1:13" x14ac:dyDescent="0.25">
      <c r="A44" s="61" t="str">
        <f>IF(C38&gt;C42,"column is short column about z,  second order analysis can be ignore","column is slender")</f>
        <v>column is short column about z,  second order analysis can be ignore</v>
      </c>
    </row>
    <row r="46" spans="1:13" x14ac:dyDescent="0.25">
      <c r="D46" s="54" t="s">
        <v>60</v>
      </c>
    </row>
    <row r="47" spans="1:13" x14ac:dyDescent="0.25">
      <c r="C47" s="47" t="s">
        <v>27</v>
      </c>
    </row>
    <row r="50" spans="1:9" x14ac:dyDescent="0.25">
      <c r="E50" s="53" t="s">
        <v>61</v>
      </c>
    </row>
    <row r="51" spans="1:9" x14ac:dyDescent="0.25">
      <c r="A51" s="35">
        <f>H15</f>
        <v>1600</v>
      </c>
    </row>
    <row r="52" spans="1:9" x14ac:dyDescent="0.25">
      <c r="E52" s="43"/>
    </row>
    <row r="58" spans="1:9" x14ac:dyDescent="0.25">
      <c r="A58" s="47" t="s">
        <v>126</v>
      </c>
      <c r="G58" t="s">
        <v>8</v>
      </c>
      <c r="H58" s="20">
        <v>157</v>
      </c>
    </row>
    <row r="59" spans="1:9" x14ac:dyDescent="0.25">
      <c r="A59" t="s">
        <v>10</v>
      </c>
      <c r="G59" t="s">
        <v>8</v>
      </c>
      <c r="H59" s="20">
        <v>2404</v>
      </c>
    </row>
    <row r="60" spans="1:9" x14ac:dyDescent="0.25">
      <c r="A60" t="s">
        <v>62</v>
      </c>
      <c r="G60" s="2" t="s">
        <v>8</v>
      </c>
      <c r="H60" s="62">
        <v>172.69300000000001</v>
      </c>
      <c r="I60" t="s">
        <v>12</v>
      </c>
    </row>
    <row r="61" spans="1:9" x14ac:dyDescent="0.25">
      <c r="A61" t="s">
        <v>111</v>
      </c>
      <c r="G61" s="2" t="s">
        <v>8</v>
      </c>
      <c r="H61" s="62">
        <v>0</v>
      </c>
      <c r="I61" t="s">
        <v>12</v>
      </c>
    </row>
    <row r="62" spans="1:9" x14ac:dyDescent="0.25">
      <c r="A62" t="s">
        <v>112</v>
      </c>
      <c r="G62" s="2" t="s">
        <v>8</v>
      </c>
      <c r="H62" s="62">
        <v>18.914000000000001</v>
      </c>
      <c r="I62" t="s">
        <v>12</v>
      </c>
    </row>
    <row r="63" spans="1:9" ht="17.25" x14ac:dyDescent="0.25">
      <c r="A63" t="s">
        <v>113</v>
      </c>
      <c r="G63" s="2" t="s">
        <v>8</v>
      </c>
      <c r="H63" s="40">
        <f>SQRT(H61*H61+H62*H62)</f>
        <v>18.914000000000001</v>
      </c>
      <c r="I63" t="s">
        <v>12</v>
      </c>
    </row>
    <row r="64" spans="1:9" x14ac:dyDescent="0.25">
      <c r="A64" t="s">
        <v>15</v>
      </c>
      <c r="G64" s="2" t="s">
        <v>8</v>
      </c>
      <c r="H64" s="62">
        <v>21.073</v>
      </c>
      <c r="I64" t="s">
        <v>14</v>
      </c>
    </row>
    <row r="65" spans="1:9" x14ac:dyDescent="0.25">
      <c r="A65" t="s">
        <v>84</v>
      </c>
      <c r="G65" s="2" t="s">
        <v>8</v>
      </c>
      <c r="H65" s="62">
        <v>0</v>
      </c>
      <c r="I65" t="s">
        <v>14</v>
      </c>
    </row>
    <row r="66" spans="1:9" x14ac:dyDescent="0.25">
      <c r="H66" s="17"/>
    </row>
    <row r="67" spans="1:9" x14ac:dyDescent="0.25">
      <c r="A67" t="s">
        <v>187</v>
      </c>
      <c r="G67" s="2" t="s">
        <v>8</v>
      </c>
      <c r="H67" s="17">
        <f>MAX(H64:H65)</f>
        <v>21.073</v>
      </c>
    </row>
    <row r="68" spans="1:9" x14ac:dyDescent="0.25">
      <c r="A68" t="s">
        <v>188</v>
      </c>
      <c r="G68" s="2" t="s">
        <v>8</v>
      </c>
      <c r="H68" s="17">
        <f>MIN(H64:H65)</f>
        <v>0</v>
      </c>
    </row>
    <row r="69" spans="1:9" x14ac:dyDescent="0.25">
      <c r="A69" s="61" t="s">
        <v>31</v>
      </c>
      <c r="B69" s="61"/>
      <c r="C69" s="61"/>
      <c r="D69" s="61"/>
      <c r="E69" s="61"/>
      <c r="F69" s="61"/>
      <c r="G69" s="64" t="s">
        <v>8</v>
      </c>
      <c r="H69" s="65">
        <f>H68/H67</f>
        <v>0</v>
      </c>
    </row>
    <row r="70" spans="1:9" x14ac:dyDescent="0.25">
      <c r="H70" s="17"/>
    </row>
    <row r="71" spans="1:9" x14ac:dyDescent="0.25">
      <c r="A71" s="14" t="s">
        <v>27</v>
      </c>
      <c r="B71" s="2" t="s">
        <v>8</v>
      </c>
      <c r="C71" s="13" t="s">
        <v>45</v>
      </c>
      <c r="G71" t="s">
        <v>8</v>
      </c>
      <c r="H71" s="15">
        <f>H64*10^6/(H15*H16*H16*H9)</f>
        <v>4.8421415441176471E-3</v>
      </c>
    </row>
    <row r="72" spans="1:9" ht="17.25" x14ac:dyDescent="0.25">
      <c r="A72" s="14"/>
      <c r="C72" s="14" t="s">
        <v>26</v>
      </c>
      <c r="H72" s="17"/>
    </row>
    <row r="73" spans="1:9" x14ac:dyDescent="0.25">
      <c r="A73" s="14"/>
      <c r="H73" s="17"/>
    </row>
    <row r="74" spans="1:9" x14ac:dyDescent="0.25">
      <c r="A74" s="14" t="s">
        <v>86</v>
      </c>
      <c r="B74" s="2" t="s">
        <v>8</v>
      </c>
      <c r="C74" s="13" t="s">
        <v>85</v>
      </c>
      <c r="G74" t="s">
        <v>8</v>
      </c>
      <c r="H74" s="15">
        <f>H65*10^6/(H15*H15*H16*H9)</f>
        <v>0</v>
      </c>
    </row>
    <row r="75" spans="1:9" ht="17.25" x14ac:dyDescent="0.25">
      <c r="A75" s="14"/>
      <c r="C75" s="14" t="s">
        <v>28</v>
      </c>
      <c r="H75" s="17"/>
    </row>
    <row r="76" spans="1:9" x14ac:dyDescent="0.25">
      <c r="H76" s="17"/>
    </row>
    <row r="77" spans="1:9" x14ac:dyDescent="0.25">
      <c r="A77" t="s">
        <v>64</v>
      </c>
      <c r="H77" s="17"/>
    </row>
    <row r="79" spans="1:9" x14ac:dyDescent="0.25">
      <c r="A79" s="26" t="s">
        <v>65</v>
      </c>
      <c r="B79" s="2" t="s">
        <v>8</v>
      </c>
      <c r="C79" s="14" t="s">
        <v>66</v>
      </c>
      <c r="D79" s="24" t="s">
        <v>63</v>
      </c>
      <c r="G79" t="s">
        <v>8</v>
      </c>
      <c r="H79" s="25">
        <f>1-(H60*10^3/(H15*H16*H9))</f>
        <v>0.98412748161764707</v>
      </c>
    </row>
    <row r="80" spans="1:9" x14ac:dyDescent="0.25">
      <c r="A80" s="14"/>
      <c r="D80" s="14" t="s">
        <v>34</v>
      </c>
      <c r="H80" s="17"/>
    </row>
    <row r="81" spans="1:11" s="10" customFormat="1" x14ac:dyDescent="0.25">
      <c r="A81" s="39"/>
      <c r="D81" s="39"/>
      <c r="H81" s="40"/>
    </row>
    <row r="82" spans="1:11" x14ac:dyDescent="0.25">
      <c r="A82" s="29" t="s">
        <v>87</v>
      </c>
      <c r="B82" s="2" t="s">
        <v>8</v>
      </c>
      <c r="G82" s="2" t="s">
        <v>8</v>
      </c>
      <c r="H82" s="17">
        <f>(H64)/(H25/1000)</f>
        <v>73.1701388888889</v>
      </c>
      <c r="I82" t="s">
        <v>12</v>
      </c>
    </row>
    <row r="83" spans="1:11" x14ac:dyDescent="0.25">
      <c r="A83" s="28" t="s">
        <v>60</v>
      </c>
      <c r="H83" s="17"/>
    </row>
    <row r="84" spans="1:11" x14ac:dyDescent="0.25">
      <c r="H84" s="17"/>
    </row>
    <row r="85" spans="1:11" x14ac:dyDescent="0.25">
      <c r="A85" s="30" t="s">
        <v>88</v>
      </c>
      <c r="B85" s="2" t="s">
        <v>8</v>
      </c>
      <c r="G85" s="2" t="s">
        <v>8</v>
      </c>
      <c r="H85" s="17">
        <f>H65/(H26/1000)</f>
        <v>0</v>
      </c>
      <c r="I85" t="s">
        <v>12</v>
      </c>
    </row>
    <row r="86" spans="1:11" x14ac:dyDescent="0.25">
      <c r="A86" s="14" t="s">
        <v>61</v>
      </c>
      <c r="H86" s="17"/>
    </row>
    <row r="87" spans="1:11" x14ac:dyDescent="0.25">
      <c r="H87" s="17"/>
    </row>
    <row r="88" spans="1:11" x14ac:dyDescent="0.25">
      <c r="A88" t="s">
        <v>67</v>
      </c>
      <c r="B88" s="29" t="s">
        <v>87</v>
      </c>
      <c r="C88" s="14" t="str">
        <f>IF(H82&gt;H85,"&gt;","&lt;")</f>
        <v>&gt;</v>
      </c>
      <c r="D88" s="30" t="s">
        <v>88</v>
      </c>
      <c r="H88" s="17"/>
    </row>
    <row r="89" spans="1:11" x14ac:dyDescent="0.25">
      <c r="B89" s="28" t="s">
        <v>60</v>
      </c>
      <c r="D89" s="14" t="s">
        <v>61</v>
      </c>
      <c r="H89" s="17"/>
    </row>
    <row r="90" spans="1:11" x14ac:dyDescent="0.25">
      <c r="B90" t="str">
        <f>IF(H82&gt;H85,"My is increased","Mz is increased")</f>
        <v>My is increased</v>
      </c>
      <c r="H90" s="17"/>
    </row>
    <row r="91" spans="1:11" x14ac:dyDescent="0.25">
      <c r="H91" s="17"/>
    </row>
    <row r="92" spans="1:11" x14ac:dyDescent="0.25">
      <c r="A92" s="14" t="str">
        <f>IF(H82&gt;H85,"My'","Mz'")</f>
        <v>My'</v>
      </c>
      <c r="B92" s="2" t="s">
        <v>8</v>
      </c>
      <c r="C92" s="14" t="str">
        <f>IF(H82&gt;H85,"My","Mz")</f>
        <v>My</v>
      </c>
      <c r="D92" s="31" t="s">
        <v>69</v>
      </c>
      <c r="E92" s="27" t="str">
        <f>IF(H82&gt;H85,"B' x Mz","L' x My")</f>
        <v>B' x Mz</v>
      </c>
      <c r="G92" s="2" t="s">
        <v>8</v>
      </c>
      <c r="H92" s="17">
        <f>IF(H82&gt;H85,H64+(H79*H25*H65)/H26,H65+(H79*H26*H64)/H25)</f>
        <v>21.073</v>
      </c>
      <c r="I92" t="s">
        <v>14</v>
      </c>
      <c r="K92" s="17">
        <f>H64+(H79*H25*H65)/H26</f>
        <v>21.073</v>
      </c>
    </row>
    <row r="93" spans="1:11" x14ac:dyDescent="0.25">
      <c r="E93" s="14" t="str">
        <f>IF(H82&gt;H85,"L'","B'")</f>
        <v>L'</v>
      </c>
      <c r="H93" s="17"/>
      <c r="K93" s="17">
        <f>H65+(H79*H26*H64)/H25</f>
        <v>107.1490118373315</v>
      </c>
    </row>
    <row r="94" spans="1:11" x14ac:dyDescent="0.25">
      <c r="H94" s="17"/>
    </row>
    <row r="95" spans="1:11" x14ac:dyDescent="0.25">
      <c r="A95" s="66" t="str">
        <f>IF(H82&gt;H85,"d' / B","d' / L")</f>
        <v>d' / B</v>
      </c>
      <c r="B95" s="64" t="s">
        <v>8</v>
      </c>
      <c r="C95" s="67">
        <f>IF(H82&gt;H85,H24/H16,H24/H15)</f>
        <v>0.14000000000000001</v>
      </c>
      <c r="H95" s="17"/>
    </row>
    <row r="96" spans="1:11" x14ac:dyDescent="0.25">
      <c r="H96" s="17"/>
    </row>
    <row r="97" spans="1:9" x14ac:dyDescent="0.25">
      <c r="A97" s="24" t="s">
        <v>63</v>
      </c>
      <c r="B97" s="2" t="s">
        <v>8</v>
      </c>
      <c r="C97" s="15">
        <f>(H60*10^3/(H15*H16*H9))</f>
        <v>1.587251838235294E-2</v>
      </c>
      <c r="H97" s="17"/>
    </row>
    <row r="98" spans="1:9" x14ac:dyDescent="0.25">
      <c r="A98" s="14" t="s">
        <v>34</v>
      </c>
      <c r="H98" s="17"/>
    </row>
    <row r="99" spans="1:9" x14ac:dyDescent="0.25">
      <c r="H99" s="17"/>
    </row>
    <row r="100" spans="1:9" x14ac:dyDescent="0.25">
      <c r="A100" s="27" t="str">
        <f>IF(H82&gt;H85,"My'","Mz'")</f>
        <v>My'</v>
      </c>
      <c r="B100" s="2" t="s">
        <v>8</v>
      </c>
      <c r="C100" s="25">
        <f>IF(H82&gt;H85,H92*10^6/(H15*H16*H16*H9),H92*10^6/(H15*H15*H16*H9))</f>
        <v>4.8421415441176471E-3</v>
      </c>
      <c r="H100" s="17"/>
    </row>
    <row r="101" spans="1:9" x14ac:dyDescent="0.25">
      <c r="A101" s="32" t="str">
        <f>IF(H82&gt;H85,"L x B x B x fcd","B x L x L x fcd")</f>
        <v>L x B x B x fcd</v>
      </c>
      <c r="H101" s="17"/>
    </row>
    <row r="102" spans="1:9" x14ac:dyDescent="0.25">
      <c r="H102" s="17"/>
    </row>
    <row r="103" spans="1:9" x14ac:dyDescent="0.25">
      <c r="A103" t="s">
        <v>94</v>
      </c>
      <c r="C103" s="34">
        <v>8.3000000000000007</v>
      </c>
      <c r="D103" t="s">
        <v>70</v>
      </c>
      <c r="H103" s="17"/>
    </row>
    <row r="104" spans="1:9" x14ac:dyDescent="0.25">
      <c r="H104" s="17"/>
    </row>
    <row r="105" spans="1:9" x14ac:dyDescent="0.25">
      <c r="B105" s="12" t="s">
        <v>40</v>
      </c>
      <c r="C105" s="31" t="s">
        <v>8</v>
      </c>
      <c r="D105" s="34">
        <v>1E-3</v>
      </c>
      <c r="H105" s="17"/>
    </row>
    <row r="106" spans="1:9" x14ac:dyDescent="0.25">
      <c r="B106" t="s">
        <v>41</v>
      </c>
      <c r="H106" s="17"/>
    </row>
    <row r="107" spans="1:9" x14ac:dyDescent="0.25">
      <c r="H107" s="17"/>
    </row>
    <row r="108" spans="1:9" ht="17.25" x14ac:dyDescent="0.25">
      <c r="B108" t="s">
        <v>71</v>
      </c>
      <c r="C108" s="31" t="s">
        <v>8</v>
      </c>
      <c r="D108" s="17">
        <f>D105*H15*H16*H9/H13</f>
        <v>25.011494252873565</v>
      </c>
      <c r="E108" s="3" t="s">
        <v>53</v>
      </c>
      <c r="F108" s="14" t="str">
        <f>IF(D108&lt;H22,"&lt;","&gt;")</f>
        <v>&lt;</v>
      </c>
      <c r="G108" s="17">
        <f>H22</f>
        <v>3166.7253948185116</v>
      </c>
      <c r="H108" t="s">
        <v>44</v>
      </c>
    </row>
    <row r="109" spans="1:9" x14ac:dyDescent="0.25">
      <c r="G109" t="s">
        <v>58</v>
      </c>
    </row>
    <row r="110" spans="1:9" x14ac:dyDescent="0.25">
      <c r="G110" s="19" t="str">
        <f>IF(D108&lt;G108,"Ok","Increase Renf.")</f>
        <v>Ok</v>
      </c>
      <c r="H110" s="41"/>
    </row>
    <row r="111" spans="1:9" x14ac:dyDescent="0.25">
      <c r="H111" s="17"/>
    </row>
    <row r="112" spans="1:9" x14ac:dyDescent="0.25">
      <c r="A112" t="s">
        <v>51</v>
      </c>
      <c r="H112" t="s">
        <v>132</v>
      </c>
      <c r="I112" t="s">
        <v>134</v>
      </c>
    </row>
    <row r="120" spans="1:8" ht="17.25" x14ac:dyDescent="0.25">
      <c r="A120" t="s">
        <v>54</v>
      </c>
      <c r="B120" s="2" t="s">
        <v>8</v>
      </c>
      <c r="C120" s="17">
        <f>MAX(0.1*H60/H13,0.002*H18)</f>
        <v>1280</v>
      </c>
      <c r="D120" t="s">
        <v>44</v>
      </c>
      <c r="E120" s="14" t="str">
        <f>IF(C120&lt;F120,"&lt;","&gt;")</f>
        <v>&lt;</v>
      </c>
      <c r="F120" s="17">
        <f>H22</f>
        <v>3166.7253948185116</v>
      </c>
      <c r="G120" t="s">
        <v>44</v>
      </c>
    </row>
    <row r="121" spans="1:8" x14ac:dyDescent="0.25">
      <c r="F121" s="19" t="str">
        <f>IF(C120&lt;F120,"Ok","Increase Reinf.")</f>
        <v>Ok</v>
      </c>
      <c r="G121" s="41"/>
    </row>
    <row r="123" spans="1:8" x14ac:dyDescent="0.25">
      <c r="A123" t="s">
        <v>55</v>
      </c>
    </row>
    <row r="124" spans="1:8" ht="17.25" x14ac:dyDescent="0.25">
      <c r="A124" t="s">
        <v>56</v>
      </c>
      <c r="B124" s="2"/>
      <c r="C124">
        <f>0.04*H18</f>
        <v>25600</v>
      </c>
      <c r="D124" t="s">
        <v>44</v>
      </c>
      <c r="E124" s="14" t="str">
        <f>IF(F124&gt;C124,"&lt;","&gt;")</f>
        <v>&gt;</v>
      </c>
      <c r="F124" s="17">
        <f>H22</f>
        <v>3166.7253948185116</v>
      </c>
      <c r="G124" t="s">
        <v>44</v>
      </c>
    </row>
    <row r="125" spans="1:8" x14ac:dyDescent="0.25">
      <c r="F125" s="19" t="str">
        <f>IF(C124&gt;F124,"Ok","Increase area of concrete.")</f>
        <v>Ok</v>
      </c>
      <c r="G125" s="41"/>
    </row>
    <row r="126" spans="1:8" x14ac:dyDescent="0.25">
      <c r="A126" t="s">
        <v>73</v>
      </c>
      <c r="H126" s="17"/>
    </row>
    <row r="127" spans="1:8" x14ac:dyDescent="0.25">
      <c r="A127" t="s">
        <v>72</v>
      </c>
      <c r="E127" s="14" t="str">
        <f>IF(H82&gt;H85,"Z - axis ","Y - axis")</f>
        <v xml:space="preserve">Z - axis </v>
      </c>
      <c r="F127" t="s">
        <v>89</v>
      </c>
      <c r="H127" s="17"/>
    </row>
    <row r="128" spans="1:8" x14ac:dyDescent="0.25">
      <c r="H128" s="17"/>
    </row>
    <row r="129" spans="1:9" x14ac:dyDescent="0.25">
      <c r="A129" s="75" t="s">
        <v>74</v>
      </c>
      <c r="B129" s="75"/>
      <c r="C129" s="2" t="s">
        <v>8</v>
      </c>
      <c r="D129" s="15">
        <f>(H22*H13)/(H15*H16*H9)</f>
        <v>0.12661080392886512</v>
      </c>
      <c r="E129" s="14" t="s">
        <v>39</v>
      </c>
      <c r="F129" s="24" t="s">
        <v>63</v>
      </c>
      <c r="G129" s="31" t="s">
        <v>8</v>
      </c>
      <c r="H129" s="15">
        <f>(H60*10^3/(H15*H16*H9))</f>
        <v>1.587251838235294E-2</v>
      </c>
    </row>
    <row r="130" spans="1:9" x14ac:dyDescent="0.25">
      <c r="A130" s="73" t="s">
        <v>41</v>
      </c>
      <c r="B130" s="73"/>
      <c r="F130" s="14" t="s">
        <v>34</v>
      </c>
      <c r="H130" s="17"/>
    </row>
    <row r="131" spans="1:9" x14ac:dyDescent="0.25">
      <c r="H131" s="17"/>
    </row>
    <row r="132" spans="1:9" x14ac:dyDescent="0.25">
      <c r="A132" t="s">
        <v>94</v>
      </c>
      <c r="C132" s="34">
        <v>8.1999999999999993</v>
      </c>
      <c r="D132" t="s">
        <v>70</v>
      </c>
      <c r="G132" s="2"/>
      <c r="H132" s="17"/>
    </row>
    <row r="133" spans="1:9" x14ac:dyDescent="0.25">
      <c r="H133" s="17"/>
    </row>
    <row r="134" spans="1:9" x14ac:dyDescent="0.25">
      <c r="B134" s="27" t="s">
        <v>89</v>
      </c>
      <c r="C134" s="31" t="s">
        <v>8</v>
      </c>
      <c r="D134" s="33">
        <v>0.12</v>
      </c>
      <c r="H134" s="17"/>
    </row>
    <row r="135" spans="1:9" ht="17.25" x14ac:dyDescent="0.25">
      <c r="B135" s="14" t="s">
        <v>28</v>
      </c>
      <c r="H135" s="17"/>
    </row>
    <row r="136" spans="1:9" x14ac:dyDescent="0.25">
      <c r="H136" s="17"/>
    </row>
    <row r="137" spans="1:9" x14ac:dyDescent="0.25">
      <c r="B137" t="s">
        <v>89</v>
      </c>
      <c r="C137" s="2" t="s">
        <v>8</v>
      </c>
      <c r="D137" s="17">
        <f>D134*H16*H15*H15*H9/10^6</f>
        <v>2088.96</v>
      </c>
      <c r="E137" t="s">
        <v>14</v>
      </c>
      <c r="H137" s="17"/>
    </row>
    <row r="138" spans="1:9" x14ac:dyDescent="0.25">
      <c r="H138" s="17"/>
    </row>
    <row r="139" spans="1:9" x14ac:dyDescent="0.25">
      <c r="A139" t="s">
        <v>77</v>
      </c>
      <c r="H139" s="17"/>
    </row>
    <row r="140" spans="1:9" x14ac:dyDescent="0.25">
      <c r="H140" s="17"/>
    </row>
    <row r="141" spans="1:9" x14ac:dyDescent="0.25">
      <c r="B141" t="s">
        <v>76</v>
      </c>
      <c r="C141" s="2" t="s">
        <v>8</v>
      </c>
      <c r="D141" t="s">
        <v>78</v>
      </c>
      <c r="G141" s="31" t="s">
        <v>8</v>
      </c>
      <c r="H141" s="17">
        <f>(H18*H9+H22*H13)/1000</f>
        <v>12257.525546746052</v>
      </c>
      <c r="I141" t="s">
        <v>12</v>
      </c>
    </row>
    <row r="142" spans="1:9" x14ac:dyDescent="0.25">
      <c r="A142" t="s">
        <v>79</v>
      </c>
      <c r="H142" s="17"/>
    </row>
    <row r="143" spans="1:9" x14ac:dyDescent="0.25">
      <c r="B143" t="s">
        <v>80</v>
      </c>
      <c r="C143" s="2" t="s">
        <v>8</v>
      </c>
      <c r="D143" s="15">
        <f>H60/H141</f>
        <v>1.4088732619108757E-2</v>
      </c>
      <c r="H143" s="17"/>
    </row>
    <row r="144" spans="1:9" x14ac:dyDescent="0.25">
      <c r="C144" s="2"/>
      <c r="D144" s="15"/>
      <c r="H144" s="17"/>
    </row>
    <row r="145" spans="1:8" x14ac:dyDescent="0.25">
      <c r="A145" t="s">
        <v>133</v>
      </c>
      <c r="F145" s="43" t="s">
        <v>81</v>
      </c>
      <c r="G145" s="31" t="s">
        <v>8</v>
      </c>
      <c r="H145" s="36">
        <v>1.06</v>
      </c>
    </row>
    <row r="146" spans="1:8" x14ac:dyDescent="0.25">
      <c r="C146" s="2"/>
      <c r="D146" s="15"/>
      <c r="H146" s="17"/>
    </row>
    <row r="147" spans="1:8" x14ac:dyDescent="0.25">
      <c r="A147" s="74" t="s">
        <v>136</v>
      </c>
      <c r="B147" s="74"/>
      <c r="C147" s="64" t="s">
        <v>137</v>
      </c>
      <c r="D147" s="68">
        <v>0.14499999999999999</v>
      </c>
      <c r="H147" s="17"/>
    </row>
    <row r="148" spans="1:8" x14ac:dyDescent="0.25">
      <c r="C148" s="2"/>
      <c r="D148" s="15"/>
      <c r="H148" s="17"/>
    </row>
    <row r="149" spans="1:8" x14ac:dyDescent="0.25">
      <c r="B149" s="75" t="s">
        <v>74</v>
      </c>
      <c r="C149" s="75"/>
      <c r="D149" s="2" t="s">
        <v>8</v>
      </c>
      <c r="E149" s="15">
        <f>(H22*H13)/(H15*H16*H9)</f>
        <v>0.12661080392886512</v>
      </c>
      <c r="H149" s="17"/>
    </row>
    <row r="150" spans="1:8" x14ac:dyDescent="0.25">
      <c r="B150" s="73" t="s">
        <v>41</v>
      </c>
      <c r="C150" s="73"/>
      <c r="H150" s="17"/>
    </row>
    <row r="151" spans="1:8" x14ac:dyDescent="0.25">
      <c r="C151" s="2"/>
      <c r="D151" s="15"/>
      <c r="H151" s="17"/>
    </row>
    <row r="152" spans="1:8" x14ac:dyDescent="0.25">
      <c r="C152" s="2"/>
      <c r="D152" s="15"/>
      <c r="H152" s="17"/>
    </row>
    <row r="153" spans="1:8" x14ac:dyDescent="0.25">
      <c r="B153" s="52" t="s">
        <v>75</v>
      </c>
      <c r="C153" s="31" t="s">
        <v>8</v>
      </c>
      <c r="D153" s="18">
        <v>0.105</v>
      </c>
      <c r="H153" s="17"/>
    </row>
    <row r="154" spans="1:8" ht="17.25" x14ac:dyDescent="0.25">
      <c r="B154" s="53" t="s">
        <v>28</v>
      </c>
      <c r="D154" s="15"/>
      <c r="H154" s="17"/>
    </row>
    <row r="155" spans="1:8" x14ac:dyDescent="0.25">
      <c r="C155" s="2"/>
      <c r="D155" s="15"/>
      <c r="H155" s="17"/>
    </row>
    <row r="156" spans="1:8" x14ac:dyDescent="0.25">
      <c r="B156" s="28" t="s">
        <v>75</v>
      </c>
      <c r="C156" s="31" t="s">
        <v>8</v>
      </c>
      <c r="D156" s="15">
        <f>D153*H16*H15*H15*H9/10^6</f>
        <v>1827.84</v>
      </c>
      <c r="E156" t="s">
        <v>14</v>
      </c>
      <c r="H156" s="17"/>
    </row>
    <row r="157" spans="1:8" x14ac:dyDescent="0.25">
      <c r="C157" s="2"/>
      <c r="D157" s="15"/>
      <c r="H157" s="17"/>
    </row>
    <row r="158" spans="1:8" x14ac:dyDescent="0.25">
      <c r="A158" t="s">
        <v>82</v>
      </c>
      <c r="H158" s="17"/>
    </row>
    <row r="159" spans="1:8" x14ac:dyDescent="0.25">
      <c r="H159" s="17"/>
    </row>
    <row r="160" spans="1:8" x14ac:dyDescent="0.25">
      <c r="H160" s="17"/>
    </row>
    <row r="161" spans="1:12" x14ac:dyDescent="0.25">
      <c r="F161" t="s">
        <v>135</v>
      </c>
      <c r="H161" s="17"/>
    </row>
    <row r="162" spans="1:12" x14ac:dyDescent="0.25">
      <c r="H162" s="17"/>
    </row>
    <row r="163" spans="1:12" x14ac:dyDescent="0.25">
      <c r="H163" s="17"/>
    </row>
    <row r="164" spans="1:12" x14ac:dyDescent="0.25">
      <c r="A164" s="38" t="s">
        <v>90</v>
      </c>
      <c r="B164" s="31" t="s">
        <v>68</v>
      </c>
      <c r="C164" s="38" t="s">
        <v>91</v>
      </c>
      <c r="E164" s="2" t="s">
        <v>8</v>
      </c>
      <c r="F164" s="15">
        <f>ROUNDDOWN((H64/D156)^H145+(H65/D137)^H145,3)</f>
        <v>8.0000000000000002E-3</v>
      </c>
      <c r="H164" s="17"/>
    </row>
    <row r="165" spans="1:12" x14ac:dyDescent="0.25">
      <c r="A165" s="37" t="s">
        <v>75</v>
      </c>
      <c r="C165" s="35" t="s">
        <v>92</v>
      </c>
      <c r="H165" s="17"/>
    </row>
    <row r="166" spans="1:12" x14ac:dyDescent="0.25">
      <c r="F166" s="19" t="str">
        <f>IF(F164&lt;=1,"Safe","Increase Reinf.")</f>
        <v>Safe</v>
      </c>
      <c r="G166" s="41"/>
      <c r="H166" s="17"/>
    </row>
    <row r="167" spans="1:12" x14ac:dyDescent="0.25">
      <c r="H167" s="17"/>
      <c r="L167" s="19" t="str">
        <f>IF(AND(G110="Ok",F121="Ok",F125="ok",F166="Safe"),"Safe","Increase Reinforcement")</f>
        <v>Safe</v>
      </c>
    </row>
    <row r="168" spans="1:12" x14ac:dyDescent="0.25">
      <c r="A168" s="44" t="s">
        <v>95</v>
      </c>
    </row>
    <row r="170" spans="1:12" x14ac:dyDescent="0.25">
      <c r="A170" t="s">
        <v>96</v>
      </c>
    </row>
    <row r="175" spans="1:12" x14ac:dyDescent="0.25">
      <c r="A175" t="s">
        <v>97</v>
      </c>
    </row>
    <row r="176" spans="1:12" ht="17.25" customHeight="1" x14ac:dyDescent="0.3">
      <c r="A176" s="45" t="s">
        <v>98</v>
      </c>
      <c r="B176" s="45" t="s">
        <v>8</v>
      </c>
      <c r="C176" s="45" t="s">
        <v>99</v>
      </c>
      <c r="D176" s="45" t="s">
        <v>100</v>
      </c>
      <c r="E176" s="9">
        <v>1.5</v>
      </c>
      <c r="G176" s="76" t="s">
        <v>101</v>
      </c>
      <c r="H176" s="76"/>
      <c r="I176" s="76"/>
      <c r="J176" s="6"/>
      <c r="K176" s="6"/>
      <c r="L176" s="6"/>
    </row>
    <row r="177" spans="1:9" ht="17.25" x14ac:dyDescent="0.3">
      <c r="A177" s="45" t="s">
        <v>98</v>
      </c>
      <c r="B177" t="s">
        <v>8</v>
      </c>
      <c r="C177" s="47">
        <f>0.18/E176</f>
        <v>0.12</v>
      </c>
      <c r="G177" s="46"/>
      <c r="H177" s="46"/>
      <c r="I177" s="46"/>
    </row>
    <row r="181" spans="1:9" x14ac:dyDescent="0.25">
      <c r="A181" t="s">
        <v>102</v>
      </c>
      <c r="B181" s="2" t="s">
        <v>8</v>
      </c>
      <c r="C181" s="48">
        <f>MIN(1+SQRT(200/H28),2)</f>
        <v>1.3599078753743472</v>
      </c>
    </row>
    <row r="182" spans="1:9" x14ac:dyDescent="0.25">
      <c r="A182" t="s">
        <v>103</v>
      </c>
      <c r="B182" s="2" t="s">
        <v>8</v>
      </c>
      <c r="C182" s="48">
        <f>H22/(H15*H16)</f>
        <v>4.9480084294039241E-3</v>
      </c>
    </row>
    <row r="183" spans="1:9" ht="18" x14ac:dyDescent="0.35">
      <c r="A183" t="s">
        <v>104</v>
      </c>
      <c r="B183" s="2" t="s">
        <v>8</v>
      </c>
      <c r="C183" s="47">
        <v>0.15</v>
      </c>
    </row>
    <row r="186" spans="1:9" x14ac:dyDescent="0.25">
      <c r="A186" s="49" t="s">
        <v>105</v>
      </c>
      <c r="B186" s="2" t="s">
        <v>8</v>
      </c>
      <c r="C186" s="48">
        <f>MIN(H60*1000/H18,0.2*H9)</f>
        <v>0.26983281250000002</v>
      </c>
    </row>
    <row r="188" spans="1:9" ht="17.25" x14ac:dyDescent="0.3">
      <c r="A188" s="45" t="s">
        <v>108</v>
      </c>
      <c r="B188" s="2" t="s">
        <v>8</v>
      </c>
      <c r="C188" s="50">
        <f>(((C177*C181*(100*C182*H4)^(1/3))+(C183*C186))*H15*H16)/1000</f>
        <v>282.58153079246</v>
      </c>
      <c r="D188" t="s">
        <v>12</v>
      </c>
    </row>
    <row r="190" spans="1:9" ht="18" x14ac:dyDescent="0.3">
      <c r="A190" s="45" t="s">
        <v>106</v>
      </c>
      <c r="B190" s="51" t="s">
        <v>8</v>
      </c>
      <c r="C190" s="45" t="s">
        <v>107</v>
      </c>
      <c r="D190" s="45"/>
      <c r="E190" s="6"/>
      <c r="F190" s="6"/>
    </row>
    <row r="191" spans="1:9" x14ac:dyDescent="0.25">
      <c r="B191" s="2" t="s">
        <v>8</v>
      </c>
      <c r="C191" s="48">
        <f>0.035*C181^1.5*H4^0.5</f>
        <v>0.30401352497255835</v>
      </c>
    </row>
    <row r="192" spans="1:9" ht="17.25" x14ac:dyDescent="0.3">
      <c r="A192" s="45" t="s">
        <v>109</v>
      </c>
      <c r="B192" s="2" t="s">
        <v>8</v>
      </c>
      <c r="C192" s="50">
        <f>((C191+C183*C186)*H15*H16)/1000</f>
        <v>220.47260598243733</v>
      </c>
      <c r="D192" t="s">
        <v>12</v>
      </c>
    </row>
    <row r="194" spans="1:9" x14ac:dyDescent="0.25">
      <c r="A194" t="s">
        <v>110</v>
      </c>
    </row>
    <row r="195" spans="1:9" ht="17.25" x14ac:dyDescent="0.3">
      <c r="A195" s="45" t="s">
        <v>108</v>
      </c>
      <c r="B195" s="2" t="s">
        <v>8</v>
      </c>
      <c r="C195" s="50">
        <f>C188</f>
        <v>282.58153079246</v>
      </c>
      <c r="D195" t="s">
        <v>12</v>
      </c>
      <c r="E195" s="42" t="str">
        <f>IF(C195&gt;H63,"&gt;","&lt;")</f>
        <v>&gt;</v>
      </c>
      <c r="F195" s="42" t="s">
        <v>114</v>
      </c>
      <c r="G195" s="31" t="s">
        <v>8</v>
      </c>
      <c r="H195" s="17">
        <f>H63</f>
        <v>18.914000000000001</v>
      </c>
      <c r="I195" t="s">
        <v>12</v>
      </c>
    </row>
    <row r="196" spans="1:9" x14ac:dyDescent="0.25">
      <c r="F196" s="19" t="str">
        <f>IF(C195&gt;H63,"Provide nominal shear reninf","Provide design shear reninf")</f>
        <v>Provide nominal shear reninf</v>
      </c>
    </row>
    <row r="198" spans="1:9" x14ac:dyDescent="0.25">
      <c r="A198" t="s">
        <v>115</v>
      </c>
    </row>
    <row r="200" spans="1:9" x14ac:dyDescent="0.25">
      <c r="F200" t="s">
        <v>117</v>
      </c>
    </row>
    <row r="202" spans="1:9" x14ac:dyDescent="0.25">
      <c r="A202" s="42" t="s">
        <v>116</v>
      </c>
    </row>
    <row r="203" spans="1:9" x14ac:dyDescent="0.25">
      <c r="G203" t="s">
        <v>118</v>
      </c>
    </row>
    <row r="207" spans="1:9" ht="17.25" x14ac:dyDescent="0.25">
      <c r="B207" t="s">
        <v>156</v>
      </c>
      <c r="C207" t="s">
        <v>155</v>
      </c>
      <c r="F207">
        <f>4*(PI()/4)*H23*H23</f>
        <v>201.06192982974676</v>
      </c>
      <c r="G207" t="s">
        <v>44</v>
      </c>
    </row>
    <row r="208" spans="1:9" x14ac:dyDescent="0.25">
      <c r="B208" t="s">
        <v>157</v>
      </c>
      <c r="C208" t="s">
        <v>158</v>
      </c>
      <c r="F208" s="33">
        <v>200</v>
      </c>
      <c r="G208" t="s">
        <v>9</v>
      </c>
    </row>
    <row r="209" spans="1:9" x14ac:dyDescent="0.25">
      <c r="B209" t="s">
        <v>159</v>
      </c>
      <c r="C209" t="s">
        <v>173</v>
      </c>
      <c r="F209">
        <f>0.9*H16</f>
        <v>360</v>
      </c>
      <c r="G209" t="s">
        <v>9</v>
      </c>
    </row>
    <row r="210" spans="1:9" ht="16.5" x14ac:dyDescent="0.25">
      <c r="B210" t="s">
        <v>160</v>
      </c>
      <c r="C210" t="s">
        <v>161</v>
      </c>
      <c r="G210" t="s">
        <v>162</v>
      </c>
      <c r="H210">
        <f>0.8*500</f>
        <v>400</v>
      </c>
      <c r="I210" s="3" t="s">
        <v>17</v>
      </c>
    </row>
    <row r="211" spans="1:9" x14ac:dyDescent="0.25">
      <c r="B211" t="s">
        <v>163</v>
      </c>
      <c r="C211">
        <v>1</v>
      </c>
    </row>
    <row r="212" spans="1:9" ht="15.75" x14ac:dyDescent="0.25">
      <c r="B212" s="61" t="s">
        <v>175</v>
      </c>
      <c r="C212">
        <f>((F207*F209*H210)/F208)/1000</f>
        <v>144.76458947741767</v>
      </c>
      <c r="D212" t="s">
        <v>12</v>
      </c>
    </row>
    <row r="214" spans="1:9" x14ac:dyDescent="0.25">
      <c r="B214" t="s">
        <v>164</v>
      </c>
      <c r="G214" s="15">
        <f>IF((H195-C195)&lt;0,0,H195-C195)</f>
        <v>0</v>
      </c>
      <c r="H214" t="s">
        <v>167</v>
      </c>
      <c r="I214" t="s">
        <v>168</v>
      </c>
    </row>
    <row r="215" spans="1:9" ht="16.5" x14ac:dyDescent="0.25">
      <c r="B215" t="s">
        <v>166</v>
      </c>
      <c r="C215" s="17">
        <f>H9</f>
        <v>17</v>
      </c>
      <c r="D215" s="3" t="s">
        <v>17</v>
      </c>
      <c r="G215" s="17"/>
    </row>
    <row r="216" spans="1:9" x14ac:dyDescent="0.25">
      <c r="B216" t="s">
        <v>169</v>
      </c>
      <c r="C216" s="17" t="s">
        <v>170</v>
      </c>
      <c r="D216" s="3"/>
      <c r="E216" s="47">
        <f>0.6*(1-(H4/250))</f>
        <v>0.52800000000000002</v>
      </c>
      <c r="G216" s="17" t="s">
        <v>171</v>
      </c>
    </row>
    <row r="217" spans="1:9" x14ac:dyDescent="0.25">
      <c r="B217" s="57" t="s">
        <v>165</v>
      </c>
      <c r="C217" s="17">
        <v>1</v>
      </c>
      <c r="D217" s="3"/>
      <c r="G217" s="17"/>
    </row>
    <row r="218" spans="1:9" ht="17.25" x14ac:dyDescent="0.3">
      <c r="A218" s="73" t="s">
        <v>172</v>
      </c>
      <c r="B218" s="73"/>
      <c r="C218">
        <f xml:space="preserve"> 1+1</f>
        <v>2</v>
      </c>
      <c r="D218" s="3"/>
      <c r="E218" s="47"/>
      <c r="G218" s="17"/>
    </row>
    <row r="219" spans="1:9" ht="15.75" x14ac:dyDescent="0.25">
      <c r="B219" s="61" t="s">
        <v>174</v>
      </c>
      <c r="C219">
        <f>((C217*H16*F209*E216*C215)/C218)/1000</f>
        <v>646.27200000000005</v>
      </c>
      <c r="D219" t="s">
        <v>12</v>
      </c>
      <c r="E219" t="s">
        <v>176</v>
      </c>
      <c r="F219" t="s">
        <v>168</v>
      </c>
    </row>
    <row r="222" spans="1:9" x14ac:dyDescent="0.25">
      <c r="B222" s="72" t="s">
        <v>189</v>
      </c>
      <c r="C222" s="72"/>
      <c r="D222" s="72"/>
      <c r="E222" s="70" t="str">
        <f>H21&amp;" no.s"</f>
        <v>28 no.s</v>
      </c>
      <c r="F222" s="69" t="s">
        <v>193</v>
      </c>
      <c r="G222" s="70" t="str">
        <f>H20&amp;" mm"</f>
        <v>12 mm</v>
      </c>
      <c r="H222" s="69" t="s">
        <v>194</v>
      </c>
    </row>
    <row r="224" spans="1:9" x14ac:dyDescent="0.25">
      <c r="B224" s="72" t="s">
        <v>190</v>
      </c>
      <c r="C224" s="72"/>
      <c r="D224" s="72"/>
      <c r="E224" s="70" t="str">
        <f>H23&amp;" mm"</f>
        <v>8 mm</v>
      </c>
      <c r="F224" s="69" t="s">
        <v>195</v>
      </c>
      <c r="G224" s="71" t="str">
        <f>F208&amp;" mm"</f>
        <v>200 mm</v>
      </c>
      <c r="H224" s="69" t="s">
        <v>192</v>
      </c>
      <c r="I224" s="69" t="s">
        <v>191</v>
      </c>
    </row>
  </sheetData>
  <mergeCells count="9">
    <mergeCell ref="G176:I176"/>
    <mergeCell ref="B149:C149"/>
    <mergeCell ref="B150:C150"/>
    <mergeCell ref="B222:D222"/>
    <mergeCell ref="B224:D224"/>
    <mergeCell ref="A218:B218"/>
    <mergeCell ref="A147:B147"/>
    <mergeCell ref="A129:B129"/>
    <mergeCell ref="A130:B130"/>
  </mergeCells>
  <pageMargins left="0.7" right="0.7" top="0.75" bottom="0.75" header="0.3" footer="0.3"/>
  <pageSetup paperSize="9" scale="90" orientation="portrait" r:id="rId1"/>
  <rowBreaks count="5" manualBreakCount="5">
    <brk id="44" max="8" man="1"/>
    <brk id="72" max="8" man="1"/>
    <brk id="125" max="8" man="1"/>
    <brk id="166" max="8" man="1"/>
    <brk id="196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Q16" zoomScale="85" zoomScaleNormal="85" workbookViewId="0">
      <selection activeCell="AA66" sqref="AA6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8"/>
  <sheetViews>
    <sheetView view="pageBreakPreview" zoomScale="115" zoomScaleNormal="100" zoomScaleSheetLayoutView="115" workbookViewId="0">
      <selection activeCell="K11" sqref="K11"/>
    </sheetView>
  </sheetViews>
  <sheetFormatPr defaultRowHeight="15" x14ac:dyDescent="0.25"/>
  <cols>
    <col min="3" max="3" width="10.140625" bestFit="1" customWidth="1"/>
    <col min="8" max="8" width="9" bestFit="1" customWidth="1"/>
  </cols>
  <sheetData>
    <row r="2" spans="1:21" ht="21" x14ac:dyDescent="0.35">
      <c r="A2" s="1" t="s">
        <v>0</v>
      </c>
    </row>
    <row r="4" spans="1:21" ht="16.5" x14ac:dyDescent="0.25">
      <c r="A4" t="s">
        <v>18</v>
      </c>
      <c r="C4" s="3"/>
      <c r="D4" s="3"/>
      <c r="E4" s="3"/>
      <c r="F4" s="3"/>
      <c r="G4" s="2" t="s">
        <v>8</v>
      </c>
      <c r="H4" s="21">
        <v>30</v>
      </c>
      <c r="I4" s="3" t="s">
        <v>17</v>
      </c>
      <c r="J4" s="3"/>
      <c r="K4" s="4"/>
      <c r="L4" s="9"/>
      <c r="M4" s="5"/>
      <c r="N4" s="6"/>
      <c r="O4" s="5"/>
      <c r="P4" s="7"/>
      <c r="Q4" s="3"/>
      <c r="R4" s="3"/>
      <c r="S4" s="3"/>
      <c r="T4" s="6"/>
      <c r="U4" s="6"/>
    </row>
    <row r="5" spans="1:21" ht="16.5" x14ac:dyDescent="0.25">
      <c r="A5" t="s">
        <v>19</v>
      </c>
      <c r="C5" s="3"/>
      <c r="D5" s="3"/>
      <c r="E5" s="3"/>
      <c r="F5" s="3"/>
      <c r="G5" s="2" t="s">
        <v>8</v>
      </c>
      <c r="H5" s="22">
        <v>2.9</v>
      </c>
      <c r="I5" s="3" t="s">
        <v>17</v>
      </c>
      <c r="J5" s="3"/>
      <c r="K5" s="4"/>
      <c r="L5" s="9"/>
      <c r="M5" s="5"/>
      <c r="N5" s="6"/>
      <c r="O5" s="8"/>
      <c r="P5" s="7"/>
      <c r="Q5" s="3"/>
      <c r="R5" s="3"/>
      <c r="S5" s="3"/>
      <c r="T5" s="6"/>
      <c r="U5" s="6"/>
    </row>
    <row r="6" spans="1:21" x14ac:dyDescent="0.25">
      <c r="A6" t="s">
        <v>16</v>
      </c>
      <c r="C6" s="3"/>
      <c r="D6" s="3"/>
      <c r="E6" s="3"/>
      <c r="F6" s="3"/>
      <c r="G6" s="2"/>
      <c r="H6" s="11"/>
      <c r="I6" s="3"/>
      <c r="J6" s="3"/>
      <c r="K6" s="4"/>
      <c r="L6" s="9"/>
      <c r="M6" s="5"/>
      <c r="N6" s="6"/>
      <c r="O6" s="8"/>
      <c r="P6" s="7"/>
      <c r="Q6" s="3"/>
      <c r="R6" s="3"/>
      <c r="S6" s="3"/>
      <c r="T6" s="6"/>
      <c r="U6" s="6"/>
    </row>
    <row r="7" spans="1:21" x14ac:dyDescent="0.25">
      <c r="A7" t="s">
        <v>21</v>
      </c>
      <c r="C7" s="3"/>
      <c r="D7" s="3"/>
      <c r="E7" s="3"/>
      <c r="F7" s="3"/>
      <c r="G7" s="2" t="s">
        <v>8</v>
      </c>
      <c r="H7" s="22">
        <v>1.5</v>
      </c>
      <c r="I7" s="3"/>
      <c r="J7" s="3"/>
      <c r="K7" s="4"/>
      <c r="L7" s="9"/>
      <c r="M7" s="5"/>
      <c r="N7" s="6"/>
      <c r="O7" s="8"/>
      <c r="P7" s="7"/>
      <c r="Q7" s="3"/>
      <c r="R7" s="3"/>
      <c r="S7" s="3"/>
      <c r="T7" s="6"/>
      <c r="U7" s="6"/>
    </row>
    <row r="8" spans="1:21" x14ac:dyDescent="0.25">
      <c r="A8" t="s">
        <v>22</v>
      </c>
      <c r="C8" s="3"/>
      <c r="D8" s="3"/>
      <c r="E8" s="3"/>
      <c r="F8" s="3"/>
      <c r="G8" s="2" t="s">
        <v>8</v>
      </c>
      <c r="H8" s="23">
        <v>0.85</v>
      </c>
      <c r="I8" s="3"/>
      <c r="J8" s="3"/>
      <c r="K8" s="4"/>
      <c r="L8" s="9"/>
      <c r="M8" s="5"/>
      <c r="N8" s="6"/>
      <c r="O8" s="8"/>
      <c r="P8" s="7"/>
      <c r="Q8" s="3"/>
      <c r="R8" s="3"/>
      <c r="S8" s="3"/>
      <c r="T8" s="6"/>
      <c r="U8" s="6"/>
    </row>
    <row r="9" spans="1:21" ht="16.5" x14ac:dyDescent="0.25">
      <c r="A9" t="s">
        <v>23</v>
      </c>
      <c r="C9" s="3"/>
      <c r="D9" s="3"/>
      <c r="E9" s="3"/>
      <c r="F9" s="3"/>
      <c r="G9" s="2" t="s">
        <v>8</v>
      </c>
      <c r="H9" s="11">
        <f>H4*H8/H7</f>
        <v>17</v>
      </c>
      <c r="I9" s="3" t="s">
        <v>17</v>
      </c>
      <c r="J9" s="3"/>
      <c r="K9" s="4"/>
      <c r="L9" s="9"/>
      <c r="M9" s="5"/>
      <c r="N9" s="6"/>
      <c r="O9" s="8"/>
      <c r="P9" s="7"/>
      <c r="Q9" s="3"/>
      <c r="R9" s="3"/>
      <c r="S9" s="3"/>
      <c r="T9" s="6"/>
      <c r="U9" s="6"/>
    </row>
    <row r="10" spans="1:21" ht="16.5" x14ac:dyDescent="0.25">
      <c r="A10" t="s">
        <v>20</v>
      </c>
      <c r="C10" s="3"/>
      <c r="D10" s="3"/>
      <c r="E10" s="3"/>
      <c r="F10" s="3"/>
      <c r="G10" s="2" t="s">
        <v>8</v>
      </c>
      <c r="H10" s="21">
        <v>500</v>
      </c>
      <c r="I10" s="3" t="s">
        <v>17</v>
      </c>
      <c r="J10" s="3"/>
      <c r="K10" s="4"/>
      <c r="L10" s="9"/>
      <c r="M10" s="5"/>
      <c r="N10" s="6"/>
      <c r="O10" s="5"/>
      <c r="P10" s="7"/>
      <c r="Q10" s="6"/>
      <c r="R10" s="6"/>
      <c r="S10" s="6"/>
      <c r="T10" s="6"/>
      <c r="U10" s="6"/>
    </row>
    <row r="11" spans="1:21" x14ac:dyDescent="0.25">
      <c r="A11" t="s">
        <v>42</v>
      </c>
      <c r="C11" s="3"/>
      <c r="D11" s="3"/>
      <c r="E11" s="3"/>
      <c r="F11" s="3"/>
      <c r="G11" s="2" t="s">
        <v>8</v>
      </c>
      <c r="H11" s="23">
        <v>1.1499999999999999</v>
      </c>
      <c r="I11" s="3"/>
      <c r="J11" s="3"/>
      <c r="K11" s="4"/>
      <c r="L11" s="9"/>
      <c r="M11" s="5"/>
      <c r="N11" s="6"/>
      <c r="O11" s="5"/>
      <c r="P11" s="7"/>
      <c r="Q11" s="6"/>
      <c r="R11" s="6"/>
      <c r="S11" s="6"/>
      <c r="T11" s="6"/>
      <c r="U11" s="6"/>
    </row>
    <row r="12" spans="1:21" ht="16.5" x14ac:dyDescent="0.25">
      <c r="A12" t="s">
        <v>43</v>
      </c>
      <c r="C12" s="3"/>
      <c r="D12" s="3"/>
      <c r="E12" s="3"/>
      <c r="F12" s="3"/>
      <c r="G12" s="2" t="s">
        <v>8</v>
      </c>
      <c r="H12" s="11">
        <f>H10/H11</f>
        <v>434.78260869565219</v>
      </c>
      <c r="I12" s="3" t="s">
        <v>17</v>
      </c>
      <c r="J12" s="3"/>
      <c r="K12" s="4"/>
      <c r="L12" s="9"/>
      <c r="M12" s="5"/>
      <c r="N12" s="6"/>
      <c r="O12" s="5"/>
      <c r="P12" s="7"/>
      <c r="Q12" s="6"/>
      <c r="R12" s="6"/>
      <c r="S12" s="6"/>
      <c r="T12" s="6"/>
      <c r="U12" s="6"/>
    </row>
    <row r="13" spans="1:21" x14ac:dyDescent="0.25">
      <c r="A13" t="s">
        <v>1</v>
      </c>
      <c r="G13" s="2" t="s">
        <v>8</v>
      </c>
      <c r="H13" s="20">
        <v>1200</v>
      </c>
      <c r="I13" t="s">
        <v>9</v>
      </c>
      <c r="L13" s="10"/>
    </row>
    <row r="14" spans="1:21" x14ac:dyDescent="0.25">
      <c r="A14" t="s">
        <v>2</v>
      </c>
      <c r="G14" s="2" t="s">
        <v>8</v>
      </c>
      <c r="H14" s="20">
        <v>850</v>
      </c>
      <c r="I14" t="s">
        <v>9</v>
      </c>
    </row>
    <row r="15" spans="1:21" x14ac:dyDescent="0.25">
      <c r="A15" t="s">
        <v>3</v>
      </c>
      <c r="G15" s="2" t="s">
        <v>8</v>
      </c>
      <c r="H15" s="20">
        <v>3720</v>
      </c>
      <c r="I15" t="s">
        <v>9</v>
      </c>
    </row>
    <row r="16" spans="1:21" ht="16.5" x14ac:dyDescent="0.25">
      <c r="A16" t="s">
        <v>52</v>
      </c>
      <c r="G16" s="2" t="s">
        <v>8</v>
      </c>
      <c r="H16" s="17">
        <f>H14*H15</f>
        <v>3162000</v>
      </c>
      <c r="I16" s="3" t="s">
        <v>53</v>
      </c>
    </row>
    <row r="17" spans="1:9" x14ac:dyDescent="0.25">
      <c r="A17" t="s">
        <v>6</v>
      </c>
      <c r="G17" s="2" t="s">
        <v>8</v>
      </c>
      <c r="H17" s="20">
        <v>50</v>
      </c>
      <c r="I17" t="s">
        <v>9</v>
      </c>
    </row>
    <row r="18" spans="1:9" x14ac:dyDescent="0.25">
      <c r="A18" t="s">
        <v>4</v>
      </c>
      <c r="G18" s="2" t="s">
        <v>8</v>
      </c>
      <c r="H18" s="20">
        <v>32</v>
      </c>
      <c r="I18" t="s">
        <v>9</v>
      </c>
    </row>
    <row r="19" spans="1:9" x14ac:dyDescent="0.25">
      <c r="A19" t="s">
        <v>57</v>
      </c>
      <c r="G19" s="2" t="s">
        <v>8</v>
      </c>
      <c r="H19" s="20">
        <v>40</v>
      </c>
    </row>
    <row r="20" spans="1:9" ht="16.5" x14ac:dyDescent="0.25">
      <c r="A20" t="s">
        <v>59</v>
      </c>
      <c r="G20" s="2" t="s">
        <v>8</v>
      </c>
      <c r="H20" s="17">
        <f>(PI()/4*H18*H18)*H19</f>
        <v>32169.908772759482</v>
      </c>
      <c r="I20" s="3" t="s">
        <v>53</v>
      </c>
    </row>
    <row r="21" spans="1:9" x14ac:dyDescent="0.25">
      <c r="A21" t="s">
        <v>5</v>
      </c>
      <c r="G21" s="2" t="s">
        <v>8</v>
      </c>
      <c r="H21" s="20">
        <v>8</v>
      </c>
      <c r="I21" t="s">
        <v>9</v>
      </c>
    </row>
    <row r="22" spans="1:9" x14ac:dyDescent="0.25">
      <c r="A22" t="s">
        <v>7</v>
      </c>
      <c r="G22" s="2" t="s">
        <v>8</v>
      </c>
      <c r="H22" s="17">
        <f>H17+H18/2</f>
        <v>66</v>
      </c>
      <c r="I22" t="s">
        <v>9</v>
      </c>
    </row>
    <row r="36" spans="1:9" x14ac:dyDescent="0.25">
      <c r="A36" t="s">
        <v>11</v>
      </c>
      <c r="G36" t="s">
        <v>8</v>
      </c>
      <c r="H36" s="20">
        <v>4</v>
      </c>
    </row>
    <row r="37" spans="1:9" x14ac:dyDescent="0.25">
      <c r="A37" t="s">
        <v>10</v>
      </c>
      <c r="G37" t="s">
        <v>8</v>
      </c>
      <c r="H37" s="20">
        <v>2004</v>
      </c>
    </row>
    <row r="38" spans="1:9" x14ac:dyDescent="0.25">
      <c r="A38" t="s">
        <v>33</v>
      </c>
      <c r="G38" s="2" t="s">
        <v>8</v>
      </c>
      <c r="H38" s="20">
        <v>431</v>
      </c>
      <c r="I38" t="s">
        <v>12</v>
      </c>
    </row>
    <row r="39" spans="1:9" x14ac:dyDescent="0.25">
      <c r="A39" t="s">
        <v>13</v>
      </c>
      <c r="G39" s="2" t="s">
        <v>8</v>
      </c>
      <c r="H39" s="20">
        <v>3548</v>
      </c>
      <c r="I39" t="s">
        <v>14</v>
      </c>
    </row>
    <row r="40" spans="1:9" x14ac:dyDescent="0.25">
      <c r="A40" t="s">
        <v>15</v>
      </c>
      <c r="G40" s="2" t="s">
        <v>8</v>
      </c>
      <c r="H40" s="20">
        <v>1602</v>
      </c>
      <c r="I40" t="s">
        <v>14</v>
      </c>
    </row>
    <row r="41" spans="1:9" x14ac:dyDescent="0.25">
      <c r="H41" s="17"/>
    </row>
    <row r="42" spans="1:9" x14ac:dyDescent="0.25">
      <c r="A42" t="s">
        <v>24</v>
      </c>
      <c r="B42" s="2" t="s">
        <v>8</v>
      </c>
      <c r="C42" s="13" t="s">
        <v>25</v>
      </c>
      <c r="G42" t="s">
        <v>8</v>
      </c>
      <c r="H42" s="15">
        <f>H39*10^6/(H13*H14*H14*H9)</f>
        <v>0.2407218942940498</v>
      </c>
    </row>
    <row r="43" spans="1:9" ht="17.25" x14ac:dyDescent="0.25">
      <c r="C43" s="14" t="s">
        <v>26</v>
      </c>
      <c r="H43" s="17"/>
    </row>
    <row r="44" spans="1:9" x14ac:dyDescent="0.25">
      <c r="H44" s="17"/>
    </row>
    <row r="45" spans="1:9" x14ac:dyDescent="0.25">
      <c r="A45" t="s">
        <v>27</v>
      </c>
      <c r="B45" s="2" t="s">
        <v>8</v>
      </c>
      <c r="C45" s="13" t="s">
        <v>45</v>
      </c>
      <c r="G45" t="s">
        <v>8</v>
      </c>
      <c r="H45" s="15">
        <f>H40*10^6/(H13*H13*H14*H9)</f>
        <v>7.698961937716263E-2</v>
      </c>
    </row>
    <row r="46" spans="1:9" ht="17.25" x14ac:dyDescent="0.25">
      <c r="C46" s="14" t="s">
        <v>28</v>
      </c>
      <c r="H46" s="17"/>
    </row>
    <row r="47" spans="1:9" x14ac:dyDescent="0.25">
      <c r="H47" s="17"/>
    </row>
    <row r="48" spans="1:9" x14ac:dyDescent="0.25">
      <c r="A48" t="s">
        <v>29</v>
      </c>
      <c r="G48" s="2" t="s">
        <v>8</v>
      </c>
      <c r="H48" s="17">
        <f>MAX(H39:H40)</f>
        <v>3548</v>
      </c>
      <c r="I48" t="s">
        <v>14</v>
      </c>
    </row>
    <row r="49" spans="1:9" x14ac:dyDescent="0.25">
      <c r="H49" s="17"/>
    </row>
    <row r="50" spans="1:9" x14ac:dyDescent="0.25">
      <c r="A50" t="s">
        <v>30</v>
      </c>
      <c r="G50" s="2" t="s">
        <v>8</v>
      </c>
      <c r="H50" s="17">
        <f>MIN(H39:H40)</f>
        <v>1602</v>
      </c>
      <c r="I50" t="s">
        <v>14</v>
      </c>
    </row>
    <row r="51" spans="1:9" x14ac:dyDescent="0.25">
      <c r="A51" t="s">
        <v>31</v>
      </c>
      <c r="G51" s="2" t="s">
        <v>8</v>
      </c>
      <c r="H51" s="15">
        <f>H50/H48</f>
        <v>0.45152198421646</v>
      </c>
    </row>
    <row r="52" spans="1:9" x14ac:dyDescent="0.25">
      <c r="H52" s="17"/>
    </row>
    <row r="53" spans="1:9" x14ac:dyDescent="0.25">
      <c r="C53" s="13" t="s">
        <v>32</v>
      </c>
      <c r="G53" s="2" t="s">
        <v>8</v>
      </c>
      <c r="H53" s="15">
        <f>(H38*10^3)/(H13*H14*H9)</f>
        <v>2.4855824682814304E-2</v>
      </c>
    </row>
    <row r="54" spans="1:9" x14ac:dyDescent="0.25">
      <c r="C54" s="14" t="s">
        <v>34</v>
      </c>
    </row>
    <row r="56" spans="1:9" x14ac:dyDescent="0.25">
      <c r="A56" t="s">
        <v>35</v>
      </c>
      <c r="C56" s="16">
        <v>8.2100000000000009</v>
      </c>
      <c r="D56" t="s">
        <v>36</v>
      </c>
    </row>
    <row r="58" spans="1:9" x14ac:dyDescent="0.25">
      <c r="A58" t="s">
        <v>37</v>
      </c>
    </row>
    <row r="60" spans="1:9" x14ac:dyDescent="0.25">
      <c r="A60" t="s">
        <v>38</v>
      </c>
    </row>
    <row r="61" spans="1:9" x14ac:dyDescent="0.25">
      <c r="B61" s="13" t="s">
        <v>25</v>
      </c>
      <c r="C61" s="2" t="s">
        <v>8</v>
      </c>
      <c r="D61" s="15">
        <f>H42</f>
        <v>0.2407218942940498</v>
      </c>
      <c r="E61" s="14" t="s">
        <v>39</v>
      </c>
      <c r="F61" s="13" t="s">
        <v>32</v>
      </c>
      <c r="G61" s="2" t="s">
        <v>8</v>
      </c>
      <c r="H61" s="15">
        <f>H53</f>
        <v>2.4855824682814304E-2</v>
      </c>
    </row>
    <row r="62" spans="1:9" ht="17.25" x14ac:dyDescent="0.25">
      <c r="B62" s="14" t="s">
        <v>28</v>
      </c>
      <c r="F62" s="14" t="s">
        <v>34</v>
      </c>
      <c r="H62" s="15"/>
    </row>
    <row r="63" spans="1:9" x14ac:dyDescent="0.25">
      <c r="H63" s="15"/>
    </row>
    <row r="64" spans="1:9" x14ac:dyDescent="0.25">
      <c r="B64" s="12" t="s">
        <v>40</v>
      </c>
      <c r="C64" s="2" t="s">
        <v>8</v>
      </c>
      <c r="D64" s="18">
        <v>0.62</v>
      </c>
      <c r="H64" s="15"/>
    </row>
    <row r="65" spans="1:8" x14ac:dyDescent="0.25">
      <c r="B65" t="s">
        <v>41</v>
      </c>
      <c r="H65" s="15"/>
    </row>
    <row r="66" spans="1:8" x14ac:dyDescent="0.25">
      <c r="H66" s="15"/>
    </row>
    <row r="67" spans="1:8" ht="17.25" x14ac:dyDescent="0.25">
      <c r="B67" t="s">
        <v>48</v>
      </c>
      <c r="D67" s="17">
        <f>(D64*H13*H14*H9)/H12</f>
        <v>24726.84</v>
      </c>
      <c r="E67" t="s">
        <v>44</v>
      </c>
      <c r="H67" s="15"/>
    </row>
    <row r="68" spans="1:8" x14ac:dyDescent="0.25">
      <c r="H68" s="15"/>
    </row>
    <row r="69" spans="1:8" x14ac:dyDescent="0.25">
      <c r="A69" t="s">
        <v>46</v>
      </c>
      <c r="H69" s="15"/>
    </row>
    <row r="70" spans="1:8" x14ac:dyDescent="0.25">
      <c r="H70" s="15"/>
    </row>
    <row r="71" spans="1:8" x14ac:dyDescent="0.25">
      <c r="A71" t="s">
        <v>38</v>
      </c>
      <c r="H71" s="15"/>
    </row>
    <row r="72" spans="1:8" x14ac:dyDescent="0.25">
      <c r="B72" s="13" t="s">
        <v>45</v>
      </c>
      <c r="C72" s="2" t="s">
        <v>8</v>
      </c>
      <c r="D72" s="15">
        <f>H45</f>
        <v>7.698961937716263E-2</v>
      </c>
      <c r="E72" s="14" t="s">
        <v>39</v>
      </c>
      <c r="F72" s="13" t="s">
        <v>32</v>
      </c>
      <c r="G72" s="2" t="s">
        <v>8</v>
      </c>
      <c r="H72" s="15">
        <f>H53</f>
        <v>2.4855824682814304E-2</v>
      </c>
    </row>
    <row r="73" spans="1:8" ht="17.25" x14ac:dyDescent="0.25">
      <c r="B73" s="14" t="s">
        <v>28</v>
      </c>
      <c r="F73" s="14" t="s">
        <v>34</v>
      </c>
    </row>
    <row r="75" spans="1:8" x14ac:dyDescent="0.25">
      <c r="B75" s="12" t="s">
        <v>40</v>
      </c>
      <c r="C75" s="2" t="s">
        <v>8</v>
      </c>
      <c r="D75" s="18">
        <v>0.18</v>
      </c>
    </row>
    <row r="76" spans="1:8" x14ac:dyDescent="0.25">
      <c r="B76" t="s">
        <v>41</v>
      </c>
    </row>
    <row r="78" spans="1:8" ht="17.25" x14ac:dyDescent="0.25">
      <c r="B78" t="s">
        <v>49</v>
      </c>
      <c r="D78" s="17">
        <f>(D75*$H$13*$H$14*$H$9)/$H$12</f>
        <v>7178.76</v>
      </c>
      <c r="E78" t="s">
        <v>44</v>
      </c>
    </row>
    <row r="80" spans="1:8" x14ac:dyDescent="0.25">
      <c r="B80" t="s">
        <v>47</v>
      </c>
      <c r="D80" s="2" t="s">
        <v>8</v>
      </c>
      <c r="E80" t="s">
        <v>50</v>
      </c>
    </row>
    <row r="81" spans="1:9" ht="17.25" x14ac:dyDescent="0.25">
      <c r="D81" s="2" t="s">
        <v>8</v>
      </c>
      <c r="E81" s="17">
        <f>D67+D78</f>
        <v>31905.599999999999</v>
      </c>
      <c r="F81" t="s">
        <v>44</v>
      </c>
      <c r="G81" s="14" t="str">
        <f>IF(E81&lt;H20,"&lt;","&gt;")</f>
        <v>&lt;</v>
      </c>
      <c r="H81" s="17">
        <f>H20</f>
        <v>32169.908772759482</v>
      </c>
      <c r="I81" t="s">
        <v>44</v>
      </c>
    </row>
    <row r="82" spans="1:9" x14ac:dyDescent="0.25">
      <c r="H82" t="s">
        <v>58</v>
      </c>
    </row>
    <row r="83" spans="1:9" x14ac:dyDescent="0.25">
      <c r="H83" s="19" t="str">
        <f>IF(E81&lt;H81,"Ok","Increase Renf.")</f>
        <v>Ok</v>
      </c>
    </row>
    <row r="84" spans="1:9" x14ac:dyDescent="0.25">
      <c r="A84" t="s">
        <v>51</v>
      </c>
    </row>
    <row r="93" spans="1:9" ht="17.25" x14ac:dyDescent="0.25">
      <c r="A93" t="s">
        <v>54</v>
      </c>
      <c r="B93" s="2" t="s">
        <v>8</v>
      </c>
      <c r="C93" s="17">
        <f>MAX(0.1*H38/H12,0.002*H16)</f>
        <v>6324</v>
      </c>
      <c r="D93" t="s">
        <v>44</v>
      </c>
      <c r="E93" s="14" t="str">
        <f>IF(E81&gt;C93,"&lt;","&gt;")</f>
        <v>&lt;</v>
      </c>
      <c r="F93" s="17">
        <f>E81</f>
        <v>31905.599999999999</v>
      </c>
      <c r="G93" t="s">
        <v>44</v>
      </c>
    </row>
    <row r="94" spans="1:9" x14ac:dyDescent="0.25">
      <c r="F94" s="19" t="str">
        <f>IF(E81&gt;C93,"Ok","Increase Reinf.")</f>
        <v>Ok</v>
      </c>
    </row>
    <row r="96" spans="1:9" x14ac:dyDescent="0.25">
      <c r="A96" t="s">
        <v>55</v>
      </c>
    </row>
    <row r="97" spans="1:7" ht="17.25" x14ac:dyDescent="0.25">
      <c r="A97" t="s">
        <v>56</v>
      </c>
      <c r="B97" s="2"/>
      <c r="C97">
        <f>0.04*H16</f>
        <v>126480</v>
      </c>
      <c r="D97" t="s">
        <v>44</v>
      </c>
      <c r="E97" t="str">
        <f>IF(E81&gt;C97,"&lt;","&gt;")</f>
        <v>&gt;</v>
      </c>
      <c r="F97" s="17">
        <f>E81</f>
        <v>31905.599999999999</v>
      </c>
      <c r="G97" t="s">
        <v>44</v>
      </c>
    </row>
    <row r="98" spans="1:7" x14ac:dyDescent="0.25">
      <c r="F98" s="19" t="str">
        <f>IF(C97&gt;E81,"Ok","Increase area of concrete.")</f>
        <v>Ok</v>
      </c>
    </row>
  </sheetData>
  <pageMargins left="0.7" right="0.7" top="0.75" bottom="0.75" header="0.3" footer="0.3"/>
  <pageSetup paperSize="9" orientation="portrait" r:id="rId1"/>
  <ignoredErrors>
    <ignoredError sqref="H48 H50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Biaxial Bending</vt:lpstr>
      <vt:lpstr>Sheet2</vt:lpstr>
      <vt:lpstr>Sheet3</vt:lpstr>
      <vt:lpstr>Void</vt:lpstr>
      <vt:lpstr>'Biaxial Bending'!Print_Area</vt:lpstr>
      <vt:lpstr>Void!Print_Area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2018-07-31T06:41:46Z</dcterms:modified>
</cp:coreProperties>
</file>