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ales Details" sheetId="1" r:id="rId1"/>
    <sheet name="Summary" sheetId="4" r:id="rId2"/>
    <sheet name="Summary 2" sheetId="5" r:id="rId3"/>
  </sheets>
  <definedNames>
    <definedName name="_xlnm._FilterDatabase" localSheetId="0" hidden="1">'Sales Details'!$A$7:$AV$16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5" i="1"/>
  <c r="A16" i="1"/>
  <c r="A17" i="1"/>
  <c r="A18" i="1"/>
  <c r="A19" i="1"/>
  <c r="A20" i="1" s="1"/>
  <c r="A21" i="1" s="1"/>
  <c r="A22" i="1" s="1"/>
  <c r="A23" i="1" s="1"/>
  <c r="A15" i="1"/>
  <c r="AO25" i="1" l="1"/>
  <c r="AM25" i="1"/>
  <c r="AK25" i="1"/>
  <c r="AP25" i="1" s="1"/>
  <c r="AQ25" i="1" s="1"/>
  <c r="AS25" i="1" s="1"/>
  <c r="AA25" i="1"/>
  <c r="Y25" i="1"/>
  <c r="W25" i="1"/>
  <c r="M25" i="1"/>
  <c r="N25" i="1" s="1"/>
  <c r="O25" i="1" s="1"/>
  <c r="K25" i="1"/>
  <c r="I25" i="1"/>
  <c r="AO22" i="1"/>
  <c r="AO21" i="1"/>
  <c r="AO18" i="1"/>
  <c r="AO19" i="1"/>
  <c r="AO20" i="1"/>
  <c r="AO17" i="1"/>
  <c r="AO15" i="1"/>
  <c r="AO14" i="1"/>
  <c r="AO10" i="1"/>
  <c r="AO11" i="1"/>
  <c r="AO9" i="1"/>
  <c r="AM22" i="1"/>
  <c r="AM21" i="1"/>
  <c r="AK22" i="1"/>
  <c r="AK21" i="1"/>
  <c r="AK16" i="1"/>
  <c r="AM18" i="1"/>
  <c r="AM19" i="1"/>
  <c r="AM20" i="1"/>
  <c r="AM17" i="1"/>
  <c r="AM15" i="1"/>
  <c r="AM14" i="1"/>
  <c r="AK15" i="1"/>
  <c r="AK14" i="1"/>
  <c r="AM10" i="1"/>
  <c r="AM11" i="1"/>
  <c r="AK10" i="1"/>
  <c r="AK11" i="1"/>
  <c r="AK9" i="1"/>
  <c r="AM9" i="1"/>
  <c r="AA18" i="1"/>
  <c r="AA19" i="1"/>
  <c r="AA20" i="1"/>
  <c r="AA21" i="1"/>
  <c r="AA22" i="1"/>
  <c r="AA17" i="1"/>
  <c r="AA15" i="1"/>
  <c r="AA14" i="1"/>
  <c r="Y22" i="1"/>
  <c r="Y21" i="1"/>
  <c r="Y16" i="1"/>
  <c r="Y15" i="1"/>
  <c r="Y14" i="1"/>
  <c r="AA10" i="1"/>
  <c r="AA11" i="1"/>
  <c r="AA9" i="1"/>
  <c r="Y10" i="1"/>
  <c r="Y11" i="1"/>
  <c r="Y9" i="1"/>
  <c r="W15" i="1"/>
  <c r="W17" i="1"/>
  <c r="W18" i="1"/>
  <c r="AB18" i="1" s="1"/>
  <c r="W19" i="1"/>
  <c r="AB19" i="1" s="1"/>
  <c r="W20" i="1"/>
  <c r="W21" i="1"/>
  <c r="W22" i="1"/>
  <c r="AB22" i="1" s="1"/>
  <c r="W14" i="1"/>
  <c r="W10" i="1"/>
  <c r="W11" i="1"/>
  <c r="W9" i="1"/>
  <c r="M15" i="1"/>
  <c r="M17" i="1"/>
  <c r="M18" i="1"/>
  <c r="M19" i="1"/>
  <c r="M20" i="1"/>
  <c r="M21" i="1"/>
  <c r="M22" i="1"/>
  <c r="M14" i="1"/>
  <c r="M10" i="1"/>
  <c r="M11" i="1"/>
  <c r="M9" i="1"/>
  <c r="K10" i="1"/>
  <c r="K11" i="1"/>
  <c r="K9" i="1"/>
  <c r="K15" i="1"/>
  <c r="K17" i="1"/>
  <c r="K18" i="1"/>
  <c r="K19" i="1"/>
  <c r="K20" i="1"/>
  <c r="K21" i="1"/>
  <c r="K22" i="1"/>
  <c r="K14" i="1"/>
  <c r="I15" i="1"/>
  <c r="I17" i="1"/>
  <c r="I18" i="1"/>
  <c r="I19" i="1"/>
  <c r="I20" i="1"/>
  <c r="I21" i="1"/>
  <c r="I22" i="1"/>
  <c r="I14" i="1"/>
  <c r="I10" i="1"/>
  <c r="I11" i="1"/>
  <c r="I9" i="1"/>
  <c r="AP11" i="1" l="1"/>
  <c r="AP17" i="1"/>
  <c r="AB25" i="1"/>
  <c r="AC25" i="1" s="1"/>
  <c r="AE25" i="1" s="1"/>
  <c r="AB20" i="1"/>
  <c r="AP20" i="1"/>
  <c r="AP21" i="1"/>
  <c r="N22" i="1"/>
  <c r="AP10" i="1"/>
  <c r="AP15" i="1"/>
  <c r="AM12" i="1"/>
  <c r="AF25" i="1"/>
  <c r="AT25" i="1"/>
  <c r="AV25" i="1"/>
  <c r="Q25" i="1"/>
  <c r="R25" i="1" s="1"/>
  <c r="N20" i="1"/>
  <c r="N15" i="1"/>
  <c r="AB17" i="1"/>
  <c r="N10" i="1"/>
  <c r="AB11" i="1"/>
  <c r="Y23" i="1"/>
  <c r="AO12" i="1"/>
  <c r="N19" i="1"/>
  <c r="AB10" i="1"/>
  <c r="AB15" i="1"/>
  <c r="AP22" i="1"/>
  <c r="AO16" i="1"/>
  <c r="N14" i="1"/>
  <c r="N18" i="1"/>
  <c r="N9" i="1"/>
  <c r="AB14" i="1"/>
  <c r="AP19" i="1"/>
  <c r="N11" i="1"/>
  <c r="N21" i="1"/>
  <c r="N17" i="1"/>
  <c r="AB9" i="1"/>
  <c r="AA16" i="1"/>
  <c r="AA23" i="1" s="1"/>
  <c r="AP9" i="1"/>
  <c r="AO23" i="1"/>
  <c r="AB21" i="1"/>
  <c r="AP14" i="1"/>
  <c r="AP12" i="1"/>
  <c r="AK12" i="1"/>
  <c r="AP18" i="1"/>
  <c r="AK23" i="1"/>
  <c r="AM16" i="1"/>
  <c r="AM23" i="1" s="1"/>
  <c r="W16" i="1"/>
  <c r="W23" i="1" s="1"/>
  <c r="Y12" i="1"/>
  <c r="I23" i="1"/>
  <c r="K23" i="1"/>
  <c r="W12" i="1"/>
  <c r="AA12" i="1"/>
  <c r="M12" i="1"/>
  <c r="M23" i="1"/>
  <c r="I12" i="1"/>
  <c r="K12" i="1"/>
  <c r="Y27" i="1" l="1"/>
  <c r="AA4" i="1"/>
  <c r="AM27" i="1"/>
  <c r="N12" i="1"/>
  <c r="AO27" i="1"/>
  <c r="K27" i="1"/>
  <c r="AK27" i="1"/>
  <c r="N23" i="1"/>
  <c r="AA27" i="1"/>
  <c r="AB23" i="1"/>
  <c r="W27" i="1"/>
  <c r="I27" i="1"/>
  <c r="M27" i="1"/>
  <c r="AQ22" i="1" l="1"/>
  <c r="AQ21" i="1"/>
  <c r="AS21" i="1" s="1"/>
  <c r="AQ15" i="1"/>
  <c r="AQ11" i="1"/>
  <c r="AS11" i="1" s="1"/>
  <c r="AQ10" i="1"/>
  <c r="AS10" i="1" s="1"/>
  <c r="AC22" i="1"/>
  <c r="AE22" i="1" s="1"/>
  <c r="AC21" i="1"/>
  <c r="AC15" i="1"/>
  <c r="AC11" i="1"/>
  <c r="AE11" i="1" s="1"/>
  <c r="AC9" i="1"/>
  <c r="AE9" i="1" s="1"/>
  <c r="AQ9" i="1"/>
  <c r="AS9" i="1" s="1"/>
  <c r="AQ20" i="1"/>
  <c r="AQ19" i="1"/>
  <c r="AQ18" i="1"/>
  <c r="AQ17" i="1"/>
  <c r="AS17" i="1" s="1"/>
  <c r="U12" i="1"/>
  <c r="AC20" i="1"/>
  <c r="AC19" i="1"/>
  <c r="AC18" i="1"/>
  <c r="AC17" i="1"/>
  <c r="AE17" i="1" s="1"/>
  <c r="U16" i="1"/>
  <c r="U23" i="1" s="1"/>
  <c r="AC10" i="1"/>
  <c r="AE10" i="1" s="1"/>
  <c r="T16" i="1"/>
  <c r="O21" i="1"/>
  <c r="Q21" i="1" s="1"/>
  <c r="R21" i="1" s="1"/>
  <c r="O20" i="1"/>
  <c r="Q20" i="1" s="1"/>
  <c r="R20" i="1" s="1"/>
  <c r="O19" i="1"/>
  <c r="Q19" i="1" s="1"/>
  <c r="R19" i="1" s="1"/>
  <c r="O18" i="1"/>
  <c r="Q18" i="1" s="1"/>
  <c r="R18" i="1" s="1"/>
  <c r="O17" i="1"/>
  <c r="Q17" i="1" s="1"/>
  <c r="O15" i="1"/>
  <c r="Q15" i="1" s="1"/>
  <c r="R15" i="1" s="1"/>
  <c r="O10" i="1"/>
  <c r="Q10" i="1" s="1"/>
  <c r="R10" i="1" s="1"/>
  <c r="O11" i="1"/>
  <c r="O9" i="1"/>
  <c r="AS20" i="1" l="1"/>
  <c r="AT20" i="1" s="1"/>
  <c r="AE18" i="1"/>
  <c r="AF18" i="1" s="1"/>
  <c r="AE21" i="1"/>
  <c r="AF21" i="1" s="1"/>
  <c r="AS15" i="1"/>
  <c r="AT15" i="1" s="1"/>
  <c r="AV15" i="1" s="1"/>
  <c r="AE15" i="1"/>
  <c r="AF15" i="1" s="1"/>
  <c r="AE19" i="1"/>
  <c r="AF19" i="1" s="1"/>
  <c r="AS18" i="1"/>
  <c r="AT18" i="1" s="1"/>
  <c r="AE20" i="1"/>
  <c r="AF20" i="1" s="1"/>
  <c r="AS19" i="1"/>
  <c r="AT19" i="1" s="1"/>
  <c r="AS22" i="1"/>
  <c r="AT22" i="1" s="1"/>
  <c r="O14" i="1"/>
  <c r="AC14" i="1"/>
  <c r="AE14" i="1" s="1"/>
  <c r="AQ14" i="1"/>
  <c r="AS14" i="1" s="1"/>
  <c r="AC12" i="1"/>
  <c r="AC16" i="1"/>
  <c r="AT17" i="1"/>
  <c r="AS16" i="1"/>
  <c r="AT21" i="1"/>
  <c r="AF22" i="1"/>
  <c r="AB12" i="1"/>
  <c r="AB27" i="1" s="1"/>
  <c r="U27" i="1"/>
  <c r="AB16" i="1"/>
  <c r="AT10" i="1"/>
  <c r="AT11" i="1"/>
  <c r="AF11" i="1"/>
  <c r="AF10" i="1"/>
  <c r="R17" i="1"/>
  <c r="R16" i="1" s="1"/>
  <c r="Q16" i="1"/>
  <c r="Q11" i="1"/>
  <c r="R11" i="1" s="1"/>
  <c r="Q9" i="1"/>
  <c r="AI12" i="1"/>
  <c r="G12" i="1"/>
  <c r="AT16" i="1" l="1"/>
  <c r="AV21" i="1"/>
  <c r="AC23" i="1"/>
  <c r="AC27" i="1" s="1"/>
  <c r="Q14" i="1"/>
  <c r="AV10" i="1"/>
  <c r="AF9" i="1"/>
  <c r="AF12" i="1" s="1"/>
  <c r="AE12" i="1"/>
  <c r="AT9" i="1"/>
  <c r="AS12" i="1"/>
  <c r="AV11" i="1"/>
  <c r="AF17" i="1"/>
  <c r="AF16" i="1" s="1"/>
  <c r="AE16" i="1"/>
  <c r="R9" i="1"/>
  <c r="R12" i="1" s="1"/>
  <c r="Q12" i="1"/>
  <c r="AH16" i="1"/>
  <c r="F16" i="1"/>
  <c r="R14" i="1" l="1"/>
  <c r="AF14" i="1"/>
  <c r="AF23" i="1" s="1"/>
  <c r="AF27" i="1" s="1"/>
  <c r="AE23" i="1"/>
  <c r="AE27" i="1" s="1"/>
  <c r="AT14" i="1"/>
  <c r="AS23" i="1"/>
  <c r="AS27" i="1" s="1"/>
  <c r="AV9" i="1"/>
  <c r="AT12" i="1"/>
  <c r="AV16" i="1"/>
  <c r="D16" i="5"/>
  <c r="C16" i="5"/>
  <c r="D12" i="5"/>
  <c r="C12" i="5"/>
  <c r="D11" i="5"/>
  <c r="C11" i="5"/>
  <c r="D10" i="5"/>
  <c r="C10" i="5"/>
  <c r="B12" i="5"/>
  <c r="B11" i="5"/>
  <c r="B10" i="5"/>
  <c r="D8" i="5"/>
  <c r="B8" i="5"/>
  <c r="B7" i="5" s="1"/>
  <c r="D6" i="5"/>
  <c r="C6" i="5"/>
  <c r="B6" i="5"/>
  <c r="AI16" i="1"/>
  <c r="AI23" i="1" s="1"/>
  <c r="AT23" i="1" l="1"/>
  <c r="AV14" i="1"/>
  <c r="D7" i="5"/>
  <c r="B16" i="5"/>
  <c r="C9" i="5"/>
  <c r="D9" i="5"/>
  <c r="AP16" i="1"/>
  <c r="AP23" i="1" s="1"/>
  <c r="O16" i="1"/>
  <c r="N16" i="1"/>
  <c r="AV23" i="1" l="1"/>
  <c r="AV22" i="1"/>
  <c r="AT27" i="1"/>
  <c r="B17" i="5"/>
  <c r="D17" i="5"/>
  <c r="AI27" i="1"/>
  <c r="C17" i="5"/>
  <c r="AQ16" i="1"/>
  <c r="AQ23" i="1" s="1"/>
  <c r="O22" i="1" l="1"/>
  <c r="O23" i="1" s="1"/>
  <c r="D13" i="5"/>
  <c r="D14" i="5" s="1"/>
  <c r="C13" i="5"/>
  <c r="D15" i="5"/>
  <c r="Q22" i="1" l="1"/>
  <c r="Q23" i="1" s="1"/>
  <c r="Q27" i="1" s="1"/>
  <c r="AP27" i="1"/>
  <c r="C8" i="5"/>
  <c r="C7" i="5" s="1"/>
  <c r="D18" i="5"/>
  <c r="A10" i="1"/>
  <c r="A11" i="1" s="1"/>
  <c r="R22" i="1" l="1"/>
  <c r="R23" i="1" s="1"/>
  <c r="R27" i="1" s="1"/>
  <c r="AQ12" i="1"/>
  <c r="AQ27" i="1" s="1"/>
  <c r="O12" i="1"/>
  <c r="C14" i="5"/>
  <c r="G16" i="1"/>
  <c r="G23" i="1" s="1"/>
  <c r="G27" i="1" s="1"/>
  <c r="AV12" i="1" l="1"/>
  <c r="B9" i="5"/>
  <c r="C18" i="5"/>
  <c r="C15" i="5"/>
  <c r="B13" i="5" l="1"/>
  <c r="B14" i="5" s="1"/>
  <c r="B15" i="5"/>
  <c r="B18" i="5" l="1"/>
  <c r="N27" i="1" l="1"/>
  <c r="O27" i="1" l="1"/>
  <c r="AV27" i="1" l="1"/>
</calcChain>
</file>

<file path=xl/sharedStrings.xml><?xml version="1.0" encoding="utf-8"?>
<sst xmlns="http://schemas.openxmlformats.org/spreadsheetml/2006/main" count="128" uniqueCount="99">
  <si>
    <t>Type</t>
  </si>
  <si>
    <t>Event</t>
  </si>
  <si>
    <t>Projected
Date</t>
  </si>
  <si>
    <t>Actual
Date</t>
  </si>
  <si>
    <t>Sr No</t>
  </si>
  <si>
    <t>Registration</t>
  </si>
  <si>
    <t>Stamp Duty</t>
  </si>
  <si>
    <t>Brokerage</t>
  </si>
  <si>
    <t>Row Labels</t>
  </si>
  <si>
    <t>Grand Total</t>
  </si>
  <si>
    <t>Projected
Amount 
(Rs.)</t>
  </si>
  <si>
    <t>Actual Net Amount 
(Rs.)</t>
  </si>
  <si>
    <t>Difference with Actual 
(Rs.)</t>
  </si>
  <si>
    <t xml:space="preserve">Legal Charges </t>
  </si>
  <si>
    <t xml:space="preserve">Due diligence </t>
  </si>
  <si>
    <t xml:space="preserve">Valuation </t>
  </si>
  <si>
    <t xml:space="preserve">Title report </t>
  </si>
  <si>
    <t>Registration Charges</t>
  </si>
  <si>
    <t>A</t>
  </si>
  <si>
    <t>B</t>
  </si>
  <si>
    <t>C</t>
  </si>
  <si>
    <t>Service Tax on Brokerage</t>
  </si>
  <si>
    <t>(Multiple Items)</t>
  </si>
  <si>
    <t>Projected Net Amount 
(Rs.)</t>
  </si>
  <si>
    <t>Agreement Value</t>
  </si>
  <si>
    <t>Summary</t>
  </si>
  <si>
    <t>Projected</t>
  </si>
  <si>
    <t>Revised</t>
  </si>
  <si>
    <t>Actual</t>
  </si>
  <si>
    <t>VAT</t>
  </si>
  <si>
    <t>Total Cost</t>
  </si>
  <si>
    <t>Other Charges - Direct</t>
  </si>
  <si>
    <t>Service Tax on Other Charges - Direct</t>
  </si>
  <si>
    <t>Other Charges - InDirect</t>
  </si>
  <si>
    <t>Service Tax on Other Charges - InDirect</t>
  </si>
  <si>
    <t>Check</t>
  </si>
  <si>
    <t>Particulars</t>
  </si>
  <si>
    <t>Service Tax</t>
  </si>
  <si>
    <t>Rate (Rs. Psf)</t>
  </si>
  <si>
    <t>Agreement Area (Sf)</t>
  </si>
  <si>
    <t>Agreement Value (Rs.)</t>
  </si>
  <si>
    <t>Brokerage incl ST</t>
  </si>
  <si>
    <t>Other Charges - Indirect incl ST</t>
  </si>
  <si>
    <t>Cost</t>
  </si>
  <si>
    <t>Receivables</t>
  </si>
  <si>
    <t>Installment</t>
  </si>
  <si>
    <t>Corpus</t>
  </si>
  <si>
    <t>Other Receivables</t>
  </si>
  <si>
    <t>Total Receivables</t>
  </si>
  <si>
    <t>Sale Receivables</t>
  </si>
  <si>
    <t>Transfer Charge</t>
  </si>
  <si>
    <t>Transfer</t>
  </si>
  <si>
    <t>Direct Cost</t>
  </si>
  <si>
    <t>Indirect Cost</t>
  </si>
  <si>
    <t>Gross Receivables</t>
  </si>
  <si>
    <t>Total Direct Cost</t>
  </si>
  <si>
    <t>Total Indirect Cost</t>
  </si>
  <si>
    <t>Net Receivables</t>
  </si>
  <si>
    <t>Receivable/  Payment Type</t>
  </si>
  <si>
    <t xml:space="preserve"> Projected Amount</t>
  </si>
  <si>
    <t xml:space="preserve"> Projected Net Amount </t>
  </si>
  <si>
    <t xml:space="preserve"> Actual Amount </t>
  </si>
  <si>
    <t xml:space="preserve"> Actual Net Amount </t>
  </si>
  <si>
    <t xml:space="preserve">Difference with Actual </t>
  </si>
  <si>
    <t>Tax 1  
(%)</t>
  </si>
  <si>
    <t>Tax 2
(%)</t>
  </si>
  <si>
    <t>Tax 3
(%)</t>
  </si>
  <si>
    <t>Property Detail</t>
  </si>
  <si>
    <t>Property</t>
  </si>
  <si>
    <t>Revised Date</t>
  </si>
  <si>
    <t>Revised Amount 
(Rs)</t>
  </si>
  <si>
    <t>Revised Net Amount 
(Rs.)</t>
  </si>
  <si>
    <t>Projected Gross Amount 
(Rs.)</t>
  </si>
  <si>
    <t>TDS 
(%)</t>
  </si>
  <si>
    <t>Projected TDS (Rs.)</t>
  </si>
  <si>
    <t>Actual Amount
(Rs.)</t>
  </si>
  <si>
    <t>Actual Gross Amount 
(Rs.)</t>
  </si>
  <si>
    <t>Actual TDS (Rs.)</t>
  </si>
  <si>
    <t>Revised Gross Amount 
(Rs.)</t>
  </si>
  <si>
    <t>Revised TDS (Rs.)</t>
  </si>
  <si>
    <t>Expenses</t>
  </si>
  <si>
    <t>Total Expenses</t>
  </si>
  <si>
    <t>SDR</t>
  </si>
  <si>
    <t>Tax1 (%)</t>
  </si>
  <si>
    <t>Tax2(%)</t>
  </si>
  <si>
    <t>Tax3 (%)</t>
  </si>
  <si>
    <t>Tax1(%)</t>
  </si>
  <si>
    <t>Tax3(%)</t>
  </si>
  <si>
    <t>Tax 1 
(Amount)</t>
  </si>
  <si>
    <t>Projected Tax 
(Rs.)</t>
  </si>
  <si>
    <t>Tax 2 
(Amount)</t>
  </si>
  <si>
    <t>Tax 3 
(Amount)</t>
  </si>
  <si>
    <t>Revised Tax 
(Rs.)</t>
  </si>
  <si>
    <t>Actual Tax 
(Rs)</t>
  </si>
  <si>
    <t>Buyer Name</t>
  </si>
  <si>
    <t>Basic</t>
  </si>
  <si>
    <t>Statuatory</t>
  </si>
  <si>
    <t>Deposit</t>
  </si>
  <si>
    <t>Society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</si>
</sst>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horizontal="right" vertical="top"/>
    </xf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horizontal="right" vertical="top" wrapText="1"/>
    </xf>
    <xf numFmtId="0" fontId="0" fillId="0" borderId="0" xfId="0" pivotButton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2" fillId="4" borderId="0" xfId="0" applyFont="1" applyFill="1"/>
    <xf numFmtId="164" fontId="2" fillId="4" borderId="0" xfId="1" applyNumberFormat="1" applyFont="1" applyFill="1"/>
    <xf numFmtId="0" fontId="0" fillId="0" borderId="0" xfId="0" applyFont="1" applyFill="1"/>
    <xf numFmtId="164" fontId="3" fillId="0" borderId="0" xfId="1" applyNumberFormat="1" applyFont="1" applyFill="1"/>
    <xf numFmtId="0" fontId="0" fillId="4" borderId="0" xfId="0" applyFill="1"/>
    <xf numFmtId="0" fontId="2" fillId="5" borderId="0" xfId="0" applyFont="1" applyFill="1"/>
    <xf numFmtId="164" fontId="2" fillId="5" borderId="0" xfId="1" applyNumberFormat="1" applyFont="1" applyFill="1"/>
    <xf numFmtId="0" fontId="2" fillId="4" borderId="0" xfId="0" applyFont="1" applyFill="1" applyAlignment="1">
      <alignment horizontal="right"/>
    </xf>
    <xf numFmtId="164" fontId="0" fillId="0" borderId="0" xfId="0" applyNumberFormat="1"/>
    <xf numFmtId="0" fontId="6" fillId="0" borderId="0" xfId="0" applyFont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 vertical="top"/>
    </xf>
    <xf numFmtId="0" fontId="2" fillId="6" borderId="0" xfId="0" applyFont="1" applyFill="1" applyAlignment="1">
      <alignment horizontal="left" vertical="top"/>
    </xf>
    <xf numFmtId="164" fontId="2" fillId="6" borderId="0" xfId="0" applyNumberFormat="1" applyFont="1" applyFill="1" applyAlignment="1">
      <alignment horizontal="right" vertical="top"/>
    </xf>
    <xf numFmtId="0" fontId="0" fillId="0" borderId="0" xfId="0" applyAlignment="1">
      <alignment horizontal="center" vertical="top"/>
    </xf>
    <xf numFmtId="0" fontId="2" fillId="7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164" fontId="0" fillId="3" borderId="0" xfId="1" applyNumberFormat="1" applyFont="1" applyFill="1" applyBorder="1" applyAlignment="1">
      <alignment vertical="top"/>
    </xf>
    <xf numFmtId="164" fontId="5" fillId="0" borderId="0" xfId="1" applyNumberFormat="1" applyFont="1" applyBorder="1" applyAlignment="1">
      <alignment vertical="top"/>
    </xf>
    <xf numFmtId="164" fontId="3" fillId="0" borderId="0" xfId="1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0" fontId="2" fillId="7" borderId="0" xfId="0" applyFont="1" applyFill="1" applyBorder="1" applyAlignment="1">
      <alignment horizontal="left" vertical="top" wrapText="1"/>
    </xf>
    <xf numFmtId="164" fontId="0" fillId="2" borderId="0" xfId="1" applyNumberFormat="1" applyFont="1" applyFill="1" applyBorder="1" applyAlignment="1">
      <alignment vertical="top"/>
    </xf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15" fontId="0" fillId="3" borderId="0" xfId="0" applyNumberFormat="1" applyFill="1" applyBorder="1" applyAlignment="1">
      <alignment vertical="top"/>
    </xf>
    <xf numFmtId="164" fontId="3" fillId="3" borderId="0" xfId="1" applyNumberFormat="1" applyFont="1" applyFill="1" applyBorder="1" applyAlignment="1">
      <alignment vertical="top"/>
    </xf>
    <xf numFmtId="9" fontId="3" fillId="3" borderId="0" xfId="0" applyNumberFormat="1" applyFont="1" applyFill="1" applyBorder="1" applyAlignment="1">
      <alignment vertical="top"/>
    </xf>
    <xf numFmtId="11" fontId="0" fillId="2" borderId="0" xfId="0" applyNumberFormat="1" applyFill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6" fillId="6" borderId="0" xfId="0" applyFont="1" applyFill="1" applyBorder="1" applyAlignment="1">
      <alignment vertical="top"/>
    </xf>
    <xf numFmtId="15" fontId="6" fillId="6" borderId="0" xfId="0" applyNumberFormat="1" applyFont="1" applyFill="1" applyBorder="1" applyAlignment="1">
      <alignment vertical="top"/>
    </xf>
    <xf numFmtId="164" fontId="6" fillId="6" borderId="0" xfId="1" applyNumberFormat="1" applyFont="1" applyFill="1" applyBorder="1" applyAlignment="1">
      <alignment vertical="top"/>
    </xf>
    <xf numFmtId="9" fontId="6" fillId="6" borderId="0" xfId="0" applyNumberFormat="1" applyFont="1" applyFill="1" applyBorder="1" applyAlignment="1">
      <alignment vertical="top"/>
    </xf>
    <xf numFmtId="0" fontId="6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vertical="top"/>
    </xf>
    <xf numFmtId="15" fontId="6" fillId="3" borderId="0" xfId="0" applyNumberFormat="1" applyFont="1" applyFill="1" applyBorder="1" applyAlignment="1">
      <alignment vertical="top"/>
    </xf>
    <xf numFmtId="9" fontId="6" fillId="3" borderId="0" xfId="0" applyNumberFormat="1" applyFont="1" applyFill="1" applyBorder="1" applyAlignment="1">
      <alignment vertical="top"/>
    </xf>
    <xf numFmtId="164" fontId="5" fillId="3" borderId="0" xfId="1" applyNumberFormat="1" applyFont="1" applyFill="1" applyBorder="1" applyAlignment="1">
      <alignment vertical="top"/>
    </xf>
    <xf numFmtId="9" fontId="3" fillId="0" borderId="0" xfId="2" applyFont="1" applyBorder="1" applyAlignment="1">
      <alignment vertical="top"/>
    </xf>
    <xf numFmtId="9" fontId="6" fillId="6" borderId="0" xfId="2" applyFont="1" applyFill="1" applyBorder="1" applyAlignment="1">
      <alignment vertical="top"/>
    </xf>
    <xf numFmtId="15" fontId="2" fillId="3" borderId="0" xfId="0" applyNumberFormat="1" applyFont="1" applyFill="1" applyBorder="1" applyAlignment="1">
      <alignment vertical="top"/>
    </xf>
    <xf numFmtId="164" fontId="4" fillId="6" borderId="0" xfId="1" applyNumberFormat="1" applyFont="1" applyFill="1" applyBorder="1" applyAlignment="1">
      <alignment vertical="top"/>
    </xf>
    <xf numFmtId="9" fontId="5" fillId="0" borderId="0" xfId="2" applyFont="1" applyBorder="1" applyAlignment="1">
      <alignment vertical="top"/>
    </xf>
    <xf numFmtId="1" fontId="3" fillId="0" borderId="0" xfId="0" applyNumberFormat="1" applyFont="1" applyBorder="1" applyAlignment="1">
      <alignment vertical="top"/>
    </xf>
    <xf numFmtId="1" fontId="6" fillId="6" borderId="0" xfId="2" applyNumberFormat="1" applyFont="1" applyFill="1" applyBorder="1" applyAlignment="1">
      <alignment vertical="top"/>
    </xf>
    <xf numFmtId="164" fontId="0" fillId="0" borderId="0" xfId="0" applyNumberFormat="1" applyAlignment="1">
      <alignment vertical="top"/>
    </xf>
    <xf numFmtId="0" fontId="0" fillId="6" borderId="0" xfId="0" applyFill="1" applyBorder="1" applyAlignment="1">
      <alignment vertical="top"/>
    </xf>
    <xf numFmtId="0" fontId="0" fillId="6" borderId="0" xfId="0" applyFill="1" applyAlignment="1">
      <alignment vertical="top"/>
    </xf>
    <xf numFmtId="164" fontId="4" fillId="3" borderId="0" xfId="1" applyNumberFormat="1" applyFont="1" applyFill="1" applyBorder="1" applyAlignment="1">
      <alignment vertical="top"/>
    </xf>
    <xf numFmtId="164" fontId="3" fillId="6" borderId="0" xfId="1" applyNumberFormat="1" applyFont="1" applyFill="1" applyBorder="1" applyAlignment="1">
      <alignment vertical="top"/>
    </xf>
    <xf numFmtId="9" fontId="4" fillId="6" borderId="0" xfId="2" applyFont="1" applyFill="1" applyBorder="1" applyAlignment="1">
      <alignment vertical="top"/>
    </xf>
    <xf numFmtId="1" fontId="4" fillId="6" borderId="0" xfId="2" applyNumberFormat="1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15" fontId="4" fillId="6" borderId="0" xfId="0" applyNumberFormat="1" applyFont="1" applyFill="1" applyBorder="1" applyAlignment="1">
      <alignment vertical="top"/>
    </xf>
    <xf numFmtId="11" fontId="3" fillId="2" borderId="0" xfId="0" applyNumberFormat="1" applyFont="1" applyFill="1" applyBorder="1" applyAlignment="1">
      <alignment vertical="top"/>
    </xf>
    <xf numFmtId="15" fontId="3" fillId="0" borderId="0" xfId="0" applyNumberFormat="1" applyFont="1" applyBorder="1" applyAlignment="1">
      <alignment vertical="top"/>
    </xf>
    <xf numFmtId="2" fontId="4" fillId="6" borderId="0" xfId="1" applyNumberFormat="1" applyFont="1" applyFill="1" applyBorder="1" applyAlignment="1">
      <alignment vertical="top"/>
    </xf>
    <xf numFmtId="15" fontId="3" fillId="3" borderId="0" xfId="0" applyNumberFormat="1" applyFont="1" applyFill="1" applyBorder="1" applyAlignment="1">
      <alignment vertical="top"/>
    </xf>
    <xf numFmtId="9" fontId="5" fillId="0" borderId="0" xfId="0" applyNumberFormat="1" applyFont="1" applyBorder="1" applyAlignment="1">
      <alignment vertical="top"/>
    </xf>
    <xf numFmtId="9" fontId="6" fillId="3" borderId="0" xfId="2" applyFont="1" applyFill="1" applyBorder="1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15" fontId="5" fillId="0" borderId="0" xfId="0" applyNumberFormat="1" applyFont="1" applyBorder="1" applyAlignment="1">
      <alignment vertical="top"/>
    </xf>
    <xf numFmtId="15" fontId="5" fillId="3" borderId="0" xfId="0" applyNumberFormat="1" applyFont="1" applyFill="1" applyBorder="1" applyAlignment="1">
      <alignment vertical="top"/>
    </xf>
    <xf numFmtId="164" fontId="4" fillId="6" borderId="0" xfId="1" applyNumberFormat="1" applyFont="1" applyFill="1" applyAlignment="1">
      <alignment vertical="top"/>
    </xf>
    <xf numFmtId="9" fontId="6" fillId="6" borderId="0" xfId="0" applyNumberFormat="1" applyFont="1" applyFill="1" applyAlignment="1">
      <alignment vertical="top"/>
    </xf>
    <xf numFmtId="164" fontId="4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0" fillId="2" borderId="0" xfId="0" applyFill="1"/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51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</font>
    </dxf>
    <dxf>
      <font>
        <b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font>
        <b/>
      </font>
    </dxf>
    <dxf>
      <font>
        <b/>
      </font>
    </dxf>
    <dxf>
      <numFmt numFmtId="164" formatCode="_ * #,##0_ ;_ * \-#,##0_ ;_ * &quot;-&quot;??_ ;_ @_ 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 Chandak" refreshedDate="42488.901287499997" createdVersion="5" refreshedVersion="5" minRefreshableVersion="3" recordCount="35">
  <cacheSource type="worksheet">
    <worksheetSource ref="A7:AV37" sheet="Sales Details"/>
  </cacheSource>
  <cacheFields count="18">
    <cacheField name="Sr No" numFmtId="0">
      <sharedItems containsBlank="1" containsMixedTypes="1" containsNumber="1" containsInteger="1" minValue="1" maxValue="30" count="39">
        <s v="A"/>
        <m/>
        <s v="B"/>
        <n v="1"/>
        <n v="2"/>
        <n v="3"/>
        <n v="4"/>
        <n v="5"/>
        <n v="6"/>
        <n v="7"/>
        <n v="8"/>
        <n v="9"/>
        <n v="10"/>
        <s v="C"/>
        <n v="11"/>
        <n v="12"/>
        <n v="13"/>
        <s v="i"/>
        <s v="ii"/>
        <s v="iii"/>
        <s v="iv"/>
        <n v="14"/>
        <n v="15"/>
        <n v="16"/>
        <s v="D"/>
        <n v="17"/>
        <n v="18"/>
        <n v="19"/>
        <n v="20"/>
        <n v="21"/>
        <n v="22"/>
        <n v="23" u="1"/>
        <n v="24" u="1"/>
        <n v="25" u="1"/>
        <n v="26" u="1"/>
        <n v="27" u="1"/>
        <n v="28" u="1"/>
        <n v="29" u="1"/>
        <n v="30" u="1"/>
      </sharedItems>
    </cacheField>
    <cacheField name="Type" numFmtId="0">
      <sharedItems containsBlank="1" count="39">
        <s v="B"/>
        <m/>
        <s v="Receivables"/>
        <s v="Sale Receivables"/>
        <s v="Corpus"/>
        <s v="Other Receivables"/>
        <s v="Total Receivables"/>
        <s v="Direct Cost"/>
        <s v="Registration Charges"/>
        <s v="Transfer Charge"/>
        <s v="Other Charges - Direct"/>
        <s v="Legal Charges "/>
        <s v="Due diligence "/>
        <s v="Valuation "/>
        <s v="Title report "/>
        <s v="Service Tax on Other Charges - Direct"/>
        <s v="Total Direct Cost"/>
        <s v="Gross Receivables"/>
        <s v="Indirect Cost"/>
        <s v="Brokerage"/>
        <s v="Service Tax on Brokerage"/>
        <s v="Other Charges - InDirect"/>
        <s v="Technical Diligence "/>
        <s v="Legal Diligence"/>
        <s v="Service Tax on Other Charges - InDirect"/>
        <s v="Total Indirect Cost"/>
        <s v="Net Receivables"/>
        <s v="Cost incl Brokerage" u="1"/>
        <s v="VAT on Basic" u="1"/>
        <s v="Flat Cost incl Brokerage" u="1"/>
        <s v="Cost" u="1"/>
        <s v="Basic" u="1"/>
        <s v="Amenity Charges" u="1"/>
        <s v="Service Tax on Basic" u="1"/>
        <s v="Devlopement charges" u="1"/>
        <s v="Stamp Duty" u="1"/>
        <s v="Flat Cost" u="1"/>
        <s v="Total Cost" u="1"/>
        <s v="Advance Maintenance" u="1"/>
      </sharedItems>
    </cacheField>
    <cacheField name="Event" numFmtId="0">
      <sharedItems containsBlank="1"/>
    </cacheField>
    <cacheField name="Receivable/  Payment Type" numFmtId="0">
      <sharedItems containsBlank="1"/>
    </cacheField>
    <cacheField name="Direct Tax  _x000a_(%)" numFmtId="0">
      <sharedItems containsBlank="1" containsMixedTypes="1" containsNumber="1" minValue="0" maxValue="0.1"/>
    </cacheField>
    <cacheField name="Projected Direct Tax Remarks" numFmtId="0">
      <sharedItems containsBlank="1"/>
    </cacheField>
    <cacheField name="AAA" numFmtId="0">
      <sharedItems containsString="0" containsBlank="1" containsNumber="1" containsInteger="1" minValue="12" maxValue="12"/>
    </cacheField>
    <cacheField name="Projected_x000a_Date" numFmtId="0">
      <sharedItems containsDate="1" containsBlank="1" containsMixedTypes="1" minDate="2016-02-19T00:00:00" maxDate="2017-01-15T00:00:00"/>
    </cacheField>
    <cacheField name="Projected_x000a_Amount _x000a_(Rs.)" numFmtId="0">
      <sharedItems containsBlank="1" containsMixedTypes="1" containsNumber="1" containsInteger="1" minValue="0" maxValue="5000000"/>
    </cacheField>
    <cacheField name="Projected Direct Tax Amount _x000a_(Rs.)" numFmtId="0">
      <sharedItems containsBlank="1" containsMixedTypes="1" containsNumber="1" containsInteger="1" minValue="0" maxValue="50000"/>
    </cacheField>
    <cacheField name="Projected Net Amount _x000a_(Rs.)" numFmtId="0">
      <sharedItems containsBlank="1" containsMixedTypes="1" containsNumber="1" containsInteger="1" minValue="0" maxValue="4950000"/>
    </cacheField>
    <cacheField name="CCC" numFmtId="0">
      <sharedItems containsNonDate="0" containsString="0" containsBlank="1"/>
    </cacheField>
    <cacheField name="Actual_x000a_Date" numFmtId="0">
      <sharedItems containsDate="1" containsBlank="1" containsMixedTypes="1" minDate="2016-02-19T00:00:00" maxDate="2017-01-15T00:00:00"/>
    </cacheField>
    <cacheField name="Actual Amount _x000a_(Rs.)" numFmtId="0">
      <sharedItems containsBlank="1" containsMixedTypes="1" containsNumber="1" containsInteger="1" minValue="0" maxValue="5000000"/>
    </cacheField>
    <cacheField name="Actual Direct Tax Amount _x000a_(Rs)" numFmtId="0">
      <sharedItems containsBlank="1" containsMixedTypes="1" containsNumber="1" containsInteger="1" minValue="0" maxValue="50000"/>
    </cacheField>
    <cacheField name="Actual Net Amount _x000a_(Rs.)" numFmtId="0">
      <sharedItems containsBlank="1" containsMixedTypes="1" containsNumber="1" containsInteger="1" minValue="0" maxValue="4950000"/>
    </cacheField>
    <cacheField name="DDD" numFmtId="0">
      <sharedItems containsNonDate="0" containsString="0" containsBlank="1"/>
    </cacheField>
    <cacheField name="Difference with Actual _x000a_(Rs.)" numFmtId="0">
      <sharedItems containsBlank="1" containsMixedTypes="1" containsNumber="1" containsInteger="1" minValue="-693000" maxValue="24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s v="C"/>
    <s v="D"/>
    <s v="E"/>
    <s v="F"/>
    <n v="12"/>
    <s v="G"/>
    <s v="H"/>
    <s v="I"/>
    <s v="J"/>
    <m/>
    <s v="O"/>
    <s v="P"/>
    <s v="Q"/>
    <s v="R"/>
    <m/>
    <s v="S"/>
  </r>
  <r>
    <x v="1"/>
    <x v="1"/>
    <m/>
    <m/>
    <m/>
    <m/>
    <m/>
    <m/>
    <m/>
    <s v="(E*H)"/>
    <s v="(H-I)"/>
    <m/>
    <m/>
    <m/>
    <s v="(E*P)"/>
    <s v="(P-Q)"/>
    <m/>
    <m/>
  </r>
  <r>
    <x v="2"/>
    <x v="2"/>
    <m/>
    <m/>
    <m/>
    <m/>
    <m/>
    <m/>
    <m/>
    <m/>
    <m/>
    <m/>
    <m/>
    <m/>
    <m/>
    <m/>
    <m/>
    <m/>
  </r>
  <r>
    <x v="3"/>
    <x v="3"/>
    <s v="Installment"/>
    <m/>
    <n v="0.01"/>
    <s v="TDS"/>
    <m/>
    <d v="2016-02-19T00:00:00"/>
    <n v="1500000"/>
    <n v="15000"/>
    <n v="1485000"/>
    <m/>
    <d v="2016-03-20T00:00:00"/>
    <n v="2200000"/>
    <n v="22000"/>
    <n v="2178000"/>
    <m/>
    <n v="-693000"/>
  </r>
  <r>
    <x v="4"/>
    <x v="3"/>
    <s v="Installment"/>
    <m/>
    <n v="0.01"/>
    <m/>
    <m/>
    <d v="2016-03-20T00:00:00"/>
    <n v="500000"/>
    <n v="5000"/>
    <n v="495000"/>
    <m/>
    <d v="2016-04-19T00:00:00"/>
    <n v="500000"/>
    <n v="5000"/>
    <n v="495000"/>
    <m/>
    <n v="0"/>
  </r>
  <r>
    <x v="5"/>
    <x v="3"/>
    <s v="Installment"/>
    <m/>
    <n v="0.01"/>
    <m/>
    <m/>
    <d v="2016-04-19T00:00:00"/>
    <n v="500000"/>
    <n v="5000"/>
    <n v="495000"/>
    <m/>
    <d v="2016-05-19T00:00:00"/>
    <n v="500000"/>
    <n v="5000"/>
    <n v="495000"/>
    <m/>
    <n v="0"/>
  </r>
  <r>
    <x v="6"/>
    <x v="3"/>
    <s v="Installment"/>
    <m/>
    <n v="0.01"/>
    <m/>
    <m/>
    <d v="2016-05-19T00:00:00"/>
    <n v="500000"/>
    <n v="5000"/>
    <n v="495000"/>
    <m/>
    <d v="2016-06-18T00:00:00"/>
    <n v="500000"/>
    <n v="5000"/>
    <n v="495000"/>
    <m/>
    <n v="0"/>
  </r>
  <r>
    <x v="7"/>
    <x v="3"/>
    <s v="Installment"/>
    <m/>
    <n v="0.01"/>
    <m/>
    <m/>
    <d v="2016-06-18T00:00:00"/>
    <n v="500000"/>
    <n v="5000"/>
    <n v="495000"/>
    <m/>
    <d v="2016-07-18T00:00:00"/>
    <n v="250000"/>
    <n v="2500"/>
    <n v="247500"/>
    <m/>
    <n v="247500"/>
  </r>
  <r>
    <x v="8"/>
    <x v="3"/>
    <s v="Installment"/>
    <m/>
    <n v="0.01"/>
    <m/>
    <m/>
    <d v="2016-07-18T00:00:00"/>
    <n v="500000"/>
    <n v="5000"/>
    <n v="495000"/>
    <m/>
    <d v="2016-09-16T00:00:00"/>
    <n v="250000"/>
    <n v="2500"/>
    <n v="247500"/>
    <m/>
    <n v="247500"/>
  </r>
  <r>
    <x v="9"/>
    <x v="3"/>
    <s v="Installment"/>
    <m/>
    <n v="0.01"/>
    <m/>
    <m/>
    <d v="2016-09-16T00:00:00"/>
    <n v="250000"/>
    <n v="2500"/>
    <n v="247500"/>
    <m/>
    <d v="2016-11-15T00:00:00"/>
    <n v="250000"/>
    <n v="2500"/>
    <n v="247500"/>
    <m/>
    <n v="0"/>
  </r>
  <r>
    <x v="10"/>
    <x v="4"/>
    <m/>
    <m/>
    <n v="0.01"/>
    <m/>
    <m/>
    <d v="2016-11-15T00:00:00"/>
    <n v="250000"/>
    <n v="2500"/>
    <n v="247500"/>
    <m/>
    <d v="2017-01-14T00:00:00"/>
    <n v="250000"/>
    <n v="2500"/>
    <n v="247500"/>
    <m/>
    <n v="0"/>
  </r>
  <r>
    <x v="11"/>
    <x v="5"/>
    <m/>
    <m/>
    <n v="0.01"/>
    <m/>
    <m/>
    <d v="2017-01-14T00:00:00"/>
    <n v="500000"/>
    <n v="5000"/>
    <n v="495000"/>
    <m/>
    <d v="2016-02-19T00:00:00"/>
    <n v="300000"/>
    <n v="3000"/>
    <n v="297000"/>
    <m/>
    <n v="198000"/>
  </r>
  <r>
    <x v="12"/>
    <x v="6"/>
    <m/>
    <m/>
    <m/>
    <m/>
    <m/>
    <m/>
    <n v="5000000"/>
    <n v="50000"/>
    <n v="4950000"/>
    <m/>
    <m/>
    <n v="5000000"/>
    <n v="50000"/>
    <n v="4950000"/>
    <m/>
    <n v="0"/>
  </r>
  <r>
    <x v="13"/>
    <x v="7"/>
    <m/>
    <m/>
    <m/>
    <m/>
    <m/>
    <m/>
    <m/>
    <m/>
    <m/>
    <m/>
    <m/>
    <m/>
    <m/>
    <m/>
    <m/>
    <m/>
  </r>
  <r>
    <x v="14"/>
    <x v="8"/>
    <s v="Registration"/>
    <m/>
    <n v="0"/>
    <m/>
    <m/>
    <d v="2016-04-19T00:00:00"/>
    <n v="30000"/>
    <n v="0"/>
    <n v="30000"/>
    <m/>
    <d v="2016-05-04T00:00:00"/>
    <n v="30000"/>
    <n v="0"/>
    <n v="30000"/>
    <m/>
    <n v="0"/>
  </r>
  <r>
    <x v="15"/>
    <x v="9"/>
    <s v="Transfer"/>
    <m/>
    <n v="0"/>
    <m/>
    <m/>
    <d v="2016-04-19T00:00:00"/>
    <n v="30000"/>
    <n v="0"/>
    <n v="30000"/>
    <m/>
    <d v="2016-05-04T00:00:00"/>
    <n v="30000"/>
    <n v="0"/>
    <n v="30000"/>
    <m/>
    <n v="0"/>
  </r>
  <r>
    <x v="16"/>
    <x v="10"/>
    <m/>
    <m/>
    <m/>
    <m/>
    <m/>
    <d v="2016-05-04T00:00:00"/>
    <n v="0"/>
    <n v="0"/>
    <n v="0"/>
    <m/>
    <d v="2016-05-06T00:00:00"/>
    <n v="0"/>
    <n v="0"/>
    <n v="0"/>
    <m/>
    <n v="0"/>
  </r>
  <r>
    <x v="17"/>
    <x v="11"/>
    <m/>
    <m/>
    <n v="0.1"/>
    <m/>
    <m/>
    <d v="2016-05-04T00:00:00"/>
    <n v="0"/>
    <n v="0"/>
    <n v="0"/>
    <m/>
    <d v="2016-05-06T00:00:00"/>
    <n v="0"/>
    <n v="0"/>
    <n v="0"/>
    <m/>
    <n v="0"/>
  </r>
  <r>
    <x v="18"/>
    <x v="12"/>
    <m/>
    <m/>
    <n v="0.1"/>
    <m/>
    <m/>
    <d v="2016-05-04T00:00:00"/>
    <n v="0"/>
    <n v="0"/>
    <n v="0"/>
    <m/>
    <d v="2016-05-06T00:00:00"/>
    <n v="0"/>
    <n v="0"/>
    <n v="0"/>
    <m/>
    <n v="0"/>
  </r>
  <r>
    <x v="19"/>
    <x v="13"/>
    <m/>
    <m/>
    <n v="0.1"/>
    <m/>
    <m/>
    <d v="2016-05-04T00:00:00"/>
    <n v="0"/>
    <n v="0"/>
    <n v="0"/>
    <m/>
    <d v="2016-05-06T00:00:00"/>
    <n v="0"/>
    <n v="0"/>
    <n v="0"/>
    <m/>
    <n v="0"/>
  </r>
  <r>
    <x v="20"/>
    <x v="14"/>
    <m/>
    <m/>
    <n v="0.1"/>
    <m/>
    <m/>
    <d v="2016-05-04T00:00:00"/>
    <n v="0"/>
    <n v="0"/>
    <n v="0"/>
    <m/>
    <d v="2016-05-06T00:00:00"/>
    <n v="0"/>
    <n v="0"/>
    <n v="0"/>
    <m/>
    <n v="0"/>
  </r>
  <r>
    <x v="21"/>
    <x v="15"/>
    <m/>
    <m/>
    <n v="0"/>
    <m/>
    <m/>
    <d v="2016-05-04T00:00:00"/>
    <n v="0"/>
    <n v="0"/>
    <n v="0"/>
    <m/>
    <d v="2016-05-06T00:00:00"/>
    <n v="0"/>
    <n v="0"/>
    <n v="0"/>
    <m/>
    <n v="0"/>
  </r>
  <r>
    <x v="22"/>
    <x v="16"/>
    <m/>
    <m/>
    <m/>
    <m/>
    <m/>
    <m/>
    <n v="60000"/>
    <n v="0"/>
    <n v="60000"/>
    <m/>
    <m/>
    <n v="60000"/>
    <n v="0"/>
    <n v="60000"/>
    <m/>
    <n v="0"/>
  </r>
  <r>
    <x v="23"/>
    <x v="17"/>
    <m/>
    <m/>
    <m/>
    <m/>
    <m/>
    <m/>
    <n v="4940000"/>
    <n v="50000"/>
    <n v="4890000"/>
    <m/>
    <m/>
    <n v="4940000"/>
    <n v="50000"/>
    <n v="4890000"/>
    <m/>
    <n v="0"/>
  </r>
  <r>
    <x v="24"/>
    <x v="18"/>
    <m/>
    <m/>
    <m/>
    <m/>
    <m/>
    <m/>
    <m/>
    <m/>
    <m/>
    <m/>
    <m/>
    <m/>
    <m/>
    <m/>
    <m/>
    <m/>
  </r>
  <r>
    <x v="25"/>
    <x v="19"/>
    <s v="15 days after Registration"/>
    <m/>
    <n v="0.1"/>
    <m/>
    <m/>
    <d v="2016-05-04T00:00:00"/>
    <n v="50000"/>
    <n v="5000"/>
    <n v="45000"/>
    <m/>
    <d v="2016-11-15T00:00:00"/>
    <n v="50000"/>
    <n v="5000"/>
    <n v="45000"/>
    <m/>
    <n v="0"/>
  </r>
  <r>
    <x v="26"/>
    <x v="20"/>
    <s v="15 days after Registration"/>
    <m/>
    <n v="0"/>
    <m/>
    <m/>
    <d v="2016-05-04T00:00:00"/>
    <n v="2175"/>
    <n v="0"/>
    <n v="2175"/>
    <m/>
    <d v="2016-05-06T00:00:00"/>
    <n v="30000"/>
    <n v="0"/>
    <n v="30000"/>
    <m/>
    <n v="-27825"/>
  </r>
  <r>
    <x v="27"/>
    <x v="21"/>
    <m/>
    <m/>
    <m/>
    <m/>
    <m/>
    <d v="2016-05-04T00:00:00"/>
    <n v="0"/>
    <n v="0"/>
    <n v="0"/>
    <m/>
    <d v="2016-05-06T00:00:00"/>
    <n v="0"/>
    <n v="0"/>
    <n v="0"/>
    <m/>
    <n v="0"/>
  </r>
  <r>
    <x v="17"/>
    <x v="22"/>
    <s v="Pre Purchase"/>
    <m/>
    <n v="0"/>
    <m/>
    <m/>
    <d v="2016-05-04T00:00:00"/>
    <n v="0"/>
    <n v="0"/>
    <n v="0"/>
    <m/>
    <d v="2016-05-06T00:00:00"/>
    <n v="0"/>
    <n v="0"/>
    <n v="0"/>
    <m/>
    <n v="0"/>
  </r>
  <r>
    <x v="18"/>
    <x v="23"/>
    <s v="Pre Purchase"/>
    <m/>
    <n v="0"/>
    <m/>
    <m/>
    <d v="2016-05-04T00:00:00"/>
    <n v="0"/>
    <n v="0"/>
    <n v="0"/>
    <m/>
    <d v="2016-05-06T00:00:00"/>
    <n v="0"/>
    <n v="0"/>
    <n v="0"/>
    <m/>
    <n v="0"/>
  </r>
  <r>
    <x v="19"/>
    <x v="13"/>
    <s v="Pre Purchase"/>
    <m/>
    <n v="0.1"/>
    <m/>
    <m/>
    <d v="2016-05-04T00:00:00"/>
    <n v="0"/>
    <n v="0"/>
    <n v="0"/>
    <m/>
    <d v="2016-05-06T00:00:00"/>
    <n v="0"/>
    <n v="0"/>
    <n v="0"/>
    <m/>
    <n v="0"/>
  </r>
  <r>
    <x v="28"/>
    <x v="24"/>
    <m/>
    <m/>
    <n v="0"/>
    <m/>
    <m/>
    <d v="2016-05-04T00:00:00"/>
    <n v="0"/>
    <n v="0"/>
    <n v="0"/>
    <m/>
    <d v="2016-05-06T00:00:00"/>
    <n v="0"/>
    <n v="0"/>
    <n v="0"/>
    <m/>
    <n v="0"/>
  </r>
  <r>
    <x v="29"/>
    <x v="25"/>
    <m/>
    <m/>
    <m/>
    <m/>
    <m/>
    <m/>
    <n v="52175"/>
    <n v="5000"/>
    <n v="47175"/>
    <m/>
    <m/>
    <n v="80000"/>
    <n v="5000"/>
    <n v="75000"/>
    <m/>
    <n v="-27825"/>
  </r>
  <r>
    <x v="30"/>
    <x v="26"/>
    <m/>
    <m/>
    <m/>
    <m/>
    <m/>
    <m/>
    <n v="4887825"/>
    <n v="45000"/>
    <n v="4842825"/>
    <m/>
    <m/>
    <n v="4860000"/>
    <n v="45000"/>
    <n v="4815000"/>
    <m/>
    <n v="27825"/>
  </r>
  <r>
    <x v="1"/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3" firstHeaderRow="0" firstDataRow="1" firstDataCol="1" rowPageCount="1" colPageCount="1"/>
  <pivotFields count="18">
    <pivotField axis="axisPage" multipleItemSelectionAllowed="1" showAll="0">
      <items count="40"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21"/>
        <item x="22"/>
        <item x="23"/>
        <item x="25"/>
        <item x="26"/>
        <item x="27"/>
        <item x="28"/>
        <item x="29"/>
        <item x="30"/>
        <item m="1" x="31"/>
        <item m="1" x="32"/>
        <item m="1" x="33"/>
        <item m="1" x="34"/>
        <item m="1" x="35"/>
        <item m="1" x="36"/>
        <item h="1" x="0"/>
        <item x="2"/>
        <item x="13"/>
        <item h="1" x="1"/>
        <item m="1" x="37"/>
        <item m="1" x="38"/>
        <item h="1" x="17"/>
        <item h="1" x="18"/>
        <item h="1" x="19"/>
        <item h="1" x="20"/>
        <item x="24"/>
        <item t="default"/>
      </items>
    </pivotField>
    <pivotField axis="axisRow" showAll="0">
      <items count="40">
        <item m="1" x="38"/>
        <item m="1" x="32"/>
        <item x="0"/>
        <item m="1" x="31"/>
        <item m="1" x="33"/>
        <item m="1" x="28"/>
        <item m="1" x="35"/>
        <item x="2"/>
        <item x="3"/>
        <item x="4"/>
        <item x="5"/>
        <item x="6"/>
        <item x="7"/>
        <item x="8"/>
        <item m="1" x="34"/>
        <item x="12"/>
        <item x="9"/>
        <item x="10"/>
        <item x="15"/>
        <item m="1" x="36"/>
        <item x="11"/>
        <item x="23"/>
        <item m="1" x="30"/>
        <item x="16"/>
        <item x="17"/>
        <item x="18"/>
        <item x="19"/>
        <item x="20"/>
        <item m="1" x="29"/>
        <item m="1" x="27"/>
        <item x="21"/>
        <item x="24"/>
        <item x="22"/>
        <item x="14"/>
        <item x="13"/>
        <item x="1"/>
        <item m="1" x="37"/>
        <item x="25"/>
        <item x="26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dataField="1" showAll="0"/>
    <pivotField showAll="0" defaultSubtotal="0"/>
    <pivotField dataField="1" showAll="0"/>
    <pivotField showAll="0"/>
    <pivotField showAll="0"/>
    <pivotField dataField="1" showAll="0"/>
    <pivotField showAll="0" defaultSubtotal="0"/>
    <pivotField dataField="1" showAll="0"/>
    <pivotField showAll="0"/>
    <pivotField dataField="1" showAll="0"/>
  </pivotFields>
  <rowFields count="1">
    <field x="1"/>
  </rowFields>
  <rowItems count="20"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7"/>
    </i>
    <i>
      <x v="18"/>
    </i>
    <i>
      <x v="23"/>
    </i>
    <i>
      <x v="24"/>
    </i>
    <i>
      <x v="25"/>
    </i>
    <i>
      <x v="26"/>
    </i>
    <i>
      <x v="27"/>
    </i>
    <i>
      <x v="30"/>
    </i>
    <i>
      <x v="31"/>
    </i>
    <i>
      <x v="37"/>
    </i>
    <i>
      <x v="3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 Projected Amount" fld="8" baseField="1" baseItem="0"/>
    <dataField name=" Projected Net Amount " fld="10" baseField="1" baseItem="0"/>
    <dataField name=" Actual Amount " fld="13" baseField="1" baseItem="0"/>
    <dataField name=" Actual Net Amount " fld="15" baseField="1" baseItem="0"/>
    <dataField name="Difference with Actual " fld="17" baseField="1" baseItem="0"/>
  </dataFields>
  <formats count="51"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12">
            <x v="3"/>
            <x v="4"/>
            <x v="5"/>
            <x v="6"/>
            <x v="13"/>
            <x v="17"/>
            <x v="18"/>
            <x v="19"/>
            <x v="26"/>
            <x v="27"/>
            <x v="30"/>
            <x v="31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">
      <pivotArea field="0" type="button" dataOnly="0" labelOnly="1" outline="0" axis="axisPage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12">
            <x v="3"/>
            <x v="4"/>
            <x v="5"/>
            <x v="6"/>
            <x v="13"/>
            <x v="17"/>
            <x v="18"/>
            <x v="19"/>
            <x v="26"/>
            <x v="27"/>
            <x v="30"/>
            <x v="31"/>
          </reference>
        </references>
      </pivotArea>
    </format>
    <format dxfId="37">
      <pivotArea dataOnly="0" labelOnly="1" grandRow="1" outline="0" fieldPosition="0"/>
    </format>
    <format dxfId="36">
      <pivotArea outline="0" collapsedLevelsAreSubtotals="1" fieldPosition="0"/>
    </format>
    <format dxfId="35">
      <pivotArea collapsedLevelsAreSubtotals="1" fieldPosition="0">
        <references count="1">
          <reference field="1" count="1">
            <x v="19"/>
          </reference>
        </references>
      </pivotArea>
    </format>
    <format dxfId="34">
      <pivotArea dataOnly="0" labelOnly="1" fieldPosition="0">
        <references count="1">
          <reference field="1" count="1">
            <x v="19"/>
          </reference>
        </references>
      </pivotArea>
    </format>
    <format dxfId="33">
      <pivotArea dataOnly="0" labelOnly="1" fieldPosition="0">
        <references count="1">
          <reference field="1" count="2">
            <x v="28"/>
            <x v="36"/>
          </reference>
        </references>
      </pivotArea>
    </format>
    <format dxfId="32">
      <pivotArea collapsedLevelsAreSubtotals="1" fieldPosition="0">
        <references count="1">
          <reference field="1" count="1">
            <x v="28"/>
          </reference>
        </references>
      </pivotArea>
    </format>
    <format dxfId="31">
      <pivotArea dataOnly="0" labelOnly="1" fieldPosition="0">
        <references count="1">
          <reference field="1" count="1">
            <x v="28"/>
          </reference>
        </references>
      </pivotArea>
    </format>
    <format dxfId="30">
      <pivotArea collapsedLevelsAreSubtotals="1" fieldPosition="0">
        <references count="1">
          <reference field="1" count="1">
            <x v="36"/>
          </reference>
        </references>
      </pivotArea>
    </format>
    <format dxfId="29">
      <pivotArea dataOnly="0" labelOnly="1" fieldPosition="0">
        <references count="1">
          <reference field="1" count="1">
            <x v="36"/>
          </reference>
        </references>
      </pivotArea>
    </format>
    <format dxfId="28">
      <pivotArea dataOnly="0" fieldPosition="0">
        <references count="1">
          <reference field="1" count="1">
            <x v="36"/>
          </reference>
        </references>
      </pivotArea>
    </format>
    <format dxfId="27">
      <pivotArea dataOnly="0" labelOnly="1" fieldPosition="0">
        <references count="1">
          <reference field="1" count="2">
            <x v="22"/>
            <x v="29"/>
          </reference>
        </references>
      </pivotArea>
    </format>
    <format dxfId="26">
      <pivotArea collapsedLevelsAreSubtotals="1" fieldPosition="0">
        <references count="1">
          <reference field="1" count="2">
            <x v="22"/>
            <x v="29"/>
          </reference>
        </references>
      </pivotArea>
    </format>
    <format dxfId="25">
      <pivotArea dataOnly="0" labelOnly="1" fieldPosition="0">
        <references count="1">
          <reference field="1" count="2">
            <x v="22"/>
            <x v="29"/>
          </reference>
        </references>
      </pivotArea>
    </format>
    <format dxfId="24">
      <pivotArea dataOnly="0" labelOnly="1" fieldPosition="0">
        <references count="1">
          <reference field="1" count="20">
            <x v="2"/>
            <x v="7"/>
            <x v="8"/>
            <x v="9"/>
            <x v="10"/>
            <x v="11"/>
            <x v="12"/>
            <x v="13"/>
            <x v="16"/>
            <x v="17"/>
            <x v="18"/>
            <x v="23"/>
            <x v="24"/>
            <x v="25"/>
            <x v="26"/>
            <x v="27"/>
            <x v="30"/>
            <x v="31"/>
            <x v="37"/>
            <x v="38"/>
          </reference>
        </references>
      </pivotArea>
    </format>
    <format dxfId="23">
      <pivotArea collapsedLevelsAreSubtotals="1" fieldPosition="0">
        <references count="1">
          <reference field="1" count="1">
            <x v="7"/>
          </reference>
        </references>
      </pivotArea>
    </format>
    <format dxfId="22">
      <pivotArea dataOnly="0" labelOnly="1" fieldPosition="0">
        <references count="1">
          <reference field="1" count="1">
            <x v="7"/>
          </reference>
        </references>
      </pivotArea>
    </format>
    <format dxfId="21">
      <pivotArea collapsedLevelsAreSubtotals="1" fieldPosition="0">
        <references count="1">
          <reference field="1" count="1">
            <x v="7"/>
          </reference>
        </references>
      </pivotArea>
    </format>
    <format dxfId="20">
      <pivotArea dataOnly="0" labelOnly="1" fieldPosition="0">
        <references count="1">
          <reference field="1" count="1">
            <x v="7"/>
          </reference>
        </references>
      </pivotArea>
    </format>
    <format dxfId="19">
      <pivotArea collapsedLevelsAreSubtotals="1" fieldPosition="0">
        <references count="1">
          <reference field="1" count="1">
            <x v="12"/>
          </reference>
        </references>
      </pivotArea>
    </format>
    <format dxfId="18">
      <pivotArea dataOnly="0" labelOnly="1" fieldPosition="0">
        <references count="1">
          <reference field="1" count="1">
            <x v="12"/>
          </reference>
        </references>
      </pivotArea>
    </format>
    <format dxfId="17">
      <pivotArea collapsedLevelsAreSubtotals="1" fieldPosition="0">
        <references count="1">
          <reference field="1" count="1">
            <x v="25"/>
          </reference>
        </references>
      </pivotArea>
    </format>
    <format dxfId="16">
      <pivotArea dataOnly="0" labelOnly="1" fieldPosition="0">
        <references count="1">
          <reference field="1" count="1">
            <x v="25"/>
          </reference>
        </references>
      </pivotArea>
    </format>
    <format dxfId="15">
      <pivotArea collapsedLevelsAreSubtotals="1" fieldPosition="0">
        <references count="1">
          <reference field="1" count="1">
            <x v="11"/>
          </reference>
        </references>
      </pivotArea>
    </format>
    <format dxfId="14">
      <pivotArea dataOnly="0" labelOnly="1" fieldPosition="0">
        <references count="1">
          <reference field="1" count="1">
            <x v="11"/>
          </reference>
        </references>
      </pivotArea>
    </format>
    <format dxfId="13">
      <pivotArea collapsedLevelsAreSubtotals="1" fieldPosition="0">
        <references count="1">
          <reference field="1" count="1">
            <x v="24"/>
          </reference>
        </references>
      </pivotArea>
    </format>
    <format dxfId="12">
      <pivotArea dataOnly="0" labelOnly="1" fieldPosition="0">
        <references count="1">
          <reference field="1" count="1">
            <x v="24"/>
          </reference>
        </references>
      </pivotArea>
    </format>
    <format dxfId="11">
      <pivotArea collapsedLevelsAreSubtotals="1" fieldPosition="0">
        <references count="1">
          <reference field="1" count="1">
            <x v="38"/>
          </reference>
        </references>
      </pivotArea>
    </format>
    <format dxfId="10">
      <pivotArea dataOnly="0" labelOnly="1" fieldPosition="0">
        <references count="1">
          <reference field="1" count="1">
            <x v="38"/>
          </reference>
        </references>
      </pivotArea>
    </format>
    <format dxfId="9">
      <pivotArea collapsedLevelsAreSubtotals="1" fieldPosition="0">
        <references count="1">
          <reference field="1" count="1">
            <x v="12"/>
          </reference>
        </references>
      </pivotArea>
    </format>
    <format dxfId="8">
      <pivotArea dataOnly="0" labelOnly="1" fieldPosition="0">
        <references count="1">
          <reference field="1" count="1">
            <x v="12"/>
          </reference>
        </references>
      </pivotArea>
    </format>
    <format dxfId="7">
      <pivotArea collapsedLevelsAreSubtotals="1" fieldPosition="0">
        <references count="1">
          <reference field="1" count="1">
            <x v="25"/>
          </reference>
        </references>
      </pivotArea>
    </format>
    <format dxfId="6">
      <pivotArea dataOnly="0" labelOnly="1" fieldPosition="0">
        <references count="1">
          <reference field="1" count="1">
            <x v="25"/>
          </reference>
        </references>
      </pivotArea>
    </format>
    <format dxfId="5">
      <pivotArea collapsedLevelsAreSubtotals="1" fieldPosition="0">
        <references count="1">
          <reference field="1" count="1">
            <x v="11"/>
          </reference>
        </references>
      </pivotArea>
    </format>
    <format dxfId="4">
      <pivotArea dataOnly="0" labelOnly="1" fieldPosition="0">
        <references count="1">
          <reference field="1" count="1">
            <x v="11"/>
          </reference>
        </references>
      </pivotArea>
    </format>
    <format dxfId="3">
      <pivotArea collapsedLevelsAreSubtotals="1" fieldPosition="0">
        <references count="1">
          <reference field="1" count="1">
            <x v="24"/>
          </reference>
        </references>
      </pivotArea>
    </format>
    <format dxfId="2">
      <pivotArea dataOnly="0" labelOnly="1" fieldPosition="0">
        <references count="1">
          <reference field="1" count="1">
            <x v="24"/>
          </reference>
        </references>
      </pivotArea>
    </format>
    <format dxfId="1">
      <pivotArea collapsedLevelsAreSubtotals="1" fieldPosition="0">
        <references count="1">
          <reference field="1" count="1">
            <x v="38"/>
          </reference>
        </references>
      </pivotArea>
    </format>
    <format dxfId="0">
      <pivotArea dataOnly="0" labelOnly="1" fieldPosition="0">
        <references count="1">
          <reference field="1" count="1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6"/>
  <sheetViews>
    <sheetView showGridLines="0" tabSelected="1" zoomScale="80" zoomScaleNormal="80" workbookViewId="0">
      <pane xSplit="3" ySplit="7" topLeftCell="D8" activePane="bottomRight" state="frozen"/>
      <selection pane="topRight" activeCell="D1" sqref="D1"/>
      <selection pane="bottomLeft" activeCell="A3" sqref="A3"/>
      <selection pane="bottomRight" activeCell="B2" sqref="B2:C2"/>
    </sheetView>
  </sheetViews>
  <sheetFormatPr defaultRowHeight="15" outlineLevelRow="1" x14ac:dyDescent="0.25"/>
  <cols>
    <col min="1" max="1" width="6" style="1" bestFit="1" customWidth="1"/>
    <col min="2" max="2" width="23.5703125" style="1" customWidth="1"/>
    <col min="3" max="3" width="15.140625" style="1" customWidth="1"/>
    <col min="4" max="4" width="17.85546875" style="1" bestFit="1" customWidth="1"/>
    <col min="5" max="5" width="1.85546875" style="1" customWidth="1"/>
    <col min="6" max="6" width="12.85546875" style="1" bestFit="1" customWidth="1"/>
    <col min="7" max="7" width="14.5703125" style="1" bestFit="1" customWidth="1"/>
    <col min="8" max="8" width="7.42578125" style="1" bestFit="1" customWidth="1"/>
    <col min="9" max="9" width="12" style="1" bestFit="1" customWidth="1"/>
    <col min="10" max="10" width="7.85546875" style="1" bestFit="1" customWidth="1"/>
    <col min="11" max="11" width="12" style="1" bestFit="1" customWidth="1"/>
    <col min="12" max="12" width="7.85546875" style="1" bestFit="1" customWidth="1"/>
    <col min="13" max="13" width="12" style="1" bestFit="1" customWidth="1"/>
    <col min="14" max="15" width="17.7109375" style="1" bestFit="1" customWidth="1"/>
    <col min="16" max="16" width="6.42578125" style="1" bestFit="1" customWidth="1"/>
    <col min="17" max="17" width="18.28515625" style="32" bestFit="1" customWidth="1"/>
    <col min="18" max="18" width="17.42578125" style="1" bestFit="1" customWidth="1"/>
    <col min="19" max="19" width="1.7109375" style="1" customWidth="1"/>
    <col min="20" max="20" width="16.85546875" style="1" bestFit="1" customWidth="1"/>
    <col min="21" max="21" width="14.5703125" style="1" bestFit="1" customWidth="1"/>
    <col min="22" max="22" width="11.140625" style="1" bestFit="1" customWidth="1"/>
    <col min="23" max="23" width="12" style="1" bestFit="1" customWidth="1"/>
    <col min="24" max="24" width="11" style="1" bestFit="1" customWidth="1"/>
    <col min="25" max="25" width="12" style="1" bestFit="1" customWidth="1"/>
    <col min="26" max="26" width="11.5703125" style="1" bestFit="1" customWidth="1"/>
    <col min="27" max="27" width="12" style="1" bestFit="1" customWidth="1"/>
    <col min="28" max="28" width="15.42578125" style="1" bestFit="1" customWidth="1"/>
    <col min="29" max="29" width="18.140625" style="1" bestFit="1" customWidth="1"/>
    <col min="30" max="30" width="6.42578125" style="1" bestFit="1" customWidth="1"/>
    <col min="31" max="31" width="16" style="1" bestFit="1" customWidth="1"/>
    <col min="32" max="32" width="15.28515625" style="1" bestFit="1" customWidth="1"/>
    <col min="33" max="33" width="1.7109375" style="3" customWidth="1"/>
    <col min="34" max="34" width="13.42578125" style="1" bestFit="1" customWidth="1"/>
    <col min="35" max="35" width="14.5703125" style="1" bestFit="1" customWidth="1"/>
    <col min="36" max="36" width="10.5703125" style="1" bestFit="1" customWidth="1"/>
    <col min="37" max="37" width="12" style="1" bestFit="1" customWidth="1"/>
    <col min="38" max="38" width="11" style="1" bestFit="1" customWidth="1"/>
    <col min="39" max="39" width="12" style="1" bestFit="1" customWidth="1"/>
    <col min="40" max="40" width="11" style="1" bestFit="1" customWidth="1"/>
    <col min="41" max="41" width="12" style="1" bestFit="1" customWidth="1"/>
    <col min="42" max="42" width="13.85546875" style="1" bestFit="1" customWidth="1"/>
    <col min="43" max="43" width="16.42578125" style="1" bestFit="1" customWidth="1"/>
    <col min="44" max="44" width="6.42578125" style="1" bestFit="1" customWidth="1"/>
    <col min="45" max="45" width="14.42578125" style="1" bestFit="1" customWidth="1"/>
    <col min="46" max="46" width="14.5703125" style="1" bestFit="1" customWidth="1"/>
    <col min="47" max="47" width="1.7109375" style="1" customWidth="1"/>
    <col min="48" max="48" width="18.85546875" style="1" bestFit="1" customWidth="1"/>
    <col min="49" max="16384" width="9.140625" style="1"/>
  </cols>
  <sheetData>
    <row r="2" spans="1:48" x14ac:dyDescent="0.25">
      <c r="B2" s="91" t="s">
        <v>67</v>
      </c>
      <c r="C2" s="92"/>
      <c r="P2" s="32"/>
      <c r="Q2" s="1"/>
      <c r="AF2" s="3"/>
      <c r="AG2" s="1"/>
    </row>
    <row r="3" spans="1:48" x14ac:dyDescent="0.25">
      <c r="B3" s="31" t="s">
        <v>68</v>
      </c>
      <c r="C3" s="93"/>
      <c r="P3" s="32"/>
      <c r="Q3" s="1"/>
      <c r="AF3" s="3"/>
      <c r="AG3" s="1"/>
    </row>
    <row r="4" spans="1:48" x14ac:dyDescent="0.25">
      <c r="B4" s="31" t="s">
        <v>94</v>
      </c>
      <c r="C4" s="93"/>
      <c r="P4" s="32"/>
      <c r="Q4" s="1"/>
      <c r="X4" s="63"/>
      <c r="AA4" s="63">
        <f>SUM(AB17:AB22)+SUM(AB14:AB15)</f>
        <v>12000</v>
      </c>
      <c r="AF4" s="3"/>
      <c r="AG4" s="1"/>
    </row>
    <row r="6" spans="1:48" ht="45" customHeight="1" x14ac:dyDescent="0.25">
      <c r="D6" s="2"/>
      <c r="E6" s="2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S6" s="30"/>
      <c r="AT6" s="30"/>
      <c r="AU6" s="5"/>
    </row>
    <row r="7" spans="1:48" s="4" customFormat="1" ht="45" x14ac:dyDescent="0.25">
      <c r="A7" s="37" t="s">
        <v>4</v>
      </c>
      <c r="B7" s="37" t="s">
        <v>0</v>
      </c>
      <c r="C7" s="37" t="s">
        <v>1</v>
      </c>
      <c r="D7" s="37" t="s">
        <v>58</v>
      </c>
      <c r="E7" s="85"/>
      <c r="F7" s="37" t="s">
        <v>2</v>
      </c>
      <c r="G7" s="37" t="s">
        <v>10</v>
      </c>
      <c r="H7" s="37" t="s">
        <v>64</v>
      </c>
      <c r="I7" s="37" t="s">
        <v>88</v>
      </c>
      <c r="J7" s="37" t="s">
        <v>65</v>
      </c>
      <c r="K7" s="37" t="s">
        <v>88</v>
      </c>
      <c r="L7" s="37" t="s">
        <v>66</v>
      </c>
      <c r="M7" s="37" t="s">
        <v>88</v>
      </c>
      <c r="N7" s="37" t="s">
        <v>89</v>
      </c>
      <c r="O7" s="37" t="s">
        <v>72</v>
      </c>
      <c r="P7" s="37" t="s">
        <v>73</v>
      </c>
      <c r="Q7" s="37" t="s">
        <v>74</v>
      </c>
      <c r="R7" s="37" t="s">
        <v>23</v>
      </c>
      <c r="S7" s="38"/>
      <c r="T7" s="37" t="s">
        <v>69</v>
      </c>
      <c r="U7" s="37" t="s">
        <v>70</v>
      </c>
      <c r="V7" s="37" t="s">
        <v>83</v>
      </c>
      <c r="W7" s="37" t="s">
        <v>88</v>
      </c>
      <c r="X7" s="37" t="s">
        <v>84</v>
      </c>
      <c r="Y7" s="37" t="s">
        <v>90</v>
      </c>
      <c r="Z7" s="37" t="s">
        <v>85</v>
      </c>
      <c r="AA7" s="37" t="s">
        <v>91</v>
      </c>
      <c r="AB7" s="37" t="s">
        <v>92</v>
      </c>
      <c r="AC7" s="37" t="s">
        <v>78</v>
      </c>
      <c r="AD7" s="37" t="s">
        <v>73</v>
      </c>
      <c r="AE7" s="37" t="s">
        <v>79</v>
      </c>
      <c r="AF7" s="37" t="s">
        <v>71</v>
      </c>
      <c r="AG7" s="38"/>
      <c r="AH7" s="37" t="s">
        <v>3</v>
      </c>
      <c r="AI7" s="37" t="s">
        <v>75</v>
      </c>
      <c r="AJ7" s="37" t="s">
        <v>86</v>
      </c>
      <c r="AK7" s="37" t="s">
        <v>88</v>
      </c>
      <c r="AL7" s="37" t="s">
        <v>84</v>
      </c>
      <c r="AM7" s="37" t="s">
        <v>90</v>
      </c>
      <c r="AN7" s="37" t="s">
        <v>87</v>
      </c>
      <c r="AO7" s="37" t="s">
        <v>91</v>
      </c>
      <c r="AP7" s="37" t="s">
        <v>93</v>
      </c>
      <c r="AQ7" s="37" t="s">
        <v>76</v>
      </c>
      <c r="AR7" s="37" t="s">
        <v>73</v>
      </c>
      <c r="AS7" s="37" t="s">
        <v>77</v>
      </c>
      <c r="AT7" s="37" t="s">
        <v>11</v>
      </c>
      <c r="AU7" s="38"/>
      <c r="AV7" s="37" t="s">
        <v>12</v>
      </c>
    </row>
    <row r="8" spans="1:48" x14ac:dyDescent="0.25">
      <c r="A8" s="39" t="s">
        <v>18</v>
      </c>
      <c r="B8" s="40" t="s">
        <v>44</v>
      </c>
      <c r="C8" s="41"/>
      <c r="D8" s="41"/>
      <c r="E8" s="86"/>
      <c r="F8" s="42"/>
      <c r="G8" s="43"/>
      <c r="H8" s="44"/>
      <c r="I8" s="44"/>
      <c r="J8" s="43"/>
      <c r="K8" s="43"/>
      <c r="L8" s="43"/>
      <c r="M8" s="43"/>
      <c r="N8" s="33"/>
      <c r="O8" s="33"/>
      <c r="P8" s="33"/>
      <c r="Q8" s="33"/>
      <c r="R8" s="33"/>
      <c r="S8" s="3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8"/>
      <c r="AH8" s="42"/>
      <c r="AI8" s="43"/>
      <c r="AJ8" s="43"/>
      <c r="AK8" s="43"/>
      <c r="AL8" s="43"/>
      <c r="AM8" s="43"/>
      <c r="AN8" s="43"/>
      <c r="AO8" s="43"/>
      <c r="AP8" s="33"/>
      <c r="AQ8" s="33"/>
      <c r="AR8" s="33"/>
      <c r="AS8" s="33"/>
      <c r="AT8" s="33"/>
      <c r="AU8" s="45"/>
      <c r="AV8" s="33"/>
    </row>
    <row r="9" spans="1:48" x14ac:dyDescent="0.25">
      <c r="A9" s="32">
        <v>1</v>
      </c>
      <c r="B9" s="32" t="s">
        <v>49</v>
      </c>
      <c r="C9" s="32" t="s">
        <v>45</v>
      </c>
      <c r="D9" s="32" t="s">
        <v>95</v>
      </c>
      <c r="E9" s="86"/>
      <c r="F9" s="46">
        <v>42419</v>
      </c>
      <c r="G9" s="34">
        <v>1500000</v>
      </c>
      <c r="H9" s="76">
        <v>0.01</v>
      </c>
      <c r="I9" s="35">
        <f>$G9*H9</f>
        <v>15000</v>
      </c>
      <c r="J9" s="76">
        <v>0.01</v>
      </c>
      <c r="K9" s="35">
        <f>$G9*J9</f>
        <v>15000</v>
      </c>
      <c r="L9" s="76">
        <v>0.01</v>
      </c>
      <c r="M9" s="35">
        <f>$G9*L9</f>
        <v>15000</v>
      </c>
      <c r="N9" s="35">
        <f>I9+K9+M9</f>
        <v>45000</v>
      </c>
      <c r="O9" s="35">
        <f>G9+N9</f>
        <v>1545000</v>
      </c>
      <c r="P9" s="76">
        <v>0.01</v>
      </c>
      <c r="Q9" s="35">
        <f>O9*P9</f>
        <v>15450</v>
      </c>
      <c r="R9" s="35">
        <f>O9-Q9</f>
        <v>1529550</v>
      </c>
      <c r="S9" s="70"/>
      <c r="T9" s="80">
        <v>42449</v>
      </c>
      <c r="U9" s="34">
        <v>2200000</v>
      </c>
      <c r="V9" s="60">
        <v>0.02</v>
      </c>
      <c r="W9" s="35">
        <f>$U9*V9</f>
        <v>44000</v>
      </c>
      <c r="X9" s="60">
        <v>0.02</v>
      </c>
      <c r="Y9" s="35">
        <f>$U9*X9</f>
        <v>44000</v>
      </c>
      <c r="Z9" s="60">
        <v>0.02</v>
      </c>
      <c r="AA9" s="35">
        <f>$U9*Z9</f>
        <v>44000</v>
      </c>
      <c r="AB9" s="35">
        <f>W9+Y9+AA9</f>
        <v>132000</v>
      </c>
      <c r="AC9" s="35">
        <f>U9+AB9</f>
        <v>2332000</v>
      </c>
      <c r="AD9" s="76">
        <v>0.01</v>
      </c>
      <c r="AE9" s="35">
        <f>AC9*AD9</f>
        <v>23320</v>
      </c>
      <c r="AF9" s="35">
        <f>AC9-AE9</f>
        <v>2308680</v>
      </c>
      <c r="AG9" s="70"/>
      <c r="AH9" s="73">
        <v>42449</v>
      </c>
      <c r="AI9" s="35">
        <v>2200000</v>
      </c>
      <c r="AJ9" s="56">
        <v>0.01</v>
      </c>
      <c r="AK9" s="35">
        <f>$AI9*AJ9</f>
        <v>22000</v>
      </c>
      <c r="AL9" s="56">
        <v>0.01</v>
      </c>
      <c r="AM9" s="35">
        <f>$AI9*AL9</f>
        <v>22000</v>
      </c>
      <c r="AN9" s="56">
        <v>0.01</v>
      </c>
      <c r="AO9" s="35">
        <f>$AI9*AN9</f>
        <v>22000</v>
      </c>
      <c r="AP9" s="35">
        <f>AK9+AM9+AO9</f>
        <v>66000</v>
      </c>
      <c r="AQ9" s="35">
        <f>AI9+AP9</f>
        <v>2266000</v>
      </c>
      <c r="AR9" s="76">
        <v>0.01</v>
      </c>
      <c r="AS9" s="35">
        <f>AQ9*AR9</f>
        <v>22660</v>
      </c>
      <c r="AT9" s="35">
        <f>AQ9-AS9</f>
        <v>2243340</v>
      </c>
      <c r="AU9" s="72"/>
      <c r="AV9" s="36">
        <f>IF(AT9&gt;0,IF(AF9&gt;0,AF9-AT9,R9-AT9),0)</f>
        <v>65340</v>
      </c>
    </row>
    <row r="10" spans="1:48" x14ac:dyDescent="0.25">
      <c r="A10" s="32">
        <f>A9+1</f>
        <v>2</v>
      </c>
      <c r="B10" s="32" t="s">
        <v>49</v>
      </c>
      <c r="C10" s="32" t="s">
        <v>45</v>
      </c>
      <c r="D10" s="32" t="s">
        <v>95</v>
      </c>
      <c r="E10" s="86"/>
      <c r="F10" s="46">
        <v>42449</v>
      </c>
      <c r="G10" s="34">
        <v>500000</v>
      </c>
      <c r="H10" s="76">
        <v>0.01</v>
      </c>
      <c r="I10" s="35">
        <f t="shared" ref="I10:I11" si="0">$G10*H10</f>
        <v>5000</v>
      </c>
      <c r="J10" s="76">
        <v>0.01</v>
      </c>
      <c r="K10" s="35">
        <f t="shared" ref="K10:K11" si="1">$G10*J10</f>
        <v>5000</v>
      </c>
      <c r="L10" s="76">
        <v>0.01</v>
      </c>
      <c r="M10" s="35">
        <f t="shared" ref="M10:M11" si="2">$G10*L10</f>
        <v>5000</v>
      </c>
      <c r="N10" s="35">
        <f t="shared" ref="N10:N11" si="3">I10+K10+M10</f>
        <v>15000</v>
      </c>
      <c r="O10" s="35">
        <f>G10+N10</f>
        <v>515000</v>
      </c>
      <c r="P10" s="76">
        <v>0.01</v>
      </c>
      <c r="Q10" s="35">
        <f t="shared" ref="Q10:Q11" si="4">O10*P10</f>
        <v>5150</v>
      </c>
      <c r="R10" s="35">
        <f t="shared" ref="R10:R11" si="5">O10-Q10</f>
        <v>509850</v>
      </c>
      <c r="S10" s="70"/>
      <c r="T10" s="80">
        <v>42479</v>
      </c>
      <c r="U10" s="34">
        <v>500000</v>
      </c>
      <c r="V10" s="60">
        <v>0.02</v>
      </c>
      <c r="W10" s="35">
        <f t="shared" ref="W10:W11" si="6">$U10*V10</f>
        <v>10000</v>
      </c>
      <c r="X10" s="60">
        <v>0.02</v>
      </c>
      <c r="Y10" s="35">
        <f t="shared" ref="Y10:Y11" si="7">$U10*X10</f>
        <v>10000</v>
      </c>
      <c r="Z10" s="60">
        <v>0.02</v>
      </c>
      <c r="AA10" s="35">
        <f t="shared" ref="AA10:AA11" si="8">$U10*Z10</f>
        <v>10000</v>
      </c>
      <c r="AB10" s="35">
        <f t="shared" ref="AB10:AB11" si="9">W10+Y10+AA10</f>
        <v>30000</v>
      </c>
      <c r="AC10" s="35">
        <f>U10+AB10</f>
        <v>530000</v>
      </c>
      <c r="AD10" s="76">
        <v>0.01</v>
      </c>
      <c r="AE10" s="35">
        <f t="shared" ref="AE10:AE11" si="10">AC10*AD10</f>
        <v>5300</v>
      </c>
      <c r="AF10" s="35">
        <f t="shared" ref="AF10:AF11" si="11">AC10-AE10</f>
        <v>524700</v>
      </c>
      <c r="AG10" s="70"/>
      <c r="AH10" s="73">
        <v>42479</v>
      </c>
      <c r="AI10" s="35">
        <v>500000</v>
      </c>
      <c r="AJ10" s="56">
        <v>0.01</v>
      </c>
      <c r="AK10" s="35">
        <f t="shared" ref="AK10:AK11" si="12">$AI10*AJ10</f>
        <v>5000</v>
      </c>
      <c r="AL10" s="56">
        <v>0.01</v>
      </c>
      <c r="AM10" s="35">
        <f t="shared" ref="AM10:AM11" si="13">$AI10*AL10</f>
        <v>5000</v>
      </c>
      <c r="AN10" s="56">
        <v>0.01</v>
      </c>
      <c r="AO10" s="35">
        <f t="shared" ref="AO10:AO11" si="14">$AI10*AN10</f>
        <v>5000</v>
      </c>
      <c r="AP10" s="35">
        <f t="shared" ref="AP10:AP11" si="15">AK10+AM10+AO10</f>
        <v>15000</v>
      </c>
      <c r="AQ10" s="35">
        <f>AI10+AP10</f>
        <v>515000</v>
      </c>
      <c r="AR10" s="76">
        <v>0.01</v>
      </c>
      <c r="AS10" s="35">
        <f t="shared" ref="AS10:AS11" si="16">AQ10*AR10</f>
        <v>5150</v>
      </c>
      <c r="AT10" s="35">
        <f>AQ10-AS10</f>
        <v>509850</v>
      </c>
      <c r="AU10" s="72"/>
      <c r="AV10" s="36">
        <f>IF(AT10&gt;0,IF(AF10&gt;0,AF10-AT10,R10-AT10),0)</f>
        <v>14850</v>
      </c>
    </row>
    <row r="11" spans="1:48" x14ac:dyDescent="0.25">
      <c r="A11" s="32">
        <f t="shared" ref="A11" si="17">A10+1</f>
        <v>3</v>
      </c>
      <c r="B11" s="32" t="s">
        <v>49</v>
      </c>
      <c r="C11" s="32" t="s">
        <v>45</v>
      </c>
      <c r="D11" s="32" t="s">
        <v>95</v>
      </c>
      <c r="E11" s="86"/>
      <c r="F11" s="46">
        <v>42479</v>
      </c>
      <c r="G11" s="34">
        <v>500000</v>
      </c>
      <c r="H11" s="76">
        <v>0.01</v>
      </c>
      <c r="I11" s="35">
        <f t="shared" si="0"/>
        <v>5000</v>
      </c>
      <c r="J11" s="76">
        <v>0.01</v>
      </c>
      <c r="K11" s="35">
        <f t="shared" si="1"/>
        <v>5000</v>
      </c>
      <c r="L11" s="76">
        <v>0.01</v>
      </c>
      <c r="M11" s="35">
        <f t="shared" si="2"/>
        <v>5000</v>
      </c>
      <c r="N11" s="35">
        <f t="shared" si="3"/>
        <v>15000</v>
      </c>
      <c r="O11" s="35">
        <f>G11+N11</f>
        <v>515000</v>
      </c>
      <c r="P11" s="76">
        <v>0.01</v>
      </c>
      <c r="Q11" s="35">
        <f t="shared" si="4"/>
        <v>5150</v>
      </c>
      <c r="R11" s="35">
        <f t="shared" si="5"/>
        <v>509850</v>
      </c>
      <c r="S11" s="70"/>
      <c r="T11" s="80">
        <v>42509</v>
      </c>
      <c r="U11" s="34">
        <v>500000</v>
      </c>
      <c r="V11" s="60">
        <v>0.02</v>
      </c>
      <c r="W11" s="35">
        <f t="shared" si="6"/>
        <v>10000</v>
      </c>
      <c r="X11" s="60">
        <v>0.02</v>
      </c>
      <c r="Y11" s="35">
        <f t="shared" si="7"/>
        <v>10000</v>
      </c>
      <c r="Z11" s="60">
        <v>0.02</v>
      </c>
      <c r="AA11" s="35">
        <f t="shared" si="8"/>
        <v>10000</v>
      </c>
      <c r="AB11" s="35">
        <f t="shared" si="9"/>
        <v>30000</v>
      </c>
      <c r="AC11" s="35">
        <f>U11+AB11</f>
        <v>530000</v>
      </c>
      <c r="AD11" s="76">
        <v>0.01</v>
      </c>
      <c r="AE11" s="35">
        <f t="shared" si="10"/>
        <v>5300</v>
      </c>
      <c r="AF11" s="35">
        <f t="shared" si="11"/>
        <v>524700</v>
      </c>
      <c r="AG11" s="70"/>
      <c r="AH11" s="73">
        <v>42509</v>
      </c>
      <c r="AI11" s="35">
        <v>500000</v>
      </c>
      <c r="AJ11" s="56">
        <v>0.01</v>
      </c>
      <c r="AK11" s="35">
        <f t="shared" si="12"/>
        <v>5000</v>
      </c>
      <c r="AL11" s="56">
        <v>0.01</v>
      </c>
      <c r="AM11" s="35">
        <f t="shared" si="13"/>
        <v>5000</v>
      </c>
      <c r="AN11" s="56">
        <v>0.01</v>
      </c>
      <c r="AO11" s="35">
        <f t="shared" si="14"/>
        <v>5000</v>
      </c>
      <c r="AP11" s="35">
        <f t="shared" si="15"/>
        <v>15000</v>
      </c>
      <c r="AQ11" s="35">
        <f>AI11+AP11</f>
        <v>515000</v>
      </c>
      <c r="AR11" s="76">
        <v>0.01</v>
      </c>
      <c r="AS11" s="35">
        <f t="shared" si="16"/>
        <v>5150</v>
      </c>
      <c r="AT11" s="35">
        <f t="shared" ref="AT11" si="18">AQ11-AS11</f>
        <v>509850</v>
      </c>
      <c r="AU11" s="72"/>
      <c r="AV11" s="36">
        <f>IF(AT11&gt;0,IF(AF11&gt;0,AF11-AT11,R11-AT11),0)</f>
        <v>14850</v>
      </c>
    </row>
    <row r="12" spans="1:48" s="25" customFormat="1" x14ac:dyDescent="0.25">
      <c r="A12" s="47">
        <v>4</v>
      </c>
      <c r="B12" s="47" t="s">
        <v>54</v>
      </c>
      <c r="C12" s="47"/>
      <c r="D12" s="47"/>
      <c r="E12" s="87"/>
      <c r="F12" s="48"/>
      <c r="G12" s="59">
        <f>SUM(G9:G11)</f>
        <v>2500000</v>
      </c>
      <c r="H12" s="50"/>
      <c r="I12" s="59">
        <f>SUM(I9:I11)</f>
        <v>25000</v>
      </c>
      <c r="J12" s="49"/>
      <c r="K12" s="59">
        <f>SUM(K9:K11)</f>
        <v>25000</v>
      </c>
      <c r="L12" s="49"/>
      <c r="M12" s="59">
        <f>SUM(M9:M11)</f>
        <v>25000</v>
      </c>
      <c r="N12" s="59">
        <f>SUM(N9:N11)</f>
        <v>75000</v>
      </c>
      <c r="O12" s="59">
        <f>SUM(O9:O11)</f>
        <v>2575000</v>
      </c>
      <c r="P12" s="49"/>
      <c r="Q12" s="59">
        <f>SUM(Q9:Q11)</f>
        <v>25750</v>
      </c>
      <c r="R12" s="59">
        <f>SUM(R9:R11)</f>
        <v>2549250</v>
      </c>
      <c r="S12" s="70"/>
      <c r="T12" s="48"/>
      <c r="U12" s="59">
        <f>SUM(U9:U11)</f>
        <v>3200000</v>
      </c>
      <c r="V12" s="74"/>
      <c r="W12" s="59">
        <f>SUM(W9:W11)</f>
        <v>64000</v>
      </c>
      <c r="X12" s="49"/>
      <c r="Y12" s="59">
        <f>SUM(Y9:Y11)</f>
        <v>64000</v>
      </c>
      <c r="Z12" s="49"/>
      <c r="AA12" s="59">
        <f>SUM(AA9:AA11)</f>
        <v>64000</v>
      </c>
      <c r="AB12" s="59">
        <f>SUM(AB9:AB11)</f>
        <v>192000</v>
      </c>
      <c r="AC12" s="59">
        <f>SUM(AC9:AC11)</f>
        <v>3392000</v>
      </c>
      <c r="AD12" s="49"/>
      <c r="AE12" s="59">
        <f>SUM(AE9:AE11)</f>
        <v>33920</v>
      </c>
      <c r="AF12" s="59">
        <f>SUM(AF9:AF11)</f>
        <v>3358080</v>
      </c>
      <c r="AG12" s="70"/>
      <c r="AH12" s="71"/>
      <c r="AI12" s="59">
        <f>SUM(AI9:AI11)</f>
        <v>3200000</v>
      </c>
      <c r="AJ12" s="59"/>
      <c r="AK12" s="59">
        <f>SUM(AK9:AK11)</f>
        <v>32000</v>
      </c>
      <c r="AL12" s="59"/>
      <c r="AM12" s="59">
        <f>SUM(AM9:AM11)</f>
        <v>32000</v>
      </c>
      <c r="AN12" s="59"/>
      <c r="AO12" s="59">
        <f>SUM(AO9:AO11)</f>
        <v>32000</v>
      </c>
      <c r="AP12" s="59">
        <f>SUM(AP9:AP11)</f>
        <v>96000</v>
      </c>
      <c r="AQ12" s="59">
        <f>SUM(AQ9:AQ11)</f>
        <v>3296000</v>
      </c>
      <c r="AR12" s="49"/>
      <c r="AS12" s="59">
        <f>SUM(AS9:AS11)</f>
        <v>32960</v>
      </c>
      <c r="AT12" s="59">
        <f>SUM(AT9:AT11)</f>
        <v>3263040</v>
      </c>
      <c r="AU12" s="72"/>
      <c r="AV12" s="67">
        <f>IF(AQ12&gt;0,O12-AQ12,0)</f>
        <v>-721000</v>
      </c>
    </row>
    <row r="13" spans="1:48" s="25" customFormat="1" x14ac:dyDescent="0.25">
      <c r="A13" s="51" t="s">
        <v>19</v>
      </c>
      <c r="B13" s="52" t="s">
        <v>80</v>
      </c>
      <c r="C13" s="52"/>
      <c r="D13" s="52"/>
      <c r="E13" s="87"/>
      <c r="F13" s="53"/>
      <c r="G13" s="43"/>
      <c r="H13" s="54"/>
      <c r="I13" s="66"/>
      <c r="J13" s="55"/>
      <c r="K13" s="43"/>
      <c r="L13" s="55"/>
      <c r="M13" s="43"/>
      <c r="N13" s="43"/>
      <c r="O13" s="43"/>
      <c r="P13" s="55"/>
      <c r="Q13" s="43"/>
      <c r="R13" s="43"/>
      <c r="S13" s="70"/>
      <c r="T13" s="81"/>
      <c r="U13" s="43"/>
      <c r="V13" s="43"/>
      <c r="W13" s="43"/>
      <c r="X13" s="55"/>
      <c r="Y13" s="43"/>
      <c r="Z13" s="55"/>
      <c r="AA13" s="43"/>
      <c r="AB13" s="43"/>
      <c r="AC13" s="43"/>
      <c r="AD13" s="55"/>
      <c r="AE13" s="43"/>
      <c r="AF13" s="43"/>
      <c r="AG13" s="70"/>
      <c r="AH13" s="75"/>
      <c r="AI13" s="43"/>
      <c r="AJ13" s="43"/>
      <c r="AK13" s="43"/>
      <c r="AL13" s="43"/>
      <c r="AM13" s="43"/>
      <c r="AN13" s="43"/>
      <c r="AO13" s="43"/>
      <c r="AP13" s="43"/>
      <c r="AQ13" s="43"/>
      <c r="AR13" s="55"/>
      <c r="AS13" s="43"/>
      <c r="AT13" s="43"/>
      <c r="AU13" s="72"/>
      <c r="AV13" s="43"/>
    </row>
    <row r="14" spans="1:48" x14ac:dyDescent="0.25">
      <c r="A14" s="32">
        <v>5</v>
      </c>
      <c r="B14" s="32" t="s">
        <v>17</v>
      </c>
      <c r="C14" s="32" t="s">
        <v>5</v>
      </c>
      <c r="D14" s="32" t="s">
        <v>96</v>
      </c>
      <c r="E14" s="86"/>
      <c r="F14" s="46">
        <v>42479</v>
      </c>
      <c r="G14" s="34">
        <v>30000</v>
      </c>
      <c r="H14" s="76">
        <v>0</v>
      </c>
      <c r="I14" s="35">
        <f>$G14*H14</f>
        <v>0</v>
      </c>
      <c r="J14" s="76">
        <v>0.01</v>
      </c>
      <c r="K14" s="35">
        <f>$G14*J14</f>
        <v>300</v>
      </c>
      <c r="L14" s="76">
        <v>0.01</v>
      </c>
      <c r="M14" s="35">
        <f>$G14*L14</f>
        <v>300</v>
      </c>
      <c r="N14" s="35">
        <f>I14+K14+M14</f>
        <v>600</v>
      </c>
      <c r="O14" s="35">
        <f>G14+N14</f>
        <v>30600</v>
      </c>
      <c r="P14" s="76">
        <v>0.01</v>
      </c>
      <c r="Q14" s="35">
        <f t="shared" ref="Q14:Q15" si="19">O14*P14</f>
        <v>306</v>
      </c>
      <c r="R14" s="35">
        <f t="shared" ref="R14:R15" si="20">O14-Q14</f>
        <v>30294</v>
      </c>
      <c r="S14" s="70"/>
      <c r="T14" s="80">
        <v>42494</v>
      </c>
      <c r="U14" s="34">
        <v>30000</v>
      </c>
      <c r="V14" s="60">
        <v>0.02</v>
      </c>
      <c r="W14" s="35">
        <f>$U14*V14</f>
        <v>600</v>
      </c>
      <c r="X14" s="60">
        <v>0.02</v>
      </c>
      <c r="Y14" s="35">
        <f>$U14*X14</f>
        <v>600</v>
      </c>
      <c r="Z14" s="60">
        <v>0.02</v>
      </c>
      <c r="AA14" s="35">
        <f>$U14*Z14</f>
        <v>600</v>
      </c>
      <c r="AB14" s="35">
        <f>W14+Y14+AA14</f>
        <v>1800</v>
      </c>
      <c r="AC14" s="35">
        <f>U14+AB14</f>
        <v>31800</v>
      </c>
      <c r="AD14" s="76">
        <v>0.01</v>
      </c>
      <c r="AE14" s="35">
        <f t="shared" ref="AE14:AE15" si="21">AC14*AD14</f>
        <v>318</v>
      </c>
      <c r="AF14" s="35">
        <f t="shared" ref="AF14:AF15" si="22">AC14-AE14</f>
        <v>31482</v>
      </c>
      <c r="AG14" s="70"/>
      <c r="AH14" s="73">
        <v>42494</v>
      </c>
      <c r="AI14" s="35">
        <v>30000</v>
      </c>
      <c r="AJ14" s="56">
        <v>0.01</v>
      </c>
      <c r="AK14" s="35">
        <f t="shared" ref="AK14:AK15" si="23">$AI14*AJ14</f>
        <v>300</v>
      </c>
      <c r="AL14" s="56">
        <v>0.01</v>
      </c>
      <c r="AM14" s="35">
        <f t="shared" ref="AM14:AO15" si="24">$AI14*AL14</f>
        <v>300</v>
      </c>
      <c r="AN14" s="56">
        <v>0.01</v>
      </c>
      <c r="AO14" s="35">
        <f t="shared" si="24"/>
        <v>300</v>
      </c>
      <c r="AP14" s="35">
        <f>AK14+AM14+AO14</f>
        <v>900</v>
      </c>
      <c r="AQ14" s="35">
        <f>AI14+AP14</f>
        <v>30900</v>
      </c>
      <c r="AR14" s="76">
        <v>0.01</v>
      </c>
      <c r="AS14" s="35">
        <f t="shared" ref="AS14:AS15" si="25">AQ14*AR14</f>
        <v>309</v>
      </c>
      <c r="AT14" s="35">
        <f t="shared" ref="AT14:AT15" si="26">AQ14-AS14</f>
        <v>30591</v>
      </c>
      <c r="AU14" s="72"/>
      <c r="AV14" s="36">
        <f>IF(AT14&gt;0,IF(AF14&gt;0,AF14-AT14,R14-AT14),0)</f>
        <v>891</v>
      </c>
    </row>
    <row r="15" spans="1:48" x14ac:dyDescent="0.25">
      <c r="A15" s="32">
        <f>A14+1</f>
        <v>6</v>
      </c>
      <c r="B15" s="32" t="s">
        <v>50</v>
      </c>
      <c r="C15" s="32" t="s">
        <v>51</v>
      </c>
      <c r="D15" s="32" t="s">
        <v>96</v>
      </c>
      <c r="E15" s="86"/>
      <c r="F15" s="46">
        <v>42479</v>
      </c>
      <c r="G15" s="34">
        <v>30000</v>
      </c>
      <c r="H15" s="76">
        <v>0</v>
      </c>
      <c r="I15" s="35">
        <f t="shared" ref="I15:I22" si="27">$G15*H15</f>
        <v>0</v>
      </c>
      <c r="J15" s="76">
        <v>0.01</v>
      </c>
      <c r="K15" s="35">
        <f t="shared" ref="K15:K22" si="28">$G15*J15</f>
        <v>300</v>
      </c>
      <c r="L15" s="76">
        <v>0.01</v>
      </c>
      <c r="M15" s="35">
        <f t="shared" ref="M15:M22" si="29">$G15*L15</f>
        <v>300</v>
      </c>
      <c r="N15" s="35">
        <f>I15+K15+M15</f>
        <v>600</v>
      </c>
      <c r="O15" s="35">
        <f>G15+N15</f>
        <v>30600</v>
      </c>
      <c r="P15" s="76">
        <v>0.01</v>
      </c>
      <c r="Q15" s="35">
        <f t="shared" si="19"/>
        <v>306</v>
      </c>
      <c r="R15" s="35">
        <f t="shared" si="20"/>
        <v>30294</v>
      </c>
      <c r="S15" s="70"/>
      <c r="T15" s="80">
        <v>42494</v>
      </c>
      <c r="U15" s="34">
        <v>30000</v>
      </c>
      <c r="V15" s="60">
        <v>0.02</v>
      </c>
      <c r="W15" s="35">
        <f t="shared" ref="W15:W22" si="30">$U15*V15</f>
        <v>600</v>
      </c>
      <c r="X15" s="60">
        <v>0.02</v>
      </c>
      <c r="Y15" s="35">
        <f>$U15*X15</f>
        <v>600</v>
      </c>
      <c r="Z15" s="60">
        <v>0.02</v>
      </c>
      <c r="AA15" s="35">
        <f>$U15*Z15</f>
        <v>600</v>
      </c>
      <c r="AB15" s="35">
        <f>W15+Y15+AA15</f>
        <v>1800</v>
      </c>
      <c r="AC15" s="35">
        <f>U15+AB15</f>
        <v>31800</v>
      </c>
      <c r="AD15" s="76">
        <v>0.01</v>
      </c>
      <c r="AE15" s="35">
        <f t="shared" si="21"/>
        <v>318</v>
      </c>
      <c r="AF15" s="35">
        <f t="shared" si="22"/>
        <v>31482</v>
      </c>
      <c r="AG15" s="70"/>
      <c r="AH15" s="73">
        <v>42494</v>
      </c>
      <c r="AI15" s="35">
        <v>30000</v>
      </c>
      <c r="AJ15" s="56">
        <v>0.01</v>
      </c>
      <c r="AK15" s="35">
        <f t="shared" si="23"/>
        <v>300</v>
      </c>
      <c r="AL15" s="56">
        <v>0.01</v>
      </c>
      <c r="AM15" s="35">
        <f t="shared" si="24"/>
        <v>300</v>
      </c>
      <c r="AN15" s="56">
        <v>0.01</v>
      </c>
      <c r="AO15" s="35">
        <f t="shared" si="24"/>
        <v>300</v>
      </c>
      <c r="AP15" s="35">
        <f>AK15+AM15+AO15</f>
        <v>900</v>
      </c>
      <c r="AQ15" s="35">
        <f>AI15+AP15</f>
        <v>30900</v>
      </c>
      <c r="AR15" s="76">
        <v>0.01</v>
      </c>
      <c r="AS15" s="35">
        <f t="shared" si="25"/>
        <v>309</v>
      </c>
      <c r="AT15" s="35">
        <f t="shared" si="26"/>
        <v>30591</v>
      </c>
      <c r="AU15" s="72"/>
      <c r="AV15" s="36">
        <f>IF(AT15&gt;0,IF(AF15&gt;0,AF15-AT15,R15-AT15),0)</f>
        <v>891</v>
      </c>
    </row>
    <row r="16" spans="1:48" x14ac:dyDescent="0.25">
      <c r="A16" s="32">
        <f t="shared" ref="A16:A23" si="31">A15+1</f>
        <v>7</v>
      </c>
      <c r="B16" s="32" t="s">
        <v>31</v>
      </c>
      <c r="C16" s="32"/>
      <c r="D16" s="32"/>
      <c r="E16" s="86"/>
      <c r="F16" s="46">
        <f>MAX(F17:F20)</f>
        <v>42494</v>
      </c>
      <c r="G16" s="35">
        <f>SUM(G17:G20)</f>
        <v>120000</v>
      </c>
      <c r="H16" s="76"/>
      <c r="I16" s="35"/>
      <c r="J16" s="76"/>
      <c r="K16" s="35"/>
      <c r="L16" s="76"/>
      <c r="M16" s="35"/>
      <c r="N16" s="35">
        <f>SUM(N17:N20)</f>
        <v>14400</v>
      </c>
      <c r="O16" s="35">
        <f>SUM(O17:O20)</f>
        <v>134400</v>
      </c>
      <c r="P16" s="34"/>
      <c r="Q16" s="35">
        <f t="shared" ref="Q16:R16" si="32">SUM(Q17:Q20)</f>
        <v>1344</v>
      </c>
      <c r="R16" s="35">
        <f t="shared" si="32"/>
        <v>133056</v>
      </c>
      <c r="S16" s="70"/>
      <c r="T16" s="80">
        <f>MAX(T17:T20)</f>
        <v>42496</v>
      </c>
      <c r="U16" s="35">
        <f>SUM(U17:U20)</f>
        <v>120000</v>
      </c>
      <c r="V16" s="35"/>
      <c r="W16" s="35">
        <f>SUM(W17:W20)</f>
        <v>2400</v>
      </c>
      <c r="X16" s="34"/>
      <c r="Y16" s="35">
        <f t="shared" ref="Y16" si="33">SUM(Y17:Y20)</f>
        <v>0</v>
      </c>
      <c r="Z16" s="34"/>
      <c r="AA16" s="35">
        <f>SUM(AA17:AA20)</f>
        <v>2400</v>
      </c>
      <c r="AB16" s="35">
        <f>SUM(AB17:AB20)</f>
        <v>4800</v>
      </c>
      <c r="AC16" s="35">
        <f>SUM(AC17:AC20)</f>
        <v>124800</v>
      </c>
      <c r="AD16" s="34"/>
      <c r="AE16" s="35">
        <f t="shared" ref="AE16:AF16" si="34">SUM(AE17:AE20)</f>
        <v>1248</v>
      </c>
      <c r="AF16" s="35">
        <f t="shared" si="34"/>
        <v>123552</v>
      </c>
      <c r="AG16" s="70"/>
      <c r="AH16" s="73">
        <f>MAX(AH17:AH20)</f>
        <v>42496</v>
      </c>
      <c r="AI16" s="35">
        <f>SUM(AI17:AI20)</f>
        <v>120000</v>
      </c>
      <c r="AJ16" s="35"/>
      <c r="AK16" s="35">
        <f>SUM(AK17:AK20)</f>
        <v>0</v>
      </c>
      <c r="AL16" s="35"/>
      <c r="AM16" s="35">
        <f>SUM(AM17:AM20)</f>
        <v>1200</v>
      </c>
      <c r="AN16" s="35"/>
      <c r="AO16" s="35">
        <f>SUM(AO17:AO20)</f>
        <v>0</v>
      </c>
      <c r="AP16" s="35">
        <f>SUM(AP17:AP20)</f>
        <v>1200</v>
      </c>
      <c r="AQ16" s="35">
        <f>SUM(AQ17:AQ20)</f>
        <v>121200</v>
      </c>
      <c r="AR16" s="34"/>
      <c r="AS16" s="35">
        <f>SUM(AS17:AS20)</f>
        <v>1212</v>
      </c>
      <c r="AT16" s="35">
        <f>SUM(AT17:AT20)</f>
        <v>119988</v>
      </c>
      <c r="AU16" s="72"/>
      <c r="AV16" s="36">
        <f>IF(AT16&gt;0,IF(AF16&gt;0,AF16-AT16,R16-AT16),0)</f>
        <v>3564</v>
      </c>
    </row>
    <row r="17" spans="1:49" outlineLevel="1" x14ac:dyDescent="0.25">
      <c r="A17" s="32">
        <f t="shared" si="31"/>
        <v>8</v>
      </c>
      <c r="B17" s="7" t="s">
        <v>13</v>
      </c>
      <c r="C17" s="32"/>
      <c r="D17" s="32"/>
      <c r="E17" s="86"/>
      <c r="F17" s="46">
        <v>42494</v>
      </c>
      <c r="G17" s="34">
        <v>30000</v>
      </c>
      <c r="H17" s="60">
        <v>0.1</v>
      </c>
      <c r="I17" s="35">
        <f t="shared" si="27"/>
        <v>3000</v>
      </c>
      <c r="J17" s="76">
        <v>0.01</v>
      </c>
      <c r="K17" s="35">
        <f t="shared" si="28"/>
        <v>300</v>
      </c>
      <c r="L17" s="76">
        <v>0.01</v>
      </c>
      <c r="M17" s="35">
        <f t="shared" si="29"/>
        <v>300</v>
      </c>
      <c r="N17" s="35">
        <f>I17+K17+M17</f>
        <v>3600</v>
      </c>
      <c r="O17" s="35">
        <f>G17+N17</f>
        <v>33600</v>
      </c>
      <c r="P17" s="76">
        <v>0.01</v>
      </c>
      <c r="Q17" s="35">
        <f t="shared" ref="Q17:Q21" si="35">O17*P17</f>
        <v>336</v>
      </c>
      <c r="R17" s="35">
        <f t="shared" ref="R17:R21" si="36">O17-Q17</f>
        <v>33264</v>
      </c>
      <c r="S17" s="70"/>
      <c r="T17" s="80">
        <v>42496</v>
      </c>
      <c r="U17" s="34">
        <v>30000</v>
      </c>
      <c r="V17" s="60">
        <v>0.02</v>
      </c>
      <c r="W17" s="35">
        <f t="shared" si="30"/>
        <v>600</v>
      </c>
      <c r="X17" s="34"/>
      <c r="Y17" s="35"/>
      <c r="Z17" s="60">
        <v>0.02</v>
      </c>
      <c r="AA17" s="35">
        <f>$U17*Z17</f>
        <v>600</v>
      </c>
      <c r="AB17" s="35">
        <f>SUM(W17+Y17+AA17)</f>
        <v>1200</v>
      </c>
      <c r="AC17" s="35">
        <f t="shared" ref="AC17:AC22" si="37">U17+AB17</f>
        <v>31200</v>
      </c>
      <c r="AD17" s="76">
        <v>0.01</v>
      </c>
      <c r="AE17" s="35">
        <f t="shared" ref="AE17:AE22" si="38">AC17*AD17</f>
        <v>312</v>
      </c>
      <c r="AF17" s="35">
        <f t="shared" ref="AF17:AF21" si="39">AC17-AE17</f>
        <v>30888</v>
      </c>
      <c r="AG17" s="70"/>
      <c r="AH17" s="73">
        <v>42496</v>
      </c>
      <c r="AI17" s="35">
        <v>30000</v>
      </c>
      <c r="AJ17" s="35"/>
      <c r="AK17" s="35"/>
      <c r="AL17" s="56">
        <v>0.01</v>
      </c>
      <c r="AM17" s="35">
        <f>$AI17*AL17</f>
        <v>300</v>
      </c>
      <c r="AN17" s="35"/>
      <c r="AO17" s="35">
        <f>$AI17*AN17</f>
        <v>0</v>
      </c>
      <c r="AP17" s="35">
        <f>SUM(AK17+AM17+AO17)</f>
        <v>300</v>
      </c>
      <c r="AQ17" s="35">
        <f t="shared" ref="AQ17:AQ22" si="40">AI17+AP17</f>
        <v>30300</v>
      </c>
      <c r="AR17" s="76">
        <v>0.01</v>
      </c>
      <c r="AS17" s="35">
        <f t="shared" ref="AS17:AS22" si="41">AQ17*AR17</f>
        <v>303</v>
      </c>
      <c r="AT17" s="35">
        <f t="shared" ref="AT17:AT21" si="42">AQ17-AS17</f>
        <v>29997</v>
      </c>
      <c r="AU17" s="72"/>
      <c r="AV17" s="36"/>
    </row>
    <row r="18" spans="1:49" outlineLevel="1" x14ac:dyDescent="0.25">
      <c r="A18" s="32">
        <f t="shared" si="31"/>
        <v>9</v>
      </c>
      <c r="B18" s="7" t="s">
        <v>14</v>
      </c>
      <c r="C18" s="32"/>
      <c r="D18" s="32"/>
      <c r="E18" s="86"/>
      <c r="F18" s="46">
        <v>42494</v>
      </c>
      <c r="G18" s="34">
        <v>30000</v>
      </c>
      <c r="H18" s="60">
        <v>0.1</v>
      </c>
      <c r="I18" s="35">
        <f t="shared" si="27"/>
        <v>3000</v>
      </c>
      <c r="J18" s="76">
        <v>0.01</v>
      </c>
      <c r="K18" s="35">
        <f t="shared" si="28"/>
        <v>300</v>
      </c>
      <c r="L18" s="76">
        <v>0.01</v>
      </c>
      <c r="M18" s="35">
        <f t="shared" si="29"/>
        <v>300</v>
      </c>
      <c r="N18" s="35">
        <f t="shared" ref="N18:N23" si="43">I18+K18+M18</f>
        <v>3600</v>
      </c>
      <c r="O18" s="35">
        <f>G18+N18</f>
        <v>33600</v>
      </c>
      <c r="P18" s="76">
        <v>0.01</v>
      </c>
      <c r="Q18" s="35">
        <f t="shared" si="35"/>
        <v>336</v>
      </c>
      <c r="R18" s="35">
        <f t="shared" si="36"/>
        <v>33264</v>
      </c>
      <c r="S18" s="70"/>
      <c r="T18" s="80">
        <v>42496</v>
      </c>
      <c r="U18" s="34">
        <v>30000</v>
      </c>
      <c r="V18" s="60">
        <v>0.02</v>
      </c>
      <c r="W18" s="35">
        <f t="shared" si="30"/>
        <v>600</v>
      </c>
      <c r="X18" s="34"/>
      <c r="Y18" s="35"/>
      <c r="Z18" s="60">
        <v>0.02</v>
      </c>
      <c r="AA18" s="35">
        <f t="shared" ref="AA18:AA22" si="44">$U18*Z18</f>
        <v>600</v>
      </c>
      <c r="AB18" s="35">
        <f t="shared" ref="AB18:AB22" si="45">SUM(W18+Y18+AA18)</f>
        <v>1200</v>
      </c>
      <c r="AC18" s="35">
        <f t="shared" si="37"/>
        <v>31200</v>
      </c>
      <c r="AD18" s="76">
        <v>0.01</v>
      </c>
      <c r="AE18" s="35">
        <f t="shared" si="38"/>
        <v>312</v>
      </c>
      <c r="AF18" s="35">
        <f t="shared" si="39"/>
        <v>30888</v>
      </c>
      <c r="AG18" s="70"/>
      <c r="AH18" s="73">
        <v>42496</v>
      </c>
      <c r="AI18" s="35">
        <v>30000</v>
      </c>
      <c r="AJ18" s="35"/>
      <c r="AK18" s="35"/>
      <c r="AL18" s="56">
        <v>0.01</v>
      </c>
      <c r="AM18" s="35">
        <f t="shared" ref="AM18:AO22" si="46">$AI18*AL18</f>
        <v>300</v>
      </c>
      <c r="AN18" s="61"/>
      <c r="AO18" s="35">
        <f t="shared" ref="AO18:AO20" si="47">$AI18*AN18</f>
        <v>0</v>
      </c>
      <c r="AP18" s="35">
        <f t="shared" ref="AP18:AP22" si="48">SUM(AK18+AM18+AO18)</f>
        <v>300</v>
      </c>
      <c r="AQ18" s="35">
        <f t="shared" si="40"/>
        <v>30300</v>
      </c>
      <c r="AR18" s="76">
        <v>0.01</v>
      </c>
      <c r="AS18" s="35">
        <f t="shared" si="41"/>
        <v>303</v>
      </c>
      <c r="AT18" s="35">
        <f t="shared" si="42"/>
        <v>29997</v>
      </c>
      <c r="AU18" s="72"/>
      <c r="AV18" s="36"/>
    </row>
    <row r="19" spans="1:49" outlineLevel="1" x14ac:dyDescent="0.25">
      <c r="A19" s="32">
        <f t="shared" si="31"/>
        <v>10</v>
      </c>
      <c r="B19" s="7" t="s">
        <v>15</v>
      </c>
      <c r="C19" s="32"/>
      <c r="D19" s="32"/>
      <c r="E19" s="86"/>
      <c r="F19" s="46">
        <v>42494</v>
      </c>
      <c r="G19" s="34">
        <v>30000</v>
      </c>
      <c r="H19" s="60">
        <v>0.1</v>
      </c>
      <c r="I19" s="35">
        <f t="shared" si="27"/>
        <v>3000</v>
      </c>
      <c r="J19" s="76">
        <v>0.01</v>
      </c>
      <c r="K19" s="35">
        <f t="shared" si="28"/>
        <v>300</v>
      </c>
      <c r="L19" s="76">
        <v>0.01</v>
      </c>
      <c r="M19" s="35">
        <f t="shared" si="29"/>
        <v>300</v>
      </c>
      <c r="N19" s="35">
        <f t="shared" si="43"/>
        <v>3600</v>
      </c>
      <c r="O19" s="35">
        <f>G19+N19</f>
        <v>33600</v>
      </c>
      <c r="P19" s="76">
        <v>0.01</v>
      </c>
      <c r="Q19" s="35">
        <f t="shared" si="35"/>
        <v>336</v>
      </c>
      <c r="R19" s="35">
        <f t="shared" si="36"/>
        <v>33264</v>
      </c>
      <c r="S19" s="70"/>
      <c r="T19" s="80">
        <v>42496</v>
      </c>
      <c r="U19" s="34">
        <v>30000</v>
      </c>
      <c r="V19" s="60">
        <v>0.02</v>
      </c>
      <c r="W19" s="35">
        <f t="shared" si="30"/>
        <v>600</v>
      </c>
      <c r="X19" s="34"/>
      <c r="Y19" s="35"/>
      <c r="Z19" s="60">
        <v>0.02</v>
      </c>
      <c r="AA19" s="35">
        <f t="shared" si="44"/>
        <v>600</v>
      </c>
      <c r="AB19" s="35">
        <f t="shared" si="45"/>
        <v>1200</v>
      </c>
      <c r="AC19" s="35">
        <f t="shared" si="37"/>
        <v>31200</v>
      </c>
      <c r="AD19" s="76">
        <v>0.01</v>
      </c>
      <c r="AE19" s="35">
        <f t="shared" si="38"/>
        <v>312</v>
      </c>
      <c r="AF19" s="35">
        <f t="shared" si="39"/>
        <v>30888</v>
      </c>
      <c r="AG19" s="70"/>
      <c r="AH19" s="73">
        <v>42496</v>
      </c>
      <c r="AI19" s="35">
        <v>30000</v>
      </c>
      <c r="AJ19" s="35"/>
      <c r="AK19" s="35"/>
      <c r="AL19" s="56">
        <v>0.01</v>
      </c>
      <c r="AM19" s="35">
        <f t="shared" si="46"/>
        <v>300</v>
      </c>
      <c r="AN19" s="35"/>
      <c r="AO19" s="35">
        <f t="shared" si="47"/>
        <v>0</v>
      </c>
      <c r="AP19" s="35">
        <f t="shared" si="48"/>
        <v>300</v>
      </c>
      <c r="AQ19" s="35">
        <f t="shared" si="40"/>
        <v>30300</v>
      </c>
      <c r="AR19" s="76">
        <v>0.01</v>
      </c>
      <c r="AS19" s="35">
        <f t="shared" si="41"/>
        <v>303</v>
      </c>
      <c r="AT19" s="35">
        <f t="shared" si="42"/>
        <v>29997</v>
      </c>
      <c r="AU19" s="72"/>
      <c r="AV19" s="35"/>
    </row>
    <row r="20" spans="1:49" outlineLevel="1" x14ac:dyDescent="0.25">
      <c r="A20" s="32">
        <f t="shared" si="31"/>
        <v>11</v>
      </c>
      <c r="B20" s="7" t="s">
        <v>16</v>
      </c>
      <c r="C20" s="32"/>
      <c r="D20" s="32"/>
      <c r="E20" s="86"/>
      <c r="F20" s="46">
        <v>42494</v>
      </c>
      <c r="G20" s="34">
        <v>30000</v>
      </c>
      <c r="H20" s="60">
        <v>0.1</v>
      </c>
      <c r="I20" s="35">
        <f t="shared" si="27"/>
        <v>3000</v>
      </c>
      <c r="J20" s="76">
        <v>0.01</v>
      </c>
      <c r="K20" s="35">
        <f t="shared" si="28"/>
        <v>300</v>
      </c>
      <c r="L20" s="76">
        <v>0.01</v>
      </c>
      <c r="M20" s="35">
        <f t="shared" si="29"/>
        <v>300</v>
      </c>
      <c r="N20" s="35">
        <f t="shared" si="43"/>
        <v>3600</v>
      </c>
      <c r="O20" s="35">
        <f>G20+N20</f>
        <v>33600</v>
      </c>
      <c r="P20" s="76">
        <v>0.01</v>
      </c>
      <c r="Q20" s="35">
        <f t="shared" si="35"/>
        <v>336</v>
      </c>
      <c r="R20" s="35">
        <f t="shared" si="36"/>
        <v>33264</v>
      </c>
      <c r="S20" s="70"/>
      <c r="T20" s="80">
        <v>42496</v>
      </c>
      <c r="U20" s="34">
        <v>30000</v>
      </c>
      <c r="V20" s="60">
        <v>0.02</v>
      </c>
      <c r="W20" s="35">
        <f t="shared" si="30"/>
        <v>600</v>
      </c>
      <c r="X20" s="34"/>
      <c r="Y20" s="35"/>
      <c r="Z20" s="60">
        <v>0.02</v>
      </c>
      <c r="AA20" s="35">
        <f t="shared" si="44"/>
        <v>600</v>
      </c>
      <c r="AB20" s="35">
        <f t="shared" si="45"/>
        <v>1200</v>
      </c>
      <c r="AC20" s="35">
        <f t="shared" si="37"/>
        <v>31200</v>
      </c>
      <c r="AD20" s="76">
        <v>0.01</v>
      </c>
      <c r="AE20" s="35">
        <f t="shared" si="38"/>
        <v>312</v>
      </c>
      <c r="AF20" s="35">
        <f t="shared" si="39"/>
        <v>30888</v>
      </c>
      <c r="AG20" s="70"/>
      <c r="AH20" s="73">
        <v>42496</v>
      </c>
      <c r="AI20" s="35">
        <v>30000</v>
      </c>
      <c r="AJ20" s="35"/>
      <c r="AK20" s="35"/>
      <c r="AL20" s="56">
        <v>0.01</v>
      </c>
      <c r="AM20" s="35">
        <f t="shared" si="46"/>
        <v>300</v>
      </c>
      <c r="AN20" s="35"/>
      <c r="AO20" s="35">
        <f t="shared" si="47"/>
        <v>0</v>
      </c>
      <c r="AP20" s="35">
        <f t="shared" si="48"/>
        <v>300</v>
      </c>
      <c r="AQ20" s="35">
        <f t="shared" si="40"/>
        <v>30300</v>
      </c>
      <c r="AR20" s="76">
        <v>0.01</v>
      </c>
      <c r="AS20" s="35">
        <f t="shared" si="41"/>
        <v>303</v>
      </c>
      <c r="AT20" s="35">
        <f t="shared" si="42"/>
        <v>29997</v>
      </c>
      <c r="AU20" s="72"/>
      <c r="AV20" s="35"/>
    </row>
    <row r="21" spans="1:49" x14ac:dyDescent="0.25">
      <c r="A21" s="32">
        <f t="shared" si="31"/>
        <v>12</v>
      </c>
      <c r="B21" s="32" t="s">
        <v>32</v>
      </c>
      <c r="C21" s="32"/>
      <c r="D21" s="32"/>
      <c r="E21" s="86"/>
      <c r="F21" s="46">
        <v>42494</v>
      </c>
      <c r="G21" s="34">
        <v>30000</v>
      </c>
      <c r="H21" s="60">
        <v>0</v>
      </c>
      <c r="I21" s="35">
        <f t="shared" si="27"/>
        <v>0</v>
      </c>
      <c r="J21" s="76">
        <v>0.01</v>
      </c>
      <c r="K21" s="35">
        <f t="shared" si="28"/>
        <v>300</v>
      </c>
      <c r="L21" s="76">
        <v>0.01</v>
      </c>
      <c r="M21" s="35">
        <f t="shared" si="29"/>
        <v>300</v>
      </c>
      <c r="N21" s="35">
        <f t="shared" si="43"/>
        <v>600</v>
      </c>
      <c r="O21" s="35">
        <f>G21+N21</f>
        <v>30600</v>
      </c>
      <c r="P21" s="76">
        <v>0.01</v>
      </c>
      <c r="Q21" s="35">
        <f t="shared" si="35"/>
        <v>306</v>
      </c>
      <c r="R21" s="35">
        <f t="shared" si="36"/>
        <v>30294</v>
      </c>
      <c r="S21" s="70"/>
      <c r="T21" s="80">
        <v>42496</v>
      </c>
      <c r="U21" s="34">
        <v>30000</v>
      </c>
      <c r="V21" s="60">
        <v>0.02</v>
      </c>
      <c r="W21" s="35">
        <f t="shared" si="30"/>
        <v>600</v>
      </c>
      <c r="X21" s="60">
        <v>0.02</v>
      </c>
      <c r="Y21" s="35">
        <f>$U21*X21</f>
        <v>600</v>
      </c>
      <c r="Z21" s="60">
        <v>0.02</v>
      </c>
      <c r="AA21" s="35">
        <f t="shared" si="44"/>
        <v>600</v>
      </c>
      <c r="AB21" s="35">
        <f t="shared" si="45"/>
        <v>1800</v>
      </c>
      <c r="AC21" s="35">
        <f t="shared" si="37"/>
        <v>31800</v>
      </c>
      <c r="AD21" s="76">
        <v>0.01</v>
      </c>
      <c r="AE21" s="35">
        <f t="shared" si="38"/>
        <v>318</v>
      </c>
      <c r="AF21" s="35">
        <f t="shared" si="39"/>
        <v>31482</v>
      </c>
      <c r="AG21" s="70"/>
      <c r="AH21" s="73">
        <v>42496</v>
      </c>
      <c r="AI21" s="35">
        <v>30000</v>
      </c>
      <c r="AJ21" s="56">
        <v>0.01</v>
      </c>
      <c r="AK21" s="35">
        <f t="shared" ref="AK21:AK22" si="49">$AI21*AJ21</f>
        <v>300</v>
      </c>
      <c r="AL21" s="56">
        <v>0.01</v>
      </c>
      <c r="AM21" s="35">
        <f t="shared" si="46"/>
        <v>300</v>
      </c>
      <c r="AN21" s="56">
        <v>0.01</v>
      </c>
      <c r="AO21" s="35">
        <f t="shared" si="46"/>
        <v>300</v>
      </c>
      <c r="AP21" s="35">
        <f t="shared" si="48"/>
        <v>900</v>
      </c>
      <c r="AQ21" s="35">
        <f t="shared" si="40"/>
        <v>30900</v>
      </c>
      <c r="AR21" s="76">
        <v>0.01</v>
      </c>
      <c r="AS21" s="35">
        <f t="shared" si="41"/>
        <v>309</v>
      </c>
      <c r="AT21" s="35">
        <f t="shared" si="42"/>
        <v>30591</v>
      </c>
      <c r="AU21" s="72"/>
      <c r="AV21" s="35">
        <f>IF(AT22&gt;0,IF(AF22&gt;0,AF22-AT22,R22-AT22),0)</f>
        <v>-19503</v>
      </c>
    </row>
    <row r="22" spans="1:49" x14ac:dyDescent="0.25">
      <c r="A22" s="32">
        <f t="shared" si="31"/>
        <v>13</v>
      </c>
      <c r="B22" s="32" t="s">
        <v>7</v>
      </c>
      <c r="C22" s="32"/>
      <c r="D22" s="32"/>
      <c r="E22" s="86"/>
      <c r="F22" s="46">
        <v>42494</v>
      </c>
      <c r="G22" s="34">
        <v>50000</v>
      </c>
      <c r="H22" s="76">
        <v>0.1</v>
      </c>
      <c r="I22" s="35">
        <f t="shared" si="27"/>
        <v>5000</v>
      </c>
      <c r="J22" s="76">
        <v>0.01</v>
      </c>
      <c r="K22" s="35">
        <f t="shared" si="28"/>
        <v>500</v>
      </c>
      <c r="L22" s="76">
        <v>0.01</v>
      </c>
      <c r="M22" s="35">
        <f t="shared" si="29"/>
        <v>500</v>
      </c>
      <c r="N22" s="35">
        <f t="shared" si="43"/>
        <v>6000</v>
      </c>
      <c r="O22" s="35">
        <f>G22-N22</f>
        <v>44000</v>
      </c>
      <c r="P22" s="76">
        <v>0.01</v>
      </c>
      <c r="Q22" s="35">
        <f t="shared" ref="Q22" si="50">O22*P22</f>
        <v>440</v>
      </c>
      <c r="R22" s="35">
        <f t="shared" ref="R22" si="51">O22-Q22</f>
        <v>43560</v>
      </c>
      <c r="S22" s="70"/>
      <c r="T22" s="80">
        <v>42689</v>
      </c>
      <c r="U22" s="34">
        <v>30000</v>
      </c>
      <c r="V22" s="60">
        <v>0.02</v>
      </c>
      <c r="W22" s="35">
        <f t="shared" si="30"/>
        <v>600</v>
      </c>
      <c r="X22" s="60">
        <v>0.02</v>
      </c>
      <c r="Y22" s="35">
        <f>$U22*X22</f>
        <v>600</v>
      </c>
      <c r="Z22" s="60">
        <v>0.02</v>
      </c>
      <c r="AA22" s="35">
        <f t="shared" si="44"/>
        <v>600</v>
      </c>
      <c r="AB22" s="35">
        <f t="shared" si="45"/>
        <v>1800</v>
      </c>
      <c r="AC22" s="35">
        <f t="shared" si="37"/>
        <v>31800</v>
      </c>
      <c r="AD22" s="76">
        <v>0.01</v>
      </c>
      <c r="AE22" s="35">
        <f t="shared" si="38"/>
        <v>318</v>
      </c>
      <c r="AF22" s="35">
        <f t="shared" ref="AF22" si="52">AC22-AE22</f>
        <v>31482</v>
      </c>
      <c r="AG22" s="70"/>
      <c r="AH22" s="73">
        <v>42689</v>
      </c>
      <c r="AI22" s="35">
        <v>50000</v>
      </c>
      <c r="AJ22" s="56">
        <v>0.01</v>
      </c>
      <c r="AK22" s="35">
        <f t="shared" si="49"/>
        <v>500</v>
      </c>
      <c r="AL22" s="56">
        <v>0.01</v>
      </c>
      <c r="AM22" s="35">
        <f t="shared" si="46"/>
        <v>500</v>
      </c>
      <c r="AN22" s="56">
        <v>0.01</v>
      </c>
      <c r="AO22" s="35">
        <f t="shared" si="46"/>
        <v>500</v>
      </c>
      <c r="AP22" s="35">
        <f t="shared" si="48"/>
        <v>1500</v>
      </c>
      <c r="AQ22" s="35">
        <f t="shared" si="40"/>
        <v>51500</v>
      </c>
      <c r="AR22" s="76">
        <v>0.01</v>
      </c>
      <c r="AS22" s="35">
        <f t="shared" si="41"/>
        <v>515</v>
      </c>
      <c r="AT22" s="35">
        <f t="shared" ref="AT22" si="53">AQ22-AS22</f>
        <v>50985</v>
      </c>
      <c r="AU22" s="72"/>
      <c r="AV22" s="35">
        <f>IF(AT23&gt;0,IF(AF23&gt;0,AF23-AT23,R23-AT23),0)</f>
        <v>-13266</v>
      </c>
    </row>
    <row r="23" spans="1:49" s="25" customFormat="1" x14ac:dyDescent="0.25">
      <c r="A23" s="47">
        <f t="shared" si="31"/>
        <v>14</v>
      </c>
      <c r="B23" s="47" t="s">
        <v>81</v>
      </c>
      <c r="C23" s="47"/>
      <c r="D23" s="47"/>
      <c r="E23" s="87"/>
      <c r="F23" s="48"/>
      <c r="G23" s="59">
        <f>SUM(G14:G16)+G21+G22</f>
        <v>260000</v>
      </c>
      <c r="H23" s="57"/>
      <c r="I23" s="59">
        <f>SUM(I14:I22)</f>
        <v>17000</v>
      </c>
      <c r="J23" s="49"/>
      <c r="K23" s="59">
        <f>SUM(K14:K22)</f>
        <v>2600</v>
      </c>
      <c r="L23" s="49"/>
      <c r="M23" s="59">
        <f>SUM(M14:M22)</f>
        <v>2600</v>
      </c>
      <c r="N23" s="59">
        <f t="shared" si="43"/>
        <v>22200</v>
      </c>
      <c r="O23" s="59">
        <f>SUM(O14:O16)+O21+O22</f>
        <v>270200</v>
      </c>
      <c r="P23" s="49"/>
      <c r="Q23" s="59">
        <f>SUM(Q14:Q16)+Q21+Q22</f>
        <v>2702</v>
      </c>
      <c r="R23" s="59">
        <f>SUM(R14:R16)+R21+R22</f>
        <v>267498</v>
      </c>
      <c r="S23" s="70"/>
      <c r="T23" s="48"/>
      <c r="U23" s="59">
        <f>SUM(U14:U16)+U21+U22</f>
        <v>240000</v>
      </c>
      <c r="V23" s="59"/>
      <c r="W23" s="59">
        <f>SUM(W14:W16)+W21+W22</f>
        <v>4800</v>
      </c>
      <c r="X23" s="49"/>
      <c r="Y23" s="59">
        <f>SUM(Y14:Y16)+Y21+Y22</f>
        <v>2400</v>
      </c>
      <c r="Z23" s="49"/>
      <c r="AA23" s="59">
        <f>SUM(AA14:AA16)+AA21+AA22</f>
        <v>4800</v>
      </c>
      <c r="AB23" s="59">
        <f>W23+Y23+AA23</f>
        <v>12000</v>
      </c>
      <c r="AC23" s="59">
        <f>SUM(AC14:AC16)+AC21+AC22</f>
        <v>252000</v>
      </c>
      <c r="AD23" s="49"/>
      <c r="AE23" s="59">
        <f>SUM(AE14:AE16)+AE21+AE22</f>
        <v>2520</v>
      </c>
      <c r="AF23" s="59">
        <f>SUM(AF14:AF16)+AF21+AF22</f>
        <v>249480</v>
      </c>
      <c r="AG23" s="70"/>
      <c r="AH23" s="71"/>
      <c r="AI23" s="59">
        <f>SUM(AI14:AI16)+AI21+AI22</f>
        <v>260000</v>
      </c>
      <c r="AJ23" s="59"/>
      <c r="AK23" s="59">
        <f>SUM(AK14:AK16)+AK21+AK22</f>
        <v>1400</v>
      </c>
      <c r="AL23" s="59"/>
      <c r="AM23" s="59">
        <f>SUM(AM14:AM16)+AM21+AM22</f>
        <v>2600</v>
      </c>
      <c r="AN23" s="59"/>
      <c r="AO23" s="59">
        <f>SUM(AO14:AO16)+AO21+AO22</f>
        <v>1400</v>
      </c>
      <c r="AP23" s="59">
        <f>SUM(AP14:AP16)+AP21+AP22</f>
        <v>5400</v>
      </c>
      <c r="AQ23" s="59">
        <f>SUM(AQ14:AQ16)+AQ21+AQ22</f>
        <v>265400</v>
      </c>
      <c r="AR23" s="49"/>
      <c r="AS23" s="59">
        <f>SUM(AS14:AS16)+AS21+AS22</f>
        <v>2654</v>
      </c>
      <c r="AT23" s="59">
        <f>SUM(AT14:AT16)+AT21+AT22</f>
        <v>262746</v>
      </c>
      <c r="AU23" s="72"/>
      <c r="AV23" s="59">
        <f>IF(AT23&gt;0,IF(AF23&gt;0,AF23-AT23,R23-AT23),0)</f>
        <v>-13266</v>
      </c>
    </row>
    <row r="24" spans="1:49" s="12" customFormat="1" ht="12.75" customHeight="1" x14ac:dyDescent="0.25">
      <c r="A24" s="39" t="s">
        <v>20</v>
      </c>
      <c r="B24" s="40" t="s">
        <v>98</v>
      </c>
      <c r="C24" s="40"/>
      <c r="D24" s="40"/>
      <c r="E24" s="88"/>
      <c r="F24" s="58"/>
      <c r="G24" s="43"/>
      <c r="H24" s="77"/>
      <c r="I24" s="66"/>
      <c r="J24" s="55"/>
      <c r="K24" s="43"/>
      <c r="L24" s="55"/>
      <c r="M24" s="43"/>
      <c r="N24" s="33"/>
      <c r="O24" s="33"/>
      <c r="P24" s="55"/>
      <c r="Q24" s="33"/>
      <c r="R24" s="33"/>
      <c r="S24" s="38"/>
      <c r="T24" s="81"/>
      <c r="U24" s="33"/>
      <c r="V24" s="33"/>
      <c r="W24" s="33"/>
      <c r="X24" s="55"/>
      <c r="Y24" s="33"/>
      <c r="Z24" s="55"/>
      <c r="AA24" s="33"/>
      <c r="AB24" s="33"/>
      <c r="AC24" s="33"/>
      <c r="AD24" s="55"/>
      <c r="AE24" s="33"/>
      <c r="AF24" s="33"/>
      <c r="AG24" s="38"/>
      <c r="AH24" s="42"/>
      <c r="AI24" s="43"/>
      <c r="AJ24" s="43"/>
      <c r="AK24" s="43"/>
      <c r="AL24" s="43"/>
      <c r="AM24" s="43"/>
      <c r="AN24" s="43"/>
      <c r="AO24" s="43"/>
      <c r="AP24" s="33"/>
      <c r="AQ24" s="33"/>
      <c r="AR24" s="55"/>
      <c r="AS24" s="33"/>
      <c r="AT24" s="33"/>
      <c r="AU24" s="45"/>
      <c r="AV24" s="33"/>
    </row>
    <row r="25" spans="1:49" x14ac:dyDescent="0.25">
      <c r="A25" s="64">
        <f>A23+1</f>
        <v>15</v>
      </c>
      <c r="B25" s="64" t="s">
        <v>82</v>
      </c>
      <c r="C25" s="64"/>
      <c r="D25" s="64" t="s">
        <v>97</v>
      </c>
      <c r="E25" s="86"/>
      <c r="F25" s="65"/>
      <c r="G25" s="82">
        <v>300000</v>
      </c>
      <c r="H25" s="83">
        <v>0.1</v>
      </c>
      <c r="I25" s="59">
        <f t="shared" ref="I25" si="54">$G25*H25</f>
        <v>30000</v>
      </c>
      <c r="J25" s="50">
        <v>0.01</v>
      </c>
      <c r="K25" s="59">
        <f t="shared" ref="K25" si="55">$G25*J25</f>
        <v>3000</v>
      </c>
      <c r="L25" s="50">
        <v>0.01</v>
      </c>
      <c r="M25" s="59">
        <f t="shared" ref="M25" si="56">$G25*L25</f>
        <v>3000</v>
      </c>
      <c r="N25" s="59">
        <f t="shared" ref="N25" si="57">I25+K25+M25</f>
        <v>36000</v>
      </c>
      <c r="O25" s="59">
        <f>G25-N25</f>
        <v>264000</v>
      </c>
      <c r="P25" s="50">
        <v>0.01</v>
      </c>
      <c r="Q25" s="59">
        <f t="shared" ref="Q25" si="58">O25*P25</f>
        <v>2640</v>
      </c>
      <c r="R25" s="59">
        <f t="shared" ref="R25" si="59">O25-Q25</f>
        <v>261360</v>
      </c>
      <c r="S25" s="84"/>
      <c r="T25" s="48">
        <v>42689</v>
      </c>
      <c r="U25" s="49">
        <v>30000</v>
      </c>
      <c r="V25" s="57">
        <v>0.02</v>
      </c>
      <c r="W25" s="59">
        <f t="shared" ref="W25" si="60">$U25*V25</f>
        <v>600</v>
      </c>
      <c r="X25" s="57">
        <v>0.02</v>
      </c>
      <c r="Y25" s="59">
        <f>$U25*X25</f>
        <v>600</v>
      </c>
      <c r="Z25" s="57">
        <v>0.02</v>
      </c>
      <c r="AA25" s="59">
        <f t="shared" ref="AA25" si="61">$U25*Z25</f>
        <v>600</v>
      </c>
      <c r="AB25" s="59">
        <f t="shared" ref="AB25" si="62">SUM(W25+Y25+AA25)</f>
        <v>1800</v>
      </c>
      <c r="AC25" s="59">
        <f t="shared" ref="AC25" si="63">U25+AB25</f>
        <v>31800</v>
      </c>
      <c r="AD25" s="50">
        <v>0.01</v>
      </c>
      <c r="AE25" s="59">
        <f t="shared" ref="AE25" si="64">AC25*AD25</f>
        <v>318</v>
      </c>
      <c r="AF25" s="59">
        <f t="shared" ref="AF25" si="65">AC25-AE25</f>
        <v>31482</v>
      </c>
      <c r="AG25" s="84"/>
      <c r="AH25" s="71">
        <v>42689</v>
      </c>
      <c r="AI25" s="59">
        <v>50000</v>
      </c>
      <c r="AJ25" s="68">
        <v>0.01</v>
      </c>
      <c r="AK25" s="59">
        <f t="shared" ref="AK25" si="66">$AI25*AJ25</f>
        <v>500</v>
      </c>
      <c r="AL25" s="68">
        <v>0.01</v>
      </c>
      <c r="AM25" s="59">
        <f t="shared" ref="AM25" si="67">$AI25*AL25</f>
        <v>500</v>
      </c>
      <c r="AN25" s="68">
        <v>0.01</v>
      </c>
      <c r="AO25" s="59">
        <f t="shared" ref="AO25" si="68">$AI25*AN25</f>
        <v>500</v>
      </c>
      <c r="AP25" s="59">
        <f t="shared" ref="AP25" si="69">SUM(AK25+AM25+AO25)</f>
        <v>1500</v>
      </c>
      <c r="AQ25" s="59">
        <f t="shared" ref="AQ25" si="70">AI25+AP25</f>
        <v>51500</v>
      </c>
      <c r="AR25" s="50">
        <v>0.01</v>
      </c>
      <c r="AS25" s="59">
        <f t="shared" ref="AS25" si="71">AQ25*AR25</f>
        <v>515</v>
      </c>
      <c r="AT25" s="59">
        <f t="shared" ref="AT25" si="72">AQ25-AS25</f>
        <v>50985</v>
      </c>
      <c r="AU25" s="72"/>
      <c r="AV25" s="59">
        <f>IF(AQ25&gt;0,O25-AQ25,0)</f>
        <v>212500</v>
      </c>
    </row>
    <row r="26" spans="1:49" customFormat="1" x14ac:dyDescent="0.25">
      <c r="E26" s="89"/>
      <c r="G26" s="9"/>
      <c r="I26" s="9"/>
      <c r="K26" s="9"/>
      <c r="L26" s="78"/>
      <c r="M26" s="9"/>
      <c r="N26" s="9"/>
      <c r="O26" s="9"/>
      <c r="P26" s="78"/>
      <c r="Q26" s="9"/>
      <c r="R26" s="9"/>
      <c r="S26" s="38"/>
      <c r="T26" s="78"/>
      <c r="U26" s="9"/>
      <c r="W26" s="9"/>
      <c r="X26" s="78"/>
      <c r="Y26" s="9"/>
      <c r="Z26" s="78"/>
      <c r="AA26" s="9"/>
      <c r="AB26" s="9"/>
      <c r="AC26" s="9"/>
      <c r="AD26" s="78"/>
      <c r="AE26" s="9"/>
      <c r="AF26" s="9"/>
      <c r="AG26" s="38"/>
      <c r="AP26" s="9"/>
      <c r="AQ26" s="9"/>
      <c r="AR26" s="78"/>
      <c r="AS26" s="9"/>
      <c r="AT26" s="9"/>
      <c r="AU26" s="45"/>
      <c r="AV26" s="9"/>
    </row>
    <row r="27" spans="1:49" x14ac:dyDescent="0.25">
      <c r="A27" s="47">
        <f>A25+1</f>
        <v>16</v>
      </c>
      <c r="B27" s="47" t="s">
        <v>57</v>
      </c>
      <c r="C27" s="47"/>
      <c r="D27" s="47"/>
      <c r="E27" s="87"/>
      <c r="F27" s="48"/>
      <c r="G27" s="59">
        <f>G12-G23+G25</f>
        <v>2540000</v>
      </c>
      <c r="H27" s="68"/>
      <c r="I27" s="59">
        <f>I12+I23</f>
        <v>42000</v>
      </c>
      <c r="J27" s="69"/>
      <c r="K27" s="59">
        <f>K12+K23</f>
        <v>27600</v>
      </c>
      <c r="L27" s="62"/>
      <c r="M27" s="59">
        <f>M12+M23</f>
        <v>27600</v>
      </c>
      <c r="N27" s="59">
        <f>N12-N23</f>
        <v>52800</v>
      </c>
      <c r="O27" s="59">
        <f>O12-O23</f>
        <v>2304800</v>
      </c>
      <c r="P27" s="49"/>
      <c r="Q27" s="59">
        <f>Q12-Q23</f>
        <v>23048</v>
      </c>
      <c r="R27" s="59">
        <f>R12-R23</f>
        <v>2281752</v>
      </c>
      <c r="S27" s="70"/>
      <c r="T27" s="48"/>
      <c r="U27" s="59">
        <f>U12-U23</f>
        <v>2960000</v>
      </c>
      <c r="V27" s="59"/>
      <c r="W27" s="59">
        <f>SUM(W12+W23)</f>
        <v>68800</v>
      </c>
      <c r="X27" s="49"/>
      <c r="Y27" s="59">
        <f>SUM(Y12+Y23)</f>
        <v>66400</v>
      </c>
      <c r="Z27" s="49"/>
      <c r="AA27" s="59">
        <f>SUM(AA12+AA23)</f>
        <v>68800</v>
      </c>
      <c r="AB27" s="59">
        <f>AB12-AB23</f>
        <v>180000</v>
      </c>
      <c r="AC27" s="59">
        <f>AC12-AC23</f>
        <v>3140000</v>
      </c>
      <c r="AD27" s="49"/>
      <c r="AE27" s="59">
        <f>AE12-AE23</f>
        <v>31400</v>
      </c>
      <c r="AF27" s="59">
        <f>AF12-AF23</f>
        <v>3108600</v>
      </c>
      <c r="AG27" s="70"/>
      <c r="AH27" s="71"/>
      <c r="AI27" s="59">
        <f>AI12-AI23</f>
        <v>2940000</v>
      </c>
      <c r="AJ27" s="59"/>
      <c r="AK27" s="59">
        <f>SUM(AK12+AK23)</f>
        <v>33400</v>
      </c>
      <c r="AL27" s="59"/>
      <c r="AM27" s="59">
        <f>SUM(AM12+AM23)</f>
        <v>34600</v>
      </c>
      <c r="AN27" s="59"/>
      <c r="AO27" s="59">
        <f>SUM(AO12+AO23)</f>
        <v>33400</v>
      </c>
      <c r="AP27" s="59">
        <f>AP12-AP23</f>
        <v>90600</v>
      </c>
      <c r="AQ27" s="59">
        <f>AQ12-AQ23</f>
        <v>3030600</v>
      </c>
      <c r="AR27" s="49"/>
      <c r="AS27" s="59">
        <f>AS12-AS23</f>
        <v>30306</v>
      </c>
      <c r="AT27" s="59">
        <f>AT12-AT23</f>
        <v>3000294</v>
      </c>
      <c r="AU27" s="72"/>
      <c r="AV27" s="59">
        <f>IF(AQ27&gt;0,O27-AQ27,0)</f>
        <v>-725800</v>
      </c>
      <c r="AW27" s="25"/>
    </row>
    <row r="28" spans="1:49" x14ac:dyDescent="0.25">
      <c r="L28" s="79"/>
      <c r="P28" s="79"/>
      <c r="T28" s="79"/>
      <c r="X28" s="79"/>
      <c r="Z28" s="79"/>
    </row>
    <row r="29" spans="1:49" x14ac:dyDescent="0.25">
      <c r="P29" s="79"/>
      <c r="T29" s="79"/>
      <c r="X29" s="79"/>
      <c r="Y29" s="63"/>
      <c r="Z29" s="79"/>
    </row>
    <row r="30" spans="1:49" x14ac:dyDescent="0.25">
      <c r="P30" s="79"/>
      <c r="T30" s="79"/>
      <c r="X30" s="79"/>
      <c r="Z30" s="79"/>
    </row>
    <row r="31" spans="1:49" x14ac:dyDescent="0.25">
      <c r="P31" s="79"/>
      <c r="T31" s="79"/>
      <c r="X31" s="79"/>
      <c r="Z31" s="79"/>
    </row>
    <row r="32" spans="1:49" x14ac:dyDescent="0.25">
      <c r="T32" s="79"/>
      <c r="X32" s="79"/>
      <c r="Z32" s="79"/>
    </row>
    <row r="33" spans="20:26" x14ac:dyDescent="0.25">
      <c r="T33" s="79"/>
      <c r="X33" s="79"/>
      <c r="Z33" s="79"/>
    </row>
    <row r="34" spans="20:26" x14ac:dyDescent="0.25">
      <c r="T34" s="79"/>
      <c r="X34" s="79"/>
    </row>
    <row r="35" spans="20:26" x14ac:dyDescent="0.25">
      <c r="T35" s="79"/>
      <c r="X35" s="79"/>
    </row>
    <row r="36" spans="20:26" x14ac:dyDescent="0.25">
      <c r="T36" s="79"/>
      <c r="X36" s="79"/>
    </row>
  </sheetData>
  <mergeCells count="2">
    <mergeCell ref="AG6:AQ6"/>
    <mergeCell ref="B2:C2"/>
  </mergeCells>
  <pageMargins left="0.7" right="0.7" top="0.75" bottom="0.75" header="0.3" footer="0.3"/>
  <pageSetup paperSize="9" orientation="portrait" horizontalDpi="4294967293" r:id="rId1"/>
  <ignoredErrors>
    <ignoredError sqref="N24:R24 O18:R21 P23 T23 G17:G21 F16:G16 G24 H16:H21 H23:H24 J16:J21 J23:J24 AH16:AI16 L16:L21 L23:L24 O17:R17 T24 T18:T21 T17" formulaRange="1"/>
    <ignoredError sqref="AE16:AF16 W16 AA16:AC16" formula="1"/>
    <ignoredError sqref="AS16:AT16 N16:R16 T16:U16 AP16:AQ16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5" x14ac:dyDescent="0.25"/>
  <cols>
    <col min="1" max="1" width="36" style="6" bestFit="1" customWidth="1"/>
    <col min="2" max="6" width="16.28515625" style="8" customWidth="1"/>
    <col min="7" max="7" width="11.7109375" style="8" bestFit="1" customWidth="1"/>
    <col min="8" max="8" width="11.5703125" style="8" bestFit="1" customWidth="1"/>
    <col min="9" max="9" width="12.28515625" style="8" bestFit="1" customWidth="1"/>
    <col min="10" max="10" width="11.5703125" style="8" bestFit="1" customWidth="1"/>
    <col min="11" max="11" width="11" style="8" bestFit="1" customWidth="1"/>
    <col min="12" max="16384" width="9.140625" style="8"/>
  </cols>
  <sheetData>
    <row r="1" spans="1:13" x14ac:dyDescent="0.25">
      <c r="A1" s="14" t="s">
        <v>4</v>
      </c>
      <c r="B1" s="8" t="s">
        <v>22</v>
      </c>
    </row>
    <row r="3" spans="1:13" ht="30" x14ac:dyDescent="0.25">
      <c r="A3" s="14" t="s">
        <v>8</v>
      </c>
      <c r="B3" s="13" t="s">
        <v>59</v>
      </c>
      <c r="C3" s="13" t="s">
        <v>60</v>
      </c>
      <c r="D3" s="13" t="s">
        <v>61</v>
      </c>
      <c r="E3" s="13" t="s">
        <v>62</v>
      </c>
      <c r="F3" s="13" t="s">
        <v>63</v>
      </c>
      <c r="G3"/>
      <c r="H3"/>
      <c r="I3"/>
      <c r="J3"/>
      <c r="K3"/>
      <c r="L3" s="13"/>
      <c r="M3" s="13"/>
    </row>
    <row r="4" spans="1:13" x14ac:dyDescent="0.25">
      <c r="A4" s="26" t="s">
        <v>44</v>
      </c>
      <c r="B4" s="27"/>
      <c r="C4" s="27"/>
      <c r="D4" s="27"/>
      <c r="E4" s="27"/>
      <c r="F4" s="27"/>
      <c r="G4"/>
      <c r="H4"/>
      <c r="I4"/>
      <c r="J4"/>
      <c r="K4"/>
    </row>
    <row r="5" spans="1:13" x14ac:dyDescent="0.25">
      <c r="A5" s="6" t="s">
        <v>49</v>
      </c>
      <c r="B5" s="15">
        <v>4250000</v>
      </c>
      <c r="C5" s="15">
        <v>4207500</v>
      </c>
      <c r="D5" s="15">
        <v>4450000</v>
      </c>
      <c r="E5" s="15">
        <v>4405500</v>
      </c>
      <c r="F5" s="15">
        <v>-198000</v>
      </c>
      <c r="G5"/>
      <c r="H5"/>
      <c r="I5"/>
      <c r="J5"/>
      <c r="K5"/>
    </row>
    <row r="6" spans="1:13" x14ac:dyDescent="0.25">
      <c r="A6" s="6" t="s">
        <v>46</v>
      </c>
      <c r="B6" s="15">
        <v>250000</v>
      </c>
      <c r="C6" s="15">
        <v>247500</v>
      </c>
      <c r="D6" s="15">
        <v>250000</v>
      </c>
      <c r="E6" s="15">
        <v>247500</v>
      </c>
      <c r="F6" s="15">
        <v>0</v>
      </c>
      <c r="G6"/>
      <c r="H6"/>
      <c r="I6"/>
      <c r="J6"/>
      <c r="K6"/>
    </row>
    <row r="7" spans="1:13" x14ac:dyDescent="0.25">
      <c r="A7" s="6" t="s">
        <v>47</v>
      </c>
      <c r="B7" s="15">
        <v>500000</v>
      </c>
      <c r="C7" s="15">
        <v>495000</v>
      </c>
      <c r="D7" s="15">
        <v>300000</v>
      </c>
      <c r="E7" s="15">
        <v>297000</v>
      </c>
      <c r="F7" s="15">
        <v>198000</v>
      </c>
      <c r="G7"/>
      <c r="H7"/>
      <c r="I7"/>
      <c r="J7"/>
      <c r="K7"/>
    </row>
    <row r="8" spans="1:13" x14ac:dyDescent="0.25">
      <c r="A8" s="28" t="s">
        <v>48</v>
      </c>
      <c r="B8" s="29">
        <v>5000000</v>
      </c>
      <c r="C8" s="29">
        <v>4950000</v>
      </c>
      <c r="D8" s="29">
        <v>5000000</v>
      </c>
      <c r="E8" s="29">
        <v>4950000</v>
      </c>
      <c r="F8" s="29">
        <v>0</v>
      </c>
      <c r="G8"/>
      <c r="H8"/>
      <c r="I8"/>
      <c r="J8"/>
      <c r="K8"/>
    </row>
    <row r="9" spans="1:13" x14ac:dyDescent="0.25">
      <c r="A9" s="26" t="s">
        <v>52</v>
      </c>
      <c r="B9" s="27"/>
      <c r="C9" s="27"/>
      <c r="D9" s="27"/>
      <c r="E9" s="27"/>
      <c r="F9" s="27"/>
      <c r="G9"/>
      <c r="H9"/>
      <c r="I9"/>
      <c r="J9"/>
      <c r="K9"/>
    </row>
    <row r="10" spans="1:13" x14ac:dyDescent="0.25">
      <c r="A10" s="6" t="s">
        <v>17</v>
      </c>
      <c r="B10" s="15">
        <v>30000</v>
      </c>
      <c r="C10" s="15">
        <v>30000</v>
      </c>
      <c r="D10" s="15">
        <v>30000</v>
      </c>
      <c r="E10" s="15">
        <v>30000</v>
      </c>
      <c r="F10" s="15">
        <v>0</v>
      </c>
      <c r="G10"/>
      <c r="H10"/>
      <c r="I10"/>
      <c r="J10"/>
      <c r="K10"/>
    </row>
    <row r="11" spans="1:13" x14ac:dyDescent="0.25">
      <c r="A11" s="6" t="s">
        <v>50</v>
      </c>
      <c r="B11" s="15">
        <v>30000</v>
      </c>
      <c r="C11" s="15">
        <v>30000</v>
      </c>
      <c r="D11" s="15">
        <v>30000</v>
      </c>
      <c r="E11" s="15">
        <v>30000</v>
      </c>
      <c r="F11" s="15">
        <v>0</v>
      </c>
      <c r="G11"/>
      <c r="H11"/>
      <c r="I11"/>
      <c r="J11"/>
      <c r="K11"/>
    </row>
    <row r="12" spans="1:13" x14ac:dyDescent="0.25">
      <c r="A12" s="6" t="s">
        <v>31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/>
      <c r="H12"/>
      <c r="I12"/>
      <c r="J12"/>
      <c r="K12"/>
    </row>
    <row r="13" spans="1:13" x14ac:dyDescent="0.25">
      <c r="A13" s="6" t="s">
        <v>32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/>
      <c r="H13"/>
      <c r="I13"/>
      <c r="J13"/>
      <c r="K13"/>
    </row>
    <row r="14" spans="1:13" x14ac:dyDescent="0.25">
      <c r="A14" s="6" t="s">
        <v>55</v>
      </c>
      <c r="B14" s="15">
        <v>60000</v>
      </c>
      <c r="C14" s="15">
        <v>60000</v>
      </c>
      <c r="D14" s="15">
        <v>60000</v>
      </c>
      <c r="E14" s="15">
        <v>60000</v>
      </c>
      <c r="F14" s="15">
        <v>0</v>
      </c>
      <c r="G14"/>
      <c r="H14"/>
      <c r="I14"/>
      <c r="J14"/>
      <c r="K14"/>
    </row>
    <row r="15" spans="1:13" x14ac:dyDescent="0.25">
      <c r="A15" s="28" t="s">
        <v>54</v>
      </c>
      <c r="B15" s="29">
        <v>4940000</v>
      </c>
      <c r="C15" s="29">
        <v>4890000</v>
      </c>
      <c r="D15" s="29">
        <v>4940000</v>
      </c>
      <c r="E15" s="29">
        <v>4890000</v>
      </c>
      <c r="F15" s="29">
        <v>0</v>
      </c>
      <c r="G15"/>
      <c r="H15"/>
      <c r="I15"/>
      <c r="J15"/>
      <c r="K15"/>
    </row>
    <row r="16" spans="1:13" x14ac:dyDescent="0.25">
      <c r="A16" s="26" t="s">
        <v>53</v>
      </c>
      <c r="B16" s="27"/>
      <c r="C16" s="27"/>
      <c r="D16" s="27"/>
      <c r="E16" s="27"/>
      <c r="F16" s="27"/>
      <c r="G16"/>
      <c r="H16"/>
      <c r="I16"/>
      <c r="J16"/>
      <c r="K16"/>
    </row>
    <row r="17" spans="1:11" x14ac:dyDescent="0.25">
      <c r="A17" s="6" t="s">
        <v>7</v>
      </c>
      <c r="B17" s="15">
        <v>50000</v>
      </c>
      <c r="C17" s="15">
        <v>45000</v>
      </c>
      <c r="D17" s="15">
        <v>50000</v>
      </c>
      <c r="E17" s="15">
        <v>45000</v>
      </c>
      <c r="F17" s="15">
        <v>0</v>
      </c>
      <c r="G17"/>
      <c r="H17"/>
      <c r="I17"/>
      <c r="J17"/>
      <c r="K17"/>
    </row>
    <row r="18" spans="1:11" x14ac:dyDescent="0.25">
      <c r="A18" s="6" t="s">
        <v>21</v>
      </c>
      <c r="B18" s="15">
        <v>2175</v>
      </c>
      <c r="C18" s="15">
        <v>2175</v>
      </c>
      <c r="D18" s="15">
        <v>30000</v>
      </c>
      <c r="E18" s="15">
        <v>30000</v>
      </c>
      <c r="F18" s="15">
        <v>-27825</v>
      </c>
      <c r="G18"/>
      <c r="H18"/>
      <c r="I18"/>
      <c r="J18"/>
      <c r="K18"/>
    </row>
    <row r="19" spans="1:11" x14ac:dyDescent="0.25">
      <c r="A19" s="6" t="s">
        <v>33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</row>
    <row r="20" spans="1:11" x14ac:dyDescent="0.25">
      <c r="A20" s="6" t="s">
        <v>34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</row>
    <row r="21" spans="1:11" x14ac:dyDescent="0.25">
      <c r="A21" s="6" t="s">
        <v>56</v>
      </c>
      <c r="B21" s="15">
        <v>52175</v>
      </c>
      <c r="C21" s="15">
        <v>47175</v>
      </c>
      <c r="D21" s="15">
        <v>80000</v>
      </c>
      <c r="E21" s="15">
        <v>75000</v>
      </c>
      <c r="F21" s="15">
        <v>-27825</v>
      </c>
    </row>
    <row r="22" spans="1:11" x14ac:dyDescent="0.25">
      <c r="A22" s="28" t="s">
        <v>57</v>
      </c>
      <c r="B22" s="29">
        <v>4887825</v>
      </c>
      <c r="C22" s="29">
        <v>4842825</v>
      </c>
      <c r="D22" s="29">
        <v>4860000</v>
      </c>
      <c r="E22" s="29">
        <v>4815000</v>
      </c>
      <c r="F22" s="29">
        <v>27825</v>
      </c>
    </row>
    <row r="23" spans="1:11" hidden="1" x14ac:dyDescent="0.25">
      <c r="A23" s="6" t="s">
        <v>9</v>
      </c>
      <c r="B23" s="15">
        <v>20052175</v>
      </c>
      <c r="C23" s="15">
        <v>19847175</v>
      </c>
      <c r="D23" s="15">
        <v>20080000</v>
      </c>
      <c r="E23" s="15">
        <v>19875000</v>
      </c>
      <c r="F23" s="15">
        <v>-27825</v>
      </c>
    </row>
    <row r="24" spans="1:11" x14ac:dyDescent="0.25">
      <c r="A24"/>
      <c r="B24"/>
      <c r="C24"/>
      <c r="D24"/>
      <c r="E24"/>
      <c r="F24"/>
    </row>
    <row r="25" spans="1:11" x14ac:dyDescent="0.25">
      <c r="A25"/>
      <c r="B25"/>
      <c r="C25"/>
      <c r="D25"/>
      <c r="E25"/>
      <c r="F25"/>
    </row>
    <row r="26" spans="1:11" x14ac:dyDescent="0.25">
      <c r="A26"/>
      <c r="B26"/>
      <c r="C26"/>
      <c r="D26"/>
      <c r="E26"/>
      <c r="F26"/>
    </row>
    <row r="27" spans="1:11" x14ac:dyDescent="0.25">
      <c r="A27"/>
      <c r="B27"/>
      <c r="C27"/>
      <c r="D27"/>
      <c r="E27"/>
      <c r="F27"/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showGridLines="0" workbookViewId="0">
      <selection activeCell="B16" sqref="B16"/>
    </sheetView>
  </sheetViews>
  <sheetFormatPr defaultRowHeight="15" x14ac:dyDescent="0.25"/>
  <cols>
    <col min="1" max="1" width="32.5703125" customWidth="1"/>
    <col min="2" max="4" width="12.42578125" customWidth="1"/>
  </cols>
  <sheetData>
    <row r="2" spans="1:5" x14ac:dyDescent="0.25">
      <c r="A2" s="16" t="s">
        <v>25</v>
      </c>
      <c r="B2" s="20"/>
      <c r="C2" s="20"/>
      <c r="D2" s="20"/>
    </row>
    <row r="3" spans="1:5" x14ac:dyDescent="0.25">
      <c r="A3" s="16" t="s">
        <v>36</v>
      </c>
      <c r="B3" s="23" t="s">
        <v>26</v>
      </c>
      <c r="C3" s="23" t="s">
        <v>27</v>
      </c>
      <c r="D3" s="23" t="s">
        <v>28</v>
      </c>
    </row>
    <row r="4" spans="1:5" x14ac:dyDescent="0.25">
      <c r="A4" s="18" t="s">
        <v>39</v>
      </c>
      <c r="B4" s="19">
        <v>1000</v>
      </c>
      <c r="C4" s="19">
        <v>1000</v>
      </c>
      <c r="D4" s="19">
        <v>1000</v>
      </c>
      <c r="E4" s="9"/>
    </row>
    <row r="5" spans="1:5" x14ac:dyDescent="0.25">
      <c r="A5" s="18" t="s">
        <v>38</v>
      </c>
      <c r="B5" s="19">
        <v>5000</v>
      </c>
      <c r="C5" s="19">
        <v>5000</v>
      </c>
      <c r="D5" s="19">
        <v>5000</v>
      </c>
      <c r="E5" s="9"/>
    </row>
    <row r="6" spans="1:5" x14ac:dyDescent="0.25">
      <c r="A6" s="18" t="s">
        <v>40</v>
      </c>
      <c r="B6" s="19">
        <f>B4*B5</f>
        <v>5000000</v>
      </c>
      <c r="C6" s="19">
        <f t="shared" ref="C6:D6" si="0">C4*C5</f>
        <v>5000000</v>
      </c>
      <c r="D6" s="19">
        <f t="shared" si="0"/>
        <v>5000000</v>
      </c>
      <c r="E6" s="9"/>
    </row>
    <row r="7" spans="1:5" x14ac:dyDescent="0.25">
      <c r="A7" s="21" t="s">
        <v>35</v>
      </c>
      <c r="B7" s="22">
        <f>B6-B8</f>
        <v>2500000</v>
      </c>
      <c r="C7" s="22" t="e">
        <f>C6-C8</f>
        <v>#REF!</v>
      </c>
      <c r="D7" s="22">
        <f>D6-D8</f>
        <v>1800000</v>
      </c>
      <c r="E7" s="9"/>
    </row>
    <row r="8" spans="1:5" x14ac:dyDescent="0.25">
      <c r="A8" t="s">
        <v>24</v>
      </c>
      <c r="B8" s="9">
        <f>SUM('Sales Details'!G9:G11)</f>
        <v>2500000</v>
      </c>
      <c r="C8" s="9" t="e">
        <f>SUM('Sales Details'!#REF!)</f>
        <v>#REF!</v>
      </c>
      <c r="D8" s="9">
        <f>SUM('Sales Details'!AI9:AI11)</f>
        <v>3200000</v>
      </c>
      <c r="E8" s="9"/>
    </row>
    <row r="9" spans="1:5" x14ac:dyDescent="0.25">
      <c r="A9" t="s">
        <v>31</v>
      </c>
      <c r="B9" s="9">
        <f>'Sales Details'!G16</f>
        <v>120000</v>
      </c>
      <c r="C9" s="9" t="e">
        <f>'Sales Details'!#REF!</f>
        <v>#REF!</v>
      </c>
      <c r="D9" s="9">
        <f>'Sales Details'!AI16</f>
        <v>120000</v>
      </c>
      <c r="E9" s="9"/>
    </row>
    <row r="10" spans="1:5" x14ac:dyDescent="0.25">
      <c r="A10" t="s">
        <v>29</v>
      </c>
      <c r="B10" s="9" t="e">
        <f>'Sales Details'!#REF!</f>
        <v>#REF!</v>
      </c>
      <c r="C10" s="9" t="e">
        <f>'Sales Details'!#REF!</f>
        <v>#REF!</v>
      </c>
      <c r="D10" s="9" t="e">
        <f>'Sales Details'!#REF!</f>
        <v>#REF!</v>
      </c>
      <c r="E10" s="9"/>
    </row>
    <row r="11" spans="1:5" x14ac:dyDescent="0.25">
      <c r="A11" t="s">
        <v>6</v>
      </c>
      <c r="B11" s="9" t="e">
        <f>'Sales Details'!#REF!</f>
        <v>#REF!</v>
      </c>
      <c r="C11" s="9" t="e">
        <f>'Sales Details'!#REF!</f>
        <v>#REF!</v>
      </c>
      <c r="D11" s="9" t="e">
        <f>'Sales Details'!#REF!</f>
        <v>#REF!</v>
      </c>
      <c r="E11" s="9"/>
    </row>
    <row r="12" spans="1:5" x14ac:dyDescent="0.25">
      <c r="A12" t="s">
        <v>17</v>
      </c>
      <c r="B12" s="9">
        <f>'Sales Details'!G14</f>
        <v>30000</v>
      </c>
      <c r="C12" s="9" t="e">
        <f>'Sales Details'!#REF!</f>
        <v>#REF!</v>
      </c>
      <c r="D12" s="9">
        <f>'Sales Details'!AI14</f>
        <v>30000</v>
      </c>
      <c r="E12" s="9"/>
    </row>
    <row r="13" spans="1:5" x14ac:dyDescent="0.25">
      <c r="A13" t="s">
        <v>37</v>
      </c>
      <c r="B13" s="9" t="e">
        <f>SUM('Sales Details'!#REF!)+'Sales Details'!G21</f>
        <v>#REF!</v>
      </c>
      <c r="C13" s="9" t="e">
        <f>SUM('Sales Details'!#REF!)+'Sales Details'!#REF!</f>
        <v>#REF!</v>
      </c>
      <c r="D13" s="9" t="e">
        <f>SUM('Sales Details'!#REF!)+'Sales Details'!AI21</f>
        <v>#REF!</v>
      </c>
      <c r="E13" s="9"/>
    </row>
    <row r="14" spans="1:5" x14ac:dyDescent="0.25">
      <c r="A14" s="10" t="s">
        <v>43</v>
      </c>
      <c r="B14" s="11" t="e">
        <f>SUM(B8:B13)</f>
        <v>#REF!</v>
      </c>
      <c r="C14" s="11" t="e">
        <f t="shared" ref="C14:D14" si="1">SUM(C8:C13)</f>
        <v>#REF!</v>
      </c>
      <c r="D14" s="11" t="e">
        <f t="shared" si="1"/>
        <v>#REF!</v>
      </c>
      <c r="E14" s="9"/>
    </row>
    <row r="15" spans="1:5" x14ac:dyDescent="0.25">
      <c r="A15" s="21" t="s">
        <v>35</v>
      </c>
      <c r="B15" s="22" t="e">
        <f>B14-GETPIVOTDATA("Sum of Projected",Summary!$A$3,"Type","Cost")</f>
        <v>#REF!</v>
      </c>
      <c r="C15" s="22" t="e">
        <f>C14-GETPIVOTDATA("Sum of Revised Amount ",Summary!$A$3,"Type","Cost")</f>
        <v>#REF!</v>
      </c>
      <c r="D15" s="22" t="e">
        <f>D14-GETPIVOTDATA("Sum of Actual Amount ",Summary!$A$3,"Type","Cost")</f>
        <v>#REF!</v>
      </c>
      <c r="E15" s="9"/>
    </row>
    <row r="16" spans="1:5" x14ac:dyDescent="0.25">
      <c r="A16" t="s">
        <v>41</v>
      </c>
      <c r="B16" s="9" t="e">
        <f>'Sales Details'!G22+'Sales Details'!#REF!</f>
        <v>#REF!</v>
      </c>
      <c r="C16" s="9" t="e">
        <f>'Sales Details'!#REF!+'Sales Details'!#REF!</f>
        <v>#REF!</v>
      </c>
      <c r="D16" s="9" t="e">
        <f>'Sales Details'!AI22+'Sales Details'!#REF!</f>
        <v>#REF!</v>
      </c>
      <c r="E16" s="9"/>
    </row>
    <row r="17" spans="1:5" x14ac:dyDescent="0.25">
      <c r="A17" t="s">
        <v>42</v>
      </c>
      <c r="B17" s="9" t="e">
        <f>'Sales Details'!#REF!+'Sales Details'!#REF!</f>
        <v>#REF!</v>
      </c>
      <c r="C17" s="9" t="e">
        <f>'Sales Details'!#REF!+'Sales Details'!#REF!</f>
        <v>#REF!</v>
      </c>
      <c r="D17" s="9" t="e">
        <f>'Sales Details'!#REF!+'Sales Details'!#REF!</f>
        <v>#REF!</v>
      </c>
      <c r="E17" s="9"/>
    </row>
    <row r="18" spans="1:5" x14ac:dyDescent="0.25">
      <c r="A18" s="16" t="s">
        <v>30</v>
      </c>
      <c r="B18" s="17" t="e">
        <f>B14+B16+B17</f>
        <v>#REF!</v>
      </c>
      <c r="C18" s="17" t="e">
        <f t="shared" ref="C18:D18" si="2">C14+C16+C17</f>
        <v>#REF!</v>
      </c>
      <c r="D18" s="17" t="e">
        <f t="shared" si="2"/>
        <v>#REF!</v>
      </c>
      <c r="E18" s="9"/>
    </row>
    <row r="19" spans="1:5" x14ac:dyDescent="0.25">
      <c r="B1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Details</vt:lpstr>
      <vt:lpstr>Summary</vt:lpstr>
      <vt:lpstr>Summary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Garodia</dc:creator>
  <cp:lastModifiedBy>rishits</cp:lastModifiedBy>
  <dcterms:created xsi:type="dcterms:W3CDTF">2016-02-19T07:57:28Z</dcterms:created>
  <dcterms:modified xsi:type="dcterms:W3CDTF">2017-01-12T08:11:09Z</dcterms:modified>
</cp:coreProperties>
</file>