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mills-my.sharepoint.com/personal/prasad_maharana_genmills_com/Documents/Desktop/upc_mapping/UPC_mapping/"/>
    </mc:Choice>
  </mc:AlternateContent>
  <xr:revisionPtr revIDLastSave="74" documentId="8_{99E2D8BD-0945-43CB-995C-4E731783DBE0}" xr6:coauthVersionLast="47" xr6:coauthVersionMax="47" xr10:uidLastSave="{559F70F3-4DC6-4312-9218-C3980A4E6A54}"/>
  <bookViews>
    <workbookView xWindow="-108" yWindow="-108" windowWidth="23256" windowHeight="12576" xr2:uid="{173DD829-122D-425E-A9C5-B468AE632D2B}"/>
  </bookViews>
  <sheets>
    <sheet name="Sheet1" sheetId="1" r:id="rId1"/>
    <sheet name="test" sheetId="2" r:id="rId2"/>
  </sheets>
  <definedNames>
    <definedName name="_xlnm._FilterDatabase" localSheetId="0" hidden="1">Sheet1!$A$1:$H$2486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3" i="1" l="1"/>
  <c r="F2445" i="1"/>
  <c r="F1109" i="1"/>
  <c r="F1566" i="1"/>
  <c r="F1115" i="1"/>
  <c r="F774" i="1"/>
  <c r="F1841" i="1"/>
  <c r="F2193" i="1"/>
  <c r="F1734" i="1"/>
  <c r="F1475" i="1"/>
  <c r="F1310" i="1"/>
  <c r="F349" i="1"/>
  <c r="F87" i="1"/>
  <c r="F609" i="1"/>
  <c r="F29" i="1"/>
  <c r="F666" i="1"/>
  <c r="F550" i="1"/>
  <c r="F414" i="1"/>
  <c r="F584" i="1"/>
  <c r="F420" i="1"/>
  <c r="F167" i="1"/>
  <c r="F109" i="1"/>
  <c r="F1863" i="1"/>
  <c r="F440" i="1"/>
  <c r="F1335" i="1"/>
  <c r="F878" i="1"/>
  <c r="F1065" i="1"/>
  <c r="F455" i="1"/>
  <c r="F825" i="1"/>
  <c r="F698" i="1"/>
  <c r="F659" i="1"/>
  <c r="F126" i="1"/>
  <c r="F1810" i="1"/>
  <c r="F472" i="1"/>
  <c r="F2246" i="1"/>
  <c r="F688" i="1"/>
  <c r="F1509" i="1"/>
  <c r="F894" i="1"/>
  <c r="F799" i="1"/>
  <c r="F416" i="1"/>
  <c r="F509" i="1"/>
  <c r="F629" i="1"/>
  <c r="F2058" i="1"/>
  <c r="F177" i="1"/>
  <c r="F1312" i="1"/>
  <c r="F900" i="1"/>
  <c r="F610" i="1"/>
  <c r="F886" i="1"/>
  <c r="F590" i="1"/>
  <c r="F1211" i="1"/>
  <c r="F1246" i="1"/>
  <c r="F892" i="1"/>
  <c r="F2311" i="1"/>
  <c r="F527" i="1"/>
  <c r="F2202" i="1"/>
  <c r="F2025" i="1"/>
  <c r="F467" i="1"/>
  <c r="F937" i="1"/>
  <c r="F849" i="1"/>
  <c r="F1353" i="1"/>
  <c r="F1216" i="1"/>
  <c r="F1301" i="1"/>
  <c r="F478" i="1"/>
  <c r="F1899" i="1"/>
  <c r="F2031" i="1"/>
  <c r="F1193" i="1"/>
  <c r="F184" i="1"/>
  <c r="F289" i="1"/>
  <c r="F779" i="1"/>
  <c r="F533" i="1"/>
  <c r="F827" i="1"/>
  <c r="F1586" i="1"/>
  <c r="F1254" i="1"/>
  <c r="F2278" i="1"/>
  <c r="F2344" i="1"/>
  <c r="F2368" i="1"/>
  <c r="F1362" i="1"/>
  <c r="F2209" i="1"/>
  <c r="F2458" i="1"/>
  <c r="F1882" i="1"/>
  <c r="F1070" i="1"/>
  <c r="F482" i="1"/>
  <c r="F1431" i="1"/>
  <c r="F594" i="1"/>
  <c r="F2138" i="1"/>
  <c r="F1120" i="1"/>
  <c r="F1322" i="1"/>
  <c r="F1722" i="1"/>
  <c r="F1104" i="1"/>
  <c r="F1152" i="1"/>
  <c r="F1739" i="1"/>
  <c r="F973" i="1"/>
  <c r="F277" i="1"/>
  <c r="F441" i="1"/>
  <c r="F290" i="1"/>
  <c r="F2057" i="1"/>
  <c r="F700" i="1"/>
  <c r="F188" i="1"/>
  <c r="F362" i="1"/>
  <c r="F195" i="1"/>
  <c r="F755" i="1"/>
  <c r="F19" i="1"/>
  <c r="F224" i="1"/>
  <c r="F896" i="1"/>
  <c r="F176" i="1"/>
  <c r="F340" i="1"/>
  <c r="F581" i="1"/>
  <c r="F425" i="1"/>
  <c r="F149" i="1"/>
  <c r="F324" i="1"/>
  <c r="F129" i="1"/>
  <c r="F645" i="1"/>
  <c r="F531" i="1"/>
  <c r="F125" i="1"/>
  <c r="F1987" i="1"/>
  <c r="F297" i="1"/>
  <c r="F241" i="1"/>
  <c r="F438" i="1"/>
  <c r="F519" i="1"/>
  <c r="F292" i="1"/>
  <c r="F2279" i="1"/>
  <c r="F914" i="1"/>
  <c r="F388" i="1"/>
  <c r="F203" i="1"/>
  <c r="F512" i="1"/>
  <c r="F574" i="1"/>
  <c r="F90" i="1"/>
  <c r="F59" i="1"/>
  <c r="F1900" i="1"/>
  <c r="F1009" i="1"/>
  <c r="F994" i="1"/>
  <c r="F219" i="1"/>
  <c r="F582" i="1"/>
  <c r="F2419" i="1"/>
  <c r="F350" i="1"/>
  <c r="F237" i="1"/>
  <c r="F189" i="1"/>
  <c r="F796" i="1"/>
  <c r="F2479" i="1"/>
  <c r="F2147" i="1"/>
  <c r="F2183" i="1"/>
  <c r="F829" i="1"/>
  <c r="F585" i="1"/>
  <c r="F536" i="1"/>
  <c r="F97" i="1"/>
  <c r="F61" i="1"/>
  <c r="F2184" i="1"/>
  <c r="F856" i="1"/>
  <c r="F216" i="1"/>
  <c r="F82" i="1"/>
  <c r="F2376" i="1"/>
  <c r="F1974" i="1"/>
  <c r="F2354" i="1"/>
  <c r="F351" i="1"/>
  <c r="F456" i="1"/>
  <c r="F685" i="1"/>
  <c r="F1249" i="1"/>
  <c r="F2441" i="1"/>
  <c r="F86" i="1"/>
  <c r="F2330" i="1"/>
  <c r="F136" i="1"/>
  <c r="F2426" i="1"/>
  <c r="F2123" i="1"/>
  <c r="F658" i="1"/>
  <c r="F2315" i="1"/>
  <c r="F2339" i="1"/>
  <c r="F1895" i="1"/>
  <c r="F1855" i="1"/>
  <c r="F2044" i="1"/>
  <c r="F1968" i="1"/>
  <c r="F2253" i="1"/>
  <c r="F2387" i="1"/>
  <c r="F428" i="1"/>
  <c r="F458" i="1"/>
  <c r="F1856" i="1"/>
  <c r="F1897" i="1"/>
  <c r="F1937" i="1"/>
  <c r="F2049" i="1"/>
  <c r="F1585" i="1"/>
  <c r="F980" i="1"/>
  <c r="F2414" i="1"/>
  <c r="F230" i="1"/>
  <c r="F850" i="1"/>
  <c r="F870" i="1"/>
  <c r="F628" i="1"/>
  <c r="F738" i="1"/>
  <c r="F1825" i="1"/>
  <c r="F298" i="1"/>
  <c r="F778" i="1"/>
  <c r="F2002" i="1"/>
  <c r="F1220" i="1"/>
  <c r="F1097" i="1"/>
  <c r="F2189" i="1"/>
  <c r="F2422" i="1"/>
  <c r="F679" i="1"/>
  <c r="F583" i="1"/>
  <c r="F209" i="1"/>
  <c r="F499" i="1"/>
  <c r="F113" i="1"/>
  <c r="F884" i="1"/>
  <c r="F2280" i="1"/>
  <c r="F2417" i="1"/>
  <c r="F1188" i="1"/>
  <c r="F857" i="1"/>
  <c r="F333" i="1"/>
  <c r="F76" i="1"/>
  <c r="F462" i="1"/>
  <c r="F1244" i="1"/>
  <c r="F1441" i="1"/>
  <c r="F642" i="1"/>
  <c r="F1059" i="1"/>
  <c r="F1194" i="1"/>
  <c r="F250" i="1"/>
  <c r="F1073" i="1"/>
  <c r="F1547" i="1"/>
  <c r="F1447" i="1"/>
  <c r="F2011" i="1"/>
  <c r="F1210" i="1"/>
  <c r="F733" i="1"/>
  <c r="F1479" i="1"/>
  <c r="F678" i="1"/>
  <c r="F1005" i="1"/>
  <c r="F2085" i="1"/>
  <c r="F1938" i="1"/>
  <c r="F2220" i="1"/>
  <c r="F343" i="1"/>
  <c r="F2012" i="1"/>
  <c r="F1563" i="1"/>
  <c r="F2306" i="1"/>
  <c r="F1962" i="1"/>
  <c r="F1361" i="1"/>
  <c r="F1766" i="1"/>
  <c r="F1359" i="1"/>
  <c r="F1972" i="1"/>
  <c r="F1593" i="1"/>
  <c r="F2029" i="1"/>
  <c r="F2421" i="1"/>
  <c r="F2142" i="1"/>
  <c r="F1836" i="1"/>
  <c r="F1055" i="1"/>
  <c r="F231" i="1"/>
  <c r="F1452" i="1"/>
  <c r="F2030" i="1"/>
  <c r="F226" i="1"/>
  <c r="F553" i="1"/>
  <c r="F145" i="1"/>
  <c r="F1633" i="1"/>
  <c r="F164" i="1"/>
  <c r="F1842" i="1"/>
  <c r="F2018" i="1"/>
  <c r="F1461" i="1"/>
  <c r="F1971" i="1"/>
  <c r="F2165" i="1"/>
  <c r="F2086" i="1"/>
  <c r="F1559" i="1"/>
  <c r="F1936" i="1"/>
  <c r="F516" i="1"/>
  <c r="F1299" i="1"/>
  <c r="F636" i="1"/>
  <c r="F680" i="1"/>
  <c r="F404" i="1"/>
  <c r="F134" i="1"/>
  <c r="F554" i="1"/>
  <c r="F559" i="1"/>
  <c r="F267" i="1"/>
  <c r="F75" i="1"/>
  <c r="F1153" i="1"/>
  <c r="F520" i="1"/>
  <c r="F2378" i="1"/>
  <c r="F2090" i="1"/>
  <c r="F1867" i="1"/>
  <c r="F2173" i="1"/>
  <c r="F1446" i="1"/>
  <c r="F1008" i="1"/>
  <c r="F2307" i="1"/>
  <c r="F2218" i="1"/>
  <c r="F429" i="1"/>
  <c r="F1331" i="1"/>
  <c r="F683" i="1"/>
  <c r="F2236" i="1"/>
  <c r="F1887" i="1"/>
  <c r="F1875" i="1"/>
  <c r="F2034" i="1"/>
  <c r="F1670" i="1"/>
  <c r="F1735" i="1"/>
  <c r="F561" i="1"/>
  <c r="F384" i="1"/>
  <c r="F132" i="1"/>
  <c r="F2369" i="1"/>
  <c r="F2069" i="1"/>
  <c r="F959" i="1"/>
  <c r="F251" i="1"/>
  <c r="F1997" i="1"/>
  <c r="F787" i="1"/>
  <c r="F1950" i="1"/>
  <c r="F723" i="1"/>
  <c r="F1659" i="1"/>
  <c r="F974" i="1"/>
  <c r="F2433" i="1"/>
  <c r="F726" i="1"/>
  <c r="F969" i="1"/>
  <c r="F1356" i="1"/>
  <c r="F355" i="1"/>
  <c r="F1449" i="1"/>
  <c r="F908" i="1"/>
  <c r="F2367" i="1"/>
  <c r="F276" i="1"/>
  <c r="F1687" i="1"/>
  <c r="F868" i="1"/>
  <c r="F987" i="1"/>
  <c r="F1342" i="1"/>
  <c r="F1519" i="1"/>
  <c r="F1789" i="1"/>
  <c r="F2099" i="1"/>
  <c r="F1290" i="1"/>
  <c r="F2319" i="1"/>
  <c r="F2110" i="1"/>
  <c r="F1258" i="1"/>
  <c r="F979" i="1"/>
  <c r="F2355" i="1"/>
  <c r="F1781" i="1"/>
  <c r="F1743" i="1"/>
  <c r="F1821" i="1"/>
  <c r="F2070" i="1"/>
  <c r="F795" i="1"/>
  <c r="F1952" i="1"/>
  <c r="F2077" i="1"/>
  <c r="F1190" i="1"/>
  <c r="F1572" i="1"/>
  <c r="F2056" i="1"/>
  <c r="F1302" i="1"/>
  <c r="F1859" i="1"/>
  <c r="F1573" i="1"/>
  <c r="F1881" i="1"/>
  <c r="F1917" i="1"/>
  <c r="F1437" i="1"/>
  <c r="F961" i="1"/>
  <c r="F1061" i="1"/>
  <c r="F2471" i="1"/>
  <c r="F1205" i="1"/>
  <c r="F1712" i="1"/>
  <c r="F1762" i="1"/>
  <c r="F1248" i="1"/>
  <c r="F1679" i="1"/>
  <c r="F1521" i="1"/>
  <c r="F1285" i="1"/>
  <c r="F1545" i="1"/>
  <c r="F2408" i="1"/>
  <c r="F575" i="1"/>
  <c r="F2185" i="1"/>
  <c r="F989" i="1"/>
  <c r="F1732" i="1"/>
  <c r="F1902" i="1"/>
  <c r="F191" i="1"/>
  <c r="F322" i="1"/>
  <c r="F789" i="1"/>
  <c r="F693" i="1"/>
  <c r="F356" i="1"/>
  <c r="F494" i="1"/>
  <c r="F759" i="1"/>
  <c r="F750" i="1"/>
  <c r="F802" i="1"/>
  <c r="F2432" i="1"/>
  <c r="F2211" i="1"/>
  <c r="F754" i="1"/>
  <c r="F1111" i="1"/>
  <c r="F1052" i="1"/>
  <c r="F13" i="1"/>
  <c r="F1946" i="1"/>
  <c r="F131" i="1"/>
  <c r="F1870" i="1"/>
  <c r="F2409" i="1"/>
  <c r="F22" i="1"/>
  <c r="F1303" i="1"/>
  <c r="F863" i="1"/>
  <c r="F1524" i="1"/>
  <c r="F248" i="1"/>
  <c r="F2187" i="1"/>
  <c r="F1406" i="1"/>
  <c r="F168" i="1"/>
  <c r="F42" i="1"/>
  <c r="F771" i="1"/>
  <c r="F334" i="1"/>
  <c r="F538" i="1"/>
  <c r="F2423" i="1"/>
  <c r="F597" i="1"/>
  <c r="F613" i="1"/>
  <c r="F2390" i="1"/>
  <c r="F2252" i="1"/>
  <c r="F2483" i="1"/>
  <c r="F2221" i="1"/>
  <c r="F735" i="1"/>
  <c r="F751" i="1"/>
  <c r="F2009" i="1"/>
  <c r="F2102" i="1"/>
  <c r="F275" i="1"/>
  <c r="F338" i="1"/>
  <c r="F2268" i="1"/>
  <c r="F621" i="1"/>
  <c r="F2391" i="1"/>
  <c r="F606" i="1"/>
  <c r="F2427" i="1"/>
  <c r="F392" i="1"/>
  <c r="F2373" i="1"/>
  <c r="F151" i="1"/>
  <c r="F558" i="1"/>
  <c r="F792" i="1"/>
  <c r="F1183" i="1"/>
  <c r="F2410" i="1"/>
  <c r="F2270" i="1"/>
  <c r="F2466" i="1"/>
  <c r="F504" i="1"/>
  <c r="F147" i="1"/>
  <c r="F620" i="1"/>
  <c r="F1058" i="1"/>
  <c r="F2179" i="1"/>
  <c r="F1263" i="1"/>
  <c r="F52" i="1"/>
  <c r="F938" i="1"/>
  <c r="F8" i="1"/>
  <c r="F2127" i="1"/>
  <c r="F31" i="1"/>
  <c r="F6" i="1"/>
  <c r="F2109" i="1"/>
  <c r="F51" i="1"/>
  <c r="F48" i="1"/>
  <c r="F1623" i="1"/>
  <c r="F50" i="1"/>
  <c r="F2469" i="1"/>
  <c r="F2388" i="1"/>
  <c r="F2411" i="1"/>
  <c r="F939" i="1"/>
  <c r="F437" i="1"/>
  <c r="F1634" i="1"/>
  <c r="F770" i="1"/>
  <c r="F709" i="1"/>
  <c r="F2234" i="1"/>
  <c r="F2272" i="1"/>
  <c r="F1990" i="1"/>
  <c r="F2342" i="1"/>
  <c r="F967" i="1"/>
  <c r="F898" i="1"/>
  <c r="F2146" i="1"/>
  <c r="F1939" i="1"/>
  <c r="F758" i="1"/>
  <c r="F577" i="1"/>
  <c r="F162" i="1"/>
  <c r="F117" i="1"/>
  <c r="F513" i="1"/>
  <c r="F537" i="1"/>
  <c r="F485" i="1"/>
  <c r="F398" i="1"/>
  <c r="F217" i="1"/>
  <c r="F834" i="1"/>
  <c r="F260" i="1"/>
  <c r="F2196" i="1"/>
  <c r="F784" i="1"/>
  <c r="F173" i="1"/>
  <c r="F255" i="1"/>
  <c r="F2424" i="1"/>
  <c r="F481" i="1"/>
  <c r="F180" i="1"/>
  <c r="F1222" i="1"/>
  <c r="F2277" i="1"/>
  <c r="F1277" i="1"/>
  <c r="F601" i="1"/>
  <c r="F357" i="1"/>
  <c r="F1182" i="1"/>
  <c r="F711" i="1"/>
  <c r="F596" i="1"/>
  <c r="F707" i="1"/>
  <c r="F1240" i="1"/>
  <c r="F2261" i="1"/>
  <c r="F2482" i="1"/>
  <c r="F2289" i="1"/>
  <c r="F25" i="1"/>
  <c r="F1874" i="1"/>
  <c r="F1930" i="1"/>
  <c r="F1746" i="1"/>
  <c r="F269" i="1"/>
  <c r="F448" i="1"/>
  <c r="F689" i="1"/>
  <c r="F212" i="1"/>
  <c r="F2229" i="1"/>
  <c r="F2447" i="1"/>
  <c r="F2303" i="1"/>
  <c r="F2128" i="1"/>
  <c r="F1321" i="1"/>
  <c r="F2395" i="1"/>
  <c r="F264" i="1"/>
  <c r="F2380" i="1"/>
  <c r="F454" i="1"/>
  <c r="F2425" i="1"/>
  <c r="F394" i="1"/>
  <c r="F5" i="1"/>
  <c r="F18" i="1"/>
  <c r="F4" i="1"/>
  <c r="F2132" i="1"/>
  <c r="F1976" i="1"/>
  <c r="F2328" i="1"/>
  <c r="F41" i="1"/>
  <c r="F2370" i="1"/>
  <c r="F102" i="1"/>
  <c r="F2412" i="1"/>
  <c r="F2312" i="1"/>
  <c r="F423" i="1"/>
  <c r="F70" i="1"/>
  <c r="F865" i="1"/>
  <c r="F2456" i="1"/>
  <c r="F1300" i="1"/>
  <c r="F96" i="1"/>
  <c r="F1908" i="1"/>
  <c r="F657" i="1"/>
  <c r="F776" i="1"/>
  <c r="F473" i="1"/>
  <c r="F205" i="1"/>
  <c r="F2197" i="1"/>
  <c r="F2053" i="1"/>
  <c r="F1684" i="1"/>
  <c r="F2176" i="1"/>
  <c r="F854" i="1"/>
  <c r="F897" i="1"/>
  <c r="F976" i="1"/>
  <c r="F2333" i="1"/>
  <c r="F1196" i="1"/>
  <c r="F128" i="1"/>
  <c r="F23" i="1"/>
  <c r="F2149" i="1"/>
  <c r="F79" i="1"/>
  <c r="F2233" i="1"/>
  <c r="F2076" i="1"/>
  <c r="F2413" i="1"/>
  <c r="F137" i="1"/>
  <c r="F2366" i="1"/>
  <c r="F206" i="1"/>
  <c r="F1168" i="1"/>
  <c r="F651" i="1"/>
  <c r="F228" i="1"/>
  <c r="F915" i="1"/>
  <c r="F706" i="1"/>
  <c r="F2251" i="1"/>
  <c r="F1688" i="1"/>
  <c r="F2155" i="1"/>
  <c r="F315" i="1"/>
  <c r="F1208" i="1"/>
  <c r="F161" i="1"/>
  <c r="F65" i="1"/>
  <c r="F2381" i="1"/>
  <c r="F1640" i="1"/>
  <c r="F603" i="1"/>
  <c r="F259" i="1"/>
  <c r="F1044" i="1"/>
  <c r="F1912" i="1"/>
  <c r="F655" i="1"/>
  <c r="F1253" i="1"/>
  <c r="F2429" i="1"/>
  <c r="F279" i="1"/>
  <c r="F682" i="1"/>
  <c r="F568" i="1"/>
  <c r="F2324" i="1"/>
  <c r="F2150" i="1"/>
  <c r="F468" i="1"/>
  <c r="F2245" i="1"/>
  <c r="F1001" i="1"/>
  <c r="F502" i="1"/>
  <c r="F1584" i="1"/>
  <c r="F714" i="1"/>
  <c r="F692" i="1"/>
  <c r="F2407" i="1"/>
  <c r="F320" i="1"/>
  <c r="F2248" i="1"/>
  <c r="F788" i="1"/>
  <c r="F895" i="1"/>
  <c r="F2284" i="1"/>
  <c r="F1468" i="1"/>
  <c r="F446" i="1"/>
  <c r="F1357" i="1"/>
  <c r="F874" i="1"/>
  <c r="F999" i="1"/>
  <c r="F872" i="1"/>
  <c r="F1082" i="1"/>
  <c r="F1200" i="1"/>
  <c r="F2297" i="1"/>
  <c r="F489" i="1"/>
  <c r="F327" i="1"/>
  <c r="F2309" i="1"/>
  <c r="F919" i="1"/>
  <c r="F1549" i="1"/>
  <c r="F864" i="1"/>
  <c r="F1093" i="1"/>
  <c r="F548" i="1"/>
  <c r="F2476" i="1"/>
  <c r="F746" i="1"/>
  <c r="F194" i="1"/>
  <c r="F572" i="1"/>
  <c r="F383" i="1"/>
  <c r="F696" i="1"/>
  <c r="F447" i="1"/>
  <c r="F1149" i="1"/>
  <c r="F208" i="1"/>
  <c r="F940" i="1"/>
  <c r="F303" i="1"/>
  <c r="F1159" i="1"/>
  <c r="F457" i="1"/>
  <c r="F2318" i="1"/>
  <c r="F665" i="1"/>
  <c r="F2257" i="1"/>
  <c r="F2232" i="1"/>
  <c r="F2454" i="1"/>
  <c r="F2169" i="1"/>
  <c r="F1081" i="1"/>
  <c r="F713" i="1"/>
  <c r="F681" i="1"/>
  <c r="F756" i="1"/>
  <c r="F1332" i="1"/>
  <c r="F764" i="1"/>
  <c r="F547" i="1"/>
  <c r="F832" i="1"/>
  <c r="F2320" i="1"/>
  <c r="F312" i="1"/>
  <c r="F1172" i="1"/>
  <c r="F1577" i="1"/>
  <c r="F909" i="1"/>
  <c r="F1638" i="1"/>
  <c r="F2097" i="1"/>
  <c r="F1284" i="1"/>
  <c r="F1588" i="1"/>
  <c r="F1723" i="1"/>
  <c r="F2321" i="1"/>
  <c r="F179" i="1"/>
  <c r="F1257" i="1"/>
  <c r="F138" i="1"/>
  <c r="F565" i="1"/>
  <c r="F1492" i="1"/>
  <c r="F89" i="1"/>
  <c r="F345" i="1"/>
  <c r="F503" i="1"/>
  <c r="F2475" i="1"/>
  <c r="F2178" i="1"/>
  <c r="F507" i="1"/>
  <c r="F818" i="1"/>
  <c r="F1692" i="1"/>
  <c r="F244" i="1"/>
  <c r="F207" i="1"/>
  <c r="F285" i="1"/>
  <c r="F1646" i="1"/>
  <c r="F1494" i="1"/>
  <c r="F1490" i="1"/>
  <c r="F1227" i="1"/>
  <c r="F1696" i="1"/>
  <c r="F2216" i="1"/>
  <c r="F399" i="1"/>
  <c r="F165" i="1"/>
  <c r="F242" i="1"/>
  <c r="F1737" i="1"/>
  <c r="F589" i="1"/>
  <c r="F99" i="1"/>
  <c r="F1430" i="1"/>
  <c r="F1440" i="1"/>
  <c r="F95" i="1"/>
  <c r="F1002" i="1"/>
  <c r="F1123" i="1"/>
  <c r="F60" i="1"/>
  <c r="F1445" i="1"/>
  <c r="F2480" i="1"/>
  <c r="F1754" i="1"/>
  <c r="F2357" i="1"/>
  <c r="F2299" i="1"/>
  <c r="F2358" i="1"/>
  <c r="F201" i="1"/>
  <c r="F1392" i="1"/>
  <c r="F304" i="1"/>
  <c r="F1721" i="1"/>
  <c r="F1324" i="1"/>
  <c r="F1232" i="1"/>
  <c r="F1802" i="1"/>
  <c r="F1502" i="1"/>
  <c r="F662" i="1"/>
  <c r="F389" i="1"/>
  <c r="F540" i="1"/>
  <c r="F366" i="1"/>
  <c r="F142" i="1"/>
  <c r="F2401" i="1"/>
  <c r="F753" i="1"/>
  <c r="F904" i="1"/>
  <c r="F1110" i="1"/>
  <c r="F607" i="1"/>
  <c r="F273" i="1"/>
  <c r="F985" i="1"/>
  <c r="F32" i="1"/>
  <c r="F40" i="1"/>
  <c r="F824" i="1"/>
  <c r="F480" i="1"/>
  <c r="F410" i="1"/>
  <c r="F1467" i="1"/>
  <c r="F592" i="1"/>
  <c r="F633" i="1"/>
  <c r="F922" i="1"/>
  <c r="F617" i="1"/>
  <c r="F844" i="1"/>
  <c r="F2091" i="1"/>
  <c r="F1215" i="1"/>
  <c r="F2136" i="1"/>
  <c r="F1496" i="1"/>
  <c r="F1162" i="1"/>
  <c r="F2144" i="1"/>
  <c r="F1266" i="1"/>
  <c r="F1255" i="1"/>
  <c r="F1054" i="1"/>
  <c r="F318" i="1"/>
  <c r="F1851" i="1"/>
  <c r="F1740" i="1"/>
  <c r="F1949" i="1"/>
  <c r="F1355" i="1"/>
  <c r="F2273" i="1"/>
  <c r="F1280" i="1"/>
  <c r="F1907" i="1"/>
  <c r="F992" i="1"/>
  <c r="F1411" i="1"/>
  <c r="F1333" i="1"/>
  <c r="F1154" i="1"/>
  <c r="F1191" i="1"/>
  <c r="F1552" i="1"/>
  <c r="F1179" i="1"/>
  <c r="F1064" i="1"/>
  <c r="F955" i="1"/>
  <c r="F1848" i="1"/>
  <c r="F860" i="1"/>
  <c r="F1378" i="1"/>
  <c r="F395" i="1"/>
  <c r="F1823" i="1"/>
  <c r="F1934" i="1"/>
  <c r="F953" i="1"/>
  <c r="F958" i="1"/>
  <c r="F1012" i="1"/>
  <c r="F1221" i="1"/>
  <c r="F743" i="1"/>
  <c r="F731" i="1"/>
  <c r="F1421" i="1"/>
  <c r="F2399" i="1"/>
  <c r="F1184" i="1"/>
  <c r="F773" i="1"/>
  <c r="F2310" i="1"/>
  <c r="F1624" i="1"/>
  <c r="F741" i="1"/>
  <c r="F845" i="1"/>
  <c r="F1898" i="1"/>
  <c r="F2212" i="1"/>
  <c r="F801" i="1"/>
  <c r="F286" i="1"/>
  <c r="F319" i="1"/>
  <c r="F1815" i="1"/>
  <c r="F2286" i="1"/>
  <c r="F2240" i="1"/>
  <c r="F838" i="1"/>
  <c r="F406" i="1"/>
  <c r="F2228" i="1"/>
  <c r="F876" i="1"/>
  <c r="F1767" i="1"/>
  <c r="F639" i="1"/>
  <c r="F2092" i="1"/>
  <c r="F591" i="1"/>
  <c r="F586" i="1"/>
  <c r="F347" i="1"/>
  <c r="F627" i="1"/>
  <c r="F1147" i="1"/>
  <c r="F1360" i="1"/>
  <c r="F1372" i="1"/>
  <c r="F747" i="1"/>
  <c r="F331" i="1"/>
  <c r="F668" i="1"/>
  <c r="F337" i="1"/>
  <c r="F2001" i="1"/>
  <c r="F906" i="1"/>
  <c r="F1077" i="1"/>
  <c r="F2032" i="1"/>
  <c r="F2046" i="1"/>
  <c r="F673" i="1"/>
  <c r="F393" i="1"/>
  <c r="F313" i="1"/>
  <c r="F562" i="1"/>
  <c r="F903" i="1"/>
  <c r="F1268" i="1"/>
  <c r="F2088" i="1"/>
  <c r="F1860" i="1"/>
  <c r="F105" i="1"/>
  <c r="F811" i="1"/>
  <c r="F10" i="1"/>
  <c r="F274" i="1"/>
  <c r="F222" i="1"/>
  <c r="F112" i="1"/>
  <c r="F466" i="1"/>
  <c r="F2096" i="1"/>
  <c r="F11" i="1"/>
  <c r="F2168" i="1"/>
  <c r="F69" i="1"/>
  <c r="F35" i="1"/>
  <c r="F991" i="1"/>
  <c r="F140" i="1"/>
  <c r="F197" i="1"/>
  <c r="F122" i="1"/>
  <c r="F2394" i="1"/>
  <c r="F1843" i="1"/>
  <c r="F1852" i="1"/>
  <c r="F981" i="1"/>
  <c r="F33" i="1"/>
  <c r="F781" i="1"/>
  <c r="F861" i="1"/>
  <c r="F270" i="1"/>
  <c r="F36" i="1"/>
  <c r="F220" i="1"/>
  <c r="F7" i="1"/>
  <c r="F339" i="1"/>
  <c r="F1209" i="1"/>
  <c r="F451" i="1"/>
  <c r="F728" i="1"/>
  <c r="F83" i="1"/>
  <c r="F1368" i="1"/>
  <c r="F2024" i="1"/>
  <c r="F785" i="1"/>
  <c r="F77" i="1"/>
  <c r="F148" i="1"/>
  <c r="F2161" i="1"/>
  <c r="F705" i="1"/>
  <c r="F836" i="1"/>
  <c r="F526" i="1"/>
  <c r="F669" i="1"/>
  <c r="F1690" i="1"/>
  <c r="F1742" i="1"/>
  <c r="F74" i="1"/>
  <c r="F408" i="1"/>
  <c r="F34" i="1"/>
  <c r="F330" i="1"/>
  <c r="F2175" i="1"/>
  <c r="F1014" i="1"/>
  <c r="F135" i="1"/>
  <c r="F390" i="1"/>
  <c r="F46" i="1"/>
  <c r="F934" i="1"/>
  <c r="F106" i="1"/>
  <c r="F12" i="1"/>
  <c r="F24" i="1"/>
  <c r="F185" i="1"/>
  <c r="F38" i="1"/>
  <c r="F263" i="1"/>
  <c r="F54" i="1"/>
  <c r="F496" i="1"/>
  <c r="F873" i="1"/>
  <c r="F181" i="1"/>
  <c r="F1076" i="1"/>
  <c r="F17" i="1"/>
  <c r="F80" i="1"/>
  <c r="F332" i="1"/>
  <c r="F291" i="1"/>
  <c r="F115" i="1"/>
  <c r="F2113" i="1"/>
  <c r="F476" i="1"/>
  <c r="F211" i="1"/>
  <c r="F341" i="1"/>
  <c r="F1091" i="1"/>
  <c r="F1643" i="1"/>
  <c r="F3" i="1"/>
  <c r="F1071" i="1"/>
  <c r="F450" i="1"/>
  <c r="F543" i="1"/>
  <c r="F1160" i="1"/>
  <c r="F2157" i="1"/>
  <c r="F55" i="1"/>
  <c r="F258" i="1"/>
  <c r="F970" i="1"/>
  <c r="F2074" i="1"/>
  <c r="F877" i="1"/>
  <c r="F1166" i="1"/>
  <c r="F157" i="1"/>
  <c r="F2063" i="1"/>
  <c r="F1778" i="1"/>
  <c r="F2087" i="1"/>
  <c r="F2269" i="1"/>
  <c r="F2428" i="1"/>
  <c r="F178" i="1"/>
  <c r="F2208" i="1"/>
  <c r="F1853" i="1"/>
  <c r="F2329" i="1"/>
  <c r="F734" i="1"/>
  <c r="F2060" i="1"/>
  <c r="F121" i="1"/>
  <c r="F869" i="1"/>
  <c r="F192" i="1"/>
  <c r="F1388" i="1"/>
  <c r="F1273" i="1"/>
  <c r="F1462" i="1"/>
  <c r="F359" i="1"/>
  <c r="F2192" i="1"/>
  <c r="F650" i="1"/>
  <c r="F321" i="1"/>
  <c r="F232" i="1"/>
  <c r="F1639" i="1"/>
  <c r="F57" i="1"/>
  <c r="F1760" i="1"/>
  <c r="F246" i="1"/>
  <c r="F1469" i="1"/>
  <c r="F110" i="1"/>
  <c r="F1963" i="1"/>
  <c r="F218" i="1"/>
  <c r="F793" i="1"/>
  <c r="F419" i="1"/>
  <c r="F1234" i="1"/>
  <c r="F814" i="1"/>
  <c r="F797" i="1"/>
  <c r="F624" i="1"/>
  <c r="F752" i="1"/>
  <c r="F1265" i="1"/>
  <c r="F1250" i="1"/>
  <c r="F1089" i="1"/>
  <c r="F1068" i="1"/>
  <c r="F316" i="1"/>
  <c r="F525" i="1"/>
  <c r="F532" i="1"/>
  <c r="F656" i="1"/>
  <c r="F638" i="1"/>
  <c r="F385" i="1"/>
  <c r="F282" i="1"/>
  <c r="F463" i="1"/>
  <c r="F1507" i="1"/>
  <c r="F1427" i="1"/>
  <c r="F1291" i="1"/>
  <c r="F1424" i="1"/>
  <c r="F1366" i="1"/>
  <c r="F1092" i="1"/>
  <c r="F1088" i="1"/>
  <c r="F887" i="1"/>
  <c r="F1132" i="1"/>
  <c r="F712" i="1"/>
  <c r="F917" i="1"/>
  <c r="F588" i="1"/>
  <c r="F546" i="1"/>
  <c r="F1607" i="1"/>
  <c r="F1386" i="1"/>
  <c r="F626" i="1"/>
  <c r="F325" i="1"/>
  <c r="F1140" i="1"/>
  <c r="F625" i="1"/>
  <c r="F1615" i="1"/>
  <c r="F690" i="1"/>
  <c r="F1736" i="1"/>
  <c r="F783" i="1"/>
  <c r="F1139" i="1"/>
  <c r="F1006" i="1"/>
  <c r="F2190" i="1"/>
  <c r="F1051" i="1"/>
  <c r="F911" i="1"/>
  <c r="F1505" i="1"/>
  <c r="F422" i="1"/>
  <c r="F647" i="1"/>
  <c r="F85" i="1"/>
  <c r="F305" i="1"/>
  <c r="F862" i="1"/>
  <c r="F851" i="1"/>
  <c r="F370" i="1"/>
  <c r="F98" i="1"/>
  <c r="F598" i="1"/>
  <c r="F963" i="1"/>
  <c r="F528" i="1"/>
  <c r="F323" i="1"/>
  <c r="F686" i="1"/>
  <c r="F761" i="1"/>
  <c r="F369" i="1"/>
  <c r="F614" i="1"/>
  <c r="F544" i="1"/>
  <c r="F905" i="1"/>
  <c r="F490" i="1"/>
  <c r="F186" i="1"/>
  <c r="F1338" i="1"/>
  <c r="F1525" i="1"/>
  <c r="F293" i="1"/>
  <c r="F1026" i="1"/>
  <c r="F375" i="1"/>
  <c r="F2332" i="1"/>
  <c r="F68" i="1"/>
  <c r="F2420" i="1"/>
  <c r="F1412" i="1"/>
  <c r="F556" i="1"/>
  <c r="F871" i="1"/>
  <c r="F555" i="1"/>
  <c r="F484" i="1"/>
  <c r="F880" i="1"/>
  <c r="F1050" i="1"/>
  <c r="F1063" i="1"/>
  <c r="F913" i="1"/>
  <c r="F1417" i="1"/>
  <c r="F820" i="1"/>
  <c r="F1048" i="1"/>
  <c r="F1347" i="1"/>
  <c r="F1343" i="1"/>
  <c r="F677" i="1"/>
  <c r="F1103" i="1"/>
  <c r="F1425" i="1"/>
  <c r="F1661" i="1"/>
  <c r="F1375" i="1"/>
  <c r="F1134" i="1"/>
  <c r="F768" i="1"/>
  <c r="F1207" i="1"/>
  <c r="F1389" i="1"/>
  <c r="F560" i="1"/>
  <c r="F910" i="1"/>
  <c r="F1029" i="1"/>
  <c r="F1814" i="1"/>
  <c r="F920" i="1"/>
  <c r="F1804" i="1"/>
  <c r="F1487" i="1"/>
  <c r="F539" i="1"/>
  <c r="F1021" i="1"/>
  <c r="F1482" i="1"/>
  <c r="F1953" i="1"/>
  <c r="F1544" i="1"/>
  <c r="F1680" i="1"/>
  <c r="F853" i="1"/>
  <c r="F946" i="1"/>
  <c r="F1379" i="1"/>
  <c r="F1363" i="1"/>
  <c r="F2054" i="1"/>
  <c r="F2120" i="1"/>
  <c r="F2275" i="1"/>
  <c r="F1796" i="1"/>
  <c r="F1983" i="1"/>
  <c r="F1925" i="1"/>
  <c r="F1672" i="1"/>
  <c r="F1418" i="1"/>
  <c r="F1808" i="1"/>
  <c r="F1204" i="1"/>
  <c r="F1768" i="1"/>
  <c r="F2327" i="1"/>
  <c r="F1203" i="1"/>
  <c r="F1909" i="1"/>
  <c r="F1866" i="1"/>
  <c r="F1464" i="1"/>
  <c r="F1459" i="1"/>
  <c r="F780" i="1"/>
  <c r="F2449" i="1"/>
  <c r="F960" i="1"/>
  <c r="F1056" i="1"/>
  <c r="F1481" i="1"/>
  <c r="F2450" i="1"/>
  <c r="F1982" i="1"/>
  <c r="F975" i="1"/>
  <c r="F1641" i="1"/>
  <c r="F1276" i="1"/>
  <c r="F1787" i="1"/>
  <c r="F2151" i="1"/>
  <c r="F1474" i="1"/>
  <c r="F1148" i="1"/>
  <c r="F1728" i="1"/>
  <c r="F2134" i="1"/>
  <c r="F1718" i="1"/>
  <c r="F2227" i="1"/>
  <c r="F1878" i="1"/>
  <c r="F1865" i="1"/>
  <c r="F2258" i="1"/>
  <c r="F1658" i="1"/>
  <c r="F2181" i="1"/>
  <c r="F1397" i="1"/>
  <c r="F1833" i="1"/>
  <c r="F1189" i="1"/>
  <c r="F2356" i="1"/>
  <c r="F1611" i="1"/>
  <c r="F2072" i="1"/>
  <c r="F2203" i="1"/>
  <c r="F1460" i="1"/>
  <c r="F1883" i="1"/>
  <c r="F1270" i="1"/>
  <c r="F2347" i="1"/>
  <c r="F1619" i="1"/>
  <c r="F1725" i="1"/>
  <c r="F1911" i="1"/>
  <c r="F1540" i="1"/>
  <c r="F2045" i="1"/>
  <c r="F1697" i="1"/>
  <c r="F691" i="1"/>
  <c r="F1346" i="1"/>
  <c r="F1376" i="1"/>
  <c r="F1702" i="1"/>
  <c r="F882" i="1"/>
  <c r="F2075" i="1"/>
  <c r="F1243" i="1"/>
  <c r="F1311" i="1"/>
  <c r="F907" i="1"/>
  <c r="F1007" i="1"/>
  <c r="F1581" i="1"/>
  <c r="F619" i="1"/>
  <c r="F605" i="1"/>
  <c r="F902" i="1"/>
  <c r="F1512" i="1"/>
  <c r="F1618" i="1"/>
  <c r="F2172" i="1"/>
  <c r="F1128" i="1"/>
  <c r="F1286" i="1"/>
  <c r="F1773" i="1"/>
  <c r="F2365" i="1"/>
  <c r="F1764" i="1"/>
  <c r="F2121" i="1"/>
  <c r="F1434" i="1"/>
  <c r="F1654" i="1"/>
  <c r="F1667" i="1"/>
  <c r="F2000" i="1"/>
  <c r="F1429" i="1"/>
  <c r="F2448" i="1"/>
  <c r="F1704" i="1"/>
  <c r="F852" i="1"/>
  <c r="F1731" i="1"/>
  <c r="F2437" i="1"/>
  <c r="F1436" i="1"/>
  <c r="F1458" i="1"/>
  <c r="F498" i="1"/>
  <c r="F486" i="1"/>
  <c r="F630" i="1"/>
  <c r="F1199" i="1"/>
  <c r="F1671" i="1"/>
  <c r="F1541" i="1"/>
  <c r="F1880" i="1"/>
  <c r="F1473" i="1"/>
  <c r="F1553" i="1"/>
  <c r="F1945" i="1"/>
  <c r="F923" i="1"/>
  <c r="F1538" i="1"/>
  <c r="F1961" i="1"/>
  <c r="F1948" i="1"/>
  <c r="F1163" i="1"/>
  <c r="F1811" i="1"/>
  <c r="F1229" i="1"/>
  <c r="F1402" i="1"/>
  <c r="F2022" i="1"/>
  <c r="F1797" i="1"/>
  <c r="F2111" i="1"/>
  <c r="F1028" i="1"/>
  <c r="F1890" i="1"/>
  <c r="F965" i="1"/>
  <c r="F978" i="1"/>
  <c r="F1784" i="1"/>
  <c r="F2389" i="1"/>
  <c r="F1066" i="1"/>
  <c r="F1838" i="1"/>
  <c r="F1095" i="1"/>
  <c r="F1592" i="1"/>
  <c r="F1888" i="1"/>
  <c r="F995" i="1"/>
  <c r="F1673" i="1"/>
  <c r="F1724" i="1"/>
  <c r="F716" i="1"/>
  <c r="F1391" i="1"/>
  <c r="F1944" i="1"/>
  <c r="F1828" i="1"/>
  <c r="F2305" i="1"/>
  <c r="F2160" i="1"/>
  <c r="F1501" i="1"/>
  <c r="F1869" i="1"/>
  <c r="F2145" i="1"/>
  <c r="F1150" i="1"/>
  <c r="F843" i="1"/>
  <c r="F1819" i="1"/>
  <c r="F1031" i="1"/>
  <c r="F1858" i="1"/>
  <c r="F1947" i="1"/>
  <c r="F2016" i="1"/>
  <c r="F1595" i="1"/>
  <c r="F469" i="1"/>
  <c r="F765" i="1"/>
  <c r="F1620" i="1"/>
  <c r="F1523" i="1"/>
  <c r="F1035" i="1"/>
  <c r="F1158" i="1"/>
  <c r="F1201" i="1"/>
  <c r="F1511" i="1"/>
  <c r="F1793" i="1"/>
  <c r="F2266" i="1"/>
  <c r="F654" i="1"/>
  <c r="F996" i="1"/>
  <c r="F1371" i="1"/>
  <c r="F815" i="1"/>
  <c r="F699" i="1"/>
  <c r="F1885" i="1"/>
  <c r="F2230" i="1"/>
  <c r="F1186" i="1"/>
  <c r="F1522" i="1"/>
  <c r="F1543" i="1"/>
  <c r="F1237" i="1"/>
  <c r="F1471" i="1"/>
  <c r="F1334" i="1"/>
  <c r="F2295" i="1"/>
  <c r="F1385" i="1"/>
  <c r="F1176" i="1"/>
  <c r="F2017" i="1"/>
  <c r="F300" i="1"/>
  <c r="F611" i="1"/>
  <c r="F2431" i="1"/>
  <c r="F1803" i="1"/>
  <c r="F1293" i="1"/>
  <c r="F1470" i="1"/>
  <c r="F740" i="1"/>
  <c r="F803" i="1"/>
  <c r="F952" i="1"/>
  <c r="F1755" i="1"/>
  <c r="F835" i="1"/>
  <c r="F2163" i="1"/>
  <c r="F1098" i="1"/>
  <c r="F1876" i="1"/>
  <c r="F1988" i="1"/>
  <c r="F1893" i="1"/>
  <c r="F1892" i="1"/>
  <c r="F1910" i="1"/>
  <c r="F2020" i="1"/>
  <c r="F1915" i="1"/>
  <c r="F1970" i="1"/>
  <c r="F1719" i="1"/>
  <c r="F1597" i="1"/>
  <c r="F1669" i="1"/>
  <c r="F1794" i="1"/>
  <c r="F1666" i="1"/>
  <c r="F1317" i="1"/>
  <c r="F2064" i="1"/>
  <c r="F401" i="1"/>
  <c r="F837" i="1"/>
  <c r="F745" i="1"/>
  <c r="F1267" i="1"/>
  <c r="F879" i="1"/>
  <c r="F1889" i="1"/>
  <c r="F1837" i="1"/>
  <c r="F1935" i="1"/>
  <c r="F1298" i="1"/>
  <c r="F833" i="1"/>
  <c r="F2214" i="1"/>
  <c r="F367" i="1"/>
  <c r="F1145" i="1"/>
  <c r="F950" i="1"/>
  <c r="F1245" i="1"/>
  <c r="F309" i="1"/>
  <c r="F772" i="1"/>
  <c r="F491" i="1"/>
  <c r="F130" i="1"/>
  <c r="F141" i="1"/>
  <c r="F199" i="1"/>
  <c r="F1126" i="1"/>
  <c r="F1079" i="1"/>
  <c r="F2453" i="1"/>
  <c r="F1053" i="1"/>
  <c r="F623" i="1"/>
  <c r="F1984" i="1"/>
  <c r="F1399" i="1"/>
  <c r="F1173" i="1"/>
  <c r="F2042" i="1"/>
  <c r="F465" i="1"/>
  <c r="F154" i="1"/>
  <c r="F26" i="1"/>
  <c r="F672" i="1"/>
  <c r="F816" i="1"/>
  <c r="F1085" i="1"/>
  <c r="F198" i="1"/>
  <c r="F2362" i="1"/>
  <c r="F150" i="1"/>
  <c r="F1036" i="1"/>
  <c r="F2101" i="1"/>
  <c r="F214" i="1"/>
  <c r="F1136" i="1"/>
  <c r="F587" i="1"/>
  <c r="F93" i="1"/>
  <c r="F1108" i="1"/>
  <c r="F1662" i="1"/>
  <c r="F736" i="1"/>
  <c r="F1691" i="1"/>
  <c r="F426" i="1"/>
  <c r="F1364" i="1"/>
  <c r="F769" i="1"/>
  <c r="F372" i="1"/>
  <c r="F1569" i="1"/>
  <c r="F1800" i="1"/>
  <c r="F266" i="1"/>
  <c r="F155" i="1"/>
  <c r="F1090" i="1"/>
  <c r="F143" i="1"/>
  <c r="F1913" i="1"/>
  <c r="F893" i="1"/>
  <c r="F1225" i="1"/>
  <c r="F200" i="1"/>
  <c r="F715" i="1"/>
  <c r="F45" i="1"/>
  <c r="F407" i="1"/>
  <c r="F445" i="1"/>
  <c r="F1798" i="1"/>
  <c r="F806" i="1"/>
  <c r="F483" i="1"/>
  <c r="F72" i="1"/>
  <c r="F1027" i="1"/>
  <c r="F380" i="1"/>
  <c r="F928" i="1"/>
  <c r="F2294" i="1"/>
  <c r="F299" i="1"/>
  <c r="F2003" i="1"/>
  <c r="F1146" i="1"/>
  <c r="F848" i="1"/>
  <c r="F159" i="1"/>
  <c r="F1404" i="1"/>
  <c r="F1556" i="1"/>
  <c r="F381" i="1"/>
  <c r="F58" i="1"/>
  <c r="F823" i="1"/>
  <c r="F261" i="1"/>
  <c r="F2322" i="1"/>
  <c r="F78" i="1"/>
  <c r="F169" i="1"/>
  <c r="F1278" i="1"/>
  <c r="F518" i="1"/>
  <c r="F1645" i="1"/>
  <c r="F724" i="1"/>
  <c r="F652" i="1"/>
  <c r="F1795" i="1"/>
  <c r="F1034" i="1"/>
  <c r="F993" i="1"/>
  <c r="F1785" i="1"/>
  <c r="F1884" i="1"/>
  <c r="F1717" i="1"/>
  <c r="F1775" i="1"/>
  <c r="F2066" i="1"/>
  <c r="F1770" i="1"/>
  <c r="F1698" i="1"/>
  <c r="F1478" i="1"/>
  <c r="F1769" i="1"/>
  <c r="F1989" i="1"/>
  <c r="F1783" i="1"/>
  <c r="F1637" i="1"/>
  <c r="F2013" i="1"/>
  <c r="F1846" i="1"/>
  <c r="F1614" i="1"/>
  <c r="F1686" i="1"/>
  <c r="F1674" i="1"/>
  <c r="F1903" i="1"/>
  <c r="F1326" i="1"/>
  <c r="F1443" i="1"/>
  <c r="F1309" i="1"/>
  <c r="F1864" i="1"/>
  <c r="F1709" i="1"/>
  <c r="F1605" i="1"/>
  <c r="F1750" i="1"/>
  <c r="F1516" i="1"/>
  <c r="F1352" i="1"/>
  <c r="F1465" i="1"/>
  <c r="F2067" i="1"/>
  <c r="F1344" i="1"/>
  <c r="F2115" i="1"/>
  <c r="F1033" i="1"/>
  <c r="F1626" i="1"/>
  <c r="F2239" i="1"/>
  <c r="F1590" i="1"/>
  <c r="F2335" i="1"/>
  <c r="F1801" i="1"/>
  <c r="F2171" i="1"/>
  <c r="F1729" i="1"/>
  <c r="F1730" i="1"/>
  <c r="F1537" i="1"/>
  <c r="F1751" i="1"/>
  <c r="F1230" i="1"/>
  <c r="F1419" i="1"/>
  <c r="F1381" i="1"/>
  <c r="F988" i="1"/>
  <c r="F1520" i="1"/>
  <c r="F1683" i="1"/>
  <c r="F1958" i="1"/>
  <c r="F1351" i="1"/>
  <c r="F1986" i="1"/>
  <c r="F1757" i="1"/>
  <c r="F1905" i="1"/>
  <c r="F1528" i="1"/>
  <c r="F1195" i="1"/>
  <c r="F1119" i="1"/>
  <c r="F2153" i="1"/>
  <c r="F1985" i="1"/>
  <c r="F2119" i="1"/>
  <c r="F2135" i="1"/>
  <c r="F1995" i="1"/>
  <c r="F2055" i="1"/>
  <c r="F1862" i="1"/>
  <c r="F2152" i="1"/>
  <c r="F1260" i="1"/>
  <c r="F1598" i="1"/>
  <c r="F1921" i="1"/>
  <c r="F951" i="1"/>
  <c r="F1348" i="1"/>
  <c r="F1542" i="1"/>
  <c r="F1628" i="1"/>
  <c r="F1675" i="1"/>
  <c r="F1212" i="1"/>
  <c r="F1741" i="1"/>
  <c r="F2188" i="1"/>
  <c r="F2094" i="1"/>
  <c r="F2384" i="1"/>
  <c r="F1744" i="1"/>
  <c r="F1779" i="1"/>
  <c r="F2130" i="1"/>
  <c r="F1604" i="1"/>
  <c r="F1358" i="1"/>
  <c r="F2107" i="1"/>
  <c r="F1508" i="1"/>
  <c r="F1763" i="1"/>
  <c r="F2385" i="1"/>
  <c r="F2254" i="1"/>
  <c r="F2343" i="1"/>
  <c r="F2352" i="1"/>
  <c r="F1495" i="1"/>
  <c r="F1616" i="1"/>
  <c r="F1677" i="1"/>
  <c r="F1292" i="1"/>
  <c r="F368" i="1"/>
  <c r="F1340" i="1"/>
  <c r="F1806" i="1"/>
  <c r="F1627" i="1"/>
  <c r="F660" i="1"/>
  <c r="F1181" i="1"/>
  <c r="F2462" i="1"/>
  <c r="F1259" i="1"/>
  <c r="F2038" i="1"/>
  <c r="F2158" i="1"/>
  <c r="F2028" i="1"/>
  <c r="F671" i="1"/>
  <c r="F358" i="1"/>
  <c r="F449" i="1"/>
  <c r="F268" i="1"/>
  <c r="F1506" i="1"/>
  <c r="F1454" i="1"/>
  <c r="F1328" i="1"/>
  <c r="F1603" i="1"/>
  <c r="F2068" i="1"/>
  <c r="F2396" i="1"/>
  <c r="F443" i="1"/>
  <c r="F1706" i="1"/>
  <c r="F1993" i="1"/>
  <c r="F1854" i="1"/>
  <c r="F676" i="1"/>
  <c r="F962" i="1"/>
  <c r="F901" i="1"/>
  <c r="F1374" i="1"/>
  <c r="F1451" i="1"/>
  <c r="F442" i="1"/>
  <c r="F1414" i="1"/>
  <c r="F2223" i="1"/>
  <c r="F916" i="1"/>
  <c r="F1039" i="1"/>
  <c r="F2106" i="1"/>
  <c r="F1304" i="1"/>
  <c r="F1980" i="1"/>
  <c r="F809" i="1"/>
  <c r="F571" i="1"/>
  <c r="F641" i="1"/>
  <c r="F1198" i="1"/>
  <c r="F717" i="1"/>
  <c r="F842" i="1"/>
  <c r="F2470" i="1"/>
  <c r="F307" i="1"/>
  <c r="F2259" i="1"/>
  <c r="F822" i="1"/>
  <c r="F2129" i="1"/>
  <c r="F2244" i="1"/>
  <c r="F564" i="1"/>
  <c r="F479" i="1"/>
  <c r="F2457" i="1"/>
  <c r="F2336" i="1"/>
  <c r="F812" i="1"/>
  <c r="F506" i="1"/>
  <c r="F471" i="1"/>
  <c r="F2485" i="1"/>
  <c r="F840" i="1"/>
  <c r="F1708" i="1"/>
  <c r="F1043" i="1"/>
  <c r="F1354" i="1"/>
  <c r="F1223" i="1"/>
  <c r="F1830" i="1"/>
  <c r="F495" i="1"/>
  <c r="F317" i="1"/>
  <c r="F616" i="1"/>
  <c r="F424" i="1"/>
  <c r="F1042" i="1"/>
  <c r="F883" i="1"/>
  <c r="F2293" i="1"/>
  <c r="F1839" i="1"/>
  <c r="F2484" i="1"/>
  <c r="F500" i="1"/>
  <c r="F2104" i="1"/>
  <c r="F1247" i="1"/>
  <c r="F326" i="1"/>
  <c r="F2114" i="1"/>
  <c r="F256" i="1"/>
  <c r="F133" i="1"/>
  <c r="F2180" i="1"/>
  <c r="F749" i="1"/>
  <c r="F935" i="1"/>
  <c r="F1799" i="1"/>
  <c r="F600" i="1"/>
  <c r="F193" i="1"/>
  <c r="F278" i="1"/>
  <c r="F1003" i="1"/>
  <c r="F1217" i="1"/>
  <c r="F427" i="1"/>
  <c r="F604" i="1"/>
  <c r="F360" i="1"/>
  <c r="F557" i="1"/>
  <c r="F523" i="1"/>
  <c r="F497" i="1"/>
  <c r="F421" i="1"/>
  <c r="F1587" i="1"/>
  <c r="F487" i="1"/>
  <c r="F1546" i="1"/>
  <c r="F1438" i="1"/>
  <c r="F1339" i="1"/>
  <c r="F1264" i="1"/>
  <c r="F517" i="1"/>
  <c r="F1296" i="1"/>
  <c r="F2375" i="1"/>
  <c r="F1387" i="1"/>
  <c r="F215" i="1"/>
  <c r="F2148" i="1"/>
  <c r="F409" i="1"/>
  <c r="F1422" i="1"/>
  <c r="F2477" i="1"/>
  <c r="F1407" i="1"/>
  <c r="F43" i="1"/>
  <c r="F365" i="1"/>
  <c r="F172" i="1"/>
  <c r="F306" i="1"/>
  <c r="F2204" i="1"/>
  <c r="F1261" i="1"/>
  <c r="F62" i="1"/>
  <c r="F912" i="1"/>
  <c r="F1167" i="1"/>
  <c r="F1941" i="1"/>
  <c r="F227" i="1"/>
  <c r="F2182" i="1"/>
  <c r="F1142" i="1"/>
  <c r="F972" i="1"/>
  <c r="F1480" i="1"/>
  <c r="F964" i="1"/>
  <c r="F2215" i="1"/>
  <c r="F1660" i="1"/>
  <c r="F1602" i="1"/>
  <c r="F702" i="1"/>
  <c r="F2304" i="1"/>
  <c r="F2440" i="1"/>
  <c r="F363" i="1"/>
  <c r="F899" i="1"/>
  <c r="F763" i="1"/>
  <c r="F2154" i="1"/>
  <c r="F418" i="1"/>
  <c r="F475" i="1"/>
  <c r="F2285" i="1"/>
  <c r="F373" i="1"/>
  <c r="F573" i="1"/>
  <c r="F1177" i="1"/>
  <c r="F875" i="1"/>
  <c r="F1330" i="1"/>
  <c r="F977" i="1"/>
  <c r="F284" i="1"/>
  <c r="F826" i="1"/>
  <c r="F2451" i="1"/>
  <c r="F2222" i="1"/>
  <c r="F2081" i="1"/>
  <c r="F2255" i="1"/>
  <c r="F464" i="1"/>
  <c r="F63" i="1"/>
  <c r="F757" i="1"/>
  <c r="F810" i="1"/>
  <c r="F1978" i="1"/>
  <c r="F460" i="1"/>
  <c r="F2015" i="1"/>
  <c r="F144" i="1"/>
  <c r="F247" i="1"/>
  <c r="F2105" i="1"/>
  <c r="F703" i="1"/>
  <c r="F663" i="1"/>
  <c r="F452" i="1"/>
  <c r="F124" i="1"/>
  <c r="F2224" i="1"/>
  <c r="F2050" i="1"/>
  <c r="F1873" i="1"/>
  <c r="F622" i="1"/>
  <c r="F687" i="1"/>
  <c r="F295" i="1"/>
  <c r="F146" i="1"/>
  <c r="F1964" i="1"/>
  <c r="F1013" i="1"/>
  <c r="F271" i="1"/>
  <c r="F1214" i="1"/>
  <c r="F1037" i="1"/>
  <c r="F374" i="1"/>
  <c r="F684" i="1"/>
  <c r="F2225" i="1"/>
  <c r="F2382" i="1"/>
  <c r="F236" i="1"/>
  <c r="F501" i="1"/>
  <c r="F510" i="1"/>
  <c r="F725" i="1"/>
  <c r="F653" i="1"/>
  <c r="F1072" i="1"/>
  <c r="F492" i="1"/>
  <c r="F719" i="1"/>
  <c r="F1992" i="1"/>
  <c r="F342" i="1"/>
  <c r="F311" i="1"/>
  <c r="F602" i="1"/>
  <c r="F354" i="1"/>
  <c r="F1940" i="1"/>
  <c r="F413" i="1"/>
  <c r="F119" i="1"/>
  <c r="F720" i="1"/>
  <c r="F152" i="1"/>
  <c r="F432" i="1"/>
  <c r="F182" i="1"/>
  <c r="F352" i="1"/>
  <c r="F107" i="1"/>
  <c r="F1269" i="1"/>
  <c r="F444" i="1"/>
  <c r="F722" i="1"/>
  <c r="F2478" i="1"/>
  <c r="F1644" i="1"/>
  <c r="F391" i="1"/>
  <c r="F990" i="1"/>
  <c r="F2186" i="1"/>
  <c r="F187" i="1"/>
  <c r="F114" i="1"/>
  <c r="F1174" i="1"/>
  <c r="F968" i="1"/>
  <c r="F889" i="1"/>
  <c r="F1178" i="1"/>
  <c r="F1818" i="1"/>
  <c r="F1078" i="1"/>
  <c r="F807" i="1"/>
  <c r="F535" i="1"/>
  <c r="F377" i="1"/>
  <c r="F1175" i="1"/>
  <c r="F847" i="1"/>
  <c r="F782" i="1"/>
  <c r="F1409" i="1"/>
  <c r="F1096" i="1"/>
  <c r="F379" i="1"/>
  <c r="F1100" i="1"/>
  <c r="F2093" i="1"/>
  <c r="F1733" i="1"/>
  <c r="F1472" i="1"/>
  <c r="F1857" i="1"/>
  <c r="F2195" i="1"/>
  <c r="F1776" i="1"/>
  <c r="F1877" i="1"/>
  <c r="F530" i="1"/>
  <c r="F1010" i="1"/>
  <c r="F2159" i="1"/>
  <c r="F2464" i="1"/>
  <c r="F1713" i="1"/>
  <c r="F777" i="1"/>
  <c r="F1396" i="1"/>
  <c r="F2177" i="1"/>
  <c r="F524" i="1"/>
  <c r="F1981" i="1"/>
  <c r="F2080" i="1"/>
  <c r="F1694" i="1"/>
  <c r="F1817" i="1"/>
  <c r="F2164" i="1"/>
  <c r="F2383" i="1"/>
  <c r="F2418" i="1"/>
  <c r="F1956" i="1"/>
  <c r="F1788" i="1"/>
  <c r="F1894" i="1"/>
  <c r="F786" i="1"/>
  <c r="F1916" i="1"/>
  <c r="F1834" i="1"/>
  <c r="F1137" i="1"/>
  <c r="F1105" i="1"/>
  <c r="F1655" i="1"/>
  <c r="F1726" i="1"/>
  <c r="F1663" i="1"/>
  <c r="F1453" i="1"/>
  <c r="F1500" i="1"/>
  <c r="F1928" i="1"/>
  <c r="F1365" i="1"/>
  <c r="F1959" i="1"/>
  <c r="F1555" i="1"/>
  <c r="F2140" i="1"/>
  <c r="F1601" i="1"/>
  <c r="F1165" i="1"/>
  <c r="F2282" i="1"/>
  <c r="F1594" i="1"/>
  <c r="F1456" i="1"/>
  <c r="F1847" i="1"/>
  <c r="F1408" i="1"/>
  <c r="F1236" i="1"/>
  <c r="F1416" i="1"/>
  <c r="F1596" i="1"/>
  <c r="F1753" i="1"/>
  <c r="F1281" i="1"/>
  <c r="F1533" i="1"/>
  <c r="F2283" i="1"/>
  <c r="F1336" i="1"/>
  <c r="F1083" i="1"/>
  <c r="F2194" i="1"/>
  <c r="F2290" i="1"/>
  <c r="F2287" i="1"/>
  <c r="F2219" i="1"/>
  <c r="F1922" i="1"/>
  <c r="F1849" i="1"/>
  <c r="F1954" i="1"/>
  <c r="F2301" i="1"/>
  <c r="F2331" i="1"/>
  <c r="F2213" i="1"/>
  <c r="F2323" i="1"/>
  <c r="F1824" i="1"/>
  <c r="F1256" i="1"/>
  <c r="F1951" i="1"/>
  <c r="F2199" i="1"/>
  <c r="F2430" i="1"/>
  <c r="F2073" i="1"/>
  <c r="F2084" i="1"/>
  <c r="F1973" i="1"/>
  <c r="F1169" i="1"/>
  <c r="F1125" i="1"/>
  <c r="F578" i="1"/>
  <c r="F2048" i="1"/>
  <c r="F2302" i="1"/>
  <c r="F1647" i="1"/>
  <c r="F2260" i="1"/>
  <c r="F2005" i="1"/>
  <c r="F2133" i="1"/>
  <c r="F2264" i="1"/>
  <c r="F1844" i="1"/>
  <c r="F160" i="1"/>
  <c r="F529" i="1"/>
  <c r="F534" i="1"/>
  <c r="F2007" i="1"/>
  <c r="F1510" i="1"/>
  <c r="F2296" i="1"/>
  <c r="F1024" i="1"/>
  <c r="F885" i="1"/>
  <c r="F1996" i="1"/>
  <c r="F1747" i="1"/>
  <c r="F2359" i="1"/>
  <c r="F2206" i="1"/>
  <c r="F2191" i="1"/>
  <c r="F2334" i="1"/>
  <c r="F2131" i="1"/>
  <c r="F737" i="1"/>
  <c r="F2125" i="1"/>
  <c r="F1075" i="1"/>
  <c r="F1161" i="1"/>
  <c r="F1394" i="1"/>
  <c r="F1924" i="1"/>
  <c r="F2465" i="1"/>
  <c r="F2014" i="1"/>
  <c r="F2360" i="1"/>
  <c r="F631" i="1"/>
  <c r="F1535" i="1"/>
  <c r="F2314" i="1"/>
  <c r="F1219" i="1"/>
  <c r="F2116" i="1"/>
  <c r="F1019" i="1"/>
  <c r="F2052" i="1"/>
  <c r="F1504" i="1"/>
  <c r="F335" i="1"/>
  <c r="F1493" i="1"/>
  <c r="F1756" i="1"/>
  <c r="F378" i="1"/>
  <c r="F139" i="1"/>
  <c r="F1699" i="1"/>
  <c r="F1813" i="1"/>
  <c r="F1554" i="1"/>
  <c r="F1832" i="1"/>
  <c r="F1197" i="1"/>
  <c r="F1124" i="1"/>
  <c r="F1703" i="1"/>
  <c r="F1489" i="1"/>
  <c r="F1550" i="1"/>
  <c r="F1398" i="1"/>
  <c r="F2039" i="1"/>
  <c r="F1477" i="1"/>
  <c r="F1287" i="1"/>
  <c r="F1583" i="1"/>
  <c r="F1455" i="1"/>
  <c r="F1693" i="1"/>
  <c r="F1642" i="1"/>
  <c r="F2201" i="1"/>
  <c r="F2139" i="1"/>
  <c r="F1499" i="1"/>
  <c r="F1777" i="1"/>
  <c r="F1650" i="1"/>
  <c r="F1612" i="1"/>
  <c r="F1955" i="1"/>
  <c r="F2027" i="1"/>
  <c r="F2444" i="1"/>
  <c r="F1613" i="1"/>
  <c r="F1202" i="1"/>
  <c r="F1403" i="1"/>
  <c r="F704" i="1"/>
  <c r="F1432" i="1"/>
  <c r="F790" i="1"/>
  <c r="F1413" i="1"/>
  <c r="F1113" i="1"/>
  <c r="F804" i="1"/>
  <c r="F936" i="1"/>
  <c r="F1164" i="1"/>
  <c r="F1345" i="1"/>
  <c r="F767" i="1"/>
  <c r="F1514" i="1"/>
  <c r="F1350" i="1"/>
  <c r="F1295" i="1"/>
  <c r="F1274" i="1"/>
  <c r="F933" i="1"/>
  <c r="F1444" i="1"/>
  <c r="F632" i="1"/>
  <c r="F1138" i="1"/>
  <c r="F593" i="1"/>
  <c r="F1681" i="1"/>
  <c r="F1710" i="1"/>
  <c r="F1606" i="1"/>
  <c r="F1807" i="1"/>
  <c r="F1515" i="1"/>
  <c r="F1608" i="1"/>
  <c r="F1323" i="1"/>
  <c r="F1238" i="1"/>
  <c r="F1758" i="1"/>
  <c r="F2348" i="1"/>
  <c r="F1685" i="1"/>
  <c r="F1648" i="1"/>
  <c r="F2393" i="1"/>
  <c r="F986" i="1"/>
  <c r="F1486" i="1"/>
  <c r="F1609" i="1"/>
  <c r="F1130" i="1"/>
  <c r="F1745" i="1"/>
  <c r="F1483" i="1"/>
  <c r="F1405" i="1"/>
  <c r="F1067" i="1"/>
  <c r="F1636" i="1"/>
  <c r="F1327" i="1"/>
  <c r="F2162" i="1"/>
  <c r="F1906" i="1"/>
  <c r="F1112" i="1"/>
  <c r="F1106" i="1"/>
  <c r="F2078" i="1"/>
  <c r="F1320" i="1"/>
  <c r="F1575" i="1"/>
  <c r="F925" i="1"/>
  <c r="F1529" i="1"/>
  <c r="F798" i="1"/>
  <c r="F2486" i="1"/>
  <c r="F1144" i="1"/>
  <c r="F831" i="1"/>
  <c r="F1180" i="1"/>
  <c r="F1979" i="1"/>
  <c r="F2079" i="1"/>
  <c r="F858" i="1"/>
  <c r="F1423" i="1"/>
  <c r="F2405" i="1"/>
  <c r="F1991" i="1"/>
  <c r="F1591" i="1"/>
  <c r="F791" i="1"/>
  <c r="F664" i="1"/>
  <c r="F397" i="1"/>
  <c r="F830" i="1"/>
  <c r="F966" i="1"/>
  <c r="F2341" i="1"/>
  <c r="F649" i="1"/>
  <c r="F1901" i="1"/>
  <c r="F2436" i="1"/>
  <c r="F88" i="1"/>
  <c r="F2377" i="1"/>
  <c r="F1720" i="1"/>
  <c r="F2166" i="1"/>
  <c r="F2340" i="1"/>
  <c r="F998" i="1"/>
  <c r="F1410" i="1"/>
  <c r="F1047" i="1"/>
  <c r="F942" i="1"/>
  <c r="F2353" i="1"/>
  <c r="F166" i="1"/>
  <c r="F515" i="1"/>
  <c r="F163" i="1"/>
  <c r="F1143" i="1"/>
  <c r="F104" i="1"/>
  <c r="F1820" i="1"/>
  <c r="F1957" i="1"/>
  <c r="F171" i="1"/>
  <c r="F1135" i="1"/>
  <c r="F156" i="1"/>
  <c r="F1826" i="1"/>
  <c r="F2300" i="1"/>
  <c r="F28" i="1"/>
  <c r="F44" i="1"/>
  <c r="F73" i="1"/>
  <c r="F91" i="1"/>
  <c r="F1242" i="1"/>
  <c r="F794" i="1"/>
  <c r="F116" i="1"/>
  <c r="F2137" i="1"/>
  <c r="F2446" i="1"/>
  <c r="F2392" i="1"/>
  <c r="F1518" i="1"/>
  <c r="F2174" i="1"/>
  <c r="F1101" i="1"/>
  <c r="F2274" i="1"/>
  <c r="F505" i="1"/>
  <c r="F1497" i="1"/>
  <c r="F552" i="1"/>
  <c r="F926" i="1"/>
  <c r="F2351" i="1"/>
  <c r="F2095" i="1"/>
  <c r="F459" i="1"/>
  <c r="F612" i="1"/>
  <c r="F2467" i="1"/>
  <c r="F2033" i="1"/>
  <c r="F254" i="1"/>
  <c r="F253" i="1"/>
  <c r="F569" i="1"/>
  <c r="F1531" i="1"/>
  <c r="F92" i="1"/>
  <c r="F644" i="1"/>
  <c r="F100" i="1"/>
  <c r="F808" i="1"/>
  <c r="F1084" i="1"/>
  <c r="F551" i="1"/>
  <c r="F2231" i="1"/>
  <c r="F474" i="1"/>
  <c r="F1307" i="1"/>
  <c r="F2281" i="1"/>
  <c r="F2238" i="1"/>
  <c r="F27" i="1"/>
  <c r="F984" i="1"/>
  <c r="F2237" i="1"/>
  <c r="F221" i="1"/>
  <c r="F223" i="1"/>
  <c r="F2108" i="1"/>
  <c r="F1155" i="1"/>
  <c r="F2455" i="1"/>
  <c r="F190" i="1"/>
  <c r="F67" i="1"/>
  <c r="F376" i="1"/>
  <c r="F2249" i="1"/>
  <c r="F234" i="1"/>
  <c r="F2241" i="1"/>
  <c r="F1782" i="1"/>
  <c r="F2416" i="1"/>
  <c r="F1420" i="1"/>
  <c r="F890" i="1"/>
  <c r="F488" i="1"/>
  <c r="F204" i="1"/>
  <c r="F103" i="1"/>
  <c r="F1701" i="1"/>
  <c r="F1383" i="1"/>
  <c r="F1450" i="1"/>
  <c r="F296" i="1"/>
  <c r="F433" i="1"/>
  <c r="F175" i="1"/>
  <c r="F243" i="1"/>
  <c r="F111" i="1"/>
  <c r="F1206" i="1"/>
  <c r="F1812" i="1"/>
  <c r="F1872" i="1"/>
  <c r="F1133" i="1"/>
  <c r="F1069" i="1"/>
  <c r="F2156" i="1"/>
  <c r="F1727" i="1"/>
  <c r="F2200" i="1"/>
  <c r="F2170" i="1"/>
  <c r="F2267" i="1"/>
  <c r="F430" i="1"/>
  <c r="F1114" i="1"/>
  <c r="F412" i="1"/>
  <c r="F1527" i="1"/>
  <c r="F1282" i="1"/>
  <c r="F567" i="1"/>
  <c r="F2316" i="1"/>
  <c r="F615" i="1"/>
  <c r="F328" i="1"/>
  <c r="F1433" i="1"/>
  <c r="F314" i="1"/>
  <c r="F566" i="1"/>
  <c r="F453" i="1"/>
  <c r="F739" i="1"/>
  <c r="F213" i="1"/>
  <c r="F84" i="1"/>
  <c r="F415" i="1"/>
  <c r="F71" i="1"/>
  <c r="F64" i="1"/>
  <c r="F2325" i="1"/>
  <c r="F932" i="1"/>
  <c r="F2263" i="1"/>
  <c r="F1714" i="1"/>
  <c r="F2265" i="1"/>
  <c r="F39" i="1"/>
  <c r="F302" i="1"/>
  <c r="F2143" i="1"/>
  <c r="F2065" i="1"/>
  <c r="F439" i="1"/>
  <c r="F1226" i="1"/>
  <c r="F30" i="1"/>
  <c r="F15" i="1"/>
  <c r="F667" i="1"/>
  <c r="F108" i="1"/>
  <c r="F47" i="1"/>
  <c r="F66" i="1"/>
  <c r="F727" i="1"/>
  <c r="F20" i="1"/>
  <c r="F118" i="1"/>
  <c r="F400" i="1"/>
  <c r="F921" i="1"/>
  <c r="F1171" i="1"/>
  <c r="F1305" i="1"/>
  <c r="F1318" i="1"/>
  <c r="F1929" i="1"/>
  <c r="F1977" i="1"/>
  <c r="F1904" i="1"/>
  <c r="F1969" i="1"/>
  <c r="F1927" i="1"/>
  <c r="F1891" i="1"/>
  <c r="F239" i="1"/>
  <c r="F2262" i="1"/>
  <c r="F183" i="1"/>
  <c r="F1786" i="1"/>
  <c r="F2349" i="1"/>
  <c r="F37" i="1"/>
  <c r="F21" i="1"/>
  <c r="F49" i="1"/>
  <c r="F648" i="1"/>
  <c r="F775" i="1"/>
  <c r="F402" i="1"/>
  <c r="F14" i="1"/>
  <c r="F9" i="1"/>
  <c r="F2397" i="1"/>
  <c r="F1580" i="1"/>
  <c r="F1792" i="1"/>
  <c r="F1630" i="1"/>
  <c r="F1668" i="1"/>
  <c r="F53" i="1"/>
  <c r="F2337" i="1"/>
  <c r="F2271" i="1"/>
  <c r="F2" i="1"/>
  <c r="F1283" i="1"/>
  <c r="F2346" i="1"/>
  <c r="F748" i="1"/>
  <c r="F1020" i="1"/>
  <c r="F158" i="1"/>
  <c r="F329" i="1"/>
  <c r="F1682" i="1"/>
  <c r="F2198" i="1"/>
  <c r="F1488" i="1"/>
  <c r="F272" i="1"/>
  <c r="F2473" i="1"/>
  <c r="F120" i="1"/>
  <c r="F1942" i="1"/>
  <c r="F839" i="1"/>
  <c r="F202" i="1"/>
  <c r="F262" i="1"/>
  <c r="F2226" i="1"/>
  <c r="F1442" i="1"/>
  <c r="F2242" i="1"/>
  <c r="F1578" i="1"/>
  <c r="F265" i="1"/>
  <c r="F170" i="1"/>
  <c r="F1102" i="1"/>
  <c r="F710" i="1"/>
  <c r="F1213" i="1"/>
  <c r="F766" i="1"/>
  <c r="F2468" i="1"/>
  <c r="F1485" i="1"/>
  <c r="F2082" i="1"/>
  <c r="F1914" i="1"/>
  <c r="F1840" i="1"/>
  <c r="F1308" i="1"/>
  <c r="F1316" i="1"/>
  <c r="F1560" i="1"/>
  <c r="F1045" i="1"/>
  <c r="F1041" i="1"/>
  <c r="F1235" i="1"/>
  <c r="F2235" i="1"/>
  <c r="F1498" i="1"/>
  <c r="F2317" i="1"/>
  <c r="F1579" i="1"/>
  <c r="F930" i="1"/>
  <c r="F947" i="1"/>
  <c r="F1313" i="1"/>
  <c r="F948" i="1"/>
  <c r="F411" i="1"/>
  <c r="F210" i="1"/>
  <c r="F1271" i="1"/>
  <c r="F595" i="1"/>
  <c r="F943" i="1"/>
  <c r="F94" i="1"/>
  <c r="F957" i="1"/>
  <c r="F1314" i="1"/>
  <c r="F997" i="1"/>
  <c r="F2047" i="1"/>
  <c r="F813" i="1"/>
  <c r="F1558" i="1"/>
  <c r="F1060" i="1"/>
  <c r="F841" i="1"/>
  <c r="F828" i="1"/>
  <c r="F1121" i="1"/>
  <c r="F387" i="1"/>
  <c r="F1057" i="1"/>
  <c r="F1582" i="1"/>
  <c r="F1570" i="1"/>
  <c r="F1861" i="1"/>
  <c r="F1879" i="1"/>
  <c r="F701" i="1"/>
  <c r="F153" i="1"/>
  <c r="F579" i="1"/>
  <c r="F417" i="1"/>
  <c r="F1965" i="1"/>
  <c r="F1017" i="1"/>
  <c r="F1107" i="1"/>
  <c r="F2288" i="1"/>
  <c r="F1665" i="1"/>
  <c r="F1062" i="1"/>
  <c r="F1635" i="1"/>
  <c r="F2100" i="1"/>
  <c r="F2141" i="1"/>
  <c r="F1765" i="1"/>
  <c r="F1551" i="1"/>
  <c r="F2256" i="1"/>
  <c r="F2205" i="1"/>
  <c r="F2071" i="1"/>
  <c r="F2124" i="1"/>
  <c r="F846" i="1"/>
  <c r="F2364" i="1"/>
  <c r="F2207" i="1"/>
  <c r="F643" i="1"/>
  <c r="F1239" i="1"/>
  <c r="F762" i="1"/>
  <c r="F1025" i="1"/>
  <c r="F2459" i="1"/>
  <c r="F1127" i="1"/>
  <c r="F1503" i="1"/>
  <c r="F2460" i="1"/>
  <c r="F1791" i="1"/>
  <c r="F1565" i="1"/>
  <c r="F2415" i="1"/>
  <c r="F855" i="1"/>
  <c r="F1187" i="1"/>
  <c r="F1086" i="1"/>
  <c r="F1656" i="1"/>
  <c r="F1080" i="1"/>
  <c r="F1038" i="1"/>
  <c r="F1774" i="1"/>
  <c r="F866" i="1"/>
  <c r="F1548" i="1"/>
  <c r="F2250" i="1"/>
  <c r="F2210" i="1"/>
  <c r="F1484" i="1"/>
  <c r="F2379" i="1"/>
  <c r="F521" i="1"/>
  <c r="F1534" i="1"/>
  <c r="F1689" i="1"/>
  <c r="F1367" i="1"/>
  <c r="F1156" i="1"/>
  <c r="F661" i="1"/>
  <c r="F1393" i="1"/>
  <c r="F1382" i="1"/>
  <c r="F1074" i="1"/>
  <c r="F2345" i="1"/>
  <c r="F949" i="1"/>
  <c r="F2126" i="1"/>
  <c r="F2117" i="1"/>
  <c r="F2019" i="1"/>
  <c r="F2035" i="1"/>
  <c r="F2051" i="1"/>
  <c r="F1960" i="1"/>
  <c r="F2089" i="1"/>
  <c r="F1790" i="1"/>
  <c r="F1015" i="1"/>
  <c r="F1129" i="1"/>
  <c r="F1589" i="1"/>
  <c r="F1568" i="1"/>
  <c r="F1562" i="1"/>
  <c r="F1676" i="1"/>
  <c r="F1711" i="1"/>
  <c r="F1536" i="1"/>
  <c r="F1918" i="1"/>
  <c r="F2122" i="1"/>
  <c r="F1749" i="1"/>
  <c r="F1759" i="1"/>
  <c r="F891" i="1"/>
  <c r="F1610" i="1"/>
  <c r="F310" i="1"/>
  <c r="F470" i="1"/>
  <c r="F1117" i="1"/>
  <c r="F1011" i="1"/>
  <c r="F1539" i="1"/>
  <c r="F1337" i="1"/>
  <c r="F1652" i="1"/>
  <c r="F2435" i="1"/>
  <c r="F805" i="1"/>
  <c r="F729" i="1"/>
  <c r="F718" i="1"/>
  <c r="F1561" i="1"/>
  <c r="F941" i="1"/>
  <c r="F2061" i="1"/>
  <c r="F1994" i="1"/>
  <c r="F435" i="1"/>
  <c r="F1463" i="1"/>
  <c r="F1574" i="1"/>
  <c r="F1448" i="1"/>
  <c r="F2291" i="1"/>
  <c r="F2098" i="1"/>
  <c r="F1975" i="1"/>
  <c r="F1599" i="1"/>
  <c r="F576" i="1"/>
  <c r="F1349" i="1"/>
  <c r="F233" i="1"/>
  <c r="F238" i="1"/>
  <c r="F81" i="1"/>
  <c r="F1829" i="1"/>
  <c r="F1707" i="1"/>
  <c r="F1657" i="1"/>
  <c r="F1000" i="1"/>
  <c r="F1329" i="1"/>
  <c r="F16" i="1"/>
  <c r="F101" i="1"/>
  <c r="F2374" i="1"/>
  <c r="F1532" i="1"/>
  <c r="F549" i="1"/>
  <c r="F637" i="1"/>
  <c r="F1999" i="1"/>
  <c r="F541" i="1"/>
  <c r="F697" i="1"/>
  <c r="F1401" i="1"/>
  <c r="F1373" i="1"/>
  <c r="F235" i="1"/>
  <c r="F821" i="1"/>
  <c r="F1932" i="1"/>
  <c r="F1998" i="1"/>
  <c r="F1567" i="1"/>
  <c r="F1816" i="1"/>
  <c r="F945" i="1"/>
  <c r="F1557" i="1"/>
  <c r="F1716" i="1"/>
  <c r="F2026" i="1"/>
  <c r="F2040" i="1"/>
  <c r="F1771" i="1"/>
  <c r="F364" i="1"/>
  <c r="F2004" i="1"/>
  <c r="F1780" i="1"/>
  <c r="F1831" i="1"/>
  <c r="F1896" i="1"/>
  <c r="F2404" i="1"/>
  <c r="F2041" i="1"/>
  <c r="F1931" i="1"/>
  <c r="F1118" i="1"/>
  <c r="F1428" i="1"/>
  <c r="F2276" i="1"/>
  <c r="F2400" i="1"/>
  <c r="F1920" i="1"/>
  <c r="F1805" i="1"/>
  <c r="F1868" i="1"/>
  <c r="F927" i="1"/>
  <c r="F1752" i="1"/>
  <c r="F599" i="1"/>
  <c r="F508" i="1"/>
  <c r="F2398" i="1"/>
  <c r="F1272" i="1"/>
  <c r="F2338" i="1"/>
  <c r="F931" i="1"/>
  <c r="F760" i="1"/>
  <c r="F2361" i="1"/>
  <c r="F2402" i="1"/>
  <c r="F1228" i="1"/>
  <c r="F618" i="1"/>
  <c r="F674" i="1"/>
  <c r="F1016" i="1"/>
  <c r="F436" i="1"/>
  <c r="F2217" i="1"/>
  <c r="F1319" i="1"/>
  <c r="F1761" i="1"/>
  <c r="F1099" i="1"/>
  <c r="F635" i="1"/>
  <c r="F1923" i="1"/>
  <c r="F1294" i="1"/>
  <c r="F1370" i="1"/>
  <c r="F2062" i="1"/>
  <c r="F2243" i="1"/>
  <c r="F2010" i="1"/>
  <c r="F344" i="1"/>
  <c r="F56" i="1"/>
  <c r="F252" i="1"/>
  <c r="F742" i="1"/>
  <c r="F542" i="1"/>
  <c r="F431" i="1"/>
  <c r="F1526" i="1"/>
  <c r="F240" i="1"/>
  <c r="F695" i="1"/>
  <c r="F2167" i="1"/>
  <c r="F2006" i="1"/>
  <c r="F1772" i="1"/>
  <c r="F1457" i="1"/>
  <c r="F1390" i="1"/>
  <c r="F1678" i="1"/>
  <c r="F1151" i="1"/>
  <c r="F1400" i="1"/>
  <c r="F1845" i="1"/>
  <c r="F2118" i="1"/>
  <c r="F2036" i="1"/>
  <c r="F1933" i="1"/>
  <c r="F1967" i="1"/>
  <c r="F1192" i="1"/>
  <c r="F511" i="1"/>
  <c r="F580" i="1"/>
  <c r="F1369" i="1"/>
  <c r="F881" i="1"/>
  <c r="F225" i="1"/>
  <c r="F1315" i="1"/>
  <c r="F382" i="1"/>
  <c r="F888" i="1"/>
  <c r="F1700" i="1"/>
  <c r="F1886" i="1"/>
  <c r="F1600" i="1"/>
  <c r="F732" i="1"/>
  <c r="F1233" i="1"/>
  <c r="F1966" i="1"/>
  <c r="F2021" i="1"/>
  <c r="F1185" i="1"/>
  <c r="F1275" i="1"/>
  <c r="F929" i="1"/>
  <c r="F1625" i="1"/>
  <c r="F1297" i="1"/>
  <c r="F1649" i="1"/>
  <c r="F1415" i="1"/>
  <c r="F1252" i="1"/>
  <c r="F1141" i="1"/>
  <c r="F2326" i="1"/>
  <c r="F1632" i="1"/>
  <c r="F2112" i="1"/>
  <c r="F123" i="1"/>
  <c r="F1491" i="1"/>
  <c r="F2372" i="1"/>
  <c r="F1004" i="1"/>
  <c r="F859" i="1"/>
  <c r="F2438" i="1"/>
  <c r="F1695" i="1"/>
  <c r="F1279" i="1"/>
  <c r="F2386" i="1"/>
  <c r="F1850" i="1"/>
  <c r="F1087" i="1"/>
  <c r="F1384" i="1"/>
  <c r="F1748" i="1"/>
  <c r="F1231" i="1"/>
  <c r="F1943" i="1"/>
  <c r="F2442" i="1"/>
  <c r="F1631" i="1"/>
  <c r="F2103" i="1"/>
  <c r="F2443" i="1"/>
  <c r="F1664" i="1"/>
  <c r="F1822" i="1"/>
  <c r="F2481" i="1"/>
  <c r="F2298" i="1"/>
  <c r="F2371" i="1"/>
  <c r="F2403" i="1"/>
  <c r="F675" i="1"/>
  <c r="F434" i="1"/>
  <c r="F646" i="1"/>
  <c r="F287" i="1"/>
  <c r="F744" i="1"/>
  <c r="F2350" i="1"/>
  <c r="F2452" i="1"/>
  <c r="F1030" i="1"/>
  <c r="F2474" i="1"/>
  <c r="F640" i="1"/>
  <c r="F1288" i="1"/>
  <c r="F563" i="1"/>
  <c r="F1439" i="1"/>
  <c r="F2023" i="1"/>
  <c r="F348" i="1"/>
  <c r="F2406" i="1"/>
  <c r="F1306" i="1"/>
  <c r="F1809" i="1"/>
  <c r="F694" i="1"/>
  <c r="F1426" i="1"/>
  <c r="F1262" i="1"/>
  <c r="F1170" i="1"/>
  <c r="F1241" i="1"/>
  <c r="F522" i="1"/>
  <c r="F514" i="1"/>
  <c r="F1022" i="1"/>
  <c r="F196" i="1"/>
  <c r="F371" i="1"/>
  <c r="F2292" i="1"/>
  <c r="F288" i="1"/>
  <c r="F819" i="1"/>
  <c r="F708" i="1"/>
  <c r="F721" i="1"/>
  <c r="F1380" i="1"/>
  <c r="F1835" i="1"/>
  <c r="F308" i="1"/>
  <c r="F545" i="1"/>
  <c r="F670" i="1"/>
  <c r="F817" i="1"/>
  <c r="F283" i="1"/>
  <c r="F461" i="1"/>
  <c r="F294" i="1"/>
  <c r="F245" i="1"/>
  <c r="F2059" i="1"/>
  <c r="F1046" i="1"/>
  <c r="F1622" i="1"/>
  <c r="F1571" i="1"/>
  <c r="F867" i="1"/>
  <c r="F1032" i="1"/>
  <c r="F1517" i="1"/>
  <c r="F971" i="1"/>
  <c r="F174" i="1"/>
  <c r="F405" i="1"/>
  <c r="F1218" i="1"/>
  <c r="F2472" i="1"/>
  <c r="F301" i="1"/>
  <c r="F954" i="1"/>
  <c r="F346" i="1"/>
  <c r="F280" i="1"/>
  <c r="F2247" i="1"/>
  <c r="F2313" i="1"/>
  <c r="F1715" i="1"/>
  <c r="F1705" i="1"/>
  <c r="F1564" i="1"/>
  <c r="F477" i="1"/>
  <c r="F608" i="1"/>
  <c r="F1377" i="1"/>
  <c r="F634" i="1"/>
  <c r="F1617" i="1"/>
  <c r="F2308" i="1"/>
  <c r="F1738" i="1"/>
  <c r="F800" i="1"/>
  <c r="F1926" i="1"/>
  <c r="F1023" i="1"/>
  <c r="F2037" i="1"/>
  <c r="F1049" i="1"/>
  <c r="F1653" i="1"/>
  <c r="F1116" i="1"/>
  <c r="F1476" i="1"/>
  <c r="F1629" i="1"/>
  <c r="F1827" i="1"/>
  <c r="F2008" i="1"/>
  <c r="F2043" i="1"/>
  <c r="F1919" i="1"/>
  <c r="F1040" i="1"/>
  <c r="F956" i="1"/>
  <c r="F1466" i="1"/>
  <c r="F281" i="1"/>
  <c r="F396" i="1"/>
  <c r="F983" i="1"/>
  <c r="F1530" i="1"/>
  <c r="F257" i="1"/>
  <c r="F229" i="1"/>
  <c r="F2434" i="1"/>
  <c r="F2461" i="1"/>
  <c r="F1018" i="1"/>
  <c r="F386" i="1"/>
  <c r="F336" i="1"/>
  <c r="F982" i="1"/>
  <c r="F353" i="1"/>
  <c r="F924" i="1"/>
  <c r="F1395" i="1"/>
  <c r="F1341" i="1"/>
  <c r="F730" i="1"/>
  <c r="F1157" i="1"/>
  <c r="F570" i="1"/>
  <c r="F1094" i="1"/>
  <c r="F1435" i="1"/>
  <c r="F1131" i="1"/>
  <c r="F361" i="1"/>
  <c r="F1651" i="1"/>
  <c r="F249" i="1"/>
  <c r="F127" i="1"/>
  <c r="F944" i="1"/>
  <c r="F1513" i="1"/>
  <c r="F2463" i="1"/>
  <c r="F1325" i="1"/>
  <c r="F1621" i="1"/>
  <c r="F1871" i="1"/>
  <c r="F2363" i="1"/>
  <c r="F1289" i="1"/>
  <c r="F1576" i="1"/>
  <c r="F1251" i="1"/>
  <c r="F2439" i="1"/>
  <c r="F1122" i="1"/>
  <c r="F2083" i="1"/>
  <c r="F1224" i="1"/>
  <c r="F403" i="1"/>
  <c r="F918" i="1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<sst xmlns="http://schemas.openxmlformats.org/spreadsheetml/2006/main" count="14991" uniqueCount="4562">
  <si>
    <t>Total US</t>
  </si>
  <si>
    <t>Weeks</t>
  </si>
  <si>
    <t>GMI_CATEGORY</t>
  </si>
  <si>
    <t>GMI_MANUFACTURER</t>
  </si>
  <si>
    <t>ITEM</t>
  </si>
  <si>
    <t>$</t>
  </si>
  <si>
    <t>Total US xAOC</t>
  </si>
  <si>
    <t>1 w/e 10/14/23</t>
  </si>
  <si>
    <t>RTE CEREAL</t>
  </si>
  <si>
    <t>GMI</t>
  </si>
  <si>
    <t xml:space="preserve">:RATIO GRANOLA CEREAL CHOCOLATE ALMOND GRANOLA READY TO EAT BAG 8 OUNCE </t>
  </si>
  <si>
    <t>13,502.417</t>
  </si>
  <si>
    <t xml:space="preserve">:RATIO GRANOLA CEREAL COCONUT ALMOND GRANOLA READY TO EAT BAG 8 OUNCE </t>
  </si>
  <si>
    <t>120,603.074</t>
  </si>
  <si>
    <t xml:space="preserve">:RATIO GRANOLA CEREAL TOASTED ALMOND GRANOLA READY TO EAT BAG 8 OUNCE </t>
  </si>
  <si>
    <t>109,576.321</t>
  </si>
  <si>
    <t xml:space="preserve">:RATIO RTE CEREAL CINNAMON CRANBERRY ALMOND CRUN READY TO EAT BAG IN BOX 9.7 OUNCE </t>
  </si>
  <si>
    <t>55,990.198</t>
  </si>
  <si>
    <t xml:space="preserve">:RATIO RTE CEREAL MAPLE ALMOND CRUNCH READY TO EAT BAG IN BOX 10.4 OUNCE </t>
  </si>
  <si>
    <t>114,527.893</t>
  </si>
  <si>
    <t xml:space="preserve">:RATIO VANILLA ALMOND CRUNCH RTE CEREAL VANILLA ALMOND CRUNCH READY TO EAT BAG IN BOX 10.4 OUNCE </t>
  </si>
  <si>
    <t>67,216.94</t>
  </si>
  <si>
    <t xml:space="preserve">ANNIE'S HOMEGROWN BIRTHDAY CAK RTE CEREAL OAT CORN AND RICE READY TO EAT BAG IN BOX 9.4 OUNCE </t>
  </si>
  <si>
    <t>290.496</t>
  </si>
  <si>
    <t xml:space="preserve">ANNIE'S HOMEGROWN COCOA BUNNIE RTE CEREAL OAT CORN AND RICE READY TO EAT BAG IN BOX 10 OUNCE </t>
  </si>
  <si>
    <t>28,703.281</t>
  </si>
  <si>
    <t xml:space="preserve">ANNIE'S HOMEGROWN FRUITY BUNNI RTE CEREAL SWEETENED ORGANIC CORN AND OAT READY TO EAT BAG IN BOX 10 OUNCE </t>
  </si>
  <si>
    <t>204.3</t>
  </si>
  <si>
    <t xml:space="preserve">ANNIE'S ORGANIC CINNAMON ROLL RTE CEREAL NATURALLY FLAVORED CINNAMON READY TO EAT BAG IN BOX 10 OUNCE </t>
  </si>
  <si>
    <t xml:space="preserve">CASCADIAN FARM BERRY VANILLA P RTE CEREAL LGHT SWT NTR BRY PRP YL CRN PF READY TO EAT BOX 10.25 OUNCE </t>
  </si>
  <si>
    <t xml:space="preserve">CASCADIAN FARM BLUEBERRY ALMON RTE CEREAL BLUEBERRY ALMOND CRUNCH READY TO EAT BAG IN BOX 34 OUNCE </t>
  </si>
  <si>
    <t xml:space="preserve">CASCADIAN FARM BROWNIE CRUNCH RTE CEREAL BROWNIE CRUNCH CEREAL READY TO EAT BOX 12.4 OUNCE </t>
  </si>
  <si>
    <t xml:space="preserve">CASCADIAN FARM BUZZ CRUNCH RTE CEREAL WHL GN OAT CRP RC CN FLK AL HN READY TO EAT BOX 14.4 OUNCE </t>
  </si>
  <si>
    <t xml:space="preserve">CASCADIAN FARM CINNAMON CRUNCH RTE CEREAL CINNAMON CRUNCH READY TO EAT BAG IN BOX 14.5 OUNCE </t>
  </si>
  <si>
    <t xml:space="preserve">CASCADIAN FARM CINNAMON CRUNCH RTE CEREAL CINNAMON CRUNCH READY TO EAT BOX 9.2 OUNCE </t>
  </si>
  <si>
    <t xml:space="preserve">CASCADIAN FARM CINNAMON CRUNCH RTE CEREAL WHL GRN SQRS LGHTL SPRNK CNMN READY TO EAT BOX 9.2 OUNCE </t>
  </si>
  <si>
    <t xml:space="preserve">CASCADIAN FARM CLIMATE SMART K RTE CEREAL WHL GRN KRNZ WHT FLKS FLKS HNY READY TO EAT BAG IN BOX 13.3 OUNCE </t>
  </si>
  <si>
    <t xml:space="preserve">CASCADIAN FARM CNMN RSN GRNL GRANOLA CEREAL CINNAMON RAISIN GRANOLA READY TO EAT BAG IN BOX 15.6 OUNCE </t>
  </si>
  <si>
    <t xml:space="preserve">CASCADIAN FARM COCOA CRISPY RI RTE CEREAL COCOA CRISPY RICE READY TO EAT BAG IN BOX 12 OUNCE </t>
  </si>
  <si>
    <t xml:space="preserve">CASCADIAN FARM COCONUT CASHEW GRANOLA CEREAL WHOLE GRAIN OATS DATE POWDER C READY TO EAT BAG IN BOX 14 OUNCE </t>
  </si>
  <si>
    <t xml:space="preserve">CASCADIAN FARM FRENCH VANILLA GRANOLA CEREAL FRENCH VANILLA ALMOND READY TO EAT BAG IN BOX 22 OUNCE </t>
  </si>
  <si>
    <t xml:space="preserve">CASCADIAN FARM FRENCH VANILLA GRANOLA CEREAL WHL GRN OAT CRSP RC SLCD ALMND READY TO EAT BOX 13 OUNCE </t>
  </si>
  <si>
    <t xml:space="preserve">CASCADIAN FARM FRUITFUL O'S RTE CEREAL NTRLY FRT FLVRD SWTND CRN OAT READY TO EAT BOX 10.2 OUNCE </t>
  </si>
  <si>
    <t xml:space="preserve">CASCADIAN FARM FRUITY CRISPY R RTE CEREAL FRUITY CRISPY RICE READY TO EAT BAG IN BOX 11.5 OUNCE </t>
  </si>
  <si>
    <t xml:space="preserve">CASCADIAN FARM FRUITY CRISPY R RTE CEREAL FRUITY CRISPY RICE READY TO EAT BAG IN BOX 16 OUNCE </t>
  </si>
  <si>
    <t xml:space="preserve">CASCADIAN FARM GRAHAM CRUNCH RTE CEREAL GRAHAM SQR WHT RC OAT SPRN SGR READY TO EAT BOX 9.6 OUNCE </t>
  </si>
  <si>
    <t xml:space="preserve">CASCADIAN FARM GRANOLA CEREAL CINNAMON RAISIN GRANOLA READY TO EAT BAG 11 OUNCE </t>
  </si>
  <si>
    <t xml:space="preserve">CASCADIAN FARM GRANOLA CEREAL COCOA ALMOND GRANOLA READY TO EAT ENVELOP IN BOX 15 OUNCE </t>
  </si>
  <si>
    <t xml:space="preserve">CASCADIAN FARM GRANOLA CEREAL DARK CHOCOLATE ALMOND GRANOLA READY TO EAT BAG 11 OUNCE </t>
  </si>
  <si>
    <t xml:space="preserve">CASCADIAN FARM GRANOLA CEREAL FRENCH VANILLA ALMOND GRANOLA READY TO EAT BAG 11 OUNCE </t>
  </si>
  <si>
    <t xml:space="preserve">CASCADIAN FARM GRANOLA CEREAL FRUIT AND NUT GRANOLA READY TO EAT BAG 11 OUNCE </t>
  </si>
  <si>
    <t xml:space="preserve">CASCADIAN FARM GRANOLA CEREAL FRUIT AND NUT GRANOLA READY TO EAT BAG IN BOX 13.5 OUNCE </t>
  </si>
  <si>
    <t xml:space="preserve">CASCADIAN FARM GRANOLA CEREAL FRUIT AND NUT GRANOLA READY TO EAT BAG IN BOX 22.9 OUNCE </t>
  </si>
  <si>
    <t xml:space="preserve">CASCADIAN FARM GRANOLA CEREAL HONEY CASHEW GRANOLA READY TO EAT ENVELOP IN BOX 15 OUNCE </t>
  </si>
  <si>
    <t xml:space="preserve">CASCADIAN FARM GRANOLA CEREAL OAT AND HONEY GRANOLA READY TO EAT BAG 11 OUNCE </t>
  </si>
  <si>
    <t xml:space="preserve">CASCADIAN FARM GRANOLA CEREAL OATS AND HONEY GRANOLA READY TO EAT BOX 16 OUNCE </t>
  </si>
  <si>
    <t xml:space="preserve">CASCADIAN FARM GRANOLA CEREAL WHOLE GRAIN OATS DATE POWDER A READY TO EAT BAG IN BOX 13 OUNCE </t>
  </si>
  <si>
    <t xml:space="preserve">CASCADIAN FARM GRANOLA CEREAL WHOLE GRAIN OATS DATE POWDER B READY TO EAT BAG 11 OUNCE </t>
  </si>
  <si>
    <t xml:space="preserve">CASCADIAN FARM GRANOLA CEREAL WHOLE GRAIN OATS DATE POWDER READY TO EAT BAG 11 OUNCE </t>
  </si>
  <si>
    <t xml:space="preserve">CASCADIAN FARM GRANOLA CEREAL WHOLE GRAIN OATS DATE PWDR CN READY TO EAT BAG 11 OUNCE </t>
  </si>
  <si>
    <t xml:space="preserve">CASCADIAN FARM HEARTY MORNING RTE CEREAL WHL WHT FLK GRN CLS CRN BRN TW READY TO EAT BAG IN BOX 14.6 OUNCE </t>
  </si>
  <si>
    <t xml:space="preserve">CASCADIAN FARM HONEY NUT O'S RTE CEREAL WHL GRN OAT BRLY TCHD HNY ALMN READY TO EAT BAG IN BOX 9.5 OUNCE </t>
  </si>
  <si>
    <t xml:space="preserve">CASCADIAN FARM HONEY OAT CRUNC RTE CEREAL CORN FLAKES WHEAT FLAKES WHL G READY TO EAT BAG IN BOX 13.5 OUNCE </t>
  </si>
  <si>
    <t xml:space="preserve">CASCADIAN FARM MULTI GRN SQRS RTE CEREAL WHOLE WHT RC CRN BKD DLCS CRSP READY TO EAT BAG IN BOX 12.3 OUNCE </t>
  </si>
  <si>
    <t xml:space="preserve">CASCADIAN FARM PURELY O'S RTE CEREAL PURELY O S READY TO EAT BAG IN BOX 11.75 OUNCE </t>
  </si>
  <si>
    <t xml:space="preserve">CASCADIAN FARM PURELY O'S RTE CEREAL WHOLE GRAIN OAT AND BARLEY READY TO EAT BAG IN BOX 8.6 OUNCE </t>
  </si>
  <si>
    <t xml:space="preserve">CASCADIAN FARM RAISIN BRAN RTE CEREAL RAISIN BRAN READY TO EAT BOX 12 OUNCE </t>
  </si>
  <si>
    <t xml:space="preserve">CASCADIAN FARM RTE CEREAL FROSTED FLAKES WITH SPROUTED W READY TO EAT BAG IN BOX 12.7 OUNCE </t>
  </si>
  <si>
    <t xml:space="preserve">CASCADIAN FARM RTE CEREAL HONEY VANILLA CRUNCH READY TO EAT BAG IN BOX 10.5 OUNCE </t>
  </si>
  <si>
    <t xml:space="preserve">CASCADIAN FARM RTE CEREAL VANILLA CRISP READY TO EAT BAG IN BOX 12.5 OUNCE </t>
  </si>
  <si>
    <t xml:space="preserve">CASCADIAN FARM RTE CEREAL WHOLE GRAIN WHEAT READY TO EAT BAG IN BOX 12.2 OUNCE </t>
  </si>
  <si>
    <t xml:space="preserve">CSCDN FRM GRNL DRK CHCLT ALMND GRANOLA CEREAL DARK CHOCOLATE ALMOND GRANOLA READY TO EAT BAG IN BOX 13.25 OUNCE </t>
  </si>
  <si>
    <t xml:space="preserve">CSCDN FRM MPL BRWN SGR GRNL GRANOLA CEREAL MAPLE BROWN SUGAR GRANOLA READY TO EAT BOX 15 OUNCE </t>
  </si>
  <si>
    <t xml:space="preserve">CSCDN FRM OATS AND HNY GRNL GRANOLA CEREAL OATS AND HONEY GRANOLA READY TO EAT BAG IN BOX 22.4 OUNCE </t>
  </si>
  <si>
    <t xml:space="preserve">GENERAL MILLS APPLE CNMN CHRS RTE CEREAL SWEETENED WHOLE GRAIN OAT CRL READY TO EAT BAG IN BOX 14.2 OUNCE </t>
  </si>
  <si>
    <t xml:space="preserve">GENERAL MILLS APPLE CNMN CHRS RTE CEREAL SWEETENED WHOLE GRAIN OAT CRL READY TO EAT BAG IN BOX 19 OUNCE </t>
  </si>
  <si>
    <t xml:space="preserve">GENERAL MILLS APPLE CNMN CHX RTE CEREAL SWEETENED RICE CEREAL READY TO EAT BAG IN BOX 12 OUNCE </t>
  </si>
  <si>
    <t xml:space="preserve">GENERAL MILLS APPLE CNMN CHX RTE CEREAL SWEETENED RICE CEREAL READY TO EAT BAG IN BOX 19.2 OUNCE </t>
  </si>
  <si>
    <t xml:space="preserve">GENERAL MILLS APPLE PIE TOAST RTE CEREAL SWEETENED WHOLE WHT AND RC CRL READY TO EAT BOX 12 OUNCE </t>
  </si>
  <si>
    <t xml:space="preserve">GENERAL MILLS APPLE PIE TOAST RTE CEREAL SWEETENED WHOLE WHT AND RC CRL READY TO EAT BOX 18.8 OUNCE </t>
  </si>
  <si>
    <t xml:space="preserve">GENERAL MILLS BASIC 4 RTE CEREAL MULTIGRAIN CEREAL WITH FRUIT A READY TO EAT BAG IN BOX 19.8 OUNCE </t>
  </si>
  <si>
    <t xml:space="preserve">GENERAL MILLS BERRY BERRY KIX RTE CEREAL LIGHTLY SWEETENED CORN CEREAL READY TO EAT BAG IN BOX 18 OUNCE </t>
  </si>
  <si>
    <t xml:space="preserve">GENERAL MILLS BERRY WITH MARSH RTE CEREAL BERRY FLAVORED SWEETENED CRN M READY TO EAT BAG IN BOX 11.2 OUNCE </t>
  </si>
  <si>
    <t xml:space="preserve">GENERAL MILLS BLUEBERRY CHEERI RTE CEREAL SWEETENED WHOLE GRAIN OAT READY TO EAT BAG IN BOX 14.2 OUNCE </t>
  </si>
  <si>
    <t xml:space="preserve">GENERAL MILLS BLUEBERRY CHEERI RTE CEREAL SWEETENED WHOLE GRAIN OAT READY TO EAT BAG IN BOX 19 OUNCE </t>
  </si>
  <si>
    <t xml:space="preserve">GENERAL MILLS BLUEBERRY CHEX RTE CEREAL SWEETENED RICE CEREAL READY TO EAT BOX 12 OUNCE </t>
  </si>
  <si>
    <t xml:space="preserve">GENERAL MILLS BOO BERRY RTE CEREAL ARTIFICIAL BERRY FLAVOR FROSTE READY TO EAT BAG IN BOX 9.6 OUNCE </t>
  </si>
  <si>
    <t xml:space="preserve">GENERAL MILLS BOO BERRY RTE CEREAL ARTIFICIALLY BERRY FLVRD MNSTR READY TO EAT BAG IN BOX 16 OUNCE </t>
  </si>
  <si>
    <t xml:space="preserve">GENERAL MILLS CARMELLA CREEPER RTE CEREAL ARTFCLY CRML APL FLVRD SWTND READY TO EAT BOX 15.8 OUNCE </t>
  </si>
  <si>
    <t xml:space="preserve">GENERAL MILLS CARMELLA CREEPER RTE CEREAL ARTFCLY CRML APL FLVRD SWTND READY TO EAT BOX 9.3 OUNCE </t>
  </si>
  <si>
    <t xml:space="preserve">GENERAL MILLS CEREAL-READY TO EAT BOX 28 OUNCE </t>
  </si>
  <si>
    <t xml:space="preserve">GENERAL MILLS CEREAL-READY TO EAT BOX 37.5 OUNCE </t>
  </si>
  <si>
    <t xml:space="preserve">GENERAL MILLS CEREAL-READY TO EAT BOX 38.5 OUNCE </t>
  </si>
  <si>
    <t xml:space="preserve">GENERAL MILLS CEREAL-READY TO EAT BOX 38.9 OUNCE </t>
  </si>
  <si>
    <t xml:space="preserve">GENERAL MILLS CEREAL-READY TO EAT BOX 39.2 OUNCE </t>
  </si>
  <si>
    <t xml:space="preserve">GENERAL MILLS CEREAL-READY TO EAT BOX 9.144 OUNCE </t>
  </si>
  <si>
    <t xml:space="preserve">GENERAL MILLS CEREAL-READY TO EAT PARTY MIX BOX 54.25 OUNCE </t>
  </si>
  <si>
    <t xml:space="preserve">GENERAL MILLS CHCLT LCKY CHRMS RTE CEREAL CHOCOLATEY WHOLE GRN CRL MRSHM READY TO EAT BAG IN BOX 11 OUNCE </t>
  </si>
  <si>
    <t xml:space="preserve">GENERAL MILLS CHCLT LCKY CHRMS RTE CEREAL CHOCOLATEY WHOLE GRN CRL MRSHM READY TO EAT BAG IN BOX 18.8 OUNCE </t>
  </si>
  <si>
    <t xml:space="preserve">GENERAL MILLS CHCLT TST CRNCH RTE CEREAL NTRLY FLVRD CHCLT SWTND WHT RC READY TO EAT BAG IN BOX 19.5 OUNCE </t>
  </si>
  <si>
    <t xml:space="preserve">GENERAL MILLS CHCLT TST CRNCH RTE CEREAL NTRLY FLVRD CHCLT SWTND WHT WT READY TO EAT BAG IN BOX 12.4 OUNCE </t>
  </si>
  <si>
    <t xml:space="preserve">GENERAL MILLS CHEERIOS FROSTED RTE CEREAL SWEETENED WHOLE GRAIN OAT READY TO EAT BAG IN BOX 10.9 OUNCE </t>
  </si>
  <si>
    <t xml:space="preserve">GENERAL MILLS CHEERIOS FROSTED RTE CEREAL SWEETENED WHOLE GRAIN OAT READY TO EAT BAG IN BOX 18.5 OUNCE </t>
  </si>
  <si>
    <t xml:space="preserve">GENERAL MILLS CHEERIOS OAT CRU RTE CEREAL SWEETENED MULTIGRAIN WHOLE GRA READY TO EAT BAG IN BOX 18.2 OUNCE </t>
  </si>
  <si>
    <t xml:space="preserve">GENERAL MILLS CHEERIOS OAT CRU RTE CEREAL SWEETENED MULTIGRAIN WHOLE GRA READY TO EAT BAG IN BOX 24 OUNCE </t>
  </si>
  <si>
    <t xml:space="preserve">GENERAL MILLS CHEERIOS OAT CRU RTE CEREAL SWEETENED MULTIGRAIN WHOLE GRA READY TO EAT BAG IN BOX 59.5 OUNCE </t>
  </si>
  <si>
    <t xml:space="preserve">GENERAL MILLS CHEERIOS OAT CRU RTE CEREAL SWEETENED MULTIGRAIN WITH WHOL READY TO EAT BAG IN BOX 18 OUNCE </t>
  </si>
  <si>
    <t xml:space="preserve">GENERAL MILLS CHEERIOS OAT CRU RTE CEREAL SWEETENED MULTIGRAIN WITH WHOL READY TO EAT BAG IN BOX 18.2 OUNCE </t>
  </si>
  <si>
    <t xml:space="preserve">GENERAL MILLS CHEERIOS OAT CRU RTE CEREAL SWEETENED MULTIGRAIN WITH WHOL READY TO EAT BAG IN BOX 24 OUNCE </t>
  </si>
  <si>
    <t xml:space="preserve">GENERAL MILLS CHEERIOS RTE CEREAL SWEETENED MULTIGRAIN CEREAL READY TO EAT BAG IN BOX 12 OUNCE </t>
  </si>
  <si>
    <t xml:space="preserve">GENERAL MILLS CHEERIOS RTE CEREAL SWEETENED MULTIGRAIN CEREAL READY TO EAT BAG IN BOX 18 OUNCE </t>
  </si>
  <si>
    <t xml:space="preserve">GENERAL MILLS CHEERIOS RTE CEREAL SWEETENED WHOLE GRAIN OAT BAG IN BOX 10.9 OUNCE </t>
  </si>
  <si>
    <t xml:space="preserve">GENERAL MILLS CHEERIOS RTE CEREAL SWEETENED WHOLE GRAIN OAT BAG IN BOX 24.9 OUNCE </t>
  </si>
  <si>
    <t xml:space="preserve">GENERAL MILLS CHEERIOS RTE CEREAL SWEETENED WHOLE GRAIN OAT CRL READY TO EAT BAG IN BOX 14.3 OUNCE </t>
  </si>
  <si>
    <t xml:space="preserve">GENERAL MILLS CHEERIOS RTE CEREAL SWEETENED WHOLE GRAIN OAT CRL READY TO EAT BAG IN BOX 18.1 OUNCE </t>
  </si>
  <si>
    <t xml:space="preserve">GENERAL MILLS CHEERIOS RTE CEREAL TOASTED WHOLE GRAIN OAT CEREAL READY TO EAT BAG 28 OUNCE </t>
  </si>
  <si>
    <t xml:space="preserve">GENERAL MILLS CHEERIOS RTE CEREAL TOASTED WHOLE GRAIN OAT CEREAL READY TO EAT BAG IN BOX 18 OUNCE </t>
  </si>
  <si>
    <t xml:space="preserve">GENERAL MILLS CHEERIOS RTE CEREAL TOASTED WHOLE GRAIN OAT CEREAL READY TO EAT BAG IN BOX 20 OUNCE </t>
  </si>
  <si>
    <t>GENERAL MILLS CHEERIOS RTE CEREAL TOASTED WHOLE GRAIN OAT CEREAL READY TO EAT BOX 18 OUNCE X2</t>
  </si>
  <si>
    <t xml:space="preserve">GENERAL MILLS CHEERIOS RTE CEREAL TOASTED WHOLE GRAIN OAT CEREAL READY TO EAT BOX 20 OUNCE </t>
  </si>
  <si>
    <t xml:space="preserve">GENERAL MILLS CHEERIOS RTE CEREAL TOASTED WHOLE GRAIN OAT CEREAL READY TO EAT BOX 8.9 OUNCE </t>
  </si>
  <si>
    <t>GENERAL MILLS CHEERIOS RTE CEREAL TOASTED WHOLE GRAIN OAT CEREAL READY TO EAT CUP 1.3 OUNCE X4</t>
  </si>
  <si>
    <t xml:space="preserve">GENERAL MILLS CHEERIOS RTE CEREAL TOASTED WHOLE GRAIN OAT CEREAL READY TO EAT TUB 1.3 OUNCE </t>
  </si>
  <si>
    <t xml:space="preserve">GENERAL MILLS CHEERIOS RTE CEREAL TOASTED WHOLE GRAIN OAT READY TO EAT BAG 2.2 OUNCE </t>
  </si>
  <si>
    <t xml:space="preserve">GENERAL MILLS CHEERIOS RTE CEREAL TOASTED WHOLE GRAIN OAT READY TO EAT BAG IN BOX 21.7 OUNCE </t>
  </si>
  <si>
    <t xml:space="preserve">GENERAL MILLS CHEERIOS RTE CEREAL TOASTED WHOLE GRAIN OAT READY TO EAT BAG IN BOX 8.9 OUNCE </t>
  </si>
  <si>
    <t xml:space="preserve">GENERAL MILLS CHEERIOS RTE CEREAL TOASTED WHOLE GRAIN OAT READY TO EAT BOX 18 OUNCE </t>
  </si>
  <si>
    <t>GENERAL MILLS CHEERIOS RTE CEREAL TOASTED WHOLE GRAIN OAT READY TO EAT BOX 20.35 OUNCE X2</t>
  </si>
  <si>
    <t xml:space="preserve">GENERAL MILLS CHEERIOS RTE CEREAL WHOLE GRAIN OAT CEREAL BAG IN BOX 12 OUNCE </t>
  </si>
  <si>
    <t xml:space="preserve">GENERAL MILLS CHEX RTE CEREAL SWEETENED CORN CEREAL READY TO EAT BAG IN BOX 12.8 OUNCE </t>
  </si>
  <si>
    <t xml:space="preserve">GENERAL MILLS CHOCOLATE CHEX RTE CEREAL SWEETENED RICE CEREAL NATURAL READY TO EAT BAG IN BOX 12.8 OUNCE </t>
  </si>
  <si>
    <t xml:space="preserve">GENERAL MILLS CHOCOLATE CHEX RTE CEREAL SWEETENED RICE CEREAL NATURAL READY TO EAT BAG IN BOX 20.3 OUNCE </t>
  </si>
  <si>
    <t xml:space="preserve">GENERAL MILLS CHOCOLATE CHEX RTE CEREAL SWEETENED RICE CEREAL NATURAL READY TO EAT BAG IN BOX 21.1 OUNCE </t>
  </si>
  <si>
    <t xml:space="preserve">GENERAL MILLS CHOCOLATE CHRS RTE CEREAL CHOCOLATE FLAVORED WHOLE GRAIN READY TO EAT BAG IN BOX 14.3 OUNCE </t>
  </si>
  <si>
    <t xml:space="preserve">GENERAL MILLS CHOCOLATE CHRS RTE CEREAL CHOCOLATE FLAVORED WHOLE GRAIN READY TO EAT BAG IN BOX 19.2 OUNCE </t>
  </si>
  <si>
    <t xml:space="preserve">GENERAL MILLS CHOCOLATE CHRS RTE CEREAL CHOCOLATE FLAVORED WHOLE GRAIN READY TO EAT BAG IN BOX 4.35 OUNCE </t>
  </si>
  <si>
    <t xml:space="preserve">GENERAL MILLS CHOCOLATE PEANUT RTE CEREAL DRIED CHERRIES AND HONEY GRANO READY TO EAT TRAY IN BOX 7.2 OUNCE </t>
  </si>
  <si>
    <t xml:space="preserve">GENERAL MILLS CHOCOLATE PEANUT RTE CEREAL SWEETENED RICE CORN REAL PEANU READY TO EAT BAG IN BOX 13.6 OUNCE </t>
  </si>
  <si>
    <t xml:space="preserve">GENERAL MILLS CHOCOLATE PEANUT RTE CEREAL SWEETENED RICE CORN REAL PEANU READY TO EAT BAG IN BOX 36.75 OUNCE </t>
  </si>
  <si>
    <t xml:space="preserve">GENERAL MILLS CHOCOLATE PEANUT RTE CEREAL SWEETENED WHOLE GRN OAT FLVRD READY TO EAT BAG IN BOX 14.2 OUNCE </t>
  </si>
  <si>
    <t xml:space="preserve">GENERAL MILLS CHOCOLATE PEANUT RTE CEREAL SWEETENED WHOLE GRN OAT FLVRD READY TO EAT BAG IN BOX 18 OUNCE </t>
  </si>
  <si>
    <t xml:space="preserve">GENERAL MILLS CHOCOLATE STRAWB RTE CEREAL SWEETENED WHOLE GRAIN OAT CRL READY TO EAT BAG IN BOX 10.9 OUNCE </t>
  </si>
  <si>
    <t xml:space="preserve">GENERAL MILLS CHOCOLATE STRAWB RTE CEREAL SWEETENED WHOLE GRAIN OAT CRL READY TO EAT BAG IN BOX 18.5 OUNCE </t>
  </si>
  <si>
    <t xml:space="preserve">GENERAL MILLS CHRS OAT CRNCH O RTE CEREAL SWEETENED MULTIGRAIN WHOLE GRA READY TO EAT BAG IN BOX 18.2 OUNCE </t>
  </si>
  <si>
    <t xml:space="preserve">GENERAL MILLS CHRS OAT CRNCH O RTE CEREAL SWEETENED MULTIGRAIN WITH WHO READY TO EAT BAG IN BOX 24 OUNCE </t>
  </si>
  <si>
    <t xml:space="preserve">GENERAL MILLS CINNA FUEGO TOAS RTE CEREAL NATURALLY FLAVORED SWTND CRL READY TO EAT BAG 5.9 OUNCE </t>
  </si>
  <si>
    <t xml:space="preserve">GENERAL MILLS CINNAGRAHAM TOAS RTE CEREAL SWEETENED WHEAT AND CORN READY TO EAT BAG IN BOX 12 OUNCE </t>
  </si>
  <si>
    <t xml:space="preserve">GENERAL MILLS CINNAGRAHAM TOAS RTE CEREAL SWEETENED WHEAT AND CORN READY TO EAT BAG IN BOX 18.8 OUNCE </t>
  </si>
  <si>
    <t xml:space="preserve">GENERAL MILLS CINNAMON CHEERIO RTE CEREAL SWEETENED WHOLE GRAIN OAT REAL READY TO EAT BAG IN BOX 14.3 OUNCE </t>
  </si>
  <si>
    <t xml:space="preserve">GENERAL MILLS CINNAMON CHEERIO RTE CEREAL SWEETENED WHOLE GRAIN OAT REAL READY TO EAT BAG IN BOX 18.5 OUNCE </t>
  </si>
  <si>
    <t xml:space="preserve">GENERAL MILLS CINNAMON CHEX RTE CEREAL SWEETENED RICE CEREAL WITH REA READY TO EAT BAG IN BOX 19.2 OUNCE </t>
  </si>
  <si>
    <t xml:space="preserve">GENERAL MILLS CINNAMON CHEX RTE CEREAL SWEETENED RICE CEREAL WITH REA READY TO EAT BAG IN BOX 19.6 OUNCE </t>
  </si>
  <si>
    <t xml:space="preserve">GENERAL MILLS CINNAMON CHEX RTE CEREAL SWEETENED RICE WITH REAL CNMN READY TO EAT BAG IN BOX 12 OUNCE </t>
  </si>
  <si>
    <t xml:space="preserve">GENERAL MILLS CINNAMON TOAST C RTE CEREAL CRISPY SWTND WHL WHT RC CRL READY TO EAT BAG IN BOX 12.3 OUNCE </t>
  </si>
  <si>
    <t xml:space="preserve">GENERAL MILLS CINNAMON TOAST C RTE CEREAL CRISPY SWTND WHL WHT RC CRL READY TO EAT BAG IN BOX 19 OUNCE </t>
  </si>
  <si>
    <t xml:space="preserve">GENERAL MILLS CINNAMON TOAST C RTE CEREAL CRISPY SWTND WHT AND RC CRL READY TO EAT BAG IN BOX 11.9 OUNCE </t>
  </si>
  <si>
    <t xml:space="preserve">GENERAL MILLS CINNAMON TOAST C RTE CEREAL CRISPY SWTND WHT AND RC CRL READY TO EAT BAG IN BOX 19.3 OUNCE </t>
  </si>
  <si>
    <t xml:space="preserve">GENERAL MILLS CINNAMON TOAST C RTE CEREAL NATURALLY FLAVORED CHOCOLATE S READY TO EAT BAG IN BOX 11.9 OUNCE </t>
  </si>
  <si>
    <t xml:space="preserve">GENERAL MILLS CINNAMON TOAST C RTE CEREAL NATURALLY FLAVORED CHOCOLATE S READY TO EAT BAG IN BOX 18.9 OUNCE </t>
  </si>
  <si>
    <t xml:space="preserve">GENERAL MILLS CLASSIC TRIX RTE CEREAL FRUIT FLAVORED SWTND CRN PF READY TO EAT BAG 35 OUNCE </t>
  </si>
  <si>
    <t xml:space="preserve">GENERAL MILLS CLASSIC TRIX RTE CEREAL FRUIT FLAVORED SWTND CRN PF READY TO EAT BAG IN BOX 10.7 OUNCE </t>
  </si>
  <si>
    <t xml:space="preserve">GENERAL MILLS CLASSIC TRIX RTE CEREAL FRUIT FLAVORED SWTND CRN PF READY TO EAT BAG IN BOX 13.9 OUNCE </t>
  </si>
  <si>
    <t xml:space="preserve">GENERAL MILLS CLASSIC TRIX RTE CEREAL FRUIT FLAVORED SWTND CRN PF READY TO EAT BAG IN BOX 25.4 OUNCE </t>
  </si>
  <si>
    <t xml:space="preserve">GENERAL MILLS CNMN TST CRNCH RTE CEREAL CRISPY SWEETENED WHOLE WHEAT A READY TO EAT BAG IN BOX 18.8 OUNCE </t>
  </si>
  <si>
    <t xml:space="preserve">GENERAL MILLS CNMN TST CRNCH RTE CEREAL CRISPY SWTND WHL WHT RC CRL READY TO EAT BAG 3.5 OUNCE </t>
  </si>
  <si>
    <t xml:space="preserve">GENERAL MILLS CNMN TST CRNCH RTE CEREAL CRISPY SWTND WHL WHT RC CRL READY TO EAT BAG 32 OUNCE </t>
  </si>
  <si>
    <t xml:space="preserve">GENERAL MILLS CNMN TST CRNCH RTE CEREAL CRISPY SWTND WHL WHT RC CRL READY TO EAT BAG IN BOX 11.04 OUNCE </t>
  </si>
  <si>
    <t xml:space="preserve">GENERAL MILLS CNMN TST CRNCH RTE CEREAL CRISPY SWTND WHL WHT RC CRL READY TO EAT BAG IN BOX 12 OUNCE </t>
  </si>
  <si>
    <t xml:space="preserve">GENERAL MILLS CNMN TST CRNCH RTE CEREAL CRISPY SWTND WHL WHT RC CRL READY TO EAT BAG IN BOX 16.8 OUNCE </t>
  </si>
  <si>
    <t xml:space="preserve">GENERAL MILLS CNMN TST CRNCH RTE CEREAL CRISPY SWTND WHL WHT RC CRL READY TO EAT BAG IN BOX 18.8 OUNCE </t>
  </si>
  <si>
    <t xml:space="preserve">GENERAL MILLS CNMN TST CRNCH RTE CEREAL CRISPY SWTND WHL WHT RC CRL READY TO EAT BAG IN BOX 19.3 OUNCE </t>
  </si>
  <si>
    <t xml:space="preserve">GENERAL MILLS CNMN TST CRNCH RTE CEREAL CRISPY SWTND WHL WHT RC CRL READY TO EAT BAG IN BOX 27 OUNCE </t>
  </si>
  <si>
    <t xml:space="preserve">GENERAL MILLS CNMN TST CRNCH RTE CEREAL CRISPY SWTND WHL WHT RC CRL READY TO EAT BAG IN BOX 29.1 OUNCE </t>
  </si>
  <si>
    <t xml:space="preserve">GENERAL MILLS CNMN TST CRNCH RTE CEREAL CRISPY SWTND WHL WHT RC CRL READY TO EAT BAG IN BOX 43.75 OUNCE </t>
  </si>
  <si>
    <t xml:space="preserve">GENERAL MILLS CNMN TST CRNCH RTE CEREAL CRISPY SWTND WHL WHT RC CRL READY TO EAT BAG IN BOX 49.5 OUNCE </t>
  </si>
  <si>
    <t xml:space="preserve">GENERAL MILLS CNMN TST CRNCH RTE CEREAL CRISPY SWTND WHL WHT RC CRL READY TO EAT BOX 12.2 OUNCE </t>
  </si>
  <si>
    <t xml:space="preserve">GENERAL MILLS CNMN TST CRNCH RTE CEREAL CRISPY SWTND WHL WHT RC CRL READY TO EAT BOX 14.9 OUNCE </t>
  </si>
  <si>
    <t xml:space="preserve">GENERAL MILLS CNMN TST CRNCH RTE CEREAL CRISPY SWTND WHL WHT RC CRL READY TO EAT BOX 21.25 OUNCE </t>
  </si>
  <si>
    <t>GENERAL MILLS CNMN TST CRNCH RTE CEREAL CRISPY SWTND WHL WHT RC CRL READY TO EAT CUP 2 OUNCE X4</t>
  </si>
  <si>
    <t xml:space="preserve">GENERAL MILLS CNMN TST CRNCH RTE CEREAL CRISPY SWTND WHL WHT RC CRL READY TO EAT TUB 2 OUNCE </t>
  </si>
  <si>
    <t xml:space="preserve">GENERAL MILLS CNMN TST CRNCH RTE CEREAL DRIED CHERRIES AND HONEY GRANO READY TO EAT TRAY IN BOX 7.74 OUNCE </t>
  </si>
  <si>
    <t xml:space="preserve">GENERAL MILLS CNMN TST CRNCH RTE CEREAL SWEETENED WHEAT AND CORN CEREA READY TO EAT BAG IN BOX 10.7 OUNCE </t>
  </si>
  <si>
    <t xml:space="preserve">GENERAL MILLS CNMN TST CRNCH RTE CEREAL SWEETENED WHEAT AND CORN CEREA READY TO EAT BAG IN BOX 16.7 OUNCE </t>
  </si>
  <si>
    <t xml:space="preserve">GENERAL MILLS CNMN TST CRNCH SNACK MIX CHOCOLATE CARAMEL MULTIPLE FORM BAG 6.3 OUNCE </t>
  </si>
  <si>
    <t>GENERAL MILLS CNMN TST CRNCH SNACK MIX CINNAMON VANILLA MULTIPLE FORM BAG 1 OUNCE X8</t>
  </si>
  <si>
    <t xml:space="preserve">GENERAL MILLS CNMN TST CRNCH SNACK MIX CINNAMON VANILLA MULTIPLE FORM BAG 6.4 OUNCE </t>
  </si>
  <si>
    <t xml:space="preserve">GENERAL MILLS COCOA PUFFS MARS RTE CEREAL FROSTED CORN PUFF WITH MARSHMA READY TO EAT BAG 35 OUNCE </t>
  </si>
  <si>
    <t xml:space="preserve">GENERAL MILLS COCOA PUFFS MINI RTE CEREAL NATURALLY FLVRD SWTND CRN PFS READY TO EAT BAG IN BOX 10.4 OUNCE </t>
  </si>
  <si>
    <t xml:space="preserve">GENERAL MILLS COCOA PUFFS MINI RTE CEREAL SWEETENED CORN PUFFS READY TO EAT BAG IN BOX 18.1 OUNCE </t>
  </si>
  <si>
    <t xml:space="preserve">GENERAL MILLS COCOA PUFFS RTE CEREAL DRIED CHERRIES AND HONEY GRANO READY TO EAT TRAY IN BOX 7.2 OUNCE </t>
  </si>
  <si>
    <t xml:space="preserve">GENERAL MILLS COCOA PUFFS RTE CEREAL FROSTED CORN PUFF READY TO EAT TUB 1.7 OUNCE </t>
  </si>
  <si>
    <t xml:space="preserve">GENERAL MILLS COCOA PUFFS RTE CEREAL FROSTED CORN PUFFS READY TO EAT BAG IN BOX 28.5 OUNCE </t>
  </si>
  <si>
    <t xml:space="preserve">GENERAL MILLS COCOA PUFFS RTE CEREAL FROSTED CORN PUFFS READY TO EAT BAG IN BOX 39.25 OUNCE </t>
  </si>
  <si>
    <t xml:space="preserve">GENERAL MILLS COCOA PUFFS RTE CEREAL NATURALLY FLAVORED FROSTED COR READY TO EAT BAG IN BOX 10.4 OUNCE </t>
  </si>
  <si>
    <t xml:space="preserve">GENERAL MILLS COCOA PUFFS RTE CEREAL NATURALLY FLAVORED FROSTED COR READY TO EAT BAG IN BOX 18.1 OUNCE </t>
  </si>
  <si>
    <t xml:space="preserve">GENERAL MILLS COCOA PUFFS RTE CEREAL NATURALLY FLAVORED FROSTED COR READY TO EAT BAG IN BOX 25.8 OUNCE </t>
  </si>
  <si>
    <t xml:space="preserve">GENERAL MILLS COCOA PUFFS RTE CEREAL NATURALLY FLAVORED FROSTED COR READY TO EAT BAG IN BOX 32 OUNCE </t>
  </si>
  <si>
    <t xml:space="preserve">GENERAL MILLS COCOA PUFFS RTE CEREAL NATURALLY FLAVORED SWEETENED READY TO EAT BAG IN BOX 15.2 OUNCE </t>
  </si>
  <si>
    <t xml:space="preserve">GENERAL MILLS COOKIE CRISP RTE CEREAL NATURALLY FLAVORED SWTND CRL READY TO EAT BAG 35 OUNCE </t>
  </si>
  <si>
    <t xml:space="preserve">GENERAL MILLS COOKIE CRISP RTE CEREAL NATURALLY FLAVORED SWTND CRL READY TO EAT BAG IN BOX 10.6 OUNCE </t>
  </si>
  <si>
    <t xml:space="preserve">GENERAL MILLS COOKIE CRISP RTE CEREAL NATURALLY FLAVORED SWTND CRL READY TO EAT BAG IN BOX 15.1 OUNCE </t>
  </si>
  <si>
    <t xml:space="preserve">GENERAL MILLS COOKIE CRISP RTE CEREAL NATURALLY FLAVORED SWTND CRL READY TO EAT BAG IN BOX 18.3 OUNCE </t>
  </si>
  <si>
    <t xml:space="preserve">GENERAL MILLS COOKIE CRISP RTE CEREAL NATURALLY FLAVORED SWTND CRL READY TO EAT BAG IN BOX 26.3 OUNCE </t>
  </si>
  <si>
    <t xml:space="preserve">GENERAL MILLS COOKIE CRISP RTE CEREAL SWEETENED CEREAL READY TO EAT BOX 26.3 OUNCE </t>
  </si>
  <si>
    <t xml:space="preserve">GENERAL MILLS CORN CHEX RTE CEREAL OVEN TOASTED CORN CEREAL BOX 12 OUNCE </t>
  </si>
  <si>
    <t xml:space="preserve">GENERAL MILLS CORN CHEX RTE CEREAL OVEN TOASTED CORN CEREAL READY TO EAT BAG IN BOX 18 OUNCE </t>
  </si>
  <si>
    <t xml:space="preserve">GENERAL MILLS COUNT CHOCULA RTE CEREAL CHOCOLATEY CEREAL WITH MONSTER READY TO EAT BAG IN BOX 10.4 OUNCE </t>
  </si>
  <si>
    <t xml:space="preserve">GENERAL MILLS COUNT CHOCULA RTE CEREAL CHOCOLATEY WITH MONSTER MARSHM READY TO EAT BAG IN BOX 18.8 OUNCE </t>
  </si>
  <si>
    <t xml:space="preserve">GENERAL MILLS DULCE DE LECHE T RTE CEREAL CARAMEL FLAVORED SWEETENED WHE READY TO EAT BAG IN BOX 12 OUNCE </t>
  </si>
  <si>
    <t xml:space="preserve">GENERAL MILLS DUNKAROOS RTE CEREAL VANILLA FLAVORED SWEETENED COR READY TO EAT BAG IN BOX 11.3 OUNCE </t>
  </si>
  <si>
    <t xml:space="preserve">GENERAL MILLS FIBER ONE RTE CEREAL BRAN READY TO EAT BAG IN BOX 19.6 OUNCE </t>
  </si>
  <si>
    <t xml:space="preserve">GENERAL MILLS FRANKEN BERRY RTE CEREAL ARTIFICIAL STRWB FLVR FRSTD MN READY TO EAT BAG IN BOX 9.6 OUNCE </t>
  </si>
  <si>
    <t xml:space="preserve">GENERAL MILLS FRANKEN BERRY RTE CEREAL ARTIFICIALLY STRWBRY FLVRD MNS READY TO EAT BAG IN BOX 16 OUNCE </t>
  </si>
  <si>
    <t xml:space="preserve">GENERAL MILLS FRENCH TST CRNCH RTE CEREAL CRISPY SWEETENED CORN CEREAL READY TO EAT BAG IN BOX 11.1 OUNCE </t>
  </si>
  <si>
    <t xml:space="preserve">GENERAL MILLS FRENCH TST CRNCH RTE CEREAL CRISPY SWEETENED CORN CEREAL READY TO EAT BAG IN BOX 17.4 OUNCE </t>
  </si>
  <si>
    <t xml:space="preserve">GENERAL MILLS FROSTED CHEERIOS RTE CEREAL FROSTED WHOLE GRAIN OAT READY TO EAT BAG IN BOX 13.5 OUNCE </t>
  </si>
  <si>
    <t xml:space="preserve">GENERAL MILLS FROSTED CHEERIOS RTE CEREAL FROSTED WHOLE GRAIN OAT READY TO EAT BAG IN BOX 18.4 OUNCE </t>
  </si>
  <si>
    <t xml:space="preserve">GENERAL MILLS FROSTED CHEERIOS RTE CEREAL SWEETENED WHOLE GRAIN OAT READY TO EAT BAG IN BOX 14.7 OUNCE </t>
  </si>
  <si>
    <t xml:space="preserve">GENERAL MILLS FRUITY LUCKY CHA RTE CEREAL SWEETENED CORN WITH MRSHM READY TO EAT BAG IN BOX 10.9 OUNCE </t>
  </si>
  <si>
    <t xml:space="preserve">GENERAL MILLS FRUTE BRUTE RTE CEREAL ARTIFICIALLY CHERRY FLAVORED S READY TO EAT BAG IN BOX 15.8 OUNCE </t>
  </si>
  <si>
    <t xml:space="preserve">GENERAL MILLS FRUTE BRUTE RTE CEREAL ARTIFICIALLY CHERRY FLAVORED S READY TO EAT BAG IN BOX 9.3 OUNCE </t>
  </si>
  <si>
    <t xml:space="preserve">GENERAL MILLS GALACTIC LUCKY C RTE CEREAL FROSTED TOASTED OAT WITH MRSHM READY TO EAT BAG IN BOX 18.6 OUNCE </t>
  </si>
  <si>
    <t xml:space="preserve">GENERAL MILLS GINGERBREAD TOAS RTE CEREAL SWEETENED WHOLE WHEAT RICE CRL READY TO EAT BAG IN BOX 12 OUNCE </t>
  </si>
  <si>
    <t xml:space="preserve">GENERAL MILLS GINGERBREAD TOAS RTE CEREAL SWEETENED WHOLE WHEAT RICE CRL READY TO EAT BAG IN BOX 18.8 OUNCE </t>
  </si>
  <si>
    <t xml:space="preserve">GENERAL MILLS GOLDEN GRAHAMS RTE CEREAL DRIED CHERRIES AND HONEY GRANO READY TO EAT TRAY IN BOX 7.62 OUNCE </t>
  </si>
  <si>
    <t xml:space="preserve">GENERAL MILLS GOLDEN GRAHAMS RTE CEREAL GOLDEN GRAHAM READY TO EAT BAG IN BOX 11.7 OUNCE </t>
  </si>
  <si>
    <t xml:space="preserve">GENERAL MILLS GOLDEN GRAHAMS RTE CEREAL GOLDEN GRAHAM READY TO EAT BAG IN BOX 16.7 OUNCE </t>
  </si>
  <si>
    <t xml:space="preserve">GENERAL MILLS GOLDEN GRAHAMS RTE CEREAL GOLDEN GRAHAM READY TO EAT BAG IN BOX 27.6 OUNCE </t>
  </si>
  <si>
    <t xml:space="preserve">GENERAL MILLS GOLDEN GRAHAMS RTE CEREAL GOLDEN GRAHAM READY TO EAT BOX 18.9 OUNCE </t>
  </si>
  <si>
    <t xml:space="preserve">GENERAL MILLS GOLDEN GRAHAMS SNACK MIX SMORES MULTIPLE FORM BAG 5.5 OUNCE </t>
  </si>
  <si>
    <t>GENERAL MILLS GOLDEN GRAHAMS SNACK MIX SMORES MULTIPLE FORM BOX 1 OUNCE X8</t>
  </si>
  <si>
    <t xml:space="preserve">GENERAL MILLS HERSHEY'S KISSES RTE CEREAL KISSES READY TO EAT BAG IN BOX 10.9 OUNCE </t>
  </si>
  <si>
    <t xml:space="preserve">GENERAL MILLS HONEY KIX RTE CEREAL LIGHTLY SWEETENED CORN CEREAL READY TO EAT BAG IN BOX 18 OUNCE </t>
  </si>
  <si>
    <t xml:space="preserve">GENERAL MILLS HONEY NUT CHEX RTE CEREAL OVN TSTD CRN SWTND RL HNY ALMN READY TO EAT BOX 13.8 OUNCE </t>
  </si>
  <si>
    <t xml:space="preserve">GENERAL MILLS HONEY NUT CHEX RTE CEREAL SWEETENED CORN BAG IN BOX 12.5 OUNCE </t>
  </si>
  <si>
    <t xml:space="preserve">GENERAL MILLS HONEY NUT CHEX RTE CEREAL SWTND CRN WTH TCH RL HNY NTRL READY TO EAT BAG IN BOX 12.5 OUNCE </t>
  </si>
  <si>
    <t xml:space="preserve">GENERAL MILLS HONEY NUT CHEX RTE CEREAL SWTND CRN WTH TCH RL HNY NTRL READY TO EAT BAG IN BOX 19.6 OUNCE </t>
  </si>
  <si>
    <t xml:space="preserve">GENERAL MILLS HONEY NUT CHEX RTE CEREAL SWTND CRN WTH TCH RL HNY NTRL READY TO EAT BAG IN BOX 20.3 OUNCE </t>
  </si>
  <si>
    <t xml:space="preserve">GENERAL MILLS HONEY NUT CHRS RTE CEREAL SWEETENED WHOLE GRAIN OAT CRL READY TO EAT TUB 1.8 OUNCE </t>
  </si>
  <si>
    <t xml:space="preserve">GENERAL MILLS HONEY NUT CHRS RTE CEREAL SWTND WHL GRN OAT RL HNY NTRL READY TO EAT BAG IN BOX 10.8 OUNCE </t>
  </si>
  <si>
    <t xml:space="preserve">GENERAL MILLS HONEY NUT CHRS RTE CEREAL SWTND WHL GRN OAT RL HNY NTRL READY TO EAT BAG IN BOX 15.4 OUNCE </t>
  </si>
  <si>
    <t xml:space="preserve">GENERAL MILLS HONEY NUT CHRS RTE CEREAL SWTND WHL GRN OAT RL HNY NTRL READY TO EAT BAG IN BOX 18.8 OUNCE </t>
  </si>
  <si>
    <t xml:space="preserve">GENERAL MILLS HONEY NUT CHRS RTE CEREAL SWTND WHL GRN OAT RL HNY NTRL READY TO EAT BAG IN BOX 19.5 OUNCE </t>
  </si>
  <si>
    <t xml:space="preserve">GENERAL MILLS HONEY NUT CHRS RTE CEREAL SWTND WHL GRN OAT RL HNY NTRL READY TO EAT BAG IN BOX 21.6 OUNCE </t>
  </si>
  <si>
    <t xml:space="preserve">GENERAL MILLS HONEY NUT CHRS RTE CEREAL SWTND WHL GRN OAT RL HNY NTRL READY TO EAT BAG IN BOX 27.2 OUNCE </t>
  </si>
  <si>
    <t xml:space="preserve">GENERAL MILLS HONEY NUT CHRS RTE CEREAL SWTND WHL GRN OAT RL HNY NTRL READY TO EAT BOX 12.25 OUNCE </t>
  </si>
  <si>
    <t>GENERAL MILLS HONEY NUT CHRS RTE CEREAL SWTND WHL GRN OAT RL HNY NTRL READY TO EAT BOX 24 OUNCE X2</t>
  </si>
  <si>
    <t xml:space="preserve">GENERAL MILLS HONEY NUT CHRS RTE CEREAL SWTND WHL GRN OAT RL HNY NTRL READY TO EAT BOX 25.25 OUNCE </t>
  </si>
  <si>
    <t xml:space="preserve">GENERAL MILLS HONEY NUT CHRS RTE CEREAL SWTND WHL GRN OAT RL HNY NTRL READY TO EAT BOX 27 OUNCE </t>
  </si>
  <si>
    <t>GENERAL MILLS HONEY NUT CHRS RTE CEREAL SWTND WHL GRN OAT RL HNY NTRL READY TO EAT BOX 27.5 OUNCE X2</t>
  </si>
  <si>
    <t xml:space="preserve">GENERAL MILLS HONEY NUT CHRS RTE CEREAL SWTND WHL GRN OAT RL HNY NTRL READY TO EAT BOX 29.4 OUNCE </t>
  </si>
  <si>
    <t>GENERAL MILLS HONEY NUT CHRS RTE CEREAL SWTND WHL GRN OAT RL HNY NTRL READY TO EAT CUP 1.8 OUNCE X4</t>
  </si>
  <si>
    <t>GENERAL MILLS HONEY NUT CHRS RTE CEREAL SWTND WHL GRN OAT RL HNY NTRL TUB 2 OUNCE X12</t>
  </si>
  <si>
    <t xml:space="preserve">GENERAL MILLS HONEY NUT CHRS RTE CEREAL SWTND WHL GRN OT RL HNY ALMND READY TO EAT BAG 3.5 OUNCE </t>
  </si>
  <si>
    <t xml:space="preserve">GENERAL MILLS HONEY NUT CHRS RTE CEREAL SWTND WHL GRN OT RL HNY ALMND READY TO EAT BAG 32 OUNCE </t>
  </si>
  <si>
    <t xml:space="preserve">GENERAL MILLS HONEY NUT CHRS RTE CEREAL WHOLE GRAIN OAT BAG 32 OUNCE </t>
  </si>
  <si>
    <t xml:space="preserve">GENERAL MILLS KITKAT RTE CEREAL CHOCOLATE READY TO EAT BAG IN BOX 11.5 OUNCE </t>
  </si>
  <si>
    <t xml:space="preserve">GENERAL MILLS KITKAT RTE CEREAL CHOCOLATE READY TO EAT BAG IN BOX 19.5 OUNCE </t>
  </si>
  <si>
    <t xml:space="preserve">GENERAL MILLS KIX RTE CEREAL CRISPY CORN PUFF READY TO EAT BAG IN BOX 12 OUNCE </t>
  </si>
  <si>
    <t xml:space="preserve">GENERAL MILLS KIX RTE CEREAL CRISPY CORN PUFF READY TO EAT BAG IN BOX 18 OUNCE </t>
  </si>
  <si>
    <t xml:space="preserve">GENERAL MILLS LUCKY CHARMS FRO RTE CEREAL SWEETENED CORN FLAKE WITH MARS READY TO EAT BAG IN BOX 13.8 OUNCE </t>
  </si>
  <si>
    <t xml:space="preserve">GENERAL MILLS LUCKY CHARMS HON RTE CEREAL SWEETENED CORN WITH MRSHM READY TO EAT BAG IN BOX 10.9 OUNCE </t>
  </si>
  <si>
    <t xml:space="preserve">GENERAL MILLS LUCKY CHARMS MARSHMALLOW UNFLAVORED MULTIPLE COLOR BAG 4 OUNCE </t>
  </si>
  <si>
    <t xml:space="preserve">GENERAL MILLS LUCKY CHARMS MARSHMALLOW UNFLAVORED WHITE BOX 4 OUNCE </t>
  </si>
  <si>
    <t xml:space="preserve">GENERAL MILLS LUCKY CHARMS MIN RTE CEREAL SWEETENED CORN PUFFS WITH MARS READY TO EAT BAG IN BOX 10.5 OUNCE </t>
  </si>
  <si>
    <t xml:space="preserve">GENERAL MILLS LUCKY CHARMS MIN RTE CEREAL SWEETENED CORN PUFFS WITH MARS READY TO EAT BAG IN BOX 18.6 OUNCE </t>
  </si>
  <si>
    <t xml:space="preserve">GENERAL MILLS LUCKY CHARMS MRS RTE CEREAL SWEETENED CORN AND RICE WITH M READY TO EAT BAG IN BOX 11.2 OUNCE </t>
  </si>
  <si>
    <t xml:space="preserve">GENERAL MILLS LUCKY CHARMS MRS RTE CEREAL SWEETENED CORN AND RICE WITH M READY TO EAT BAG IN BOX 17.6 OUNCE </t>
  </si>
  <si>
    <t xml:space="preserve">GENERAL MILLS LUCKY CHARMS RTE CEREAL FROSTED TOASTED OAT WITH MRSHM READY TO EAT BAG 3.1 OUNCE </t>
  </si>
  <si>
    <t xml:space="preserve">GENERAL MILLS LUCKY CHARMS RTE CEREAL FROSTED TOASTED OAT WITH MRSHM READY TO EAT BAG 32 OUNCE </t>
  </si>
  <si>
    <t xml:space="preserve">GENERAL MILLS LUCKY CHARMS RTE CEREAL FROSTED TOASTED OAT WITH MRSHM READY TO EAT BAG IN BOX 10.5 OUNCE </t>
  </si>
  <si>
    <t xml:space="preserve">GENERAL MILLS LUCKY CHARMS RTE CEREAL FROSTED TOASTED OAT WITH MRSHM READY TO EAT BAG IN BOX 14.9 OUNCE </t>
  </si>
  <si>
    <t xml:space="preserve">GENERAL MILLS LUCKY CHARMS RTE CEREAL FROSTED TOASTED OAT WITH MRSHM READY TO EAT BAG IN BOX 18.6 OUNCE </t>
  </si>
  <si>
    <t xml:space="preserve">GENERAL MILLS LUCKY CHARMS RTE CEREAL FROSTED TOASTED OAT WITH MRSHM READY TO EAT BAG IN BOX 19.3 OUNCE </t>
  </si>
  <si>
    <t xml:space="preserve">GENERAL MILLS LUCKY CHARMS RTE CEREAL FROSTED TOASTED OAT WITH MRSHM READY TO EAT BAG IN BOX 20.5 OUNCE </t>
  </si>
  <si>
    <t xml:space="preserve">GENERAL MILLS LUCKY CHARMS RTE CEREAL FROSTED TOASTED OAT WITH MRSHM READY TO EAT BAG IN BOX 26.1 OUNCE </t>
  </si>
  <si>
    <t xml:space="preserve">GENERAL MILLS LUCKY CHARMS RTE CEREAL FROSTED TOASTED OAT WITH MRSHM READY TO EAT BOX 16 OUNCE </t>
  </si>
  <si>
    <t>GENERAL MILLS LUCKY CHARMS RTE CEREAL FROSTED TOASTED OAT WITH MRSHM READY TO EAT BOX 23 OUNCE X2</t>
  </si>
  <si>
    <t>GENERAL MILLS LUCKY CHARMS RTE CEREAL FROSTED TOASTED OAT WITH MRSHM READY TO EAT CUP 1.7 OUNCE X4</t>
  </si>
  <si>
    <t xml:space="preserve">GENERAL MILLS LUCKY CHARMS RTE CEREAL FROSTED TOASTED OAT WITH MRSHM READY TO EAT TUB 1.7 OUNCE </t>
  </si>
  <si>
    <t xml:space="preserve">GENERAL MILLS LUCKY CHARMS RTE CEREAL FROSTED TOASTED WITH MARSHMALL READY TO EAT BAG IN BOX 29.1 OUNCE </t>
  </si>
  <si>
    <t xml:space="preserve">GENERAL MILLS LUCKY CHARMS SMO RTE CEREAL SWEETENED CORN AND WHEAT WITH READY TO EAT BAG IN BOX 11 OUNCE </t>
  </si>
  <si>
    <t xml:space="preserve">GENERAL MILLS LUCKY CHARMS SMO RTE CEREAL SWEETENED CORN AND WHEAT WITH READY TO EAT BAG IN BOX 18.7 OUNCE </t>
  </si>
  <si>
    <t xml:space="preserve">GENERAL MILLS MAPLE CHEERIOS RTE CEREAL SWEETENED WHOLE GRAIN OAT CRL READY TO EAT BAG IN BOX 14.2 OUNCE </t>
  </si>
  <si>
    <t xml:space="preserve">GENERAL MILLS MINI PANCAKE RTE CEREAL SWEET AND CRUNCHY CORN READY TO EAT BAG IN BOX 11.2 OUNCE </t>
  </si>
  <si>
    <t xml:space="preserve">GENERAL MILLS MINI PANCAKE RTE CEREAL SWEET AND CRUNCHY CORN READY TO EAT BAG IN BOX 19 OUNCE </t>
  </si>
  <si>
    <t xml:space="preserve">GENERAL MILLS MNSTR MSH BRY FR RTE CEREAL ARTFCL BRRY FLVRD FRSTD MNSTR READY TO EAT BAG IN BOX 16 OUNCE </t>
  </si>
  <si>
    <t xml:space="preserve">GENERAL MILLS MNSTR MSH BRY FR RTE CEREAL ARTFCL BRRY FLVRD FRSTD MNSTR READY TO EAT BAG IN BOX 9.6 OUNCE </t>
  </si>
  <si>
    <t xml:space="preserve">GENERAL MILLS MULTIGRAIN CHRS RTE CEREAL LIGHTLY SWEETENED CEREAL BAG IN BOX 12 OUNCE </t>
  </si>
  <si>
    <t xml:space="preserve">GENERAL MILLS MULTIGRAIN CHRS RTE CEREAL LIGHTLY SWEETENED CEREAL BAG IN BOX 18 OUNCE </t>
  </si>
  <si>
    <t>GENERAL MILLS MULTIGRAIN CHRS RTE CEREAL LIGHTLY SWEETENED CEREAL BAG IN BOX 18 OUNCE X2</t>
  </si>
  <si>
    <t xml:space="preserve">GENERAL MILLS MULTIGRAIN CHRS RTE CEREAL LIGHTLY SWEETENED CEREAL BAG IN BOX 20.6 OUNCE </t>
  </si>
  <si>
    <t xml:space="preserve">GENERAL MILLS MULTIGRAIN CHRS RTE CEREAL LIGHTLY SWEETENED CEREAL READY TO EAT BAG IN BOX 9 OUNCE </t>
  </si>
  <si>
    <t>GENERAL MILLS MULTIGRAIN CHRS RTE CEREAL LIGHTLY SWEETENED CEREAL READY TO EAT BOX 18.75 OUNCE X2</t>
  </si>
  <si>
    <t xml:space="preserve">GENERAL MILLS MULTIGRAIN CHRS RTE CEREAL LIGHTLY SWEETENED WITH DRIED S READY TO EAT BAG IN BOX 11.5 OUNCE </t>
  </si>
  <si>
    <t xml:space="preserve">GENERAL MILLS NATURE VALLEY GR GRANOLA CEREAL CINNAMON GRANOLA CRUNCH READY TO EAT BAG 16 OUNCE </t>
  </si>
  <si>
    <t xml:space="preserve">GENERAL MILLS NATURE VALLEY GRANOLA CEREAL BIG CRUNCHY OATS DARK CHOCOLA READY TO EAT BAG 16 OUNCE </t>
  </si>
  <si>
    <t xml:space="preserve">GENERAL MILLS NATURE VALLEY GRANOLA CEREAL DARK CHOCOLATE PRETZEL PEANUT READY TO EAT BAG 11 OUNCE </t>
  </si>
  <si>
    <t xml:space="preserve">GENERAL MILLS NATURE VLY GRNL GRANOLA CEREAL OATS N HONEY GRANOLA CRUNCH READY TO EAT BAG 16 OUNCE </t>
  </si>
  <si>
    <t xml:space="preserve">GENERAL MILLS OATMEAL CRISP RTE CEREAL FLAKES ALMOND PIECES AND CLUST READY TO EAT BAG IN BOX 19.7 OUNCE </t>
  </si>
  <si>
    <t xml:space="preserve">GENERAL MILLS PEANUT BUTTER CH RTE CEREAL SWEETENED CORN WITH REAL PEAN READY TO EAT BAG IN BOX 12.2 OUNCE </t>
  </si>
  <si>
    <t xml:space="preserve">GENERAL MILLS PLENTIFULL RTE CEREAL CNNMN ALMND BTTR CTD FLKS NUT READY TO EAT BAG IN BOX 15.7 OUNCE </t>
  </si>
  <si>
    <t xml:space="preserve">GENERAL MILLS PLENTIFULL RTE CEREAL PEANUT BUTTER CTD FLKS WTH NUT READY TO EAT BOX 15.7 OUNCE </t>
  </si>
  <si>
    <t xml:space="preserve">GENERAL MILLS PUMPKIN SPICE CH RTE CEREAL SWEETENED WHOLE GRAIN OAT CRL READY TO EAT BAG IN BOX 10.8 OUNCE </t>
  </si>
  <si>
    <t xml:space="preserve">GENERAL MILLS PUMPKIN SPICE CH RTE CEREAL SWEETENED WHOLE GRAIN OAT NATU READY TO EAT BAG IN BOX 18.2 OUNCE </t>
  </si>
  <si>
    <t xml:space="preserve">GENERAL MILLS RAISIN NUT BRAN RTE CEREAL WHEAT BRAN CEREAL WITH RAISIN READY TO EAT BAG IN BOX 20.8 OUNCE </t>
  </si>
  <si>
    <t xml:space="preserve">GENERAL MILLS REESE'S PUFFS BA RTE CEREAL SWEET AND CRUNCHY CORN PUFFS READY TO EAT BAG IN BOX 19.7 OUNCE </t>
  </si>
  <si>
    <t xml:space="preserve">GENERAL MILLS REESE'S PUFFS BU RTE CEREAL SWEET AND CRUNCHY CORN PUFFS READY TO EAT BAG IN BOX 19.7 OUNCE </t>
  </si>
  <si>
    <t xml:space="preserve">GENERAL MILLS REESE'S PUFFS CL RTE CEREAL SWEET AND CRUNCHY CORN READY TO EAT BAG IN BOX 11.9 OUNCE </t>
  </si>
  <si>
    <t xml:space="preserve">GENERAL MILLS REESE'S PUFFS CL RTE CEREAL SWEET AND CRUNCHY CORN READY TO EAT BAG IN BOX 20.2 OUNCE </t>
  </si>
  <si>
    <t xml:space="preserve">GENERAL MILLS REESE'S PUFFS MI RTE CEREAL SWEET AND CRUNCHY CORN PUFFS READY TO EAT BAG 35 OUNCE </t>
  </si>
  <si>
    <t xml:space="preserve">GENERAL MILLS REESE'S PUFFS MI RTE CEREAL SWEET AND CRUNCHY CORN PUFFS READY TO EAT BAG IN BOX 11.7 OUNCE </t>
  </si>
  <si>
    <t xml:space="preserve">GENERAL MILLS REESE'S PUFFS MI RTE CEREAL SWEET AND CRUNCHY CORN PUFFS READY TO EAT BAG IN BOX 19.8 OUNCE </t>
  </si>
  <si>
    <t xml:space="preserve">GENERAL MILLS REESE'S PUFFS RTE CEREAL SWEET AND CRUNCHY CORN PUFFS READY TO EAT BAG 35 OUNCE </t>
  </si>
  <si>
    <t xml:space="preserve">GENERAL MILLS REESE'S PUFFS RTE CEREAL SWEET AND CRUNCHY CORN PUFFS READY TO EAT BAG IN BOX 11.5 OUNCE </t>
  </si>
  <si>
    <t xml:space="preserve">GENERAL MILLS REESE'S PUFFS RTE CEREAL SWEET AND CRUNCHY CORN PUFFS READY TO EAT BAG IN BOX 16.7 OUNCE </t>
  </si>
  <si>
    <t xml:space="preserve">GENERAL MILLS REESE'S PUFFS RTE CEREAL SWEET AND CRUNCHY CORN PUFFS READY TO EAT BAG IN BOX 19.7 OUNCE </t>
  </si>
  <si>
    <t>GENERAL MILLS REESE'S PUFFS RTE CEREAL SWEET AND CRUNCHY CORN PUFFS READY TO EAT BAG IN BOX 19.7 OUNCE X2</t>
  </si>
  <si>
    <t xml:space="preserve">GENERAL MILLS REESE'S PUFFS RTE CEREAL SWEET AND CRUNCHY CORN PUFFS READY TO EAT BAG IN BOX 20.7 OUNCE </t>
  </si>
  <si>
    <t xml:space="preserve">GENERAL MILLS REESE'S PUFFS RTE CEREAL SWEET AND CRUNCHY CORN PUFFS READY TO EAT BAG IN BOX 29 OUNCE </t>
  </si>
  <si>
    <t xml:space="preserve">GENERAL MILLS REESE'S PUFFS RTE CEREAL SWEET AND CRUNCHY CORN PUFFS READY TO EAT BAG IN BOX 31.2 OUNCE </t>
  </si>
  <si>
    <t xml:space="preserve">GENERAL MILLS REESE'S PUFFS RTE CEREAL SWEET AND CRUNCHY CORN PUFFS READY TO EAT BAG IN BOX 43.25 OUNCE </t>
  </si>
  <si>
    <t xml:space="preserve">GENERAL MILLS REESE'S PUFFS RTE CEREAL SWEET AND CRUNCHY CORN PUFFS READY TO EAT BAG IN BOX 49.5 OUNCE </t>
  </si>
  <si>
    <t xml:space="preserve">GENERAL MILLS REESE'S PUFFS RTE CEREAL SWEET AND CRUNCHY CORN PUFFS READY TO EAT BOX 13 OUNCE </t>
  </si>
  <si>
    <t xml:space="preserve">GENERAL MILLS RICE CHEX RTE CEREAL OVEN TOASTED RICE CEREAL BAG IN BOX 12 OUNCE </t>
  </si>
  <si>
    <t xml:space="preserve">GENERAL MILLS RICE CHEX RTE CEREAL OVEN TOASTED RICE CEREAL BAG IN BOX 22.2 OUNCE </t>
  </si>
  <si>
    <t xml:space="preserve">GENERAL MILLS RICE CHEX RTE CEREAL OVEN TOASTED RICE READY TO EAT BAG IN BOX 18 OUNCE </t>
  </si>
  <si>
    <t xml:space="preserve">GENERAL MILLS RICE CHEX RTE CEREAL OVEN TOASTED RICE READY TO EAT BOX 12 OUNCE </t>
  </si>
  <si>
    <t xml:space="preserve">GENERAL MILLS RTE CEREAL GOLDEN GRAHAM READY TO EAT BAG 35 OUNCE </t>
  </si>
  <si>
    <t xml:space="preserve">GENERAL MILLS RTE CEREAL LIGHTLY SWEETENED MADE WITH WH READY TO EAT BAG IN BOX 12 OUNCE </t>
  </si>
  <si>
    <t xml:space="preserve">GENERAL MILLS RTE CEREAL SWEETENED CORN CEREAL WITH MAR READY TO EAT BAG IN BOX 11.2 OUNCE </t>
  </si>
  <si>
    <t xml:space="preserve">GENERAL MILLS RTE CEREAL SWEETENED CORN CEREAL WITH MAR READY TO EAT BAG IN BOX 12.3 OUNCE </t>
  </si>
  <si>
    <t xml:space="preserve">GENERAL MILLS RTE CEREAL SWEETENED CORN CEREAL WITH MAR READY TO EAT BAG IN BOX 17.1 OUNCE </t>
  </si>
  <si>
    <t xml:space="preserve">GENERAL MILLS RTE CEREAL SWEETENED CORN PUFFS WITH MARS READY TO EAT BAG IN BOX 10.3 OUNCE </t>
  </si>
  <si>
    <t xml:space="preserve">GENERAL MILLS RTE CEREAL SWEETENED CORN WITH MRSHM READY TO EAT BAG IN BOX 11.2 OUNCE </t>
  </si>
  <si>
    <t xml:space="preserve">GENERAL MILLS STRAWBERRY BANAN RTE CEREAL SWEETENED WHOLE GRAIN OAT CRL READY TO EAT BAG IN BOX 14.9 OUNCE </t>
  </si>
  <si>
    <t xml:space="preserve">GENERAL MILLS STRAWBERRY BANAN RTE CEREAL SWEETENED WHOLE GRAIN OAT READY TO EAT BAG IN BOX 19 OUNCE </t>
  </si>
  <si>
    <t xml:space="preserve">GENERAL MILLS SUGAR COOKIE TOA RTE CEREAL NTRLY FLVRD SWTND WHL WHT RC READY TO EAT BAG IN BOX 12 OUNCE </t>
  </si>
  <si>
    <t xml:space="preserve">GENERAL MILLS SUGAR COOKIE TOA RTE CEREAL NTRLY FLVRD SWTND WHL WHT RC READY TO EAT BAG IN BOX 18.8 OUNCE </t>
  </si>
  <si>
    <t xml:space="preserve">GENERAL MILLS SWEETENED CORN M RTE CEREAL FRUITY FLAVORED SWEETENED READY TO EAT BAG IN BOX 11.2 OUNCE </t>
  </si>
  <si>
    <t xml:space="preserve">GENERAL MILLS SWEETENED CORN M RTE CEREAL FRUITY FLAVORED SWEETENED READY TO EAT BAG IN BOX 17.3 OUNCE </t>
  </si>
  <si>
    <t xml:space="preserve">GENERAL MILLS SWEETENED CORN M RTE CEREAL SWEETENED CORN CEREAL WITH MAR READY TO EAT BOX 11.6 OUNCE </t>
  </si>
  <si>
    <t xml:space="preserve">GENERAL MILLS SWEETENED CORN M RTE CEREAL SWEETENED CORN CEREAL WITH MAR READY TO EAT BOX 17.8 OUNCE </t>
  </si>
  <si>
    <t xml:space="preserve">GENERAL MILLS SWEETENED CRN PF RTE CEREAL SWEETENED CORN PUFFS WITH MARS READY TO EAT BAG IN BOX 15.9 OUNCE </t>
  </si>
  <si>
    <t xml:space="preserve">GENERAL MILLS TOTAL WHOLE GRN RTE CEREAL CRUNCHY WHOLE GRAIN WHEAT FLK READY TO EAT BOX 16 OUNCE </t>
  </si>
  <si>
    <t xml:space="preserve">GENERAL MILLS TRES LECHES TOAS RTE CEREAL CRISPY SWTND WHL WHT RC CRL READY TO EAT BAG IN BOX 12 OUNCE </t>
  </si>
  <si>
    <t xml:space="preserve">GENERAL MILLS TRES LECHES TOAS RTE CEREAL CRISPY SWTND WHL WHT RC CRL READY TO EAT BAG IN BOX 18.8 OUNCE </t>
  </si>
  <si>
    <t xml:space="preserve">GENERAL MILLS TRIX MINIS RTE CEREAL FRUIT FLAVORED SWTND CRN PF READY TO EAT BAG IN BOX 10.8 OUNCE </t>
  </si>
  <si>
    <t xml:space="preserve">GENERAL MILLS TRIX MINIS RTE CEREAL FRUIT FLAVORED SWTND CRN PF READY TO EAT BAG IN BOX 16.5 OUNCE </t>
  </si>
  <si>
    <t xml:space="preserve">GENERAL MILLS TRIX RTE CEREAL FRUIT FLAVORED SWEETENED CORN READY TO EAT BAG IN BOX 15 OUNCE </t>
  </si>
  <si>
    <t xml:space="preserve">GENERAL MILLS TRIX RTE CEREAL FRUIT FLAVORED SWTND CRN PF READY TO EAT BAG IN BOX 16.1 OUNCE </t>
  </si>
  <si>
    <t xml:space="preserve">GENERAL MILLS TRIX RTE CEREAL FRUIT FLAVORED SWTND CRN PF READY TO EAT BAG IN BOX 23.4 OUNCE </t>
  </si>
  <si>
    <t xml:space="preserve">GENERAL MILLS TRIX RTE CEREAL FRUIT FLAVORED SWTND CRN PF READY TO EAT TUB 1.58 OUNCE </t>
  </si>
  <si>
    <t xml:space="preserve">GENERAL MILLS TRIX TRAX WITH M RTE CEREAL FRUIT FLAVORED SWEETEND CRN WT READY TO EAT BAG IN BOX 15.3 OUNCE </t>
  </si>
  <si>
    <t xml:space="preserve">GENERAL MILLS TRIX TRAX WITH M RTE CEREAL FRUIT FLAVORED SWEETEND CRN WT READY TO EAT BAG IN BOX 9.9 OUNCE </t>
  </si>
  <si>
    <t xml:space="preserve">GENERAL MILLS TRIX WITH MARSHM RTE CEREAL FRUIT FLAVORED SWEETENED CORN READY TO EAT BAG IN BOX 9.7 OUNCE </t>
  </si>
  <si>
    <t xml:space="preserve">GENERAL MILLS VANILLA CHEX RTE CEREAL SWTND RC VNL FLVR OTHR NTRL FL BOX 12.1 OUNCE </t>
  </si>
  <si>
    <t xml:space="preserve">GENERAL MILLS VERY BERRY CHEER RTE CEREAL SWEETENED WHOLE GRAIN OAT CRL READY TO EAT BAG IN BOX 14.5 OUNCE </t>
  </si>
  <si>
    <t xml:space="preserve">GENERAL MILLS VERY BERRY CHEER RTE CEREAL SWEETENED WHOLE GRAIN OAT CRL READY TO EAT BAG IN BOX 18.6 OUNCE </t>
  </si>
  <si>
    <t xml:space="preserve">GENERAL MILLS WHEAT CHEX RTE CEREAL OVEN TOASTED WHEAT CEREAL READY TO EAT BAG IN BOX 14 OUNCE </t>
  </si>
  <si>
    <t xml:space="preserve">GENERAL MILLS WHEAT CHEX RTE CEREAL OVEN TOASTED WHEAT READY TO EAT BAG IN BOX 19 OUNCE </t>
  </si>
  <si>
    <t xml:space="preserve">GENERAL MILLS WHEATIES RTE CEREAL TOASTED 100 PERCENT WHOLE WHEA READY TO EAT BAG IN BOX 15.6 OUNCE </t>
  </si>
  <si>
    <t xml:space="preserve">GENERAL MILLS WONDERWORKS CHOC RTE CEREAL CHOCOLATE READY TO EAT BAG IN BOX 10.2 OUNCE </t>
  </si>
  <si>
    <t xml:space="preserve">GENERAL MILLS WONDERWORKS CINN RTE CEREAL CINNAMON READY TO EAT BAG IN BOX 10.2 OUNCE </t>
  </si>
  <si>
    <t xml:space="preserve">GENERAL MILLS WONDERWORKS FROS RTE CEREAL FROSTED READY TO EAT BAG IN BOX 10.2 OUNCE </t>
  </si>
  <si>
    <t xml:space="preserve">GENERAL MILLS WONDERWORKS FRUI RTE CEREAL FRUITY CEREAL READY TO EAT BOX 10.8 OUNCE </t>
  </si>
  <si>
    <t xml:space="preserve">GENERAL MILLS WONDERWORKS PEAN RTE CEREAL PEANUT BUTTER READY TO EAT BAG IN BOX 10.6 OUNCE </t>
  </si>
  <si>
    <t xml:space="preserve">GENERAL MLS FBR ONE HNY CLSTR RTE CEREAL LIGHTLY SWEETENED FLAKES HONEY READY TO EAT BAG IN BOX 17.5 OUNCE </t>
  </si>
  <si>
    <t xml:space="preserve">GENERAL MLS NTR VLY GRNL PRTN GRANOLA CEREAL OATS AND HONEY PROTEIN GRANOLA READY TO EAT BAG 11 OUNCE </t>
  </si>
  <si>
    <t xml:space="preserve">GENERAL MLS NTR VLY GRNL PRTN GRANOLA CEREAL OATS N DARK CHOCOLATE GRANOLA READY TO EAT BAG 11 OUNCE </t>
  </si>
  <si>
    <t xml:space="preserve">GENERAL MLS NTR VLY GRNL PRTN GRANOLA CEREAL OATS N HONEY GRANOLA READY TO EAT BAG 28 OUNCE </t>
  </si>
  <si>
    <t xml:space="preserve">GENERAL MLS NTR VLY GRNL PRTN GRANOLA CEREAL PROTEIN CRUNCHY GRANOLA READY TO EAT BAG 11 OUNCE </t>
  </si>
  <si>
    <t xml:space="preserve">GNRL MLS HNY NUT CHRS MDLY CRN RTE CEREAL SWTND OAT WHT RL HNY NTRL ALMN READY TO EAT BAG IN BOX 16.7 OUNCE </t>
  </si>
  <si>
    <t xml:space="preserve">LUCKY CHARMS MARSHMALLOW UNFLAVORED MULTIPLE COLOR BAG 7 OUNCE </t>
  </si>
  <si>
    <t xml:space="preserve">NATURE VALLEY GRANOLA CEREAL CINNAMON GRANOLA READY TO EAT BAG 11 OUNCE </t>
  </si>
  <si>
    <t xml:space="preserve">NATURE VALLEY GRANOLA CEREAL OATS AND HONEY GRANOLA READY TO EAT BAG 17 OUNCE </t>
  </si>
  <si>
    <t xml:space="preserve">NATURE VALLEY GRANOLA CEREAL VANILLA ALMOND GRANOLA READY TO EAT BAG 11 OUNCE </t>
  </si>
  <si>
    <t xml:space="preserve">WILDE TERRA DARK CHOCOLATE CHE RTE CEREAL DARK CHOCOLATE CHERRY CEREAL READY TO EAT BAG IN BOX 15 OUNCE </t>
  </si>
  <si>
    <t xml:space="preserve">WILDE TERRA MAPLE ALMOND RTE CEREAL MAPLE ALMOND CEREAL READY TO EAT BAG IN BOX 15 OUNCE </t>
  </si>
  <si>
    <t xml:space="preserve">WILDE TERRA MAPLE ALMOND RTE CEREAL MAPLE ALMOND CEREAL READY TO EAT BOX 32.5 OUNCE </t>
  </si>
  <si>
    <t>UPC</t>
  </si>
  <si>
    <t>GRAIN SNACKS</t>
  </si>
  <si>
    <t xml:space="preserve">ANNIE'S GRANOLA &amp; YOGURT BARS BOX 12 COUNT </t>
  </si>
  <si>
    <t xml:space="preserve">ANNIE'S GRANOLA BAR CHOCOLATE CHIP WRAP IN BOX 10 COUNT </t>
  </si>
  <si>
    <t xml:space="preserve">ANNIE'S GRANOLA BAR CHOCOLATE CHIP WRAP IN BOX 12 COUNT </t>
  </si>
  <si>
    <t xml:space="preserve">ANNIE'S GRANOLA BAR CHOCOLATE CHIP WRAP IN BOX 5 COUNT </t>
  </si>
  <si>
    <t xml:space="preserve">ANNIE'S GRANOLA BAR CHOCOLATE CHIP WRAP IN BOX 6 COUNT </t>
  </si>
  <si>
    <t xml:space="preserve">ANNIE'S GRANOLA BAR DOUBLE CHOCOLATE CHIP WRAP IN BOX 12 COUNT </t>
  </si>
  <si>
    <t xml:space="preserve">ANNIE'S GRANOLA BAR DOUBLE CHOCOLATE CHIP WRAP IN BOX 5 COUNT </t>
  </si>
  <si>
    <t xml:space="preserve">ANNIE'S GRANOLA BAR PEANUT BUTTER CHOCOLATE CHIP WRAP IN BOX 6 COUNT </t>
  </si>
  <si>
    <t xml:space="preserve">ANNIE'S GRANOLA BAR UNFLAVORED CARAMEL WRAP IN BOX 10 COUNT </t>
  </si>
  <si>
    <t xml:space="preserve">ANNIE'S GRANOLA BAR UNFLAVORED CARAMEL WRAP IN BOX 5 COUNT </t>
  </si>
  <si>
    <t xml:space="preserve">ANNIE'S GRANOLA BAR UNFLAVORED CHOCOLATE CHIP WRAP IN BOX 5 COUNT </t>
  </si>
  <si>
    <t xml:space="preserve">ANNIE'S HOMEGROWN GRANOLA BAR OATMEAL COOKIE WRAP IN BOX 5 COUNT </t>
  </si>
  <si>
    <t xml:space="preserve">ANNIE'S HOMEGROWN SNACK BAR BIRTHDAY CAKE WRAP IN BOX 5 COUNT </t>
  </si>
  <si>
    <t xml:space="preserve">ANNIE'S HOMEGROWN SNACK BAR ORIGINAL WRAP IN BOX 12 COUNT </t>
  </si>
  <si>
    <t xml:space="preserve">ANNIE'S HOMEGROWN SNACK BAR ORIGINAL WRAP IN BOX 5 COUNT </t>
  </si>
  <si>
    <t xml:space="preserve">ANNIE'S HOMEGROWN SNACK BAR PEANUT BUTTER BOX 12 COUNT </t>
  </si>
  <si>
    <t xml:space="preserve">ANNIE'S HOMEGROWN SNACK BAR PEANUT BUTTER WRAP IN BOX 5 COUNT </t>
  </si>
  <si>
    <t xml:space="preserve">CASCADIAN FARM GRANOLA BAR BLUEBERRY VANILLA WRAP IN BOX 5 COUNT </t>
  </si>
  <si>
    <t xml:space="preserve">CASCADIAN FARM GRANOLA BAR CHERRY CASHEW WRAP IN BOX 5 COUNT </t>
  </si>
  <si>
    <t xml:space="preserve">CASCADIAN FARM GRANOLA BAR CHOCOLATE CHIP BOX 6 COUNT </t>
  </si>
  <si>
    <t xml:space="preserve">CASCADIAN FARM GRANOLA BAR CHOCOLATE CHIP WRAP IN BOX 6 COUNT </t>
  </si>
  <si>
    <t xml:space="preserve">CASCADIAN FARM GRANOLA BAR CHOCOLATE WRAP IN BOX 5 COUNT </t>
  </si>
  <si>
    <t xml:space="preserve">CASCADIAN FARM GRANOLA BAR CINNAMON APPLE WRAP IN BOX 5 COUNT </t>
  </si>
  <si>
    <t xml:space="preserve">CASCADIAN FARM GRANOLA BAR DARK CHOCOLATE CHIP WRAP IN BOX 10 COUNT </t>
  </si>
  <si>
    <t xml:space="preserve">CASCADIAN FARM GRANOLA BAR OATS AND HONEY WRAP IN BOX 5 COUNT </t>
  </si>
  <si>
    <t xml:space="preserve">CASCADIAN FARM GRANOLA BAR UNFLAVORED SWEET AND SALTY PEANUT PRETZEL CHOCOLATE WRAP IN BOX 5 COUNT </t>
  </si>
  <si>
    <t xml:space="preserve">CASCADIAN FARM GRANOLA BAR VANILLA CHIP WRAP IN BOX 10 COUNT </t>
  </si>
  <si>
    <t xml:space="preserve">CASCADIAN FARM GRANOLA BAR VANILLA CHIP WRAP IN BOX 6 COUNT </t>
  </si>
  <si>
    <t xml:space="preserve">CASCADIAN FARM PROTEIN BAR HONEY ROASTED NUT BOX 5 COUNT </t>
  </si>
  <si>
    <t xml:space="preserve">CASCADIAN FARM PROTEIN BAR PEANUT BUTTER CHOCOLATE CHIP WRAP IN BOX 5 COUNT </t>
  </si>
  <si>
    <t xml:space="preserve">CHEX MIX SNACK BAR UNFLAVORED BIRTHDAY CAKE WRAP IN BOX 12 COUNT </t>
  </si>
  <si>
    <t xml:space="preserve">CHEX MIX SNACK BAR UNFLAVORED BIRTHDAY CAKE WRAP IN BOX 6 COUNT </t>
  </si>
  <si>
    <t xml:space="preserve">CHEX MIX SNACK BAR UNFLAVORED COOKIES AND CREAM WRAP IN BOX 12 COUNT </t>
  </si>
  <si>
    <t xml:space="preserve">CHEX MIX SNACK BAR UNFLAVORED COOKIES AND CREAM WRAP IN BOX 6 COUNT </t>
  </si>
  <si>
    <t xml:space="preserve">CHEX MIX SNACK BAR UNFLAVORED DOUBLE CHOCOLATE WRAP 1 COUNT </t>
  </si>
  <si>
    <t xml:space="preserve">CHEX MIX SNACK BAR UNFLAVORED DOUBLE CHOCOLATE WRAP IN BOX 12 COUNT </t>
  </si>
  <si>
    <t xml:space="preserve">CHEX MIX SNACK BAR UNFLAVORED DOUBLE CHOCOLATE WRAP IN BOX 6 COUNT </t>
  </si>
  <si>
    <t xml:space="preserve">CHEX MIX SNACK BAR UNFLAVORED PEANUT BUTTER CHOCOLATE WRAP IN BOX 12 COUNT </t>
  </si>
  <si>
    <t xml:space="preserve">CHEX MIX SNACK BAR UNFLAVORED PEANUT BUTTER CHOCOLATE WRAP IN BOX 20 COUNT </t>
  </si>
  <si>
    <t xml:space="preserve">CHEX MIX SNACK BAR UNFLAVORED PEANUT BUTTER CHOCOLATE WRAP IN BOX 6 COUNT </t>
  </si>
  <si>
    <t xml:space="preserve">CHEX MIX TREAT BAR UNFLAVORED COOKIES AND CREAM WRAP 1 COUNT </t>
  </si>
  <si>
    <t xml:space="preserve">CHEX MIX TREAT BAR UNFLAVORED PEANUT BUTTER CHOCOLATE WRAP 1 COUNT </t>
  </si>
  <si>
    <t xml:space="preserve">CHEX MIX TREAT BAR UNFLAVORED PEANUT BUTTER CHOCOLATE WRAP IN BOX 12 COUNT </t>
  </si>
  <si>
    <t>FIBER ONE BROWNIE CHOCOLATE CHIP COOKIE BAG .89 OUNCE X6</t>
  </si>
  <si>
    <t>FIBER ONE BROWNIE CHOCOLATE FUDGE BAG .89 OUNCE X18</t>
  </si>
  <si>
    <t xml:space="preserve">FIBER ONE BROWNIE CHOCOLATE FUDGE FULL BAG IN BOX 35.6 OUNCE </t>
  </si>
  <si>
    <t>FIBER ONE BROWNIE CHOCOLATE FUDGE SQUARE BAG .89 OUNCE X6</t>
  </si>
  <si>
    <t xml:space="preserve">FIBER ONE BROWNIE COOKIE DOUGH FULL BAG IN BOX 5.65 OUNCE </t>
  </si>
  <si>
    <t xml:space="preserve">FIBER ONE BROWNIE TRIPLE CHOCOLATE FULL BAG IN BOX 5.65 OUNCE </t>
  </si>
  <si>
    <t xml:space="preserve">FIBER ONE CEREAL BAR BIRTHDAY CAKE WRAP IN BOX 12 COUNT </t>
  </si>
  <si>
    <t xml:space="preserve">FIBER ONE CEREAL BAR CHOCOLATE PEANUT BUTTER WRAP IN BOX 10 COUNT </t>
  </si>
  <si>
    <t xml:space="preserve">FIBER ONE CEREAL BAR LEMON BOX 6 COUNT </t>
  </si>
  <si>
    <t xml:space="preserve">FIBER ONE CEREAL BAR LEMON WRAP IN BOX 12 COUNT </t>
  </si>
  <si>
    <t xml:space="preserve">FIBER ONE CEREAL BAR OATS AND CHOCOLATE BOX 15 COUNT </t>
  </si>
  <si>
    <t>FIBER ONE CEREAL BAR OATS AND CHOCOLATE BOX 15 COUNT X2</t>
  </si>
  <si>
    <t xml:space="preserve">FIBER ONE CEREAL BAR OATS AND CHOCOLATE WRAP 1 COUNT </t>
  </si>
  <si>
    <t xml:space="preserve">FIBER ONE CEREAL BAR OATS AND CHOCOLATE WRAP IN BOX 36 COUNT </t>
  </si>
  <si>
    <t xml:space="preserve">FIBER ONE CEREAL BAR OATS AND CHOCOLATE WRAP IN BOX 5 COUNT </t>
  </si>
  <si>
    <t xml:space="preserve">FIBER ONE CEREAL BAR UNFLAVORED CARAMEL NUT BOX 5 COUNT </t>
  </si>
  <si>
    <t xml:space="preserve">FIBER ONE CEREAL BAR UNFLAVORED CARAMEL NUT WRAP IN BOX 10 COUNT </t>
  </si>
  <si>
    <t xml:space="preserve">FIBER ONE CEREAL BAR UNFLAVORED CHOCOLATE CARAMEL AND PRETZEL WRAP IN BOX 5 COUNT </t>
  </si>
  <si>
    <t xml:space="preserve">FIBER ONE CEREAL BAR UNFLAVORED CHOCOLATE WRAP IN BOX 5 COUNT </t>
  </si>
  <si>
    <t xml:space="preserve">FIBER ONE CHEWY BAR OATS AND CHOCOLATE WRAP IN BOX 10 COUNT </t>
  </si>
  <si>
    <t xml:space="preserve">FIBER ONE CHEWY BAR UNFLAVORED CHOCOLATE PEANUT BUTTER WRAP IN BOX 5 COUNT </t>
  </si>
  <si>
    <t xml:space="preserve">FIBER ONE PROTEIN BAR UNFLAVORED COCONUT ALMOND WRAP IN BOX 5 COUNT </t>
  </si>
  <si>
    <t xml:space="preserve">FIBER ONE PROTEIN BAR UNFLAVORED FUDGE CHOCOLATE COOKIE WRAP IN BOX 5 COUNT </t>
  </si>
  <si>
    <t xml:space="preserve">FIBER ONE PROTEIN BAR UNFLAVORED PEANUT BUTTER COCOA CRUMBLE WRAP IN BOX 5 COUNT </t>
  </si>
  <si>
    <t xml:space="preserve">FIBER ONE PROTEIN BAR UNFLAVORED PEANUT BUTTER WRAP IN BOX 5 COUNT </t>
  </si>
  <si>
    <t xml:space="preserve">FIBER ONE SNACK BAR BIRTHDAY CAKE WRAP IN BOX 5.34 OUNCE </t>
  </si>
  <si>
    <t xml:space="preserve">FIBER ONE SNACK BAR BIRTHDAY CAKE WRAP IN BOX 6 COUNT </t>
  </si>
  <si>
    <t xml:space="preserve">FIBER ONE SNACK BAR CINNAMON COFFEE CAKE WRAP IN BOX 12 COUNT </t>
  </si>
  <si>
    <t xml:space="preserve">FIBER ONE SNACK BAR CINNAMON COFFEE CAKE WRAP IN BOX 18 COUNT </t>
  </si>
  <si>
    <t xml:space="preserve">FIBER ONE SNACK BAR CINNAMON COFFEE CAKE WRAP IN BOX 6 COUNT </t>
  </si>
  <si>
    <t xml:space="preserve">FIBER ONE SNACK BAR STRAWBERRY CHEESECAKE WRAP IN BOX 5 COUNT </t>
  </si>
  <si>
    <t xml:space="preserve">GENERAL MILLS CHEERIOS TREAT BAR HONEY NUT WRAP IN BOX 8 COUNT </t>
  </si>
  <si>
    <t xml:space="preserve">GENERAL MILLS CNMN TST CRNCH CEREAL BAR CINNAMON TOAST WRAP 1 COUNT </t>
  </si>
  <si>
    <t xml:space="preserve">GENERAL MILLS CNMN TST CRNCH CEREAL BAR UNFLAVORED CINNAMON TOAST WRAP IN BOX 8 COUNT </t>
  </si>
  <si>
    <t xml:space="preserve">GENERAL MILLS CNMN TST CRNCH MILK AND CEREAL BAR CINNAMON TOAST MILK WRAP 1 COUNT </t>
  </si>
  <si>
    <t xml:space="preserve">GENERAL MILLS CNMN TST CRNCH OAT BAR CINNAMON WRAP IN BOX 6 COUNT </t>
  </si>
  <si>
    <t xml:space="preserve">GENERAL MILLS COCOA PUFFS TRTS TREAT BAR UNFLAVORED CORN PUFF BOX 8 COUNT </t>
  </si>
  <si>
    <t xml:space="preserve">GENERAL MILLS COUNT CHCL TRTS CEREAL BAR UNFLAVORED CHOCOLATEY MARSHMALLOW WRAP IN BOX 10 COUNT </t>
  </si>
  <si>
    <t xml:space="preserve">GENERAL MILLS FIBER ONE BROWNIE CHOCOLATE FUDGE FULL BOX 10.6 OUNCE </t>
  </si>
  <si>
    <t xml:space="preserve">GENERAL MILLS FIBER ONE BROWNIE CHOCOLATE FUDGE FULL WRAP .89 OUNCE </t>
  </si>
  <si>
    <t xml:space="preserve">GENERAL MILLS FIBER ONE BROWNIE MINT FUDGE FULL BOX 5.34 OUNCE </t>
  </si>
  <si>
    <t xml:space="preserve">GENERAL MILLS FRUIT &amp; GRAIN BARS BOX 28 COUNT </t>
  </si>
  <si>
    <t xml:space="preserve">GENERAL MILLS GLDN GRHMS TRTS CEREAL TREAT BAR UNFLAVORED SMORES CHOCOLATE MARSHMALLOW WRAP IN BOX 16 COUNT </t>
  </si>
  <si>
    <t xml:space="preserve">GENERAL MILLS GLDN GRHMS TRTS CEREAL TREAT BAR UNFLAVORED SMORES CHOCOLATE MARSHMALLOW WRAP IN BOX 8 COUNT </t>
  </si>
  <si>
    <t xml:space="preserve">GENERAL MILLS GLDN GRHMS TRTS SNACK BAR UNFLAVORED CHOCOLATE MARSHMALLOW WRAP 1 COUNT </t>
  </si>
  <si>
    <t xml:space="preserve">GENERAL MILLS GOLDEN GRAHAMS OAT BAR SMORES WRAP IN BOX 6 COUNT </t>
  </si>
  <si>
    <t xml:space="preserve">GENERAL MILLS HEALTH BARS &amp; STICKS BOX 30 COUNT </t>
  </si>
  <si>
    <t xml:space="preserve">GENERAL MILLS HEALTH BARS &amp; STICKS BOX 40 COUNT </t>
  </si>
  <si>
    <t xml:space="preserve">GENERAL MILLS LUCKY CHRMS TRTS CEREAL TREAT BAR UNFLAVORED MARSHMALLOW WRAP IN BOX 8 COUNT </t>
  </si>
  <si>
    <t xml:space="preserve">GENERAL MILLS TRIX SNACK BAR FRUIT WRAP IN BOX 16 COUNT </t>
  </si>
  <si>
    <t xml:space="preserve">GNRL MLS CNMN TST CRNCH TRTS CEREAL BAR UNFLAVORED CINNAMON TOAST BOX 12 COUNT </t>
  </si>
  <si>
    <t xml:space="preserve">GNRL MLS CNMN TST CRNCH TRTS CEREAL BAR UNFLAVORED CINNAMON TOAST WRAP 1 COUNT </t>
  </si>
  <si>
    <t xml:space="preserve">GNRL MLS CNMN TST CRNCH TRTS CEREAL BAR UNFLAVORED CINNAMON TOAST WRAP IN BOX 16 COUNT </t>
  </si>
  <si>
    <t>NATURE VALLEY ALMOND BUTTER GRANOLA CUP COOKIE BAG 1.24 OUNCE X5</t>
  </si>
  <si>
    <t>NATURE VALLEY BLUEBERRY COOKIE BAG 1.77 OUNCE X5</t>
  </si>
  <si>
    <t xml:space="preserve">NATURE VALLEY COOKIES-OZ BOX 40.5 OUNCE </t>
  </si>
  <si>
    <t xml:space="preserve">NATURE VALLEY CRISPY CREAMY WAFER BAR UNFLAVORED PEANUT BUTTER CHOCOLATE WRAP 1 COUNT </t>
  </si>
  <si>
    <t xml:space="preserve">NATURE VALLEY CRISPY CREAMY WAFER BAR UNFLAVORED PEANUT BUTTER CHOCOLATE WRAP IN BOX 20 COUNT </t>
  </si>
  <si>
    <t xml:space="preserve">NATURE VALLEY CRISPY CREAMY WAFER BAR UNFLAVORED PEANUT BUTTER CHOCOLATE WRAP IN BOX 5 COUNT </t>
  </si>
  <si>
    <t xml:space="preserve">NATURE VALLEY CRISPY CREAMY WAFER BAR UNFLAVORED PEANUT BUTTER WRAP 1 COUNT </t>
  </si>
  <si>
    <t xml:space="preserve">NATURE VALLEY CRISPY CREAMY WAFER BAR UNFLAVORED PEANUT BUTTER WRAP IN BOX 5 COUNT </t>
  </si>
  <si>
    <t xml:space="preserve">NATURE VALLEY CRISPY CREAMY WAFER BAR UNFLAVORED PRETZEL PEANUT BUTTER BOX 5 COUNT </t>
  </si>
  <si>
    <t xml:space="preserve">NATURE VALLEY FRUIT AND NUT GRANOLA BAR TRAIL MIX WRAP 1 COUNT </t>
  </si>
  <si>
    <t xml:space="preserve">NATURE VALLEY FRUIT AND NUT GRANOLA BAR TRAIL MIX WRAP IN BOX 15 COUNT </t>
  </si>
  <si>
    <t xml:space="preserve">NATURE VALLEY FRUIT AND NUT GRANOLA BAR TRAIL MIX WRAP IN BOX 48 COUNT </t>
  </si>
  <si>
    <t xml:space="preserve">NATURE VALLEY FRUIT AND NUT GRANOLA BAR TRAIL MIX WRAP IN BOX 6 COUNT </t>
  </si>
  <si>
    <t xml:space="preserve">NATURE VALLEY FRUIT AND NUT TRAIL MIX GRANOL CRANBERRY AND POMEGRANATE WRAP IN BOX 6 COUNT </t>
  </si>
  <si>
    <t xml:space="preserve">NATURE VALLEY FRUIT AND NUT TRAIL MIX GRANOL DARK CHOCOLATE AND NUT WRAP IN BOX 6 COUNT </t>
  </si>
  <si>
    <t xml:space="preserve">NATURE VALLEY FRUIT AND NUT TRAIL MIX GRANOL DARK CHOCOLATE CHERRY WRAP IN BOX 6 COUNT </t>
  </si>
  <si>
    <t xml:space="preserve">NATURE VALLEY FRUIT AND NUT TRAIL MIX GRANOL TRAIL MIX WRAP IN BOX 12 COUNT </t>
  </si>
  <si>
    <t xml:space="preserve">NATURE VALLEY GRANOLA &amp; YOGURT BARS BOX 12 COUNT </t>
  </si>
  <si>
    <t xml:space="preserve">NATURE VALLEY GRANOLA &amp; YOGURT BARS BOX 15 COUNT </t>
  </si>
  <si>
    <t xml:space="preserve">NATURE VALLEY GRANOLA &amp; YOGURT BARS BOX 24 COUNT </t>
  </si>
  <si>
    <t xml:space="preserve">NATURE VALLEY GRANOLA &amp; YOGURT BARS BOX 30 COUNT </t>
  </si>
  <si>
    <t xml:space="preserve">NATURE VALLEY GRANOLA &amp; YOGURT BARS BOX 48 COUNT </t>
  </si>
  <si>
    <t xml:space="preserve">NATURE VALLEY GRANOLA &amp; YOGURT BARS BOX 60 COUNT </t>
  </si>
  <si>
    <t xml:space="preserve">NATURE VALLEY GRANOLA &amp; YOGURT BARS BOX 98 COUNT </t>
  </si>
  <si>
    <t xml:space="preserve">NATURE VALLEY GRANOLA BAR APPLE CRISP WRAP IN BOX 12 COUNT </t>
  </si>
  <si>
    <t xml:space="preserve">NATURE VALLEY GRANOLA BAR CHOCOLATE WRAP IN BOX 32 COUNT </t>
  </si>
  <si>
    <t xml:space="preserve">NATURE VALLEY GRANOLA BAR CHOCOLATE WRAP IN BOX 6 COUNT </t>
  </si>
  <si>
    <t xml:space="preserve">NATURE VALLEY GRANOLA BAR CINNAMON WRAP IN BOX 12 COUNT </t>
  </si>
  <si>
    <t xml:space="preserve">NATURE VALLEY GRANOLA BAR MAPLE BROWN SUGAR WRAP 2 COUNT </t>
  </si>
  <si>
    <t xml:space="preserve">NATURE VALLEY GRANOLA BAR MAPLE BROWN SUGAR WRAP IN BOX 12 COUNT </t>
  </si>
  <si>
    <t xml:space="preserve">NATURE VALLEY GRANOLA BAR OAT N HONEY WRAP IN BOX 48 COUNT </t>
  </si>
  <si>
    <t xml:space="preserve">NATURE VALLEY GRANOLA BAR OATS N DARK CHOCOLATE WRAP 1 COUNT </t>
  </si>
  <si>
    <t xml:space="preserve">NATURE VALLEY GRANOLA BAR OATS N DARK CHOCOLATE WRAP IN BOX 12 COUNT </t>
  </si>
  <si>
    <t xml:space="preserve">NATURE VALLEY GRANOLA BAR OATS N DARK CHOCOLATE WRAP IN BOX 24 COUNT </t>
  </si>
  <si>
    <t xml:space="preserve">NATURE VALLEY GRANOLA BAR OATS N HONEY BOX 4 COUNT </t>
  </si>
  <si>
    <t xml:space="preserve">NATURE VALLEY GRANOLA BAR OATS N HONEY WRAP 1 COUNT </t>
  </si>
  <si>
    <t xml:space="preserve">NATURE VALLEY GRANOLA BAR OATS N HONEY WRAP IN BOX 12 COUNT </t>
  </si>
  <si>
    <t xml:space="preserve">NATURE VALLEY GRANOLA BAR OATS N HONEY WRAP IN BOX 18 COUNT </t>
  </si>
  <si>
    <t xml:space="preserve">NATURE VALLEY GRANOLA BAR OATS N HONEY WRAP IN BOX 24 COUNT </t>
  </si>
  <si>
    <t xml:space="preserve">NATURE VALLEY GRANOLA BAR OATS N HONEY WRAP IN BOX 30 COUNT </t>
  </si>
  <si>
    <t xml:space="preserve">NATURE VALLEY GRANOLA BAR OATS N HONEY WRAP IN BOX 36 COUNT </t>
  </si>
  <si>
    <t xml:space="preserve">NATURE VALLEY GRANOLA BAR OATS N HONEY WRAP IN BOX 60 COUNT </t>
  </si>
  <si>
    <t xml:space="preserve">NATURE VALLEY GRANOLA BAR OATS N HONEY WRAP IN BOX 98 COUNT </t>
  </si>
  <si>
    <t xml:space="preserve">NATURE VALLEY GRANOLA BAR PEANUT BUTTER CHOCOLATE WRAP IN BOX 6 COUNT </t>
  </si>
  <si>
    <t xml:space="preserve">NATURE VALLEY GRANOLA BAR PEANUT BUTTER DARK CHOCOLATE WRAP IN BOX 12 COUNT </t>
  </si>
  <si>
    <t xml:space="preserve">NATURE VALLEY GRANOLA BAR PEANUT BUTTER WRAP 1 COUNT </t>
  </si>
  <si>
    <t xml:space="preserve">NATURE VALLEY GRANOLA BAR PEANUT BUTTER WRAP IN BOX 12 COUNT </t>
  </si>
  <si>
    <t xml:space="preserve">NATURE VALLEY GRANOLA BAR PEANUT BUTTER WRAP IN BOX 36 COUNT </t>
  </si>
  <si>
    <t xml:space="preserve">NATURE VALLEY GRANOLA BAR PECAN CRUNCH WRAP IN BOX 12 COUNT </t>
  </si>
  <si>
    <t xml:space="preserve">NATURE VALLEY GRANOLA BAR ROASTED ALMOND WRAP IN BOX 12 COUNT </t>
  </si>
  <si>
    <t xml:space="preserve">NATURE VALLEY GRANOLA BAR UNFLAVORED SALTED CARAMEL WRAP IN BOX 6 COUNT </t>
  </si>
  <si>
    <t xml:space="preserve">NATURE VALLEY GRANOLA BAR UNFLAVORED SWEET AND SALTY NUT CASHEW CASHEW BUTTER WRAP 1 COUNT </t>
  </si>
  <si>
    <t xml:space="preserve">NATURE VALLEY GRANOLA BAR UNFLAVORED SWEET AND SALTY NUT PEANUT PEANUT BUTTER WRAP 1 COUNT </t>
  </si>
  <si>
    <t xml:space="preserve">NATURE VALLEY GRANOLA BAR UNFLAVORED SWEET AND SALTY NUT PEANUT PEANUT BUTTER WRAP IN BOX 30 COUNT </t>
  </si>
  <si>
    <t xml:space="preserve">NATURE VALLEY GRANOLA BAR UNFLAVORED SWEET SLTY NUT CHCLT PRTZL NUT CHOCOLATE WRAP IN BOX 6 COUNT </t>
  </si>
  <si>
    <t xml:space="preserve">NATURE VALLEY GRANOLA BAR UNFLAVORED SWT AND SLTY NUT DRK CHCLT PNT PEANUT BUTTER WRAP 1 COUNT </t>
  </si>
  <si>
    <t xml:space="preserve">NATURE VALLEY HEALTH BARS &amp; STICKS BOX 1 COUNT </t>
  </si>
  <si>
    <t xml:space="preserve">NATURE VALLEY HEALTH BARS &amp; STICKS BOX 15 COUNT </t>
  </si>
  <si>
    <t xml:space="preserve">NATURE VALLEY MUFFIN BAR APPLE CINNAMON BOX 5 COUNT </t>
  </si>
  <si>
    <t xml:space="preserve">NATURE VALLEY MUFFIN BAR APPLE CINNAMON WRAP IN BOX 10 COUNT </t>
  </si>
  <si>
    <t xml:space="preserve">NATURE VALLEY MUFFIN BAR BLUEBERRY WRAP 1 COUNT </t>
  </si>
  <si>
    <t xml:space="preserve">NATURE VALLEY MUFFIN BAR BLUEBERRY WRAP IN BOX 10 COUNT </t>
  </si>
  <si>
    <t xml:space="preserve">NATURE VALLEY MUFFIN BAR BLUEBERRY WRAP IN BOX 5 COUNT </t>
  </si>
  <si>
    <t xml:space="preserve">NATURE VALLEY MUFFIN BAR CHOCOLATE CHIP BAG 1 COUNT </t>
  </si>
  <si>
    <t xml:space="preserve">NATURE VALLEY MUFFIN BAR CHOCOLATE CHIP WRAP IN BOX 10 COUNT </t>
  </si>
  <si>
    <t xml:space="preserve">NATURE VALLEY MUFFIN BAR CHOCOLATE CHIP WRAP IN BOX 5 COUNT </t>
  </si>
  <si>
    <t xml:space="preserve">NATURE VALLEY MUFFIN BAR LEMON POPPY SEED WRAP IN BOX 5 COUNT </t>
  </si>
  <si>
    <t xml:space="preserve">NATURE VALLEY NUT BAR NUT CRUNCH EVERYTHING BAGEL WRAP IN BOX 5 COUNT </t>
  </si>
  <si>
    <t xml:space="preserve">NATURE VALLEY NUT BAR NUT CRUNCH SMOKY BBQ WRAP IN BOX 5 COUNT </t>
  </si>
  <si>
    <t xml:space="preserve">NATURE VALLEY NUT BAR NUT CRUNCH WHITE CHEDDAR WRAP IN BOX 5 COUNT </t>
  </si>
  <si>
    <t xml:space="preserve">NATURE VALLEY OATMEAL BAR OATMEAL CINNAMON BROWN SUGAR WRAP IN BOX 6 COUNT </t>
  </si>
  <si>
    <t xml:space="preserve">NATURE VALLEY OATMEAL BAR PEANUT BUTTER BOX 12 COUNT </t>
  </si>
  <si>
    <t xml:space="preserve">NATURE VALLEY PEANUT BUTTER CHOCOLATE GRANOL COOKIE BAG 1.35 OUNCE </t>
  </si>
  <si>
    <t>NATURE VALLEY PEANUT BUTTER CHOCOLATE GRANOL COOKIE BAG 1.35 OUNCE X10</t>
  </si>
  <si>
    <t>NATURE VALLEY PEANUT BUTTER CHOCOLATE GRANOL COOKIE BAG 1.35 OUNCE X5</t>
  </si>
  <si>
    <t xml:space="preserve">NATURE VALLEY PROTEIN BAR PEANUT BUTTER DARK CHOCOLATE WRAP IN BOX 10 COUNT </t>
  </si>
  <si>
    <t xml:space="preserve">NATURE VALLEY PROTEIN BAR PEANUT BUTTER DARK CHOCOLATE WRAP IN BOX 26 COUNT </t>
  </si>
  <si>
    <t xml:space="preserve">NATURE VALLEY PROTEIN BAR PEANUT BUTTER DARK CHOCOLATE WRAP IN BOX 30 COUNT </t>
  </si>
  <si>
    <t xml:space="preserve">NATURE VALLEY PROTEIN BAR UNFLAVORED BLUEBERRY NUT WRAP IN BOX 5 COUNT </t>
  </si>
  <si>
    <t xml:space="preserve">NATURE VALLEY PROTEIN BAR UNFLAVORED COCONUT ALMOND WRAP IN BOX 5 COUNT </t>
  </si>
  <si>
    <t xml:space="preserve">NATURE VALLEY PROTEIN BAR UNFLAVORED HONEY PEANUT AND ALMOND WRAP IN BOX 5 COUNT </t>
  </si>
  <si>
    <t xml:space="preserve">NATURE VALLEY PROTEIN BAR UNFLAVORED PEANUT ALMOND AND DARK CHCLT WRAP IN BOX 5 COUNT </t>
  </si>
  <si>
    <t xml:space="preserve">NATURE VALLEY PROTEIN BAR UNFLAVORED PEANUT BUTTER DARK CHOCOLATE WRAP 1 COUNT </t>
  </si>
  <si>
    <t xml:space="preserve">NATURE VALLEY PROTEIN BAR UNFLAVORED PEANUT BUTTER DARK CHOCOLATE WRAP IN BOX 10 COUNT </t>
  </si>
  <si>
    <t xml:space="preserve">NATURE VALLEY PROTEIN BAR UNFLAVORED PEANUT BUTTER DARK CHOCOLATE WRAP IN BOX 15 COUNT </t>
  </si>
  <si>
    <t xml:space="preserve">NATURE VALLEY PROTEIN BAR UNFLAVORED PEANUT BUTTER DARK CHOCOLATE WRAP IN BOX 7 COUNT </t>
  </si>
  <si>
    <t xml:space="preserve">NATURE VALLEY PROTEIN BAR UNFLAVORED SALTED CARAMEL NUT BOX 10 COUNT </t>
  </si>
  <si>
    <t xml:space="preserve">NATURE VALLEY PROTEIN BAR UNFLAVORED SALTED CARAMEL NUT WRAP IN BOX 15 COUNT </t>
  </si>
  <si>
    <t xml:space="preserve">NATURE VALLEY PROTEIN BAR UNFLAVORED SALTED CARAMEL NUT WRAP IN BOX 5 COUNT </t>
  </si>
  <si>
    <t xml:space="preserve">NATURE VALLEY PROTEIN CHEWY BAR UNFLAVORED PEANUT BUTTER DARK CHOCOLATE WRAP IN BOX 5 COUNT </t>
  </si>
  <si>
    <t xml:space="preserve">NATURE VALLEY ROASTED NUT CRUNCH BAR ALMOND CRUNCH WRAP IN BOX 6 COUNT </t>
  </si>
  <si>
    <t xml:space="preserve">NATURE VALLEY SANDWICH COOKIE BAG 1.35 OUNCE </t>
  </si>
  <si>
    <t>NATURE VALLEY SANDWICH COOKIE BAG 1.35 OUNCE X10</t>
  </si>
  <si>
    <t>NATURE VALLEY SANDWICH COOKIE BAG 1.35 OUNCE X30</t>
  </si>
  <si>
    <t>NATURE VALLEY SANDWICH COOKIE BAG 1.35 OUNCE X5</t>
  </si>
  <si>
    <t>NATURE VALLEY SANDWICH COOKIE TRAY IN BAG 1.35 OUNCE X5</t>
  </si>
  <si>
    <t>NATURE VALLEY SANDWICH COOKIE WRAP IN BOX 1.35 OUNCE X20</t>
  </si>
  <si>
    <t xml:space="preserve">NATURE VALLEY SNACK BAR OATMEAL BANANA BREAD AND DARK WRAP IN BOX 6 COUNT </t>
  </si>
  <si>
    <t xml:space="preserve">NATURE VALLEY SNACK BAR OATMEAL CINNAMON BROWN SUGAR BOX 14 COUNT </t>
  </si>
  <si>
    <t xml:space="preserve">NATURE VALLEY SNACK BAR OATMEAL CINNAMON BROWN SUGAR WRAP IN BOX 12 COUNT </t>
  </si>
  <si>
    <t xml:space="preserve">NATURE VALLEY SNACK BAR OATMEAL CINNAMON BROWN SUGAR WRAP IN BOX 20 COUNT </t>
  </si>
  <si>
    <t xml:space="preserve">NATURE VALLEY SNACK BAR OATMEAL PEANUT BUTTER BOX 6 COUNT </t>
  </si>
  <si>
    <t xml:space="preserve">NATURE VALLEY SNACK BAR PEANUT BUTTER WRAP IN BOX 24 COUNT </t>
  </si>
  <si>
    <t xml:space="preserve">NATURE VALLEY SNACK BAR PEANUT BUTTER WRAP IN BOX 30 COUNT </t>
  </si>
  <si>
    <t>NATURE VALLEY SNACK MIX CRUNCHY GRANOLA MULTIPLE FORM BAG 1.2 OUNCE X24</t>
  </si>
  <si>
    <t xml:space="preserve">NATURE VALLEY SWEET AND SALTY GRANOLA BAR UNFLAVORED DARK CHOCOLATE PEANUT AND ALMO CHOCOLATE WRAP IN BOX 18 COUNT </t>
  </si>
  <si>
    <t xml:space="preserve">NATURE VALLEY SWEET AND SALTY GRANOLA BAR UNFLAVORED PEANUT PEANUT AND ALMOND BUTTER WRAP IN BOX 18 COUNT </t>
  </si>
  <si>
    <t xml:space="preserve">NATURE VALLEY SWEET AND SALTY GRANOLA BAR UNFLAVORED PEANUT WRAP 1 COUNT </t>
  </si>
  <si>
    <t xml:space="preserve">NATURE VALLEY SWEET AND SALTY NUT CHEWY GRAN UNFLAVORED PEANUT AND ALMOND CHOCOLATE WRAP IN BOX 12 COUNT </t>
  </si>
  <si>
    <t xml:space="preserve">NATURE VALLEY SWEET AND SALTY NUT CHEWY GRAN UNFLAVORED PEANUT AND ALMOND DARK CHOCOLATE WRAP IN BOX 24 COUNT </t>
  </si>
  <si>
    <t xml:space="preserve">NATURE VALLEY SWEET AND SALTY NUT GRNL BAR PEANUT CREAMY WRAP IN BOX 48 COUNT </t>
  </si>
  <si>
    <t xml:space="preserve">NATURE VALLEY SWEET AND SALTY NUT GRNL BAR PEANUT PEANUT AND ALMOND BUTTER WRAP IN BOX 12 COUNT </t>
  </si>
  <si>
    <t xml:space="preserve">NATURE VALLEY SWEET AND SALTY NUT GRNL BAR UNFLAVORED ALMOND ALMOND BUTTER WRAP 1 COUNT </t>
  </si>
  <si>
    <t xml:space="preserve">NATURE VALLEY SWEET AND SALTY NUT GRNL BAR UNFLAVORED ALMOND ALMOND BUTTER WRAP IN BOX 15 COUNT </t>
  </si>
  <si>
    <t xml:space="preserve">NATURE VALLEY SWEET AND SALTY NUT GRNL BAR UNFLAVORED ALMOND ALMOND BUTTER WRAP IN BOX 6 COUNT </t>
  </si>
  <si>
    <t xml:space="preserve">NATURE VALLEY SWEET AND SALTY NUT GRNL BAR UNFLAVORED ALMOND WRAP IN BOX 12 COUNT </t>
  </si>
  <si>
    <t xml:space="preserve">NATURE VALLEY SWEET AND SALTY NUT GRNL BAR UNFLAVORED ALMOND WRAP IN BOX 36 COUNT </t>
  </si>
  <si>
    <t xml:space="preserve">NATURE VALLEY SWEET AND SALTY NUT GRNL BAR UNFLAVORED CASHEW CASHEW AND ALMOND BUTTER WRAP IN BOX 15 COUNT </t>
  </si>
  <si>
    <t xml:space="preserve">NATURE VALLEY SWEET AND SALTY NUT GRNL BAR UNFLAVORED CASHEW CASHEW AND ALMOND BUTTER WRAP IN BOX 6 COUNT </t>
  </si>
  <si>
    <t xml:space="preserve">NATURE VALLEY SWEET AND SALTY NUT GRNL BAR UNFLAVORED CASHEW CASHEW BUTTER WRAP IN BOX 12 COUNT </t>
  </si>
  <si>
    <t xml:space="preserve">NATURE VALLEY SWEET AND SALTY NUT GRNL BAR UNFLAVORED PEANUT AND ALMOND DARK CHOCOLATE WRAP IN BOX 10 COUNT </t>
  </si>
  <si>
    <t xml:space="preserve">NATURE VALLEY SWEET AND SALTY NUT GRNL BAR UNFLAVORED PEANUT AND ALMOND DARK CHOCOLATE WRAP IN BOX 15 COUNT </t>
  </si>
  <si>
    <t xml:space="preserve">NATURE VALLEY SWEET AND SALTY NUT GRNL BAR UNFLAVORED PEANUT AND ALMOND DARK CHOCOLATE WRAP IN BOX 20 COUNT </t>
  </si>
  <si>
    <t xml:space="preserve">NATURE VALLEY SWEET AND SALTY NUT GRNL BAR UNFLAVORED PEANUT PEANUT AND ALMOND BUTTER WRAP 1 COUNT </t>
  </si>
  <si>
    <t xml:space="preserve">NATURE VALLEY SWEET AND SALTY NUT GRNL BAR UNFLAVORED PEANUT PEANUT AND ALMOND BUTTER WRAP IN BOX 10 COUNT </t>
  </si>
  <si>
    <t xml:space="preserve">NATURE VALLEY SWEET AND SALTY NUT GRNL BAR UNFLAVORED PEANUT PEANUT AND ALMOND BUTTER WRAP IN BOX 15 COUNT </t>
  </si>
  <si>
    <t xml:space="preserve">NATURE VALLEY SWEET AND SALTY NUT GRNL BAR UNFLAVORED PEANUT PEANUT AND ALMOND BUTTER WRAP IN BOX 20 COUNT </t>
  </si>
  <si>
    <t xml:space="preserve">NATURE VALLEY SWEET AND SALTY NUT GRNL BAR UNFLAVORED PEANUT PEANUT AND ALMOND BUTTER WRAP IN BOX 6 COUNT </t>
  </si>
  <si>
    <t xml:space="preserve">NATURE VALLEY SWEET AND SALTY NUT GRNL BAR UNFLAVORED PEANUT WRAP IN BOX 36 COUNT </t>
  </si>
  <si>
    <t xml:space="preserve">NATURE VALLEY SWEET AND SALTY NUT GRNL BAR UNFLAVORED PEANUT WRAP IN BOX 6 COUNT </t>
  </si>
  <si>
    <t xml:space="preserve">NATURE VALLEY SWEET AND SALTY NUT GRNL BAR UNFLAVORED ROASTED MIXED NUT MIXED NUT BUTTER WRAP IN BOX 6 COUNT </t>
  </si>
  <si>
    <t xml:space="preserve">NATURE VALLEY SWEET AND SALTY NUT GRNL BAR UNFLAVORED SALTED CARAMEL CHOCOLATE WRAP IN BOX 6 COUNT </t>
  </si>
  <si>
    <t xml:space="preserve">PROTEIN ONE PROTEIN BAR UNFLAVORED CHOCOLATE CHIP WRAP IN BOX 5 COUNT </t>
  </si>
  <si>
    <t xml:space="preserve">PROTEIN ONE PROTEIN BAR UNFLAVORED CHOCOLATE FUDGE WRAP IN BOX 5 COUNT </t>
  </si>
  <si>
    <t xml:space="preserve">PROTEIN ONE PROTEIN BAR UNFLAVORED PEANUT BUTTER CHOCOLATE WRAP IN BOX 10 COUNT </t>
  </si>
  <si>
    <t xml:space="preserve">PROTEIN ONE PROTEIN BAR UNFLAVORED PEANUT BUTTER CHOCOLATE WRAP IN BOX 5 COUNT </t>
  </si>
  <si>
    <t xml:space="preserve">PROTEIN ONE PROTEIN BAR UNFLAVORED STRAWBERRIES AND CREAM WRAP IN BOX 10 COUNT </t>
  </si>
  <si>
    <t xml:space="preserve">PROTEIN ONE PROTEIN BAR UNFLAVORED STRAWBERRIES AND CREAM WRAP IN BOX 5 COUNT </t>
  </si>
  <si>
    <t>NUTRITION SNACKS</t>
  </si>
  <si>
    <t xml:space="preserve">:RATIO CHEWY BAR UNFLAVORED CHOCOLATE NUT WRAP IN BOX 4 COUNT </t>
  </si>
  <si>
    <t xml:space="preserve">:RATIO CHEWY BAR UNFLAVORED PEANUT BUTTER ALMOND WRAP IN BOX 4 COUNT </t>
  </si>
  <si>
    <t xml:space="preserve">:RATIO SNACK BAR CHOCOLATE BROWNIE WRAP IN BOX 6 COUNT </t>
  </si>
  <si>
    <t xml:space="preserve">:RATIO SNACK BAR CHOCOLATE CHUNK COOKIE WRAP 1 COUNT </t>
  </si>
  <si>
    <t xml:space="preserve">:RATIO SNACK BAR CHOCOLATE CHUNK COOKIE WRAP IN BOX 6 COUNT </t>
  </si>
  <si>
    <t xml:space="preserve">:RATIO SNACK BAR COCONUT ALMOND WRAP IN BOX 4 COUNT </t>
  </si>
  <si>
    <t xml:space="preserve">:RATIO SNACK BAR COCONUT ALMOND WRAP IN BOX 8 COUNT </t>
  </si>
  <si>
    <t xml:space="preserve">:RATIO SNACK BAR LEMON ALMOND WRAP 1 COUNT </t>
  </si>
  <si>
    <t xml:space="preserve">:RATIO SNACK BAR LEMON ALMOND WRAP IN BOX 4 COUNT </t>
  </si>
  <si>
    <t xml:space="preserve">:RATIO SNACK BAR TOASTED ALMOND WRAP IN BOX 4 COUNT </t>
  </si>
  <si>
    <t xml:space="preserve">:RATIO SNACK BAR TOASTED ALMOND WRAP IN BOX 8 COUNT </t>
  </si>
  <si>
    <t xml:space="preserve">:RATIO SNACK BAR VANILLA ALMOND WRAP IN BOX 4 COUNT </t>
  </si>
  <si>
    <t xml:space="preserve">EPIC MEAT SNACK APPLE BEEF BAR WRAP 1.3 OUNCE </t>
  </si>
  <si>
    <t xml:space="preserve">EPIC MEAT SNACK APPLE BEEF BAR WRAP IN BOX 15.6 OUNCE </t>
  </si>
  <si>
    <t xml:space="preserve">EPIC MEAT SNACK BACON CRANBERRY BISON BAR WRAP 1.3 OUNCE </t>
  </si>
  <si>
    <t xml:space="preserve">EPIC MEAT SNACK BACON CRANBERRY BISON BAR WRAP IN BOX 5.2 OUNCE </t>
  </si>
  <si>
    <t xml:space="preserve">EPIC MEAT SNACK BARBACOA INSPIRED BEEF BAR WRAP 1.3 OUNCE </t>
  </si>
  <si>
    <t xml:space="preserve">EPIC MEAT SNACK BARBACOA INSPIRED BEEF BAR WRAP 15.6 OUNCE </t>
  </si>
  <si>
    <t xml:space="preserve">EPIC MEAT SNACK BBQ SEASONED CHICKEN BAR WRAP 1.3 OUNCE </t>
  </si>
  <si>
    <t xml:space="preserve">EPIC MEAT SNACK BBQ SEASONED CHICKEN BAR WRAP IN BOX 15.6 OUNCE </t>
  </si>
  <si>
    <t xml:space="preserve">EPIC MEAT SNACK CRANBERRY BISON BAR WRAP IN BOX 15.6 OUNCE </t>
  </si>
  <si>
    <t xml:space="preserve">EPIC MEAT SNACK JALAPENO BEEF BAR WRAP 1.3 OUNCE </t>
  </si>
  <si>
    <t xml:space="preserve">EPIC MEAT SNACK JALAPENO BEEF BAR WRAP IN BOX 15.6 OUNCE </t>
  </si>
  <si>
    <t xml:space="preserve">EPIC MEAT SNACK MAPLE PORK BAR BAG 1.5 OUNCE </t>
  </si>
  <si>
    <t xml:space="preserve">EPIC MEAT SNACK MAPLE PORK BAR WRAP IN BOX 18 OUNCE </t>
  </si>
  <si>
    <t xml:space="preserve">EPIC MEAT SNACK SEA SALT AND PEPPER VENISON BAR WRAP 1.3 OUNCE </t>
  </si>
  <si>
    <t xml:space="preserve">EPIC MEAT SNACK SEA SALT AND PEPPER VENISON BAR WRAP IN BOX 15.6 OUNCE </t>
  </si>
  <si>
    <t xml:space="preserve">EPIC MEAT SNACK SEA SALT AND PEPPER VENISON BAR WRAP IN BOX 5.2 OUNCE </t>
  </si>
  <si>
    <t xml:space="preserve">EPIC MEAT SNACK SEA SALT AND PEPPER VENISON BAR WRAP IN BOX 6 OUNCE </t>
  </si>
  <si>
    <t xml:space="preserve">EPIC MEAT SNACK SEA SALT PLUS PEPPER BEEF BAR WRAP 1.3 OUNCE </t>
  </si>
  <si>
    <t xml:space="preserve">EPIC MEAT SNACK SEA SALT PLUS PEPPER BEEF BAR WRAP IN BOX 15.6 OUNCE </t>
  </si>
  <si>
    <t xml:space="preserve">EPIC MEAT SNACK SEA SALT PLUS PEPPER BEEF BAR WRAP IN BOX 5.2 OUNCE </t>
  </si>
  <si>
    <t xml:space="preserve">EPIC MEAT SNACK SRIRACHA CHICKEN BAR WRAP 1.3 OUNCE </t>
  </si>
  <si>
    <t xml:space="preserve">EPIC MEAT SNACK SRIRACHA CHICKEN BAR WRAP IN BOX 15.6 OUNCE </t>
  </si>
  <si>
    <t xml:space="preserve">EPIC MEAT SNACK SRIRACHA CHICKEN BAR WRAP IN BOX 5.2 OUNCE </t>
  </si>
  <si>
    <t xml:space="preserve">EPIC MEAT SNACK SRIRACHA CHICKEN BAR WRAP IN BOX 6 OUNCE </t>
  </si>
  <si>
    <t xml:space="preserve">GOOD MEASURE SNACK BAR ALMOND BUTTER BLUEBERRY CREAMY WRAP IN BOX 4 COUNT </t>
  </si>
  <si>
    <t xml:space="preserve">GOOD MEASURE SNACK BAR ALMOND BUTTER DARK CHOCOLATE BOX 4 COUNT </t>
  </si>
  <si>
    <t xml:space="preserve">GOOD MEASURE SNACK BAR CHEDDAR ALMOND CRISPS BOX 5 COUNT </t>
  </si>
  <si>
    <t xml:space="preserve">GOOD MEASURE SNACK BAR CREAMY PEANUT BUTTER AND DARK BOX 4 COUNT </t>
  </si>
  <si>
    <t xml:space="preserve">GOOD MEASURE SNACK BAR SRIRACHA ALMOND CRISPS BOX 5 COUNT </t>
  </si>
  <si>
    <t xml:space="preserve">LARABAR FRUIT AND NUT BAR ALMOND BUTTER CHOCOLATE CHIP WRAP IN BOX 6 COUNT </t>
  </si>
  <si>
    <t xml:space="preserve">LARABAR FRUIT AND NUT BAR APPLE PIE WRAP IN BOX 12 COUNT </t>
  </si>
  <si>
    <t xml:space="preserve">LARABAR FRUIT AND NUT BAR APPLE PIE WRAP IN BOX 6 COUNT </t>
  </si>
  <si>
    <t xml:space="preserve">LARABAR FRUIT AND NUT BAR BANANA CHOCOLATE CHIP WRAP IN BOX 12 COUNT </t>
  </si>
  <si>
    <t xml:space="preserve">LARABAR FRUIT AND NUT BAR BANANA CHOCOLATE CHIP WRAP IN BOX 6 COUNT </t>
  </si>
  <si>
    <t xml:space="preserve">LARABAR FRUIT AND NUT BAR BLUEBERRY MUFFIN WRAP IN BOX 6 COUNT </t>
  </si>
  <si>
    <t xml:space="preserve">LARABAR FRUIT AND NUT BAR CARROT CAKE WRAP 1 COUNT </t>
  </si>
  <si>
    <t xml:space="preserve">LARABAR FRUIT AND NUT BAR CASHEW COOKIE WRAP IN BOX 12 COUNT </t>
  </si>
  <si>
    <t xml:space="preserve">LARABAR FRUIT AND NUT BAR CASHEW COOKIE WRAP IN BOX 18 COUNT </t>
  </si>
  <si>
    <t xml:space="preserve">LARABAR FRUIT AND NUT BAR CASHEW COOKIE WRAP IN BOX 6 COUNT </t>
  </si>
  <si>
    <t xml:space="preserve">LARABAR FRUIT AND NUT BAR CASHEW COOKIE WRAP IN BOX 8 COUNT </t>
  </si>
  <si>
    <t xml:space="preserve">LARABAR FRUIT AND NUT BAR CHERRY PIE WRAP IN BOX 6 COUNT </t>
  </si>
  <si>
    <t xml:space="preserve">LARABAR FRUIT AND NUT BAR CHOCOLATE CHIP COOKIE DOUGH WRAP IN BOX 12 COUNT </t>
  </si>
  <si>
    <t xml:space="preserve">LARABAR FRUIT AND NUT BAR CHOCOLATE CHIP COOKIE DOUGH WRAP IN BOX 6 COUNT </t>
  </si>
  <si>
    <t xml:space="preserve">LARABAR FRUIT AND NUT BAR CHOCOLATE CHIP COOKIE DOUGH WRAP IN BOX 8 COUNT </t>
  </si>
  <si>
    <t xml:space="preserve">LARABAR FRUIT AND NUT BAR CHOCOLATE PEANUT CARAMEL TRUFF WRAP IN BOX 6 COUNT </t>
  </si>
  <si>
    <t xml:space="preserve">LARABAR FRUIT AND NUT BAR CHOCOLATE PEANUT CARAMEL TRUFF WRAP IN BOX 8 COUNT </t>
  </si>
  <si>
    <t xml:space="preserve">LARABAR FRUIT AND NUT BAR CHOCOLATE RASPBERRY TRUFFLE BAG 1 COUNT </t>
  </si>
  <si>
    <t xml:space="preserve">LARABAR FRUIT AND NUT BAR CHOCOLATE RASPBERRY TRUFFLE WRAP IN BOX 6 COUNT </t>
  </si>
  <si>
    <t xml:space="preserve">LARABAR FRUIT AND NUT BAR CHOCOLATE RASPBERRY TRUFFLE WRAP IN BOX 8 COUNT </t>
  </si>
  <si>
    <t xml:space="preserve">LARABAR FRUIT AND NUT BAR COCONUT CREAM PIE WRAP IN BOX 6 COUNT </t>
  </si>
  <si>
    <t xml:space="preserve">LARABAR FRUIT AND NUT BAR DOUBLE CHOCOLATE PEANUT BUTTER WRAP 1 COUNT </t>
  </si>
  <si>
    <t xml:space="preserve">LARABAR FRUIT AND NUT BAR DOUBLE CHOCOLATE TRUFFLE WRAP 1 COUNT </t>
  </si>
  <si>
    <t xml:space="preserve">LARABAR FRUIT AND NUT BAR DOUBLE CHOCOLATE TRUFFLE WRAP IN BOX 16 COUNT </t>
  </si>
  <si>
    <t xml:space="preserve">LARABAR FRUIT AND NUT BAR DOUBLE CHOCOLATE TRUFFLE WRAP IN BOX 6 COUNT </t>
  </si>
  <si>
    <t xml:space="preserve">LARABAR FRUIT AND NUT BAR DOUBLE CHOCOLATE TRUFFLE WRAP IN BOX 8 COUNT </t>
  </si>
  <si>
    <t xml:space="preserve">LARABAR FRUIT AND NUT BAR GINGERBREAD WRAP 1 COUNT </t>
  </si>
  <si>
    <t xml:space="preserve">LARABAR FRUIT AND NUT BAR GINGERBREAD WRAP IN BOX 16 COUNT </t>
  </si>
  <si>
    <t xml:space="preserve">LARABAR FRUIT AND NUT BAR GINGERBREAD WRAP IN BOX 6 COUNT </t>
  </si>
  <si>
    <t xml:space="preserve">LARABAR FRUIT AND NUT BAR KEY LIME PIE WRAP IN BOX 6 COUNT </t>
  </si>
  <si>
    <t xml:space="preserve">LARABAR FRUIT AND NUT BAR LEMON WRAP IN BOX 18 COUNT </t>
  </si>
  <si>
    <t xml:space="preserve">LARABAR FRUIT AND NUT BAR LEMON WRAP IN BOX 6 COUNT </t>
  </si>
  <si>
    <t xml:space="preserve">LARABAR FRUIT AND NUT BAR MINT CHIP BROWNIE WRAP IN BOX 6 COUNT </t>
  </si>
  <si>
    <t xml:space="preserve">LARABAR FRUIT AND NUT BAR ORANGE SORBET WRAP 1 COUNT </t>
  </si>
  <si>
    <t xml:space="preserve">LARABAR FRUIT AND NUT BAR ORANGE SORBET WRAP IN BOX 6 COUNT </t>
  </si>
  <si>
    <t xml:space="preserve">LARABAR FRUIT AND NUT BAR ORANGE SORBET WRAP IN BOX 8 COUNT </t>
  </si>
  <si>
    <t xml:space="preserve">LARABAR FRUIT AND NUT BAR PEANUT BUTTER CHOCOLATE CHIP WRAP IN BOX 12 COUNT </t>
  </si>
  <si>
    <t xml:space="preserve">LARABAR FRUIT AND NUT BAR PEANUT BUTTER CHOCOLATE CHIP WRAP IN BOX 6 COUNT </t>
  </si>
  <si>
    <t xml:space="preserve">LARABAR FRUIT AND NUT BAR PEANUT BUTTER CHOCOLATE CHIP WRAP IN BOX 8 COUNT </t>
  </si>
  <si>
    <t xml:space="preserve">LARABAR FRUIT AND NUT BAR PEANUT BUTTER COOKIE WRAP IN BOX 12 COUNT </t>
  </si>
  <si>
    <t xml:space="preserve">LARABAR FRUIT AND NUT BAR PEANUT BUTTER COOKIE WRAP IN BOX 16 COUNT </t>
  </si>
  <si>
    <t xml:space="preserve">LARABAR FRUIT AND NUT BAR PEANUT BUTTER COOKIE WRAP IN BOX 6 COUNT </t>
  </si>
  <si>
    <t xml:space="preserve">LARABAR FRUIT AND NUT BAR PECAN PIE WRAP IN BOX 16 COUNT </t>
  </si>
  <si>
    <t xml:space="preserve">LARABAR FRUIT AND NUT BAR PINEAPPLE UPSIDE DOWN CAKE WRAP IN BOX 12 COUNT </t>
  </si>
  <si>
    <t xml:space="preserve">LARABAR FRUIT AND NUT BAR PUMPKIN PIE WRAP 1 COUNT </t>
  </si>
  <si>
    <t xml:space="preserve">LARABAR FRUIT AND NUT BAR PUMPKIN PIE WRAP IN BOX 16 COUNT </t>
  </si>
  <si>
    <t xml:space="preserve">LARABAR FRUIT AND NUT BAR PUMPKIN PIE WRAP IN BOX 6 COUNT </t>
  </si>
  <si>
    <t xml:space="preserve">LARABAR FRUIT AND NUT FOOD BAR ALMOND BUTTER CHOCOLATE CHIP WRAP 1 COUNT </t>
  </si>
  <si>
    <t xml:space="preserve">LARABAR FRUIT AND NUT FOOD BAR ALMOND BUTTER CHOCOLATE CHIP WRAP IN BOX 16 COUNT </t>
  </si>
  <si>
    <t xml:space="preserve">LARABAR FRUIT AND NUT FOOD BAR ALMOND COOKIE WRAP 1 COUNT </t>
  </si>
  <si>
    <t xml:space="preserve">LARABAR FRUIT AND NUT FOOD BAR APPLE PIE WRAP 1 COUNT </t>
  </si>
  <si>
    <t xml:space="preserve">LARABAR FRUIT AND NUT FOOD BAR APPLE PIE WRAP IN BOX 16 COUNT </t>
  </si>
  <si>
    <t xml:space="preserve">LARABAR FRUIT AND NUT FOOD BAR APPLE PIE WRAP IN BOX 8 COUNT </t>
  </si>
  <si>
    <t xml:space="preserve">LARABAR FRUIT AND NUT FOOD BAR BANANA BREAD WRAP 1 COUNT </t>
  </si>
  <si>
    <t xml:space="preserve">LARABAR FRUIT AND NUT FOOD BAR BANANA BREAD WRAP IN BOX 16 COUNT </t>
  </si>
  <si>
    <t xml:space="preserve">LARABAR FRUIT AND NUT FOOD BAR BANANA CHOCOLATE CHIP WRAP 1 COUNT </t>
  </si>
  <si>
    <t xml:space="preserve">LARABAR FRUIT AND NUT FOOD BAR BANANA CHOCOLATE CHIP WRAP IN BOX 16 COUNT </t>
  </si>
  <si>
    <t xml:space="preserve">LARABAR FRUIT AND NUT FOOD BAR BLUEBERRY MUFFIN WRAP 1 COUNT </t>
  </si>
  <si>
    <t xml:space="preserve">LARABAR FRUIT AND NUT FOOD BAR BLUEBERRY MUFFIN WRAP IN BOX 16 COUNT </t>
  </si>
  <si>
    <t xml:space="preserve">LARABAR FRUIT AND NUT FOOD BAR BLUEBERRY MUFFIN WRAP IN BOX 8 COUNT </t>
  </si>
  <si>
    <t xml:space="preserve">LARABAR FRUIT AND NUT FOOD BAR CASHEW COOKIE WRAP 1 COUNT </t>
  </si>
  <si>
    <t xml:space="preserve">LARABAR FRUIT AND NUT FOOD BAR CASHEW COOKIE WRAP IN BOX 16 COUNT </t>
  </si>
  <si>
    <t xml:space="preserve">LARABAR FRUIT AND NUT FOOD BAR CASHEW COOKIE WRAP IN BOX 5 COUNT </t>
  </si>
  <si>
    <t xml:space="preserve">LARABAR FRUIT AND NUT FOOD BAR CHERRY PIE WRAP 1 COUNT </t>
  </si>
  <si>
    <t xml:space="preserve">LARABAR FRUIT AND NUT FOOD BAR CHERRY PIE WRAP IN BOX 16 COUNT </t>
  </si>
  <si>
    <t xml:space="preserve">LARABAR FRUIT AND NUT FOOD BAR CHERRY PIE WRAP IN BOX 8 COUNT </t>
  </si>
  <si>
    <t xml:space="preserve">LARABAR FRUIT AND NUT FOOD BAR CHOCOLATE CHIP BROWNIE WRAP 1 COUNT </t>
  </si>
  <si>
    <t xml:space="preserve">LARABAR FRUIT AND NUT FOOD BAR CHOCOLATE CHIP BROWNIE WRAP IN BOX 16 COUNT </t>
  </si>
  <si>
    <t xml:space="preserve">LARABAR FRUIT AND NUT FOOD BAR CHOCOLATE CHIP COOKIE DOUGH WRAP 1 COUNT </t>
  </si>
  <si>
    <t xml:space="preserve">LARABAR FRUIT AND NUT FOOD BAR CHOCOLATE CHIP COOKIE DOUGH WRAP IN BOX 10 COUNT </t>
  </si>
  <si>
    <t xml:space="preserve">LARABAR FRUIT AND NUT FOOD BAR CHOCOLATE CHIP COOKIE DOUGH WRAP IN BOX 16 COUNT </t>
  </si>
  <si>
    <t xml:space="preserve">LARABAR FRUIT AND NUT FOOD BAR CHOCOLATE CHIP COOKIE DOUGH WRAP IN BOX 18 COUNT </t>
  </si>
  <si>
    <t xml:space="preserve">LARABAR FRUIT AND NUT FOOD BAR CHOCOLATE CHIP COOKIE DOUGH WRAP IN BOX 20 COUNT </t>
  </si>
  <si>
    <t xml:space="preserve">LARABAR FRUIT AND NUT FOOD BAR CHOCOLATE CHIP COOKIE DOUGH WRAP IN BOX 5 COUNT </t>
  </si>
  <si>
    <t xml:space="preserve">LARABAR FRUIT AND NUT FOOD BAR CHOCOLATE COCONUT CHEW WRAP 1 COUNT </t>
  </si>
  <si>
    <t xml:space="preserve">LARABAR FRUIT AND NUT FOOD BAR CHOCOLATE COCONUT CHEW WRAP IN BOX 16 COUNT </t>
  </si>
  <si>
    <t xml:space="preserve">LARABAR FRUIT AND NUT FOOD BAR COCONUT CHOCOLATE CHIP WRAP 1 COUNT </t>
  </si>
  <si>
    <t xml:space="preserve">LARABAR FRUIT AND NUT FOOD BAR COCONUT CREAM PIE WRAP 1 COUNT </t>
  </si>
  <si>
    <t xml:space="preserve">LARABAR FRUIT AND NUT FOOD BAR COCONUT CREAM PIE WRAP IN BOX 16 COUNT </t>
  </si>
  <si>
    <t xml:space="preserve">LARABAR FRUIT AND NUT FOOD BAR KEY LIME PIE WRAP 1 COUNT </t>
  </si>
  <si>
    <t xml:space="preserve">LARABAR FRUIT AND NUT FOOD BAR LEMON WRAP 1 COUNT </t>
  </si>
  <si>
    <t xml:space="preserve">LARABAR FRUIT AND NUT FOOD BAR LEMON WRAP IN BOX 12 COUNT </t>
  </si>
  <si>
    <t xml:space="preserve">LARABAR FRUIT AND NUT FOOD BAR LEMON WRAP IN BOX 16 COUNT </t>
  </si>
  <si>
    <t xml:space="preserve">LARABAR FRUIT AND NUT FOOD BAR LEMON WRAP IN BOX 8 COUNT </t>
  </si>
  <si>
    <t xml:space="preserve">LARABAR FRUIT AND NUT FOOD BAR MINT CHIP BROWNIE WRAP 1 COUNT </t>
  </si>
  <si>
    <t xml:space="preserve">LARABAR FRUIT AND NUT FOOD BAR MINT CHIP BROWNIE WRAP IN BOX 16 COUNT </t>
  </si>
  <si>
    <t xml:space="preserve">LARABAR FRUIT AND NUT FOOD BAR PEANUT BUTTER AND JELLY BOX 16 COUNT </t>
  </si>
  <si>
    <t xml:space="preserve">LARABAR FRUIT AND NUT FOOD BAR PEANUT BUTTER AND JELLY WRAP 1 COUNT </t>
  </si>
  <si>
    <t xml:space="preserve">LARABAR FRUIT AND NUT FOOD BAR PEANUT BUTTER CHOCOLATE CHIP BOX 18 COUNT </t>
  </si>
  <si>
    <t xml:space="preserve">LARABAR FRUIT AND NUT FOOD BAR PEANUT BUTTER CHOCOLATE CHIP WRAP 1 COUNT </t>
  </si>
  <si>
    <t xml:space="preserve">LARABAR FRUIT AND NUT FOOD BAR PEANUT BUTTER CHOCOLATE CHIP WRAP IN BOX 10 COUNT </t>
  </si>
  <si>
    <t xml:space="preserve">LARABAR FRUIT AND NUT FOOD BAR PEANUT BUTTER CHOCOLATE CHIP WRAP IN BOX 16 COUNT </t>
  </si>
  <si>
    <t xml:space="preserve">LARABAR FRUIT AND NUT FOOD BAR PEANUT BUTTER CHOCOLATE CHIP WRAP IN BOX 20 COUNT </t>
  </si>
  <si>
    <t xml:space="preserve">LARABAR FRUIT AND NUT FOOD BAR PEANUT BUTTER COOKIE WRAP 1 COUNT </t>
  </si>
  <si>
    <t xml:space="preserve">LARABAR FRUIT AND NUT FOOD BAR PEANUT BUTTER COOKIE WRAP IN BOX 8 COUNT </t>
  </si>
  <si>
    <t xml:space="preserve">LARABAR FRUIT AND NUT FOOD BAR PECAN PIE WRAP 1 COUNT </t>
  </si>
  <si>
    <t xml:space="preserve">LARABAR FRUIT AND NUT FOOD BAR PINEAPPLE UPSIDE DOWN CAKE WRAP 1 COUNT </t>
  </si>
  <si>
    <t xml:space="preserve">LARABAR FRUIT AND NUT FOOD BAR PINEAPPLE UPSIDE DOWN CAKE WRAP IN BOX 16 COUNT </t>
  </si>
  <si>
    <t xml:space="preserve">LARABAR HEALTH BARS &amp; STICKS BOX 18 COUNT </t>
  </si>
  <si>
    <t xml:space="preserve">LARABAR HEALTH BARS &amp; STICKS BOX 20 COUNT </t>
  </si>
  <si>
    <t xml:space="preserve">LARABAR KID SNACK BAR CHOCOLATE BROWNIE WRAP IN BOX 6 COUNT </t>
  </si>
  <si>
    <t xml:space="preserve">LARABAR KID SNACK BAR CHOCOLATE CHIP COOKIE WRAP IN BOX 6 COUNT </t>
  </si>
  <si>
    <t xml:space="preserve">LARABAR KID SNACK BAR CINNAMON SWIRL WRAP IN BOX 6 COUNT </t>
  </si>
  <si>
    <t xml:space="preserve">LARABAR MINIS FRUIT AND NUT BAR CHOCOLATE CHERRY TRUFFLE WRAP IN BOX 20 COUNT </t>
  </si>
  <si>
    <t xml:space="preserve">LARABAR MINIS FRUIT AND NUT BAR DOUBLE DARK CHOCOLATE WRAP IN BOX 20 COUNT </t>
  </si>
  <si>
    <t xml:space="preserve">LARABAR MINIS FRUIT AND NUT BAR MINT CHOCOLATE CHIP WRAP IN BOX 20 COUNT </t>
  </si>
  <si>
    <t xml:space="preserve">LARABAR MINIS HEALTH BARS &amp; STICKS BOX 30 COUNT </t>
  </si>
  <si>
    <t xml:space="preserve">LARABAR MUFFIN BAR BLUEBERRY MUFFIN WRAP IN BOX 12 COUNT </t>
  </si>
  <si>
    <t xml:space="preserve">LARABAR SNACK BAR ALMOND COOKIE WRAP IN BOX 12 COUNT </t>
  </si>
  <si>
    <t xml:space="preserve">LARABAR SNACK BAR CHERRY PIE WRAP IN BOX 12 COUNT </t>
  </si>
  <si>
    <t xml:space="preserve">LARABAR SNACK BAR CHOCOLATE PEANUT CARAMEL TRUFF WRAP 1 COUNT </t>
  </si>
  <si>
    <t xml:space="preserve">LARABAR SNACK BAR DOUBLE CHOCOLATE PEANUT BUTTER WRAP IN BOX 8 COUNT </t>
  </si>
  <si>
    <t>BAKING/PANCAKE MIX</t>
  </si>
  <si>
    <t xml:space="preserve">ANNIE'S HOMEGROWN PANCAKE AND WAFFLE MIX CONFETTI BAKE BAG IN BOX 26 OUNCE </t>
  </si>
  <si>
    <t xml:space="preserve">ANNIE'S HOMEGROWN PANCAKE AND WAFFLE MIX UNFLAVORED BAKE BOX 26 OUNCE </t>
  </si>
  <si>
    <t xml:space="preserve">BETTY CROCKER BISQUICK BAKING MIX BUTTERMILK BOX 40 OUNCE </t>
  </si>
  <si>
    <t xml:space="preserve">BETTY CROCKER BISQUICK BAKING MIX UNFLAVORED BAG 5.5 OUNCE </t>
  </si>
  <si>
    <t xml:space="preserve">BETTY CROCKER BISQUICK BISCUIT MIX BUTTERMILK BAG 7.5 OUNCE </t>
  </si>
  <si>
    <t xml:space="preserve">BETTY CROCKER BISQUICK BISCUIT MIX CHEESE GARLIC BAG 7.75 OUNCE </t>
  </si>
  <si>
    <t xml:space="preserve">BETTY CROCKER BISQUICK FLAVOR PANCAKE MIX CHOCOLATE CHIP COMPLETE BOX 20 OUNCE </t>
  </si>
  <si>
    <t xml:space="preserve">BETTY CROCKER BISQUICK FLAVOR PANCAKE MIX CINNAMON COMPLETE BAG IN BOX 20 OUNCE </t>
  </si>
  <si>
    <t xml:space="preserve">BETTY CROCKER BISQUICK FLAVOR PANCAKE MIX MAPLE BROWN SUGAR COMPLETE BAG IN BOX 20 OUNCE </t>
  </si>
  <si>
    <t xml:space="preserve">BETTY CROCKER BISQUICK PANCAKE AND BAKING MIX ORIGINAL BAG IN BOX 20 OUNCE </t>
  </si>
  <si>
    <t xml:space="preserve">BETTY CROCKER BISQUICK PANCAKE AND BAKING MIX ORIGINAL BAG IN BOX 40 OUNCE </t>
  </si>
  <si>
    <t xml:space="preserve">BETTY CROCKER BISQUICK PANCAKE AND BAKING MIX ORIGINAL BAG IN BOX 60 OUNCE </t>
  </si>
  <si>
    <t xml:space="preserve">BETTY CROCKER BISQUICK PANCAKE AND BAKING MIX ORIGINAL BAG IN BOX 96 OUNCE </t>
  </si>
  <si>
    <t xml:space="preserve">BETTY CROCKER BISQUICK PANCAKE AND BAKING MIX UNFLAVORED BAG IN BOX 16 OUNCE </t>
  </si>
  <si>
    <t xml:space="preserve">BETTY CROCKER BISQUICK PANCAKE AND BAKING MIX UNFLAVORED BAG IN BOX 96 OUNCE </t>
  </si>
  <si>
    <t xml:space="preserve">BETTY CROCKER BISQUICK PANCAKE AND WAFFLE MIX SIMPLY BUTTERMILK COMPLETE BOX 28 OUNCE </t>
  </si>
  <si>
    <t xml:space="preserve">BETTY CROCKER BISQUICK SHAKE ' PANCAKE MIX BUTTERMILK BOTTLE 10.6 OUNCE </t>
  </si>
  <si>
    <t xml:space="preserve">BETTY CROCKER BISQUICK SHAKE ' PANCAKE MIX BUTTERMILK BOTTLE 5.1 OUNCE </t>
  </si>
  <si>
    <t xml:space="preserve">BETTY CROCKER DUNKAROOS PANCAKE MIX UNFLAVORED COMPLETE BAG IN BOX 16.2 OUNCE </t>
  </si>
  <si>
    <t xml:space="preserve">BETTY CROCKER PANCAKE MIX BUTTERMILK COMPLETE BAG 32 OUNCE </t>
  </si>
  <si>
    <t xml:space="preserve">BETTY CROCKER PANCAKE MIX BUTTERMILK COMPLETE BAG 6.75 OUNCE </t>
  </si>
  <si>
    <t xml:space="preserve">BETTY CROCKER PANCAKE MIX BUTTERMILK COMPLETE BOX 37 OUNCE </t>
  </si>
  <si>
    <t xml:space="preserve">BETTY CROCKER PANCAKE MIX KIT PEANUT BUTTER COMPLETE BAG IN BOX 12 OUNCE </t>
  </si>
  <si>
    <t xml:space="preserve">BETTY CROCKER PANCAKE MIX ORIGINAL COMPLETE BOX 37 OUNCE </t>
  </si>
  <si>
    <t xml:space="preserve">GENERAL MILLS CNMN TST CRNCH PANCAKE MIX UNFLAVORED COMPLETE BOX 15.6 OUNCE </t>
  </si>
  <si>
    <t xml:space="preserve">GENERAL MILLS LUCKY CHARMS PANCAKE MIX MARSHMALLOW COMPLETE BAG IN BOX 14.5 OUNCE </t>
  </si>
  <si>
    <t>DESSERT MIX</t>
  </si>
  <si>
    <t xml:space="preserve">ANNIE'S DESSERT MIX BROWNIE DOUBLE CHOCOLATE BAG IN BOX 18.3 OUNCE </t>
  </si>
  <si>
    <t xml:space="preserve">ANNIE'S HOMEGROWN CAKE MIX LAYER CLASSIC YELLOW BOX 21 OUNCE </t>
  </si>
  <si>
    <t xml:space="preserve">ANNIE'S HOMEGROWN CAKE MIX LAYER CONFETTI BOX 21 OUNCE </t>
  </si>
  <si>
    <t xml:space="preserve">ANNIE'S HOMEGROWN COOKIE MIX BROWNIE BAR BOX 18.4 OUNCE </t>
  </si>
  <si>
    <t xml:space="preserve">ANNIE'S HOMEGROWN COOKIE MIX CHOCOLATE CHIP BOX 15.4 OUNCE </t>
  </si>
  <si>
    <t xml:space="preserve">BETTY CROCKER BREAD AND MUFFIN MIX BANANA NUT BOX 12.3 OUNCE </t>
  </si>
  <si>
    <t xml:space="preserve">BETTY CROCKER BREAD AND MUFFIN MIX CHOCOLATE CHIP BAG IN BOX 14.75 OUNCE </t>
  </si>
  <si>
    <t xml:space="preserve">BETTY CROCKER BREAD AND MUFFIN MIX CINNAMON STREUSEL BOX 13.9 OUNCE </t>
  </si>
  <si>
    <t xml:space="preserve">BETTY CROCKER BREAD AND MUFFIN MIX GOLDEN CORN BAG 6.5 OUNCE </t>
  </si>
  <si>
    <t xml:space="preserve">BETTY CROCKER BREAD AND MUFFIN MIX LEMON POPPY SEED BOX 14.5 OUNCE </t>
  </si>
  <si>
    <t xml:space="preserve">BETTY CROCKER BREAD AND MUFFIN MIX WILD BLUEBERRY CAN IN BOX 16.9 OUNCE </t>
  </si>
  <si>
    <t xml:space="preserve">BETTY CROCKER CAKE MIX ANGEL FOOD CONFETTI BOX 16.75 OUNCE </t>
  </si>
  <si>
    <t xml:space="preserve">BETTY CROCKER CAKE MIX ANGEL FOOD UNFLAVORED BOX 16 OUNCE </t>
  </si>
  <si>
    <t xml:space="preserve">BETTY CROCKER CAKE MIX COFFEE CAKE PEANUT BUTTER BOX 14.2 OUNCE </t>
  </si>
  <si>
    <t xml:space="preserve">BETTY CROCKER CAKE MIX KIT CUPCAKE CHOCOLATE BAG IN BOX 13 OUNCE </t>
  </si>
  <si>
    <t xml:space="preserve">BETTY CROCKER CAKE MIX KIT CUPCAKE VANILLA BAG IN BOX 13.9 OUNCE </t>
  </si>
  <si>
    <t xml:space="preserve">BETTY CROCKER CAKE MIX LAYER DEVILS FOOD BAG IN BOX 15 OUNCE </t>
  </si>
  <si>
    <t xml:space="preserve">BETTY CROCKER CAKE MIX LAYER GINGERBREAD BOX 14.5 OUNCE </t>
  </si>
  <si>
    <t xml:space="preserve">BETTY CROCKER CAKE MIX LAYER YELLOW BAG IN BOX 15 OUNCE </t>
  </si>
  <si>
    <t xml:space="preserve">BETTY CROCKER CAKE MIX MUG CHOCOLATE CARAMEL BAG IN BOX 12.5 OUNCE </t>
  </si>
  <si>
    <t xml:space="preserve">BETTY CROCKER CAKE MIX MUG CINNAMON ROLL BAG IN BOX 11.8 OUNCE </t>
  </si>
  <si>
    <t xml:space="preserve">BETTY CROCKER CAKE MIX MUG RAINBOW CHIP BAG IN BOX 13.9 OUNCE </t>
  </si>
  <si>
    <t xml:space="preserve">BETTY CROCKER CAKE MIX MUG TRIPLE CHOCOLATE BAG IN BOX 12.5 OUNCE </t>
  </si>
  <si>
    <t xml:space="preserve">BETTY CROCKER CAKE MIX POUND CAKE UNFLAVORED BOX 16 OUNCE </t>
  </si>
  <si>
    <t xml:space="preserve">BETTY CROCKER CAKE MIX UPSIDE DOWN PINEAPPLE CAN IN BOX 21.5 OUNCE </t>
  </si>
  <si>
    <t xml:space="preserve">BETTY CROCKER CNMN TST CRNCH CAKE MIX COFFEE CAKE UNFLAVORED BOX 14.8 OUNCE </t>
  </si>
  <si>
    <t xml:space="preserve">BETTY CROCKER CNMN TST CRNCH CAKE MIX LAYER UNFLAVORED BAG IN BOX 13.25 OUNCE </t>
  </si>
  <si>
    <t xml:space="preserve">BETTY CROCKER CNMN TST CRNCH CAKE MIX LAYER UNFLAVORED BOX 16 OUNCE </t>
  </si>
  <si>
    <t xml:space="preserve">BETTY CROCKER CNMN TST CRNCH COOKIE MIX UNFLAVORED BAG 12.6 OUNCE </t>
  </si>
  <si>
    <t xml:space="preserve">BETTY CROCKER CNMN TST CRNCH FROSTING EDIBLE TUB 16 OUNCE </t>
  </si>
  <si>
    <t xml:space="preserve">BETTY CROCKER COOKIE MIX APPLE BROWN SUGAR BAG 17.5 OUNCE </t>
  </si>
  <si>
    <t xml:space="preserve">BETTY CROCKER COOKIE MIX BIRTHDAY CAKE BOX 12.2 OUNCE </t>
  </si>
  <si>
    <t xml:space="preserve">BETTY CROCKER COOKIE MIX CHOCOLATE BROWNIE BOX 12.2 OUNCE </t>
  </si>
  <si>
    <t xml:space="preserve">BETTY CROCKER COOKIE MIX CHOCOLATE CHIP BAG 17.5 OUNCE </t>
  </si>
  <si>
    <t>BETTY CROCKER COOKIE MIX CHOCOLATE CHIP BAG 17.5 OUNCE X4</t>
  </si>
  <si>
    <t xml:space="preserve">BETTY CROCKER COOKIE MIX CHOCOLATE CHIP BAG 21 OUNCE </t>
  </si>
  <si>
    <t xml:space="preserve">BETTY CROCKER COOKIE MIX CHOCOLATE CHIP BAG 54 OUNCE </t>
  </si>
  <si>
    <t xml:space="preserve">BETTY CROCKER COOKIE MIX CHOCOLATE CHIP BAG 7.5 OUNCE </t>
  </si>
  <si>
    <t xml:space="preserve">BETTY CROCKER COOKIE MIX CHOCOLATE CHIP BAG 8.5 OUNCE </t>
  </si>
  <si>
    <t xml:space="preserve">BETTY CROCKER COOKIE MIX CHOCOLATE CHIP BOX 12.2 OUNCE </t>
  </si>
  <si>
    <t xml:space="preserve">BETTY CROCKER COOKIE MIX CHOCOLATE CHIP BOX 19 OUNCE </t>
  </si>
  <si>
    <t xml:space="preserve">BETTY CROCKER COOKIE MIX CHOCOLATE CHIP BRITTLE BAG 14 OUNCE </t>
  </si>
  <si>
    <t xml:space="preserve">BETTY CROCKER COOKIE MIX COOKIES AND CREAM BOX 12.2 OUNCE </t>
  </si>
  <si>
    <t xml:space="preserve">BETTY CROCKER COOKIE MIX DOUBLE CHOCOLATE CHUNK ENVELOPE 17.5 OUNCE </t>
  </si>
  <si>
    <t xml:space="preserve">BETTY CROCKER COOKIE MIX GINGERBREAD BAG 17.5 OUNCE </t>
  </si>
  <si>
    <t xml:space="preserve">BETTY CROCKER COOKIE MIX KIT BIRTHDAY CAKE BAG IN BOX 14.1 OUNCE </t>
  </si>
  <si>
    <t xml:space="preserve">BETTY CROCKER COOKIE MIX KIT CHOCOLATE BAG IN BOX 11.1 OUNCE </t>
  </si>
  <si>
    <t xml:space="preserve">BETTY CROCKER COOKIE MIX KIT CHOCOLATE CHIP FUDGE BAG IN BOX 15.1 OUNCE </t>
  </si>
  <si>
    <t xml:space="preserve">BETTY CROCKER COOKIE MIX KIT CHOCOLATE FUDGE BAG IN BOX 14 OUNCE </t>
  </si>
  <si>
    <t xml:space="preserve">BETTY CROCKER COOKIE MIX KIT PEANUT BUTTER FUDGE BAG IN BOX 14 OUNCE </t>
  </si>
  <si>
    <t xml:space="preserve">BETTY CROCKER COOKIE MIX KIT RAINBOW CANDY BAG IN BOX 14 OUNCE </t>
  </si>
  <si>
    <t xml:space="preserve">BETTY CROCKER COOKIE MIX KIT SALTED CARAMEL PRETZEL BAG IN BOX 14.4 OUNCE </t>
  </si>
  <si>
    <t xml:space="preserve">BETTY CROCKER COOKIE MIX KIT SUGAR BAG IN BOX 11.6 OUNCE </t>
  </si>
  <si>
    <t xml:space="preserve">BETTY CROCKER COOKIE MIX KIT SUGAR BAG IN BOX 12.3 OUNCE </t>
  </si>
  <si>
    <t xml:space="preserve">BETTY CROCKER COOKIE MIX KIT SUGAR BAG IN BOX 17.2 OUNCE </t>
  </si>
  <si>
    <t xml:space="preserve">BETTY CROCKER COOKIE MIX KIT UNFLAVORED BAG IN BOX 11.2 OUNCE </t>
  </si>
  <si>
    <t xml:space="preserve">BETTY CROCKER COOKIE MIX KIT UNFLAVORED BAG IN BOX 12.3 OUNCE </t>
  </si>
  <si>
    <t xml:space="preserve">BETTY CROCKER COOKIE MIX OATMEAL BAG 17.5 OUNCE </t>
  </si>
  <si>
    <t xml:space="preserve">BETTY CROCKER COOKIE MIX OATMEAL CHOCOLATE CHIP BAG 17.5 OUNCE </t>
  </si>
  <si>
    <t xml:space="preserve">BETTY CROCKER COOKIE MIX PEANUT BUTTER BAG 11.9 OUNCE </t>
  </si>
  <si>
    <t xml:space="preserve">BETTY CROCKER COOKIE MIX PEANUT BUTTER BAG 17.5 OUNCE </t>
  </si>
  <si>
    <t>BETTY CROCKER COOKIE MIX PEANUT BUTTER BAG 17.5 OUNCE X3</t>
  </si>
  <si>
    <t xml:space="preserve">BETTY CROCKER COOKIE MIX PEANUT BUTTER BAG 21 OUNCE </t>
  </si>
  <si>
    <t xml:space="preserve">BETTY CROCKER COOKIE MIX PEANUT BUTTER BAG 24.5 OUNCE </t>
  </si>
  <si>
    <t xml:space="preserve">BETTY CROCKER COOKIE MIX PEANUT BUTTER BAG 7.2 OUNCE </t>
  </si>
  <si>
    <t>43,095.516</t>
  </si>
  <si>
    <t xml:space="preserve">BETTY CROCKER COOKIE MIX PEANUT BUTTER BAG 8.6 OUNCE </t>
  </si>
  <si>
    <t xml:space="preserve">BETTY CROCKER COOKIE MIX PUMPKIN SPICE BAG 17.5 OUNCE </t>
  </si>
  <si>
    <t xml:space="preserve">BETTY CROCKER COOKIE MIX SALTED CARAMEL BAG 17.5 OUNCE </t>
  </si>
  <si>
    <t xml:space="preserve">BETTY CROCKER COOKIE MIX SNICKERDOODLE BAG 17.9 OUNCE </t>
  </si>
  <si>
    <t xml:space="preserve">BETTY CROCKER COOKIE MIX SOFT BAKED CHOCOLATE CHIP BAG IN BOX 13.9 OUNCE </t>
  </si>
  <si>
    <t xml:space="preserve">BETTY CROCKER COOKIE MIX STRAWBERRY LEMONADE BAG 12.6 OUNCE </t>
  </si>
  <si>
    <t xml:space="preserve">BETTY CROCKER COOKIE MIX SUGAR BAG 17.5 OUNCE </t>
  </si>
  <si>
    <t xml:space="preserve">BETTY CROCKER COOKIE MIX SUGAR BAG 21 OUNCE </t>
  </si>
  <si>
    <t xml:space="preserve">BETTY CROCKER COOKIE MIX SUGAR BAG 6.25 OUNCE </t>
  </si>
  <si>
    <t xml:space="preserve">BETTY CROCKER COOKIE MIX SUGAR BOX 15 OUNCE </t>
  </si>
  <si>
    <t xml:space="preserve">BETTY CROCKER COOKIE MIX SUGAR BOX 87.5 OUNCE </t>
  </si>
  <si>
    <t xml:space="preserve">BETTY CROCKER COOKIE MIX WALNUT CHOCOLATE CHIP BAG 17.5 OUNCE </t>
  </si>
  <si>
    <t xml:space="preserve">BETTY CROCKER COOKIE MIX WHITE CHIP MACADAMIA NUT BAG 14 OUNCE </t>
  </si>
  <si>
    <t xml:space="preserve">BETTY CROCKER DELIGHTS DESSERT MIX BAR LEMON BOX 16.5 OUNCE </t>
  </si>
  <si>
    <t xml:space="preserve">BETTY CROCKER DELIGHTS DESSERT MIX BROWNIE FUDGE MOLTEN LAVA BOX 19.1 OUNCE </t>
  </si>
  <si>
    <t xml:space="preserve">BETTY CROCKER DELIGHTS DESSERT MIX BROWNIE SALTED CARAMEL BOX 18.4 OUNCE </t>
  </si>
  <si>
    <t xml:space="preserve">BETTY CROCKER DELIGHTS DESSERT MIX BROWNIE SUPREME CHOCOLATE CHUNK BOX 18 OUNCE </t>
  </si>
  <si>
    <t xml:space="preserve">BETTY CROCKER DELIGHTS DESSERT MIX BROWNIE SUPREME FROSTED BOX 19.1 OUNCE </t>
  </si>
  <si>
    <t xml:space="preserve">BETTY CROCKER DELIGHTS DESSERT MIX BROWNIE SUPREME TRIPLE CHUNK BOX 17.8 OUNCE </t>
  </si>
  <si>
    <t xml:space="preserve">BETTY CROCKER DELIGHTS DESSERT MIX BROWNIE UNFLAVORED BOX 16 OUNCE </t>
  </si>
  <si>
    <t xml:space="preserve">BETTY CROCKER DELIGHTS DESSERT MIX BROWNIE UNFLAVORED BOX 22.25 OUNCE </t>
  </si>
  <si>
    <t xml:space="preserve">BETTY CROCKER DELIGHTS DESSERT MIX BROWNIE WALNUT BOX 16.5 OUNCE </t>
  </si>
  <si>
    <t xml:space="preserve">BETTY CROCKER DELIGHTS DESSERT MIX COOKIE BROWNIE BAR PEANUT BUTTER BOX 17.2 OUNCE </t>
  </si>
  <si>
    <t xml:space="preserve">BETTY CROCKER DELIGHTS SUPER M CAKE MIX LAYER BUTTER PECAN BAG IN BOX 13.25 OUNCE </t>
  </si>
  <si>
    <t xml:space="preserve">BETTY CROCKER DELIGHTS SUPER M CAKE MIX LAYER CARROT BAG IN BOX 13.25 OUNCE </t>
  </si>
  <si>
    <t xml:space="preserve">BETTY CROCKER DELIGHTS SUPER M CAKE MIX LAYER CHERRY CHIP BAG IN BOX 13.25 OUNCE </t>
  </si>
  <si>
    <t xml:space="preserve">BETTY CROCKER DELIGHTS SUPER M CAKE MIX LAYER DARK CHOCOLATE BAG IN BOX 13.25 OUNCE </t>
  </si>
  <si>
    <t xml:space="preserve">BETTY CROCKER DELIGHTS SUPER M CAKE MIX LAYER FRENCH VANILLA BAG IN BOX 13.25 OUNCE </t>
  </si>
  <si>
    <t xml:space="preserve">BETTY CROCKER DELIGHTS SUPER M CAKE MIX LAYER GERMAN CHOCOLATE BAG IN BOX 13.25 OUNCE </t>
  </si>
  <si>
    <t xml:space="preserve">BETTY CROCKER DELIGHTS SUPER M CAKE MIX LAYER LEMON BAG IN BOX 13.25 OUNCE </t>
  </si>
  <si>
    <t xml:space="preserve">BETTY CROCKER DELIGHTS SUPER M CAKE MIX LAYER PARTY RAINBOW CHIP BAG IN BOX 13.25 OUNCE </t>
  </si>
  <si>
    <t xml:space="preserve">BETTY CROCKER DELIGHTS SUPER M CAKE MIX LAYER SPICE BAG IN BOX 13.25 OUNCE </t>
  </si>
  <si>
    <t xml:space="preserve">BETTY CROCKER DELIGHTS SUPER M CAKE MIX LAYER STRAWBERRY BAG IN BOX 13.25 OUNCE </t>
  </si>
  <si>
    <t xml:space="preserve">BETTY CROCKER DELIGHTS SUPER M CAKE MIX LAYER TRIPLE CHOCOLATE FUDGE BAG IN BOX 13.25 OUNCE </t>
  </si>
  <si>
    <t xml:space="preserve">BETTY CROCKER DESSERT MIX BAR COOKIE BROWNIE BOX 17.4 OUNCE </t>
  </si>
  <si>
    <t xml:space="preserve">BETTY CROCKER DESSERT MIX BAR PEANUT BUTTER AND CHOCOLATE BOX 17.75 OUNCE </t>
  </si>
  <si>
    <t xml:space="preserve">BETTY CROCKER DESSERT MIX BROWNIE CHOCOLATE BAG IN BOX 16 OUNCE </t>
  </si>
  <si>
    <t xml:space="preserve">BETTY CROCKER DESSERT MIX BROWNIE CUPS COOKIES AND CREME BAG IN BOX 13.6 OUNCE </t>
  </si>
  <si>
    <t xml:space="preserve">BETTY CROCKER DESSERT MIX BROWNIE CUPS ULTIMATE FUDGE BAG IN BOX 13.8 OUNCE </t>
  </si>
  <si>
    <t xml:space="preserve">BETTY CROCKER DESSERT MIX BROWNIE DARK CHOCOLATE BAG IN BOX 16.3 OUNCE </t>
  </si>
  <si>
    <t xml:space="preserve">BETTY CROCKER DESSERT MIX BROWNIE DARK CHOCOLATE BOX 19.9 OUNCE </t>
  </si>
  <si>
    <t>BETTY CROCKER DESSERT MIX BROWNIE DOUBLE CHOCOLATE BOX 80 OUNCE X4</t>
  </si>
  <si>
    <t xml:space="preserve">BETTY CROCKER DESSERT MIX BROWNIE FUDGE BAG 10.25 OUNCE </t>
  </si>
  <si>
    <t xml:space="preserve">BETTY CROCKER DESSERT MIX BROWNIE FUDGE BAG IN BOX 16.3 OUNCE </t>
  </si>
  <si>
    <t xml:space="preserve">BETTY CROCKER DESSERT MIX BROWNIE FUDGE BAG IN BOX 18.3 OUNCE </t>
  </si>
  <si>
    <t xml:space="preserve">BETTY CROCKER DESSERT MIX BROWNIE HOT FUDGE BAG IN BOX 13.9 OUNCE </t>
  </si>
  <si>
    <t xml:space="preserve">BETTY CROCKER DESSERT MIX BROWNIE HOT FUDGE BAG IN BOX 3.2 OUNCE </t>
  </si>
  <si>
    <t xml:space="preserve">BETTY CROCKER DESSERT MIX BROWNIE MILK CHOCOLATE BAG IN BOX 16.3 OUNCE </t>
  </si>
  <si>
    <t xml:space="preserve">BETTY CROCKER DESSERT MIX BROWNIE MILK CHOCOLATE BOX 18.4 OUNCE </t>
  </si>
  <si>
    <t xml:space="preserve">BETTY CROCKER DESSERT MIX BROWNIE PEANUT BUTTER BOX 16 OUNCE </t>
  </si>
  <si>
    <t xml:space="preserve">BETTY CROCKER DESSERT MIX BROWNIE TRIPLE CHOCOLATE BOX 20 OUNCE </t>
  </si>
  <si>
    <t xml:space="preserve">BETTY CROCKER DESSERT MIX COOKIE BROWNIE SMORES BOX 18.5 OUNCE </t>
  </si>
  <si>
    <t xml:space="preserve">BETTY CROCKER DESSERT MIX DESSERT BRITTLE PEANU BAG 8.6 OUNCE </t>
  </si>
  <si>
    <t xml:space="preserve">BETTY CROCKER DESSERT MIX KIT BROWNIE CUPS RAINBOW FUDGE BAG IN BOX 13.7 OUNCE </t>
  </si>
  <si>
    <t xml:space="preserve">BETTY CROCKER DUNKAROOS COOKIE MIX RAINBOW PLUS MARSHMALLOW SUGAR BAG 12.6 OUNCE </t>
  </si>
  <si>
    <t xml:space="preserve">BETTY CROCKER DUNKAROOS FROSTING EDIBLE TUB 16 OUNCE </t>
  </si>
  <si>
    <t xml:space="preserve">BETTY CROCKER FROSTING EDIBLE TUB 15.5 OUNCE </t>
  </si>
  <si>
    <t xml:space="preserve">BETTY CROCKER FROSTING EDIBLE TUB 16 OUNCE </t>
  </si>
  <si>
    <t xml:space="preserve">BETTY CROCKER FROSTING MIX FLUFFY WHITE BAG IN BOX 7.2 OUNCE </t>
  </si>
  <si>
    <t xml:space="preserve">BETTY CROCKER LUCKY CHARMS CAKE MIX KIT CUPCAKE UNFLAVORED BAG IN BOX 14.8 OUNCE </t>
  </si>
  <si>
    <t xml:space="preserve">BETTY CROCKER MUFFIN MIX BANANA NUT BAG 6.4 OUNCE </t>
  </si>
  <si>
    <t xml:space="preserve">BETTY CROCKER MUFFIN MIX BLUEBERRY BAG 6.5 OUNCE </t>
  </si>
  <si>
    <t xml:space="preserve">BETTY CROCKER MUFFIN MIX BLUEBERRY BAG IN BOX 16.3 OUNCE </t>
  </si>
  <si>
    <t xml:space="preserve">BETTY CROCKER MUFFIN MIX CHOCOLATE CHIP ENVELOPE 6.5 OUNCE </t>
  </si>
  <si>
    <t xml:space="preserve">BETTY CROCKER MUFFIN MIX CINNAMON BAG IN BOX 16.3 OUNCE </t>
  </si>
  <si>
    <t xml:space="preserve">BETTY CROCKER MUFFIN MIX TRIPLE BERRY ENVELOPE 6.5 OUNCE </t>
  </si>
  <si>
    <t xml:space="preserve">BETTY CROCKER MUFFIN TOP MIX BANANA CHOCOLATE CHIP BOX 14.4 OUNCE </t>
  </si>
  <si>
    <t xml:space="preserve">BETTY CROCKER MUFFIN TOP MIX BLUEBERRY BOX 11.9 OUNCE </t>
  </si>
  <si>
    <t xml:space="preserve">BETTY CROCKER MUFFIN TOP MIX CHOCOLATE CHIP BAG IN BOX 13 OUNCE </t>
  </si>
  <si>
    <t xml:space="preserve">BETTY CROCKER MUFFIN TOP MIX CINNAMON BOX 13.4 OUNCE </t>
  </si>
  <si>
    <t xml:space="preserve">BETTY CROCKER OAT-TASTIC DESSERT MIX BROWNIE CHOCOLATE CHUNK BOX 18 OUNCE </t>
  </si>
  <si>
    <t xml:space="preserve">BETTY CROCKER OAT-TASTIC DESSERT MIX BROWNIE DARK CHOCOLATE BOX 18 OUNCE </t>
  </si>
  <si>
    <t xml:space="preserve">BETTY CROCKER OAT-TASTIC MUFFIN MIX BANANA BOX 13.9 OUNCE </t>
  </si>
  <si>
    <t xml:space="preserve">BETTY CROCKER OAT-TASTIC MUFFIN MIX CHOCOLATE CHIP BOX 16.4 OUNCE </t>
  </si>
  <si>
    <t xml:space="preserve">BETTY CROCKER PIE CRUST MIX WATER BOX 11 OUNCE </t>
  </si>
  <si>
    <t xml:space="preserve">BETTY CROCKER PIZZA CRUST MIX WATER BAG 6.5 OUNCE </t>
  </si>
  <si>
    <t xml:space="preserve">BETTY CROCKER RICH &amp; CREAMY FROSTING EDIBLE TUB 16 OUNCE </t>
  </si>
  <si>
    <t xml:space="preserve">BETTY CROCKER SUPER MOIST CAKE MIX LAYER BUTTER BOX 15.25 OUNCE </t>
  </si>
  <si>
    <t xml:space="preserve">BETTY CROCKER SUPER MOIST CAKE MIX LAYER BUTTER RECIPE YELLOW BOX 15.25 OUNCE </t>
  </si>
  <si>
    <t xml:space="preserve">BETTY CROCKER SUPER MOIST CAKE MIX LAYER BUTTER YELLOW BAG IN BOX 13.25 OUNCE </t>
  </si>
  <si>
    <t>205,555.379</t>
  </si>
  <si>
    <t xml:space="preserve">BETTY CROCKER SUPER MOIST CAKE MIX LAYER CHOCOLATE FUDGE BAG IN BOX 13.25 OUNCE </t>
  </si>
  <si>
    <t xml:space="preserve">BETTY CROCKER SUPER MOIST CAKE MIX LAYER CHOCOLATE FUDGE BOX 15.25 OUNCE </t>
  </si>
  <si>
    <t xml:space="preserve">BETTY CROCKER SUPER MOIST CAKE MIX LAYER DEVILS FOOD BAG IN BOX 13.25 OUNCE </t>
  </si>
  <si>
    <t xml:space="preserve">BETTY CROCKER SUPER MOIST CAKE MIX LAYER DEVILS FOOD BOX 15.25 OUNCE </t>
  </si>
  <si>
    <t xml:space="preserve">BETTY CROCKER SUPER MOIST CAKE MIX LAYER FRENCH VANILLA BOX 15.25 OUNCE </t>
  </si>
  <si>
    <t xml:space="preserve">BETTY CROCKER SUPER MOIST CAKE MIX LAYER LEMON BOX 15.25 OUNCE </t>
  </si>
  <si>
    <t xml:space="preserve">BETTY CROCKER SUPER MOIST CAKE MIX LAYER MILK CHOCOLATE BAG IN BOX 13.25 OUNCE </t>
  </si>
  <si>
    <t xml:space="preserve">BETTY CROCKER SUPER MOIST CAKE MIX LAYER PARTY RAINBOW CHIP BOX 15.25 OUNCE </t>
  </si>
  <si>
    <t xml:space="preserve">BETTY CROCKER SUPER MOIST CAKE MIX LAYER RED VELVET BAG IN BOX 13.25 OUNCE </t>
  </si>
  <si>
    <t xml:space="preserve">BETTY CROCKER SUPER MOIST CAKE MIX LAYER RED VELVET BOX 15.25 OUNCE </t>
  </si>
  <si>
    <t xml:space="preserve">BETTY CROCKER SUPER MOIST CAKE MIX LAYER STRAWBERRY BOX 15.25 OUNCE </t>
  </si>
  <si>
    <t xml:space="preserve">BETTY CROCKER SUPER MOIST CAKE MIX LAYER TRIPLE CHOCOLATE FUDGE BOX 15.25 OUNCE </t>
  </si>
  <si>
    <t xml:space="preserve">BETTY CROCKER SUPER MOIST CAKE MIX LAYER VANILLA BAG IN BOX 13.25 OUNCE </t>
  </si>
  <si>
    <t>216,652.339</t>
  </si>
  <si>
    <t xml:space="preserve">BETTY CROCKER SUPER MOIST CAKE MIX LAYER VANILLA BAG IN BOX 15.25 OUNCE </t>
  </si>
  <si>
    <t xml:space="preserve">BETTY CROCKER SUPER MOIST CAKE MIX LAYER WHITE BAG IN BOX 14.25 OUNCE </t>
  </si>
  <si>
    <t xml:space="preserve">BETTY CROCKER SUPER MOIST CAKE MIX LAYER YELLOW BAG IN BOX 13.25 OUNCE </t>
  </si>
  <si>
    <t xml:space="preserve">BETTY CROCKER SUPER MOIST CAKE MIX LAYER YELLOW BOX 15.25 OUNCE </t>
  </si>
  <si>
    <t xml:space="preserve">BETTY CROCKER SUPER MOIST CAKE MIX PUDDING BUTTER PECAN BOX 15.25 OUNCE </t>
  </si>
  <si>
    <t xml:space="preserve">BETTY CROCKER SUPER MOIST CAKE MIX PUDDING BUTTER RECIPE YELLOW BOX 18.25 OUNCE </t>
  </si>
  <si>
    <t xml:space="preserve">BETTY CROCKER SUPER MOIST CAKE MIX PUDDING CARROT BOX 15.25 OUNCE </t>
  </si>
  <si>
    <t xml:space="preserve">BETTY CROCKER SUPER MOIST CAKE MIX PUDDING CHERRY CHIP BOX 15.25 OUNCE </t>
  </si>
  <si>
    <t xml:space="preserve">BETTY CROCKER SUPER MOIST CAKE MIX PUDDING DARK CHOCOLATE BOX 15.25 OUNCE </t>
  </si>
  <si>
    <t>1,888.341</t>
  </si>
  <si>
    <t xml:space="preserve">BETTY CROCKER SUPER MOIST CAKE MIX PUDDING DEVILS FOOD BOX 18.25 OUNCE </t>
  </si>
  <si>
    <t xml:space="preserve">BETTY CROCKER SUPER MOIST CAKE MIX PUDDING GERMAN CHOCOLATE BOX 15.25 OUNCE </t>
  </si>
  <si>
    <t xml:space="preserve">BETTY CROCKER SUPER MOIST CAKE MIX PUDDING MILK CHOCOLATE BOX 15.25 OUNCE </t>
  </si>
  <si>
    <t xml:space="preserve">BETTY CROCKER SUPER MOIST CAKE MIX PUDDING SPICE BOX 15.25 OUNCE </t>
  </si>
  <si>
    <t xml:space="preserve">BETTY CROCKER SUPER MOIST CAKE MIX PUDDING VANILLA BOX 18.25 OUNCE </t>
  </si>
  <si>
    <t xml:space="preserve">BETTY CROCKER SUPER MOIST CAKE MIX PUDDING WHITE BOX 16.25 OUNCE </t>
  </si>
  <si>
    <t xml:space="preserve">BETTY CROCKER SUPER MOIST CAKE MIX PUDDING YELLOW BOX 18.25 OUNCE </t>
  </si>
  <si>
    <t xml:space="preserve">BETTY CROCKER WHIPPED FROSTING EDIBLE TUB 12 OUNCE </t>
  </si>
  <si>
    <t xml:space="preserve">GODIVA CAKE MIX LAYER BROWNIE CHEESECAKE SWIR BAG IN BOX 7.7 OUNCE </t>
  </si>
  <si>
    <t xml:space="preserve">GODIVA CAKE MIX LAYER FLOURLESS CHOCOLAT BAG IN BOX 13.2 OUNCE </t>
  </si>
  <si>
    <t xml:space="preserve">GODIVA CAKE MIX LAYER MOLTEN LAVA CAKE BAG IN BOX 10.4 OUNCE </t>
  </si>
  <si>
    <t xml:space="preserve">HALO TOP CAKE MIX LAYER BIRTHDAY CAKE TUB 1.76 OUNCE </t>
  </si>
  <si>
    <t xml:space="preserve">HALO TOP CAKE MIX LAYER CHOCOLATE TUB 1.76 OUNCE </t>
  </si>
  <si>
    <t xml:space="preserve">HALO TOP CAKE MIX LAYER STRAWBERRY TUB 1.76 OUNCE </t>
  </si>
  <si>
    <t xml:space="preserve">HALO TOP COOKIE MIX PEANUT BUTTER CHOCOLATE CHIP BAG 12.6 OUNCE </t>
  </si>
  <si>
    <t xml:space="preserve">HALO TOP DESSERT MIX BROWNIE FUDGE BOX 12.1 OUNCE </t>
  </si>
  <si>
    <t>DRY DINNERS</t>
  </si>
  <si>
    <t xml:space="preserve">ANNIE'S DRY PASTA MIX CHEDDAR FARM FRIEND PASTA BOX 6 OUNCE </t>
  </si>
  <si>
    <t xml:space="preserve">ANNIE'S DRY PASTA MIX CHEESE LOVER WHEAT PEA PASTA BAG IN BOX 6 OUNCE </t>
  </si>
  <si>
    <t xml:space="preserve">ANNIE'S DRY PASTA MIX DELUXE MCRN SHL LQD RCH CRMY BOX 10.8 OUNCE </t>
  </si>
  <si>
    <t xml:space="preserve">ANNIE'S DRY PASTA MIX DELUXE RICH CRMY VGN CHDR BRCL BOX 11 OUNCE </t>
  </si>
  <si>
    <t xml:space="preserve">ANNIE'S DRY PASTA MIX DLX SHL MCRN CRMY LQD CLSC CHD CUP 2.6 OUNCE </t>
  </si>
  <si>
    <t>ANNIE'S DRY PASTA MIX DLX SHL MCRN CRMY LQD CLSC CHD CUP 2.6 OUNCE X4</t>
  </si>
  <si>
    <t xml:space="preserve">ANNIE'S DRY PASTA MIX DLX SHL MCRN CRMY LQD WHT CHDR BAG IN BOX 11 OUNCE </t>
  </si>
  <si>
    <t xml:space="preserve">ANNIE'S DRY PASTA MIX DLX SHL MCRN PST RCH CRMY LQD BAG IN BOX 11.3 OUNCE </t>
  </si>
  <si>
    <t xml:space="preserve">ANNIE'S DRY PASTA MIX DLX SHLL PST RCH CRMY LQD CLSS BAG IN BOX 11.3 OUNCE </t>
  </si>
  <si>
    <t>ANNIE'S DRY PASTA MIX MACARONI CHEESE WHITE CHEDDAR CUP 2.01 OUNCE X4</t>
  </si>
  <si>
    <t xml:space="preserve">ANNIE'S DRY PASTA MIX MACARONI POWDERED CHEDDAR BOX 6 OUNCE </t>
  </si>
  <si>
    <t xml:space="preserve">ANNIE'S DRY PASTA MIX MACARONI POWDERED CLASSIC CHED BOX 6 OUNCE </t>
  </si>
  <si>
    <t>ANNIE'S DRY PASTA MIX MACARONI POWDERED REAL AGED CH CUP 2.01 OUNCE X8</t>
  </si>
  <si>
    <t xml:space="preserve">ANNIE'S DRY PASTA MIX MACARONI SHELL POWDERED WHITE BOX 6 OUNCE </t>
  </si>
  <si>
    <t xml:space="preserve">ANNIE'S DRY PASTA MIX PASTA CHEDDAR BAG IN BOX 6 OUNCE </t>
  </si>
  <si>
    <t>ANNIE'S DRY PASTA MIX PASTA CHEDDAR CUP 1.85 OUNCE X2</t>
  </si>
  <si>
    <t>ANNIE'S DRY PASTA MIX PASTA CHEDDAR CUP 1.85 OUNCE X4</t>
  </si>
  <si>
    <t>ANNIE'S DRY PASTA MIX PASTA CHEDDAR CUP 1.87 OUNCE X12</t>
  </si>
  <si>
    <t>ANNIE'S DRY PASTA MIX PASTA CHEDDAR CUP 1.87 OUNCE X4</t>
  </si>
  <si>
    <t xml:space="preserve">ANNIE'S DRY PASTA MIX PENNE PASTA POWDERED FOUR CHEE BAG IN BOX 5.5 OUNCE </t>
  </si>
  <si>
    <t xml:space="preserve">ANNIE'S DRY PASTA MIX PUPPY KITTY WHITE CHEDDAR BOX 6 OUNCE </t>
  </si>
  <si>
    <t>ANNIE'S DRY PASTA MIX REAL AGED CHEDDAR MACARONI CHE CUP 2.01 OUNCE X4</t>
  </si>
  <si>
    <t>ANNIE'S DRY PASTA MIX REAL AGED POWDERED CHEDDAR CHS CUP 2.01 OUNCE X4</t>
  </si>
  <si>
    <t xml:space="preserve">ANNIE'S DRY PASTA MIX REAL AGED SHELL CHEDDAR MACARO BAG IN BOX 11.9 OUNCE </t>
  </si>
  <si>
    <t xml:space="preserve">ANNIE'S DRY PASTA MIX RED LENTIL SPIRAL PASTA SWT PT BAG IN BOX 5.5 OUNCE </t>
  </si>
  <si>
    <t xml:space="preserve">ANNIE'S DRY PASTA MIX SHELL MAC LIQUID REAL AGED CHE BAG IN BOX 6 OUNCE </t>
  </si>
  <si>
    <t xml:space="preserve">ANNIE'S DRY PASTA MIX SHELL MAC LIQUID WHITE CHEDDAR BAG IN BOX 6 OUNCE </t>
  </si>
  <si>
    <t xml:space="preserve">ANNIE'S DRY PASTA MIX SHELL MACARONI POWDERED REAL C BAG IN BOX 6 OUNCE </t>
  </si>
  <si>
    <t xml:space="preserve">ANNIE'S DRY PASTA MIX SHELL MACARONI POWDERED RL AGD BAG IN BOX 6 OUNCE </t>
  </si>
  <si>
    <t xml:space="preserve">ANNIE'S DRY PASTA MIX SHELL MCRN PWDRD WHT CHDR CHS BAG IN BOX 6 OUNCE </t>
  </si>
  <si>
    <t xml:space="preserve">ANNIE'S DRY PASTA MIX SHELL PASTA LIQUID CHEDDAR CHE BOX 11 OUNCE </t>
  </si>
  <si>
    <t xml:space="preserve">ANNIE'S DRY PASTA MIX SHLL MCRN PWDRD WHT CHDR CHS BAG IN BOX 6 OUNCE </t>
  </si>
  <si>
    <t xml:space="preserve">ANNIE'S DRY PASTA MIX WHEAT PEA MAC SHELL PASTA REAL BAG IN BOX 6 OUNCE </t>
  </si>
  <si>
    <t xml:space="preserve">ANNIE'S DRY PASTA MIX WHEAT PEA MAC SHELL PASTA WHIT BAG IN BOX 6 OUNCE </t>
  </si>
  <si>
    <t xml:space="preserve">ANNIE'S DRY PASTA MIX WHEAT PEA PASTA CHEESY PIZZA BAG IN BOX 6 OUNCE </t>
  </si>
  <si>
    <t xml:space="preserve">ANNIE'S DRY PASTA MIX WHITE CHEDDAR CHEESE RED LENTI BAG IN BOX 5.5 OUNCE </t>
  </si>
  <si>
    <t>ANNIE'S DRY PASTA MIX WHITE CHEDDAR PASTA CUP 2.01 OUNCE X8</t>
  </si>
  <si>
    <t xml:space="preserve">ANNIE'S DRY PASTA MIX WHITE CHEDDAR SHELL BAG IN BOX 11.9 OUNCE </t>
  </si>
  <si>
    <t xml:space="preserve">ANNIE'S DRY PASTA MIX YUMMY BUNNIE DELUXE PASTA LIQU BAG IN BOX 11.3 OUNCE </t>
  </si>
  <si>
    <t xml:space="preserve">ANNIE'S DRY PASTA MIX YUMMY BUNNY CHEDDAR CHEESE PAS CUP 1.4 OUNCE </t>
  </si>
  <si>
    <t>ANNIE'S DRY PASTA MIX YUMMY BUNNY CHEDDAR CHEESE PAS CUP 1.4 OUNCE X2</t>
  </si>
  <si>
    <t>ANNIE'S DRY PASTA MIX YUMMY BUNNY CHEDDAR CHEESE PAS CUP 1.4 OUNCE X4</t>
  </si>
  <si>
    <t xml:space="preserve">ANNIE'S DRY RICE MIX GRILLED CHEESY SAUCE HIDDEN VE BAG IN BOX 6.6 OUNCE </t>
  </si>
  <si>
    <t xml:space="preserve">ANNIE'S DRY RICE MIX VEGAN AGED CHDR CHS FLVRD SC BAG IN BOX 6.6 OUNCE </t>
  </si>
  <si>
    <t xml:space="preserve">ANNIE'S DRY RICE MIX WHITE CHEDDAR CHEESY SAUCE HID BAG IN BOX 6.6 OUNCE </t>
  </si>
  <si>
    <t xml:space="preserve">ANNIE'S HOMEGROWN BERNIE'S FRM DRY PASTA MIX FUN SHP PST PWDRD YMY CHDR CHS BOX 6 OUNCE </t>
  </si>
  <si>
    <t xml:space="preserve">ANNIE'S HOMEGROWN DRY PASTA MIX BUNNY PASTA POWDERED YUMMY CHE BAG IN BOX 6 OUNCE </t>
  </si>
  <si>
    <t xml:space="preserve">ANNIE'S HOMEGROWN DRY PASTA MIX CHEDDAR FLAVOR SAUCE VEGAN MAC CUP 2.01 OUNCE </t>
  </si>
  <si>
    <t>ANNIE'S HOMEGROWN DRY PASTA MIX CHEDDAR FLAVOR SAUCE VEGAN MAC CUP 2.01 OUNCE X4</t>
  </si>
  <si>
    <t>83.19</t>
  </si>
  <si>
    <t xml:space="preserve">ANNIE'S HOMEGROWN DRY PASTA MIX CREAMY DELUXE RICE PST LQD CHS BAG IN BOX 11 OUNCE </t>
  </si>
  <si>
    <t xml:space="preserve">ANNIE'S HOMEGROWN DRY PASTA MIX ELBOW RICE PASTA POWDERED CREA BAG IN BOX 6 OUNCE </t>
  </si>
  <si>
    <t xml:space="preserve">ANNIE'S HOMEGROWN DRY PASTA MIX MAC VEGAN POWDER CHEDDAR FLAVO BAG IN BOX 6 OUNCE </t>
  </si>
  <si>
    <t xml:space="preserve">ANNIE'S HOMEGROWN DRY PASTA MIX MACARONI POWDERED CHEDDAR BOX 6 OUNCE </t>
  </si>
  <si>
    <t xml:space="preserve">ANNIE'S HOMEGROWN DRY PASTA MIX MACARONI POWDERED CHEDDAR CHS BOX 6 OUNCE </t>
  </si>
  <si>
    <t>ANNIE'S HOMEGROWN DRY PASTA MIX MACARONI POWDERED CLASSIC CHED BAG IN BOX 6 OUNCE X4</t>
  </si>
  <si>
    <t xml:space="preserve">ANNIE'S HOMEGROWN DRY PASTA MIX MACARONI POWDERED CLSC MLD CHS BOX 10.5 OUNCE </t>
  </si>
  <si>
    <t xml:space="preserve">ANNIE'S HOMEGROWN DRY PASTA MIX MACARONI POWDERED CLSC MLD CHS BOX 6 OUNCE </t>
  </si>
  <si>
    <t>ANNIE'S HOMEGROWN DRY PASTA MIX MACARONI POWDERED REAL AGED CH BAG 2.15 OUNCE X5</t>
  </si>
  <si>
    <t>ANNIE'S HOMEGROWN DRY PASTA MIX MACARONI POWDERED WHT CHDR CHS BAG 2.15 OUNCE X5</t>
  </si>
  <si>
    <t xml:space="preserve">ANNIE'S HOMEGROWN DRY PASTA MIX MACARONI POWDERED WHT CHDR CHS BOX 6 OUNCE </t>
  </si>
  <si>
    <t>ANNIE'S HOMEGROWN DRY PASTA MIX MACARONI POWDERED WHT CHDR CHS BOX 6 OUNCE X12</t>
  </si>
  <si>
    <t xml:space="preserve">ANNIE'S HOMEGROWN DRY PASTA MIX MACARONI POWDERED WHT CHDR CHS CUP 2.01 OUNCE </t>
  </si>
  <si>
    <t>ANNIE'S HOMEGROWN DRY PASTA MIX MACARONI POWDERED WHT CHDR CHS CUP 2.01 OUNCE X2</t>
  </si>
  <si>
    <t>ANNIE'S HOMEGROWN DRY PASTA MIX MACARONI POWERED GRS FED RL AG CUP 2.01 OUNCE X2</t>
  </si>
  <si>
    <t xml:space="preserve">ANNIE'S HOMEGROWN DRY PASTA MIX MACARONI PWDRD RL AGD CHDR CHS CUP 2.01 OUNCE </t>
  </si>
  <si>
    <t>ANNIE'S HOMEGROWN DRY PASTA MIX MACARONI PWDRD RL AGD CHDR CHS CUP 2.01 OUNCE X2</t>
  </si>
  <si>
    <t xml:space="preserve">ANNIE'S HOMEGROWN DRY PASTA MIX MACARONI SHELL POWDERED WHITE BOX 10.5 OUNCE </t>
  </si>
  <si>
    <t xml:space="preserve">ANNIE'S HOMEGROWN DRY PASTA MIX MCRN RC SHL PWDRD CRMY WHT CHD BAG IN BOX 6 OUNCE </t>
  </si>
  <si>
    <t xml:space="preserve">ANNIE'S HOMEGROWN DRY PASTA MIX PARMESAN PEACE PASTA BOX 6 OUNCE </t>
  </si>
  <si>
    <t xml:space="preserve">ANNIE'S HOMEGROWN DRY PASTA MIX POLLINATOR SHAPE PASTA POWDERE BAG IN BOX 6 OUNCE </t>
  </si>
  <si>
    <t xml:space="preserve">ANNIE'S HOMEGROWN DRY PASTA MIX QUINOA RICE PASTA POWDERED WHI BAG IN BOX 6 OUNCE </t>
  </si>
  <si>
    <t xml:space="preserve">ANNIE'S HOMEGROWN DRY PASTA MIX RICE PASTA LIQUID CHEDDAR CUP 2.01 OUNCE </t>
  </si>
  <si>
    <t>ANNIE'S HOMEGROWN DRY PASTA MIX RICE PASTA POWDERED CHEDDAR BAG 2.15 OUNCE X5</t>
  </si>
  <si>
    <t xml:space="preserve">ANNIE'S HOMEGROWN DRY PASTA MIX RICE PASTA POWDERED CHEDDAR BAG IN BOX 6 OUNCE </t>
  </si>
  <si>
    <t>ANNIE'S HOMEGROWN DRY PASTA MIX RICE PASTA POWDERED CHEDDAR CUP 2.01 OUNCE X2</t>
  </si>
  <si>
    <t xml:space="preserve">ANNIE'S HOMEGROWN DRY PASTA MIX SHELL MACARONI POWDERED ALFRED BAG IN BOX 6 OUNCE </t>
  </si>
  <si>
    <t>6,230.69</t>
  </si>
  <si>
    <t xml:space="preserve">ANNIE'S HOMEGROWN DRY PASTA MIX SHELL MACARONI POWDERED RL AGD BAG IN BOX 6 OUNCE </t>
  </si>
  <si>
    <t xml:space="preserve">ANNIE'S HOMEGROWN DRY PASTA MIX SHELL MACARONI POWDERED WHT CH BOX 10.5 OUNCE </t>
  </si>
  <si>
    <t>ANNIE'S HOMEGROWN DRY PASTA MIX SHELL MCRN PWDRD WHT CHDR CHS BAG IN BOX 6 OUNCE X4</t>
  </si>
  <si>
    <t xml:space="preserve">ANNIE'S HOMEGROWN DRY PASTA MIX SHELL MCRN PWDRD WHT CHDR CHS BOX 6 OUNCE </t>
  </si>
  <si>
    <t xml:space="preserve">ANNIE'S HOMEGROWN DRY PASTA MIX SHELL PASTA POWDERED CREAMY SA BAG IN BOX 6 OUNCE </t>
  </si>
  <si>
    <t xml:space="preserve">ANNIE'S HOMEGROWN DRY PASTA MIX SPIRAL MCRN PWDRD PRMSN BTR BOX 5.25 OUNCE </t>
  </si>
  <si>
    <t xml:space="preserve">ANNIE'S HOMEGROWN MAC &amp; TREES DRY PASTA MIX LV PLNT PST SHP MCRN PWDR YMY BAG IN BOX 5.5 OUNCE </t>
  </si>
  <si>
    <t xml:space="preserve">ANNIE'S HOMEGROWN PASTA MIXES-DRY WRAP 72 OUNCE </t>
  </si>
  <si>
    <t>DRY POTATOES</t>
  </si>
  <si>
    <t xml:space="preserve">BETTY CROCKER DEHYDRATED MASHED POTATO FLAKE PLASTIC 4.7 OUNCE </t>
  </si>
  <si>
    <t xml:space="preserve">BETTY CROCKER DEHYDRATED MASHED POTATO FLAKE PLASTIC 5.6 OUNCE </t>
  </si>
  <si>
    <t xml:space="preserve">BETTY CROCKER DEHYDRATED MASHED POTATO MASHED PLASTIC 4 OUNCE </t>
  </si>
  <si>
    <t xml:space="preserve">BETTY CROCKER DEHYDRATED MASHED POTATO MASHED PLASTIC 4.5 OUNCE </t>
  </si>
  <si>
    <t xml:space="preserve">BETTY CROCKER DEHYDRATED MASHED POTATO MASHED PLASTIC 4.7 OUNCE </t>
  </si>
  <si>
    <t xml:space="preserve">BETTY CROCKER DEHYDRATED SPECIALTY POTATO DICED PLASTIC 7 OUNCE </t>
  </si>
  <si>
    <t xml:space="preserve">BETTY CROCKER DEHYDRATED SPECIALTY POTATO GRATED PLASTIC 7 OUNCE </t>
  </si>
  <si>
    <t xml:space="preserve">BETTY CROCKER DEHYDRATED SPECIALTY POTATO JULIENNE CUT CARDBOARD 4.6 OUNCE </t>
  </si>
  <si>
    <t xml:space="preserve">BETTY CROCKER DEHYDRATED SPECIALTY POTATO SLICED CARDBOARD 4.5 OUNCE </t>
  </si>
  <si>
    <t xml:space="preserve">BETTY CROCKER DEHYDRATED SPECIALTY POTATO SLICED CARDBOARD 4.7 OUNCE </t>
  </si>
  <si>
    <t xml:space="preserve">BETTY CROCKER DEHYDRATED SPECIALTY POTATO SLICED CARDBOARD 5 OUNCE </t>
  </si>
  <si>
    <t xml:space="preserve">BETTY CROCKER DEHYDRATED SPECIALTY POTATO SLICED CARDBOARD 5.1 OUNCE </t>
  </si>
  <si>
    <t xml:space="preserve">BETTY CROCKER DEHYDRATED SPECIALTY POTATO SLICED CARDBOARD 7.1 OUNCE </t>
  </si>
  <si>
    <t xml:space="preserve">BETTY CROCKER DEHYDRATED SPECIALTY POTATO SLICED CARDBOARD 7.7 OUNCE </t>
  </si>
  <si>
    <t xml:space="preserve">BETTY CROCKER DEHYDRATED SPECIALTY POTATO SLICED CARDBOARD 9 OUNCE </t>
  </si>
  <si>
    <t xml:space="preserve">BETTY CROCKER DEHYDRATED SPECIALTY POTATO SLICED PLASTIC 4.2 OUNCE </t>
  </si>
  <si>
    <t>BETTY CROCKER DEHYDRATED SPECIALTY POTATO SLICED PLASTIC 4.3 OUNCE X2</t>
  </si>
  <si>
    <t>BETTY CROCKER DEHYDRATED SPECIALTY POTATO SLICED PLASTIC 4.4 OUNCE X2</t>
  </si>
  <si>
    <t xml:space="preserve">BETTY CROCKER DEHYDRATED SPECIALTY POTATO SLICED PLASTIC 5 OUNCE </t>
  </si>
  <si>
    <t xml:space="preserve">BETTY CROCKER POTATO BUDS DEHYDRATED MASHED POTATO BUD CARDBOARD 13.75 OUNCE </t>
  </si>
  <si>
    <t>10,280.534</t>
  </si>
  <si>
    <t xml:space="preserve">BETTY CROCKER POTATO BUDS DEHYDRATED MASHED POTATO BUD CARDBOARD 28 OUNCE </t>
  </si>
  <si>
    <t>FLOUR</t>
  </si>
  <si>
    <t xml:space="preserve">BETTY CROCKER RICE BLEND FLOUR BAG IN BOX 1 POUND </t>
  </si>
  <si>
    <t xml:space="preserve">CASCADIAN FARM WHITE WHEAT FLOUR BAG 1 POUND </t>
  </si>
  <si>
    <t xml:space="preserve">GOLD MDL BTR FOR BRD HRVST KNG WHITE FLOUR UNBROMATED BAG 5 POUND </t>
  </si>
  <si>
    <t xml:space="preserve">GOLD MEDAL BREAD FLOUR UNBROMATED BAG 10 POUND </t>
  </si>
  <si>
    <t xml:space="preserve">GOLD MEDAL OAT FLOUR BAG 1 POUND </t>
  </si>
  <si>
    <t xml:space="preserve">GOLD MEDAL PIZZA FLOUR BAG 2 POUND </t>
  </si>
  <si>
    <t xml:space="preserve">GOLD MEDAL WHEAT FLOUR BLEACHED BAG 25 POUND </t>
  </si>
  <si>
    <t xml:space="preserve">GOLD MEDAL WHEAT FLOUR BLEACHED BAG 50 POUND </t>
  </si>
  <si>
    <t xml:space="preserve">GOLD MEDAL WHITE FLOUR BLEACHED BAG 2 POUND </t>
  </si>
  <si>
    <t xml:space="preserve">GOLD MEDAL WHITE FLOUR BLEACHED BAG 25 POUND </t>
  </si>
  <si>
    <t xml:space="preserve">GOLD MEDAL WHITE FLOUR BLEACHED BAG 5 POUND </t>
  </si>
  <si>
    <t xml:space="preserve">GOLD MEDAL WHITE FLOUR ENRICHED BAG 10 POUND </t>
  </si>
  <si>
    <t xml:space="preserve">GOLD MEDAL WHITE FLOUR UNBLANCHED BAG 5 POUND </t>
  </si>
  <si>
    <t xml:space="preserve">GOLD MEDAL WHITE WHEAT FLOUR BLEACHED BAG 10 POUND </t>
  </si>
  <si>
    <t xml:space="preserve">GOLD MEDAL WHITE WHEAT FLOUR BLEACHED BAG 2 POUND </t>
  </si>
  <si>
    <t xml:space="preserve">GOLD MEDAL WHITE WHEAT FLOUR BLEACHED BAG 25 POUND </t>
  </si>
  <si>
    <t xml:space="preserve">GOLD MEDAL WHITE WHEAT FLOUR BLEACHED BAG 3 POUND </t>
  </si>
  <si>
    <t xml:space="preserve">GOLD MEDAL WHITE WHEAT FLOUR BLEACHED BAG 4.25 POUND </t>
  </si>
  <si>
    <t xml:space="preserve">GOLD MEDAL WHITE WHEAT FLOUR BLEACHED BAG 5 POUND </t>
  </si>
  <si>
    <t xml:space="preserve">GOLD MEDAL WHITE WHEAT FLOUR BLEACHED BOX 12 POUND </t>
  </si>
  <si>
    <t xml:space="preserve">GOLD MEDAL WHITE WHEAT FLOUR BLEACHED BOX 5 POUND </t>
  </si>
  <si>
    <t xml:space="preserve">GOLD MEDAL WHITE WHEAT FLOUR ENRICHED BAG 5 POUND </t>
  </si>
  <si>
    <t xml:space="preserve">GOLD MEDAL WHOLE WHEAT FLOUR BAG 5 POUND </t>
  </si>
  <si>
    <t>132,362.225</t>
  </si>
  <si>
    <t xml:space="preserve">GOLD MEDAL WONDRA WHITE WHEAT FLOUR BLEACHED CANISTER .843 POUND </t>
  </si>
  <si>
    <t xml:space="preserve">YOKI CASSAVA FLOUR TOASTED BAG 1.102 POUND </t>
  </si>
  <si>
    <t>FRUIT SNACKS</t>
  </si>
  <si>
    <t xml:space="preserve">ANNIE'S BUNNY FRUIT DRIED FRUIT SNACK BERRY PATCH BUNNY ENVELOPE IN BOX 15.4 OUNCE </t>
  </si>
  <si>
    <t xml:space="preserve">ANNIE'S BUNNY FRUIT DRIED FRUIT SNACK BERRY PATCH BUNNY ENVELOPE IN BOX 7 OUNCE </t>
  </si>
  <si>
    <t xml:space="preserve">ANNIE'S BUNNY FRUIT DRIED FRUIT SNACK STRAWBERRY MANGO CHERRY BUNNY ENVELOPE IN BOX 7 OUNCE </t>
  </si>
  <si>
    <t xml:space="preserve">ANNIE'S BUNNY FRUIT DRIED FRUIT SNACK SUMMER STRAWBERRY BUNNY ENVELOPE IN BOX 15.4 OUNCE </t>
  </si>
  <si>
    <t xml:space="preserve">ANNIE'S BUNNY FRUIT DRIED FRUIT SNACK TROPICAL TREAT BUNNY ENVELOPE IN BOX 7 OUNCE </t>
  </si>
  <si>
    <t xml:space="preserve">ANNIE'S BUNNY FRUIT PROCESSED FRUIT SNACK BOX 15.4 OUNCE </t>
  </si>
  <si>
    <t xml:space="preserve">ANNIE'S DRIED FRUIT SNACK APPLE RASPBERRY STRAWBERRY MULTIPLE FORM ENVELOPE IN BOX 7 OUNCE </t>
  </si>
  <si>
    <t xml:space="preserve">ANNIE'S DRIED FRUIT SNACK FRUIT BUILDING BLOCK ENVELOPE IN BOX 15.4 OUNCE </t>
  </si>
  <si>
    <t xml:space="preserve">ANNIE'S DRIED FRUIT SNACK FRUIT BUILDING BLOCK ENVELOPE IN BOX 4 OUNCE </t>
  </si>
  <si>
    <t xml:space="preserve">ANNIE'S DRIED FRUIT SNACK FRUIT BUILDING BLOCK ENVELOPE IN BOX 7 OUNCE </t>
  </si>
  <si>
    <t xml:space="preserve">ANNIE'S HOMEGROWN BERNIE'S FRM DRIED FRUIT SNACK FRUIT MULTIPLE FORM ENVELOPE IN BOX 4 OUNCE </t>
  </si>
  <si>
    <t xml:space="preserve">ANNIE'S HOMEGROWN BERNIE'S FRM DRIED FRUIT SNACK ORANGE STRAWBERRY RASPBERRY MULTIPLE FORM ENVELOPE IN BOX 7 OUNCE </t>
  </si>
  <si>
    <t xml:space="preserve">ANNIE'S HOMEGROWN BUNNY FRUIT DRIED FRUIT SNACK BERRY PATCH BUNNY BAG 2.75 OUNCE </t>
  </si>
  <si>
    <t xml:space="preserve">ANNIE'S HOMEGROWN BUNNY FRUIT DRIED FRUIT SNACK BERRY PATCH BUNNY ENVELOPE IN BOX 4 OUNCE </t>
  </si>
  <si>
    <t xml:space="preserve">ANNIE'S HOMEGROWN BUNNY FRUIT DRIED FRUIT SNACK BERRY PATCH BUNNY ENVELOPE IN BOX 9.6 OUNCE </t>
  </si>
  <si>
    <t xml:space="preserve">ANNIE'S HOMEGROWN BUNNY FRUIT DRIED FRUIT SNACK STRAWBERRY MANGO CHERRY MULTIPLE FORM ENVELOPE IN BOX 4 OUNCE </t>
  </si>
  <si>
    <t xml:space="preserve">ANNIE'S HOMEGROWN BUNNY FRUIT DRIED FRUIT SNACK SUMMER STRAWBERRY BUNNY ENVELOPE IN BOX 4 OUNCE </t>
  </si>
  <si>
    <t xml:space="preserve">ANNIE'S HOMEGROWN BUNNY FRUIT DRIED FRUIT SNACK SUMMER STRAWBERRY BUNNY ENVELOPE IN BOX 7 OUNCE </t>
  </si>
  <si>
    <t xml:space="preserve">ANNIE'S HOMEGROWN BUNNY FRUIT DRIED FRUIT SNACK SUMMER STRAWBERRY BUNNY ENVELOPE IN BOX 9.6 OUNCE </t>
  </si>
  <si>
    <t xml:space="preserve">ANNIE'S HOMEGROWN BUNNY FRUIT DRIED FRUIT SNACK TROPICAL TREAT BUNNY ENVELOPE IN BOX 4 OUNCE </t>
  </si>
  <si>
    <t>3,954.728</t>
  </si>
  <si>
    <t xml:space="preserve">ANNIE'S HOMEGROWN BUNNY FRUIT PROCESSED FRUIT SNACK BOX 9.6 OUNCE </t>
  </si>
  <si>
    <t xml:space="preserve">ANNIE'S HOMEGROWN DRIED FRUIT SNACK APPLE RASPBERRY STRAWBERRY BEES BUGS AND BUTTERFLIES ENVELOPE IN BOX 4 OUNCE </t>
  </si>
  <si>
    <t xml:space="preserve">ANNIE'S HOMEGROWN DRIED FRUIT SNACK BERRY PATCH BUNNY BAG 4.5 OUNCE </t>
  </si>
  <si>
    <t xml:space="preserve">ANNIE'S HOMEGROWN DRIED FRUIT SNACK BERRY PATCH BUNNY ENVELOPE IN BOX 16 OUNCE </t>
  </si>
  <si>
    <t xml:space="preserve">ANNIE'S HOMEGROWN PROCESSED FRUIT SNACK BOX 34 OUNCE </t>
  </si>
  <si>
    <t xml:space="preserve">ANNIE'S HOMEGROWN REALLY PEELY DRIED FRUIT SNACK SWIRLY STRAWBERRY TAPE ENVELOPE IN BOX 4.5 OUNCE </t>
  </si>
  <si>
    <t xml:space="preserve">ANNIE'S HOMEGROWN REALLY PEELY PROCESSED FRUIT SNACK BOX 9 OUNCE </t>
  </si>
  <si>
    <t xml:space="preserve">ANNIE'S ICE CREAM SHOP DRIED FRUIT SNACK MIXED FRUIT ICE CREAM ENVELOPE IN BOX 4 OUNCE </t>
  </si>
  <si>
    <t xml:space="preserve">ANNIE'S ICE CREAM SHOP DRIED FRUIT SNACK MIXED FRUIT ICE CREAM ENVELOPE IN BOX 9.6 OUNCE </t>
  </si>
  <si>
    <t xml:space="preserve">ANNIE'S PEEL-A-PARTS DRIED FRUIT SNACK FRUIT PUNCH A PEEL PIECE ENVELOPE IN BOX 3.3 OUNCE </t>
  </si>
  <si>
    <t xml:space="preserve">ANNIE'S PEEL-A-PARTS DRIED FRUIT SNACK STRAWBERRY SPLITS PIECE ENVELOPE IN BOX 3.3 OUNCE </t>
  </si>
  <si>
    <t xml:space="preserve">ANNIE'S PEEL-A-PARTS PROCESSED FRUIT SNACK BOX 16.8 OUNCE </t>
  </si>
  <si>
    <t xml:space="preserve">ANNIE'S PEEL-A-PARTS PROCESSED FRUIT SNACK BOX 6.7 OUNCE </t>
  </si>
  <si>
    <t xml:space="preserve">ANNIE'S PROCESSED FRUIT SNACK BOX 35 OUNCE </t>
  </si>
  <si>
    <t xml:space="preserve">BETTY CROCKER DRIED FRUIT SNACK FRUIT MULTIPLE FORM BLUEY ENVELOPE IN BOX 17.6 OUNCE </t>
  </si>
  <si>
    <t>119,007.091</t>
  </si>
  <si>
    <t xml:space="preserve">BETTY CROCKER DRIED FRUIT SNACK FRUIT MULTIPLE FORM BLUEY ENVELOPE IN BOX 8 OUNCE </t>
  </si>
  <si>
    <t xml:space="preserve">BETTY CROCKER DRIED FRUIT SNACK FRUIT MULTIPLE FORM GABBYS DOLLHOUSE ENVELOPE IN BOX 17.6 OUNCE </t>
  </si>
  <si>
    <t xml:space="preserve">BETTY CROCKER DRIED FRUIT SNACK FRUIT MULTIPLE FORM GABBYS DOLLHOUSE ENVELOPE IN BOX 8 OUNCE </t>
  </si>
  <si>
    <t xml:space="preserve">BETTY CROCKER DRIED FRUIT SNACK MIXED FRUIT CHARACTER DISNEY PIXAR ENVELOPE IN BOX 16 OUNCE </t>
  </si>
  <si>
    <t>12.76</t>
  </si>
  <si>
    <t xml:space="preserve">BETTY CROCKER DRIED FRUIT SNACK MIXED FRUIT CHARACTER DISNEY PIXAR ENVELOPE IN BOX 8 OUNCE </t>
  </si>
  <si>
    <t xml:space="preserve">BETTY CROCKER DRIED FRUIT SNACK MIXED FRUIT CHARACTER DISNEY PRINCESS ENVELOPE IN BOX 8 OUNCE </t>
  </si>
  <si>
    <t xml:space="preserve">BETTY CROCKER DRIED FRUIT SNACK MIXED FRUIT CHARACTER HANNA BARBERA ENVELOPE IN BOX 9 OUNCE </t>
  </si>
  <si>
    <t xml:space="preserve">BETTY CROCKER DRIED FRUIT SNACK MIXED FRUIT CHARACTER MARVEL ENVELOPE IN BOX 16 OUNCE </t>
  </si>
  <si>
    <t xml:space="preserve">BETTY CROCKER DRIED FRUIT SNACK MIXED FRUIT CHARACTER MARVEL ENVELOPE IN BOX 8 OUNCE </t>
  </si>
  <si>
    <t>113,956.115</t>
  </si>
  <si>
    <t xml:space="preserve">BETTY CROCKER DRIED FRUIT SNACK MIXED FRUIT CHARACTER NICKELODEON ENVELOPE IN BOX 8 OUNCE </t>
  </si>
  <si>
    <t xml:space="preserve">BETTY CROCKER DRIED FRUIT SNACK MIXED FRUIT CHARACTER POKEMON BAG IN BOX 8 OUNCE </t>
  </si>
  <si>
    <t xml:space="preserve">BETTY CROCKER DRIED FRUIT SNACK MIXED FRUIT CHARACTER SCOOBY DOO ENVELOPE IN BOX 8 OUNCE </t>
  </si>
  <si>
    <t xml:space="preserve">BETTY CROCKER DRIED FRUIT SNACK MIXED FRUIT CHARACTER SPACE JAM ENVELOPE IN BOX 8 OUNCE </t>
  </si>
  <si>
    <t xml:space="preserve">BETTY CROCKER DRIED FRUIT SNACK MIXED FRUIT CHARACTER STAR WARS ENVELOPE IN BOX 8 OUNCE </t>
  </si>
  <si>
    <t xml:space="preserve">BETTY CROCKER DRIED FRUIT SNACK MIXED FRUIT CHARACTER WB SHIELD BAG 3.8 OUNCE </t>
  </si>
  <si>
    <t xml:space="preserve">BETTY CROCKER DRIED FRUIT SNACK MIXED FRUIT MULTIPLE FORM DISNEY MICKEY AND FRIENDS ENVELOPE IN BOX 17.6 OUNCE </t>
  </si>
  <si>
    <t xml:space="preserve">BETTY CROCKER DRIED FRUIT SNACK MIXED FRUIT MULTIPLE FORM DISNEY MICKEY AND FRIENDS ENVELOPE IN BOX 8 OUNCE </t>
  </si>
  <si>
    <t xml:space="preserve">BETTY CROCKER DRIED FRUIT SNACK MIXED FRUIT MULTIPLE FORM DISNEY PIXAR ENVELOPE IN BOX 72 OUNCE </t>
  </si>
  <si>
    <t xml:space="preserve">BETTY CROCKER DRIED FRUIT SNACK MIXED FRUIT MULTIPLE FORM DISNEY PRINCESS ENVELOPE IN BOX 17.6 OUNCE </t>
  </si>
  <si>
    <t xml:space="preserve">BETTY CROCKER DRIED FRUIT SNACK MIXED FRUIT MULTIPLE FORM FROZEN II ENVELOPE IN BOX 8 OUNCE </t>
  </si>
  <si>
    <t xml:space="preserve">BETTY CROCKER DRIED FRUIT SNACK MIXED FRUIT MULTIPLE FORM JURASSIC WORLD ENVELOPE IN BOX 8 OUNCE </t>
  </si>
  <si>
    <t xml:space="preserve">BETTY CROCKER DRIED FRUIT SNACK MIXED FRUIT MULTIPLE FORM MARVEL SUPER HERO ADVENTURES ENVELOPE IN BOX 17.6 OUNCE </t>
  </si>
  <si>
    <t xml:space="preserve">BETTY CROCKER DRIED FRUIT SNACK MIXED FRUIT MULTIPLE FORM MINIONS ENVELOPE IN BOX 16 OUNCE </t>
  </si>
  <si>
    <t xml:space="preserve">BETTY CROCKER DRIED FRUIT SNACK MIXED FRUIT MULTIPLE FORM MINIONS ENVELOPE IN BOX 8 OUNCE </t>
  </si>
  <si>
    <t xml:space="preserve">BETTY CROCKER DRIED FRUIT SNACK MIXED FRUIT MULTIPLE FORM MINIONS THE RISE OF GRU ENVELOPE IN BOX 17.6 OUNCE </t>
  </si>
  <si>
    <t xml:space="preserve">BETTY CROCKER DRIED FRUIT SNACK MIXED FRUIT MULTIPLE FORM PIXAR ENVELOPE IN BOX 17.6 OUNCE </t>
  </si>
  <si>
    <t xml:space="preserve">BETTY CROCKER DRIED FRUIT SNACK MIXED FRUIT MULTIPLE FORM POKEMON ENVELOPE IN BOX 17.6 OUNCE </t>
  </si>
  <si>
    <t xml:space="preserve">BETTY CROCKER DRIED FRUIT SNACK MIXED FRUIT MULTIPLE FORM SCOOBI ENVELOPE IN BOX 17.6 OUNCE </t>
  </si>
  <si>
    <t>199,586.076</t>
  </si>
  <si>
    <t xml:space="preserve">BETTY CROCKER DRIED FRUIT SNACK MIXED FRUIT MULTIPLE FORM SONIC THE HEDGEHOG ENVELOPE IN BOX 17.6 OUNCE </t>
  </si>
  <si>
    <t xml:space="preserve">BETTY CROCKER DRIED FRUIT SNACK MIXED FRUIT MULTIPLE FORM SONIC THE HEDGEHOG ENVELOPE IN BOX 8 OUNCE </t>
  </si>
  <si>
    <t xml:space="preserve">BETTY CROCKER DRIED FRUIT SNACK MULTIPLE FLAVOR CHARACTER WB SHIELD ENVELOPE IN BOX 16 OUNCE </t>
  </si>
  <si>
    <t xml:space="preserve">BETTY CROCKER DRIED FRUIT SNACK SPOOKY BERRY MULTIPLE FORM MONSTER MASH ENVELOPE IN BOX 22.4 OUNCE </t>
  </si>
  <si>
    <t xml:space="preserve">BETTY CROCKER DRIED FRUIT SNACK SPOOKY BERRY MULTIPLE FORM MONSTER MASH ENVELOPE IN BOX 72 OUNCE </t>
  </si>
  <si>
    <t xml:space="preserve">BETTY CROCKER DRIED FRUIT SNACK STRAWBERRY GRAPE CHERRY ORANGE CHARACTER NICKELODEON ENVELOPE IN BOX 9 OUNCE </t>
  </si>
  <si>
    <t xml:space="preserve">BETTY CROCKER PROCESSED FRUIT SNACK BOX 10.2 OUNCE </t>
  </si>
  <si>
    <t xml:space="preserve">BETTY CROCKER PROCESSED FRUIT SNACK BOX 10.6 OUNCE </t>
  </si>
  <si>
    <t xml:space="preserve">BETTY CROCKER PROCESSED FRUIT SNACK BOX 5.1 OUNCE </t>
  </si>
  <si>
    <t xml:space="preserve">BETTY CROCKER PROCESSED FRUIT SNACK BOX 9.96 OUNCE </t>
  </si>
  <si>
    <t xml:space="preserve">BETTY CROCKER TRIX DRIED FRUIT SNACK MIXED FRUIT FRUIT ENVELOPE IN BAG 22.4 OUNCE </t>
  </si>
  <si>
    <t xml:space="preserve">FRUIT BY THE FOOT DRIED FRUIT SNACK BERRY TIE DYE ROLL BAG 3 OUNCE </t>
  </si>
  <si>
    <t xml:space="preserve">FRUIT BY THE FOOT DRIED FRUIT SNACK BERRY TIE DYE ROLL ENVELOPE .45 OUNCE </t>
  </si>
  <si>
    <t xml:space="preserve">FRUIT BY THE FOOT DRIED FRUIT SNACK BERRY TIE DYE ROLL ENVELOPE IN BAG 8.1 OUNCE </t>
  </si>
  <si>
    <t xml:space="preserve">FRUIT BY THE FOOT DRIED FRUIT SNACK BERRY TIE DYE ROLL ENVELOPE IN BOX 1.35 OUNCE </t>
  </si>
  <si>
    <t xml:space="preserve">FRUIT BY THE FOOT DRIED FRUIT SNACK BERRY TIE DYE ROLL ENVELOPE IN BOX 1.8 OUNCE </t>
  </si>
  <si>
    <t xml:space="preserve">FRUIT BY THE FOOT DRIED FRUIT SNACK BERRY TIE DYE ROLL ENVELOPE IN BOX 4.5 OUNCE </t>
  </si>
  <si>
    <t xml:space="preserve">FRUIT BY THE FOOT DRIED FRUIT SNACK CHERRY LEMON ORANGE STRAWBERRY ROLL ENVELOPE IN BOX 4.5 OUNCE </t>
  </si>
  <si>
    <t xml:space="preserve">FRUIT BY THE FOOT DRIED FRUIT SNACK STRAWBERRY BERRY TIE DY ROLL ENVELOPE IN BOX 36 OUNCE </t>
  </si>
  <si>
    <t xml:space="preserve">FRUIT BY THE FOOT DRIED FRUIT SNACK STRAWBERRY TIE DYE ROLL BAG 3 OUNCE </t>
  </si>
  <si>
    <t xml:space="preserve">FRUIT BY THE FOOT PROCESSED FRUIT SNACK BOX 13.5 OUNCE </t>
  </si>
  <si>
    <t xml:space="preserve">FRUIT BY THE FOOT PROCESSED FRUIT SNACK BOX 27 OUNCE </t>
  </si>
  <si>
    <t xml:space="preserve">FRUIT BY THE FOOT PROCESSED FRUIT SNACK BOX 36 OUNCE </t>
  </si>
  <si>
    <t xml:space="preserve">FRUIT BY THE FOOT PROCESSED FRUIT SNACK BOX 4.5 OUNCE </t>
  </si>
  <si>
    <t xml:space="preserve">FRUIT BY THE FOOT PROCESSED FRUIT SNACK BOX 9 OUNCE </t>
  </si>
  <si>
    <t xml:space="preserve">FRUIT GUSHERS DRIED FRUIT SNACK ORANGE CHERRY RASPBERRY LMND S PIECE BAG 4.25 OUNCE </t>
  </si>
  <si>
    <t xml:space="preserve">FRUIT GUSHERS DRIED FRUIT SNACK STRAWBERRY SPLASH PIECE ENVELOPE IN BOX 1.76 OUNCE </t>
  </si>
  <si>
    <t xml:space="preserve">FRUIT GUSHERS DRIED FRUIT SNACK STRAWBERRY SPLASH TROPICAL PIECE ENVELOPE IN BOX 16 OUNCE </t>
  </si>
  <si>
    <t xml:space="preserve">FRUIT GUSHERS DRIED FRUIT SNACK STRAWBERRY SPLASH TROPICAL PIECE ENVELOPE IN BOX 33.6 OUNCE </t>
  </si>
  <si>
    <t xml:space="preserve">FRUIT GUSHERS DRIED FRUIT SNACK STRAWBERRY SPLASH TROPICAL PIECE ENVELOPE IN BOX 4.8 OUNCE </t>
  </si>
  <si>
    <t xml:space="preserve">FRUIT GUSHERS DRIED FRUIT SNACK STRAWBERRY SPLASH TROPICAL PIECE ENVELOPE IN BOX 9.6 OUNCE </t>
  </si>
  <si>
    <t>637,433.033</t>
  </si>
  <si>
    <t xml:space="preserve">FRUIT GUSHERS DRIED FRUIT SNACK SUPER SOUR BERRY PIECE ENVELOPE 2 OUNCE </t>
  </si>
  <si>
    <t xml:space="preserve">FRUIT GUSHERS DRIED FRUIT SNACK TROPICAL PIECE ENVELOPE IN BOX 1.32 OUNCE </t>
  </si>
  <si>
    <t xml:space="preserve">FRUIT GUSHERS DRIED FRUIT SNACK TROPICAL PIECE ENVELOPE IN BOX 4.8 OUNCE </t>
  </si>
  <si>
    <t xml:space="preserve">FRUIT GUSHERS PROCESSED FRUIT SNACK BOX 10.8 OUNCE </t>
  </si>
  <si>
    <t xml:space="preserve">FRUIT GUSHERS PROCESSED FRUIT SNACK BOX 5.4 OUNCE </t>
  </si>
  <si>
    <t xml:space="preserve">FRUIT ROLL-UPS DRIED FRUIT SNACK BLASTIN BERRY HOT COLORS ROLL ENVELOPE IN BOX 5 OUNCE </t>
  </si>
  <si>
    <t xml:space="preserve">FRUIT ROLL-UPS DRIED FRUIT SNACK LEMONADE STRAWBERRY TRPCL MXRS ROLL BOX 5 OUNCE </t>
  </si>
  <si>
    <t>131.363</t>
  </si>
  <si>
    <t xml:space="preserve">FRUIT ROLL-UPS DRIED FRUIT SNACK STRAWBERRY SENSATION ROLL BOX 1.5 OUNCE </t>
  </si>
  <si>
    <t xml:space="preserve">FRUIT ROLL-UPS DRIED FRUIT SNACK STRAWBERRY SENSATION ROLL BOX 2 OUNCE </t>
  </si>
  <si>
    <t xml:space="preserve">FRUIT ROLL-UPS DRIED FRUIT SNACK STRAWBERRY SENSATION ROLL ILLUMINATION ENTERTAINMENT ENVELOPE IN BOX 5 OUNCE </t>
  </si>
  <si>
    <t xml:space="preserve">FRUIT ROLL-UPS DRIED FRUIT SNACK TROPICAL TIE DYE ROLL ENVELOPE .37 OUNCE </t>
  </si>
  <si>
    <t xml:space="preserve">FRUIT ROLL-UPS DRIED FRUIT SNACK TROPICAL TIE DYE ROLL ENVELOPE IN BAG 8.14 OUNCE </t>
  </si>
  <si>
    <t xml:space="preserve">FRUIT ROLL-UPS DRIED FRUIT SNACK TROPICAL TIE DYE ROLL ENVELOPE IN BOX 1.48 OUNCE </t>
  </si>
  <si>
    <t xml:space="preserve">FRUIT ROLL-UPS DRIED FRUIT SNACK TROPICAL TIE DYE ROLL ENVELOPE IN BOX 1.85 OUNCE </t>
  </si>
  <si>
    <t xml:space="preserve">FRUIT ROLL-UPS DRIED FRUIT SNACK TROPICAL TIE DYE ROLL ENVELOPE IN BOX 8.14 OUNCE </t>
  </si>
  <si>
    <t xml:space="preserve">FRUIT ROLL-UPS DRIED FRUIT SNACK TROPICAL TIE DYE ROLL TEENAGE MUTANT NINJA TURTLES ENVELOPE IN BOX 5 OUNCE </t>
  </si>
  <si>
    <t xml:space="preserve">FRUIT ROLL-UPS DRIED FRUIT SNACK WATERMELON GREEN APPLE ROLL ENVELOPE IN BOX 10 OUNCE </t>
  </si>
  <si>
    <t xml:space="preserve">FRUIT ROLL-UPS DRIED FRUIT SNACK WILDBERRY PUNCH ROLL ENVELOPE IN BOX 13.3 OUNCE </t>
  </si>
  <si>
    <t xml:space="preserve">FRUIT ROLL-UPS PEEL'N BUILD DRIED FRUIT SNACK MULTIPLE FLAVOR ROLL ENVELOPE IN BOX 10 OUNCE </t>
  </si>
  <si>
    <t xml:space="preserve">FRUIT ROLL-UPS PROCESSED FRUIT SNACK BOX 10 OUNCE </t>
  </si>
  <si>
    <t xml:space="preserve">FRUIT ROLL-UPS PROCESSED FRUIT SNACK BOX 15 OUNCE </t>
  </si>
  <si>
    <t xml:space="preserve">FRUIT ROLL-UPS PROCESSED FRUIT SNACK BOX 36 OUNCE </t>
  </si>
  <si>
    <t xml:space="preserve">FRUIT ROLL-UPS PROCESSED FRUIT SNACK BOX 5 OUNCE </t>
  </si>
  <si>
    <t xml:space="preserve">MOTT'S DRIED FRUIT SNACK APPLE ORCHARD FRUIT ENVELOPE IN BOX 17.6 OUNCE </t>
  </si>
  <si>
    <t xml:space="preserve">MOTT'S DRIED FRUIT SNACK APPLE ORCHARD FRUIT ENVELOPE IN BOX 32 OUNCE </t>
  </si>
  <si>
    <t xml:space="preserve">MOTT'S DRIED FRUIT SNACK BERRY MULTIPLE FORM ENVELOPE IN BOX 3.2 OUNCE </t>
  </si>
  <si>
    <t xml:space="preserve">MOTT'S DRIED FRUIT SNACK BERRY MULTIPLE FORM ENVELOPE IN BOX 32 OUNCE </t>
  </si>
  <si>
    <t xml:space="preserve">MOTT'S DRIED FRUIT SNACK BERRY PIECE ENVELOPE IN BOX 2.4 OUNCE </t>
  </si>
  <si>
    <t xml:space="preserve">MOTT'S DRIED FRUIT SNACK BERRY PIECE ENVELOPE IN BOX 8 OUNCE </t>
  </si>
  <si>
    <t xml:space="preserve">MOTT'S DRIED FRUIT SNACK CHERRY GRAPE MIXED BERRY MULTIPLE FORM ENVELOPE IN BOX 8 OUNCE </t>
  </si>
  <si>
    <t xml:space="preserve">MOTT'S DRIED FRUIT SNACK FRUIT MULTIPLE FORM ENVELOPE IN BOX 32 OUNCE </t>
  </si>
  <si>
    <t xml:space="preserve">MOTT'S DRIED FRUIT SNACK MIXED FRUIT ANIMAL ENVELOPE IN BOX 8 OUNCE </t>
  </si>
  <si>
    <t xml:space="preserve">MOTT'S DRIED FRUIT SNACK MIXED FRUIT MULTIPLE FORM ENVELOPE IN BOX 3.2 OUNCE </t>
  </si>
  <si>
    <t xml:space="preserve">MOTT'S DRIED FRUIT SNACK MIXED FRUIT PIECE ENVELOPE IN BOX 8 OUNCE </t>
  </si>
  <si>
    <t xml:space="preserve">MOTT'S DRIED FRUIT SNACK MULTIPLE FLAVOR ANIMAL ENVELOPE IN BOX 32 OUNCE </t>
  </si>
  <si>
    <t xml:space="preserve">MOTT'S DRIED FRUIT SNACK MULTIPLE FLAVOR MULTIPLE FORM BAG 2.5 OUNCE </t>
  </si>
  <si>
    <t xml:space="preserve">MOTT'S DRIED FRUIT SNACK MULTIPLE FLAVOR MULTIPLE FORM BAG IN BOX 2.4 OUNCE </t>
  </si>
  <si>
    <t xml:space="preserve">MOTT'S DRIED FRUIT SNACK STRAWBERRY SPLASH ROLL ENVELOPE IN BOX 5 OUNCE </t>
  </si>
  <si>
    <t xml:space="preserve">MOTT'S MEDLEYS DRIED FRUIT SNACK MIXED FRUIT FRUIT ENVELOPE IN BOX 17.6 OUNCE </t>
  </si>
  <si>
    <t xml:space="preserve">MOTT'S MEDLEYS DRIED FRUIT SNACK MIXED FRUIT MULTIPLE FORM BAG IN BOX 72 OUNCE </t>
  </si>
  <si>
    <t xml:space="preserve">MOTT'S PROCESSED FRUIT SNACK BOX 17.6 OUNCE </t>
  </si>
  <si>
    <t xml:space="preserve">NO BRAND LISTED DRIED FRUIT SNACK MIXED FRUIT CHARACTER DREAMWORKS TROLLS BAG IN BOX 8 OUNCE </t>
  </si>
  <si>
    <t xml:space="preserve">NO BRAND LISTED PROCESSED FRUIT SNACK BOX 5.1 OUNCE </t>
  </si>
  <si>
    <t xml:space="preserve">SUNKIST DRIED FRUIT SNACK BERRY BLAST BITE BOX 4 OUNCE </t>
  </si>
  <si>
    <t xml:space="preserve">SUPER SOUR FRUIT GUSHERS DRIED FRUIT SNACK BLUEBERRY GRAPE MIXED BERRY RA MULTIPLE FORM BOX 4.25 OUNCE </t>
  </si>
  <si>
    <t xml:space="preserve">SUPER SOUR FRUIT GUSHERS DRIED FRUIT SNACK CRABBY APPLE GRUMPY GRAPE SCAR PIECE ENVELOPE IN BOX 4.8 OUNCE </t>
  </si>
  <si>
    <t>FZ BAKED GOODS</t>
  </si>
  <si>
    <t xml:space="preserve">PILLSBURY FLAVORED BISCUIT BISCUIT GARLIC CHEDDAR BAG 18 OUNCE </t>
  </si>
  <si>
    <t xml:space="preserve">PILLSBURY GRANDS! FLAVORED BISCUIT DOUGH BISCUIT DOUGH BUTTER BAG 25 OUNCE </t>
  </si>
  <si>
    <t xml:space="preserve">PILLSBURY GRANDS! FLAVORED BISCUIT DOUGH BISCUIT DOUGH BUTTER BAG 41.6 OUNCE </t>
  </si>
  <si>
    <t xml:space="preserve">PILLSBURY GRANDS! FLAVORED BISCUIT DOUGH BISCUIT DOUGH BUTTERMILK BAG 25 OUNCE </t>
  </si>
  <si>
    <t xml:space="preserve">PILLSBURY GRANDS! FLAVORED BISCUIT DOUGH BISCUIT DOUGH BUTTERMILK BAG 41.6 OUNCE </t>
  </si>
  <si>
    <t xml:space="preserve">PILLSBURY GRANDS! FLAVORED BISCUIT DOUGH BISCUIT DOUGH CORNBREAD BAG 25 OUNCE </t>
  </si>
  <si>
    <t xml:space="preserve">PILLSBURY GRANDS! FLAVORED BISCUIT DOUGH BISCUIT DOUGH CORNBREAD BAG 41.6 OUNCE </t>
  </si>
  <si>
    <t xml:space="preserve">PILLSBURY GRANDS! FLAVORED BISCUIT DOUGH BISCUIT DOUGH HONEY BUTTER BAG 41.6 OUNCE </t>
  </si>
  <si>
    <t xml:space="preserve">PILLSBURY GRANDS! SOUTHERN BISCUIT DOUGH BUTTERMILK BAG 79 OUNCE </t>
  </si>
  <si>
    <t xml:space="preserve">PILLSBURY GRANDS! SOUTHERN STYLE BISCUIT DOUGH BUTTER BAG 25 OUNCE </t>
  </si>
  <si>
    <t xml:space="preserve">PILLSBURY GRANDS! SOUTHERN STYLE BISCUIT DOUGH UNFLAVORED BAG 41.6 OUNCE </t>
  </si>
  <si>
    <t xml:space="preserve">PILLSBURY PET-RITZ PIE CRUST UNFLAVORED KEEP FROZEN BAG 10 OUNCE </t>
  </si>
  <si>
    <t xml:space="preserve">PILLSBURY PET-RITZ PIE CRUST UNFLAVORED KEEP FROZEN BOX 12 OUNCE </t>
  </si>
  <si>
    <t xml:space="preserve">PILLSBURY PIE CRUST UNFLAVORED KEEP FROZEN BOX 12 OUNCE </t>
  </si>
  <si>
    <t xml:space="preserve">PILLSBURY SOUTHERN STYLE BISCUIT DOUGH UNFLAVORED BAG 25 OUNCE </t>
  </si>
  <si>
    <t>FZ BREAKFAST</t>
  </si>
  <si>
    <t xml:space="preserve">ANNIE'S WAFFLE BIRTHDAY CAKE ROUND KEEP FROZEN WRAP IN BOX 9.8 OUNCE </t>
  </si>
  <si>
    <t xml:space="preserve">ANNIE'S WAFFLE BLUEBERRY ROUND KEEP FROZEN WRAP IN BOX 9.8 OUNCE </t>
  </si>
  <si>
    <t xml:space="preserve">ANNIE'S WAFFLE HOMESTYLE ROUND KEEP FROZEN WRAP IN BOX 9.8 OUNCE </t>
  </si>
  <si>
    <t xml:space="preserve">ANNIE'S WAFFLE STRAWBERRY ROUND KEEP FROZEN BOX 9.8 OUNCE </t>
  </si>
  <si>
    <t xml:space="preserve">PILLSBURY COCOA PUFFS WAFFLE CHOCOLATE ROUND KEEP FROZEN WRAP IN BOX 12.7 OUNCE </t>
  </si>
  <si>
    <t>5,300.24</t>
  </si>
  <si>
    <t xml:space="preserve">PILLSBURY MINI CINNIS CINNAMON PULL APART ROLL CINNAMON WRAP 2.29 OUNCE </t>
  </si>
  <si>
    <t xml:space="preserve">PILLSBURY PANCAKE BUTTERMILK ROUND FROZEN BOX 16.4 OUNCE </t>
  </si>
  <si>
    <t xml:space="preserve">PILLSBURY PANCAKE UNFLAVORED ROUND FROZEN BOX 16.4 OUNCE </t>
  </si>
  <si>
    <t xml:space="preserve">PILLSBURY TOASTER SCRAMBLES TOASTER SCRAMBLE BACON AND SAUSAGE KEEP FROZEN BOX 14.4 OUNCE </t>
  </si>
  <si>
    <t xml:space="preserve">PILLSBURY TOASTER SCRAMBLES TOASTER SCRAMBLE BACON AND SAUSAGE KEEP FROZEN BOX 7.2 OUNCE </t>
  </si>
  <si>
    <t xml:space="preserve">PILLSBURY TOASTER SCRAMBLES TOASTER SCRAMBLE BACON KEEP FROZEN BOX 14.4 OUNCE </t>
  </si>
  <si>
    <t xml:space="preserve">PILLSBURY TOASTER SCRAMBLES TOASTER SCRAMBLE FRENCH TOAST BACON KEEP FROZEN BAG IN BOX 14.4 OUNCE </t>
  </si>
  <si>
    <t xml:space="preserve">PILLSBURY TOASTER SCRAMBLES TOASTER SCRAMBLE FRENCH TOAST BACON KEEP FROZEN BAG IN BOX 7.2 OUNCE </t>
  </si>
  <si>
    <t xml:space="preserve">PILLSBURY TOASTER SCRAMBLES TOASTER SCRAMBLE PORK SHOULDER BACON KEEP FROZEN BOX 7.2 OUNCE </t>
  </si>
  <si>
    <t xml:space="preserve">PILLSBURY TOASTER SCRAMBLES TOASTER SCRAMBLE SAUSAGE KEEP FROZEN BOX 14.4 OUNCE </t>
  </si>
  <si>
    <t xml:space="preserve">PILLSBURY TOASTER SCRAMBLES TOASTER SCRAMBLE SAUSAGE KEEP FROZEN BOX 7.2 OUNCE </t>
  </si>
  <si>
    <t xml:space="preserve">PILLSBURY TOASTER STRUDEL TOASTER STRUDEL APPLE KEEP FROZEN BAG IN BOX 11.7 OUNCE </t>
  </si>
  <si>
    <t xml:space="preserve">PILLSBURY TOASTER STRUDEL TOASTER STRUDEL APPLE KEEP FROZEN BAG IN BOX 23.4 OUNCE </t>
  </si>
  <si>
    <t xml:space="preserve">PILLSBURY TOASTER STRUDEL TOASTER STRUDEL BLUEBERRY KEEP FROZEN BAG IN BOX 11.7 OUNCE </t>
  </si>
  <si>
    <t xml:space="preserve">PILLSBURY TOASTER STRUDEL TOASTER STRUDEL CHERRY KEEP FROZEN BOX 11.7 OUNCE </t>
  </si>
  <si>
    <t xml:space="preserve">PILLSBURY TOASTER STRUDEL TOASTER STRUDEL CINNAMON ROLL KEEP FROZEN BOX 11.7 OUNCE </t>
  </si>
  <si>
    <t xml:space="preserve">PILLSBURY TOASTER STRUDEL TOASTER STRUDEL CINNAMON ROLL KEEP FROZEN BOX 23.4 OUNCE </t>
  </si>
  <si>
    <t xml:space="preserve">PILLSBURY TOASTER STRUDEL TOASTER STRUDEL CREAM CHEESE AND STRAWBERRY KEEP FROZEN BOX 11.7 OUNCE </t>
  </si>
  <si>
    <t xml:space="preserve">PILLSBURY TOASTER STRUDEL TOASTER STRUDEL CREAM CHEESE AND STRAWBERRY KEEP FROZEN BOX 23.4 OUNCE </t>
  </si>
  <si>
    <t xml:space="preserve">PILLSBURY TOASTER STRUDEL TOASTER STRUDEL RASPBERRY KEEP FROZEN BOX 11.7 OUNCE </t>
  </si>
  <si>
    <t xml:space="preserve">PILLSBURY TOASTER STRUDEL TOASTER STRUDEL STRAWBERRY KEEP FROZEN BAG IN BOX 11.7 OUNCE </t>
  </si>
  <si>
    <t xml:space="preserve">PILLSBURY TOASTER STRUDEL TOASTER STRUDEL STRAWBERRY KEEP FROZEN BAG IN BOX 23.4 OUNCE </t>
  </si>
  <si>
    <t xml:space="preserve">PILLSBURY TOASTER STRUDEL TOASTER STRUDEL STRAWBERRY KEEP FROZEN BOX 11.5 OUNCE </t>
  </si>
  <si>
    <t>PILLSBURY TOASTER STRUDEL TOASTER STRUDEL STRAWBERRY KEEP FROZEN WRAP IN BOX 11.7 OUNCE X5</t>
  </si>
  <si>
    <t xml:space="preserve">PILLSBURY TOASTER STRUDEL TOASTER STRUDEL WILDBERRY KEEP FROZEN BAG IN BOX 11.7 OUNCE </t>
  </si>
  <si>
    <t>43.17</t>
  </si>
  <si>
    <t xml:space="preserve">PILLSBURY WAFFLE CINNAMON ROUND KEEP FROZEN WRAP IN BOX 12.7 OUNCE </t>
  </si>
  <si>
    <t xml:space="preserve">PILLSBURY WAFFLE FRUITY ROUND KEEP FROZEN WRAP IN BOX 12.7 OUNCE </t>
  </si>
  <si>
    <t>FZ PIZZA</t>
  </si>
  <si>
    <t xml:space="preserve">TOTINO'S PARTY PIZZA PIZZA COMBINATION ROUND KEEP FROZEN BAG IN BOX 42.8 OUNCE </t>
  </si>
  <si>
    <t xml:space="preserve">TOTINO'S PARTY PIZZA PIZZA CRISP HAMBURGER ROUND KEEP FROZEN BAG 10.9 OUNCE </t>
  </si>
  <si>
    <t xml:space="preserve">TOTINO'S PARTY PIZZA PIZZA ORIGINAL CRISP CRUST BACON AND PEPPERONI SQUARE KEEP FROZEN BAG 10 OUNCE </t>
  </si>
  <si>
    <t xml:space="preserve">TOTINO'S PARTY PIZZA PIZZA ORIGINAL CRISP CRUST CANADIAN BACON AND GROUND PORK SQUARE KEEP FROZEN BAG 10.4 OUNCE </t>
  </si>
  <si>
    <t xml:space="preserve">TOTINO'S PARTY PIZZA PIZZA ORIGINAL CRISP CRUST CHEESE ROUND KEEP FROZEN BAG 9.8 OUNCE </t>
  </si>
  <si>
    <t xml:space="preserve">TOTINO'S PARTY PIZZA PIZZA ORIGINAL CRISP CRUST CLASSIC PEPPERONI ROUND KEEP FROZEN BAG 9.8 OUNCE </t>
  </si>
  <si>
    <t xml:space="preserve">TOTINO'S PARTY PIZZA PIZZA ORIGINAL CRISP CRUST COMBINATION ROUND KEEP FROZEN WRAP IN BOX 10.7 OUNCE </t>
  </si>
  <si>
    <t xml:space="preserve">TOTINO'S PARTY PIZZA PIZZA ORIGINAL CRISP CRUST PEPPERONI ROUND KEEP FROZEN WRAP IN BOX 10.2 OUNCE </t>
  </si>
  <si>
    <t xml:space="preserve">TOTINO'S PARTY PIZZA PIZZA ORIGINAL CRISP CRUST SAUSAGE ROUND KEEP FROZEN BAG 10.8 OUNCE </t>
  </si>
  <si>
    <t xml:space="preserve">TOTINO'S PARTY PIZZA PIZZA ORIGINAL CRISP CRUST SUPREME ROUND KEEP FROZEN WRAP IN BOX 10.9 OUNCE </t>
  </si>
  <si>
    <t xml:space="preserve">TOTINO'S PARTY PIZZA PIZZA ORIGINAL CRISP CRUST TRIPLE CHEESE ROUND KEEP FROZEN WRAP IN BOX 9.8 OUNCE </t>
  </si>
  <si>
    <t xml:space="preserve">TOTINO'S PARTY PIZZA PIZZA ORIGINAL CRISP CRUST TRIPLE MEAT RECTANGLE KEEP FROZEN BAG 10.5 OUNCE </t>
  </si>
  <si>
    <t xml:space="preserve">TOTINO'S PARTY PIZZA PIZZA ORIGINAL CRISP CRUST TRIPLE PEPPERONI ROUND KEEP FROZEN BAG 10.2 OUNCE </t>
  </si>
  <si>
    <t xml:space="preserve">TOTINO'S PARTY PIZZA PIZZA PEPPERONI ROUND KEEP FROZEN BAG IN BOX 40.8 OUNCE </t>
  </si>
  <si>
    <t xml:space="preserve">TOTINO'S PARTY PIZZA PIZZA TRIPLE CHEESE ROUND KEEP FROZEN WRAP IN BOX 39.2 OUNCE </t>
  </si>
  <si>
    <t xml:space="preserve">TOTINO'S PARTY PIZZA PIZZA TRIPLE MEAT RECTANGLE KEEP FROZEN BAG IN BOX 42 OUNCE </t>
  </si>
  <si>
    <t>FZ SNACKS/HH/SND</t>
  </si>
  <si>
    <t xml:space="preserve">ANNIE'S HOMEGROWN THREE CHEESE TMT SC MN PZ BGL KEEP FROZEN BOX 6.65 OUNCE </t>
  </si>
  <si>
    <t xml:space="preserve">ANNIE'S HOMEGROWN UNCURED PEPPERONI MINI PIZZA B KEEP FROZEN BOX 6.65 OUNCE </t>
  </si>
  <si>
    <t xml:space="preserve">ANNIE'S PPRN TMT SC CHS GLDN CR PZ PPR KEEP FROZEN BAG 6.8 OUNCE </t>
  </si>
  <si>
    <t xml:space="preserve">ANNIE'S THR CHS MZR PRM RM TM SC PZ PP KEEP FROZEN BAG 6.8 OUNCE </t>
  </si>
  <si>
    <t xml:space="preserve">OLD EL PASO BURRITO SSND BF CHDR CHS SC ONN RED BL TRAY IN BOX 14 OUNCE </t>
  </si>
  <si>
    <t xml:space="preserve">OLD EL PASO BURRITO WHT CHCKN MT MNTRY JCK CHS CRN TRAY IN BOX 14 OUNCE </t>
  </si>
  <si>
    <t xml:space="preserve">OLD EL PASO CKD WHT MT CHCK CHDR CHS BL JL KEEP FROZEN BAG IN BOX 13 OUNCE </t>
  </si>
  <si>
    <t xml:space="preserve">OLD EL PASO RDCD MZRL CHDR MNTR JCK THR CH KEEP FROZEN BAG 17 OUNCE </t>
  </si>
  <si>
    <t xml:space="preserve">OLD EL PASO SND BF MZRL CHS PPR ZSTY CRSP KEEP FROZEN BAG 17 OUNCE </t>
  </si>
  <si>
    <t xml:space="preserve">OLD EL PASO SND MLD SPC BF CHDR CHS JLPN KEEP FROZEN BAG IN BOX 13 OUNCE </t>
  </si>
  <si>
    <t xml:space="preserve">TOTINO'S CHEESE GOLDEN CRUST PIZZA ROLL KEEP FROZEN BAG 48.8 OUNCE </t>
  </si>
  <si>
    <t xml:space="preserve">TOTINO'S CHEESE PIZZA GOLDEN CRUST PIZZ KEEP FROZEN BAG 12.2 OUNCE </t>
  </si>
  <si>
    <t xml:space="preserve">TOTINO'S CHEESE PIZZA GOLDEN CRUST PIZZ KEEP FROZEN BAG 24.8 OUNCE </t>
  </si>
  <si>
    <t xml:space="preserve">TOTINO'S CHEESE PIZZA GOLDEN CRUST PIZZ KEEP FROZEN BAG 39.1 OUNCE </t>
  </si>
  <si>
    <t xml:space="preserve">TOTINO'S CHEESE PIZZA GOLDEN CRUST PIZZ KEEP FROZEN BAG 53.5 OUNCE </t>
  </si>
  <si>
    <t xml:space="preserve">TOTINO'S CMBN SSG PRN SND PRK CHCK BF T KEEP FROZEN BAG 63.5 OUNCE </t>
  </si>
  <si>
    <t xml:space="preserve">TOTINO'S CMBNT SSG PPRN PRK CHCK BF PZ KEEP FROZEN BAG 24.8 OUNCE </t>
  </si>
  <si>
    <t xml:space="preserve">TOTINO'S CMBNT SSG PPRN PRK CHCK BF PZ KEEP FROZEN BAG 48.8 OUNCE </t>
  </si>
  <si>
    <t>944,578.244</t>
  </si>
  <si>
    <t xml:space="preserve">TOTINO'S CMBNT SSG PPRN PRK CHCK BF PZ KEEP FROZEN WRAP IN BOX 7.5 OUNCE </t>
  </si>
  <si>
    <t xml:space="preserve">TOTINO'S GOLDEN CRUST CHEESE PIZZA ROLL KEEP FROZEN BOX 7.5 OUNCE </t>
  </si>
  <si>
    <t xml:space="preserve">TOTINO'S PEPPERONI PORK CHICKEN BEEF PI KEEP FROZEN WRAP IN BOX 7.5 OUNCE </t>
  </si>
  <si>
    <t xml:space="preserve">TOTINO'S PEPPERONI SEASONED PORK CHICKE KEEP FROZEN BAG 48.8 OUNCE </t>
  </si>
  <si>
    <t xml:space="preserve">TOTINO'S PEPPERONI SEASONED PORK CHICKE KEEP FROZEN BAG 63.5 OUNCE </t>
  </si>
  <si>
    <t xml:space="preserve">TOTINO'S PIZZA STUFFERS PIZZA GOLDEN CRUST COMBINATION OBLONG KEEP FROZEN BAG IN BOX 14.1 OUNCE </t>
  </si>
  <si>
    <t xml:space="preserve">TOTINO'S PIZZA STUFFERS PIZZA SOFT GOLDEN CRUST PEPPERONI OBLONG KEEP FROZEN BAG IN BOX 14.1 OUNCE </t>
  </si>
  <si>
    <t xml:space="preserve">TOTINO'S PIZZA STUFFERS PIZZA SOFT GOLDEN CRUST PEPPERONI OBLONG KEEP FROZEN BAG IN BOX 28.2 OUNCE </t>
  </si>
  <si>
    <t xml:space="preserve">TOTINO'S PIZZA STUFFERS PIZZA SOFT GOLDEN CRUST TRIPLE CHEESE OBLONG KEEP FROZEN BAG IN BOX 14.1 OUNCE </t>
  </si>
  <si>
    <t xml:space="preserve">TOTINO'S PIZZA STUFFERS PIZZA SOFT GOLDEN CRUST TRIPLE CHEESE OBLONG KEEP FROZEN BAG IN BOX 28.2 OUNCE </t>
  </si>
  <si>
    <t xml:space="preserve">TOTINO'S PORK CHICKEN BF PPRN PZ PPRN S KEEP FROZEN WRAP IN BOX 79.8 OUNCE </t>
  </si>
  <si>
    <t xml:space="preserve">TOTINO'S PPRN PRK CHCK BF PZ GLDN CRST KEEP FROZEN BAG IN BOX 14.4 OUNCE </t>
  </si>
  <si>
    <t xml:space="preserve">TOTINO'S PPRN SSND PRK CHCK BF PZ GLDN KEEP FROZEN BAG 12.2 OUNCE </t>
  </si>
  <si>
    <t xml:space="preserve">TOTINO'S PPRN SSND PRK CHCK BF PZ GLDN KEEP FROZEN BAG 24.8 OUNCE </t>
  </si>
  <si>
    <t xml:space="preserve">TOTINO'S PPRN SSND PRK CHCK BF PZ GLDN KEEP FROZEN BAG 39.1 OUNCE </t>
  </si>
  <si>
    <t xml:space="preserve">TOTINO'S PPRN SSND PRK CHCK BF PZ GLDN KEEP FROZEN WRAP IN BOX 22.3 OUNCE </t>
  </si>
  <si>
    <t xml:space="preserve">TOTINO'S PPRN SSND PRK CHCKN BF PZ BCN KEEP FROZEN BAG 24.8 OUNCE </t>
  </si>
  <si>
    <t xml:space="preserve">TOTINO'S ROASTED WHT CHCKN MT ORNG SC P KEEP FROZEN BAG 24.46 OUNCE </t>
  </si>
  <si>
    <t xml:space="preserve">TOTINO'S SSG BCN PRK PPRN PRK CHCKN BF KEEP FROZEN BAG 24.8 OUNCE </t>
  </si>
  <si>
    <t xml:space="preserve">TOTINO'S SSG PPRN PRK CHCKN BF PZ VGTB KEEP FROZEN BAG 24.8 OUNCE </t>
  </si>
  <si>
    <t xml:space="preserve">TOTINO'S SSG PPRN PRK CHCKN BF PZ VGTB KEEP FROZEN WRAP IN BOX 7.5 OUNCE </t>
  </si>
  <si>
    <t xml:space="preserve">TOTINO'S SSG PPRN SSND PRK CHCKN BF PZ KEEP FROZEN BAG 12.2 OUNCE </t>
  </si>
  <si>
    <t xml:space="preserve">TOTINO'S SSG PPRN SSND PRK CHCKN BF PZ KEEP FROZEN BAG 39.1 OUNCE </t>
  </si>
  <si>
    <t xml:space="preserve">TOTINO'S SSG PPRN SSND PRK CHCKN BF PZ KEEP FROZEN BAG IN BOX 79.8 OUNCE </t>
  </si>
  <si>
    <t xml:space="preserve">TOTINO'S TAKIS FUEGO HOT CHILI PPR LM SSND BT CHS M KEEP FROZEN BAG 13.9 OUNCE </t>
  </si>
  <si>
    <t xml:space="preserve">TOTINO'S TRIPLE CHEESE GOLDEN CRUST PIZ KEEP FROZEN BAG 24.8 OUNCE </t>
  </si>
  <si>
    <t xml:space="preserve">TOTINO'S TRIPLE CHEESE GOLDEN CRUST PIZ KEEP FROZEN BAG 39.1 OUNCE </t>
  </si>
  <si>
    <t>TOTINO'S TRIPLE CHEESE GOLDEN CRUST PIZ KEEP FROZEN BAG 39.9 OUNCE X2</t>
  </si>
  <si>
    <t xml:space="preserve">TOTINO'S TRIPLE CHEESE GOLDEN CRUST PIZ KEEP FROZEN BAG 48.8 OUNCE </t>
  </si>
  <si>
    <t xml:space="preserve">TOTINO'S TRIPLE CHEESE GOLDEN CRUST PIZ KEEP FROZEN BAG 63.5 OUNCE </t>
  </si>
  <si>
    <t xml:space="preserve">TOTINO'S TRIPLE MEAT PIZZA ROLL KEEP FROZEN BAG 44.5 OUNCE </t>
  </si>
  <si>
    <t xml:space="preserve">TOTINO'S TRPL MT SSG BCN GRND PRK PPRN KEEP FROZEN WRAP IN BOX 7.5 OUNCE </t>
  </si>
  <si>
    <t xml:space="preserve">TOTINO'S TRPL MT SSG CNDN BCN PRK CHCKN KEEP FROZEN BAG 12.2 OUNCE </t>
  </si>
  <si>
    <t>55.905</t>
  </si>
  <si>
    <t xml:space="preserve">TOTINO'S TRPL MT SSG CNDN BCN PRK CHCKN KEEP FROZEN BAG 39.1 OUNCE </t>
  </si>
  <si>
    <t xml:space="preserve">TOTINO'S TRPL MT SSG CNDN BCN PRK CHCKN KEEP FROZEN BAG 48.8 OUNCE </t>
  </si>
  <si>
    <t xml:space="preserve">TOTINO'S TRPL MT SSG CNDN BCN PRK CHCKN KEEP FROZEN BAG 63.5 OUNCE </t>
  </si>
  <si>
    <t xml:space="preserve">TOTINO'S TRPL PPRN PRK CHCK BF HCKR PZ KEEP FROZEN BAG 24.8 OUNCE </t>
  </si>
  <si>
    <t xml:space="preserve">TOTINO'S WHT CHCKN MT AGD CYNN HOT TNGY KEEP FROZEN BAG 24.43 OUNCE </t>
  </si>
  <si>
    <t>GMI MISC</t>
  </si>
  <si>
    <t xml:space="preserve">ANNIE'S COOKIES CP BOX 36 OUNCE </t>
  </si>
  <si>
    <t xml:space="preserve">ANNIE'S HOMEGROWN ALL STARS ENTREE PASTA TOMATO CHEESE SAUCE CAN 15 OUNCE </t>
  </si>
  <si>
    <t xml:space="preserve">ANNIE'S HOMEGROWN BERNIE O'S ENTREE PASTA TOMATO CHEESE SAUCE CAN 15 OUNCE </t>
  </si>
  <si>
    <t xml:space="preserve">ANNIE'S HOMEGROWN CHOCOLATE CHIP COOKIE BOX 6.5 OUNCE </t>
  </si>
  <si>
    <t>ANNIE'S HOMEGROWN COOKIE BITES CHOCOLATE CHIP COOKIE BAG 1.05 OUNCE X10</t>
  </si>
  <si>
    <t xml:space="preserve">ANNIE'S HOMEGROWN COOKIES CP BOX 11 OUNCE </t>
  </si>
  <si>
    <t xml:space="preserve">ANNIE'S HOMEGROWN ENTREE TOMATO CHEESE SAUCE RAVIOLI CAN 15 OUNCE </t>
  </si>
  <si>
    <t xml:space="preserve">ANNIE'S HOMEGROWN SAUCE UNFLAVORED CATSUP BOTTLE 20 OUNCE </t>
  </si>
  <si>
    <t xml:space="preserve">ANNIE'S NATURALS SAUCE HORSERADISH MUSTARD BOTTLE 9 OUNCE </t>
  </si>
  <si>
    <t xml:space="preserve">ANNIE'S NATURALS SAUCE UNFLAVORED CATSUP BOTTLE 24 OUNCE </t>
  </si>
  <si>
    <t xml:space="preserve">ANNIE'S SAUCE HONEY MUSTARD BOTTLE 9 OUNCE </t>
  </si>
  <si>
    <t>2,037.483</t>
  </si>
  <si>
    <t xml:space="preserve">ANNIE'S SAUCE ORIGINAL BARBEQUE BOTTLE 12 OUNCE </t>
  </si>
  <si>
    <t>102.81</t>
  </si>
  <si>
    <t xml:space="preserve">ANNIE'S SAUCE UNFLAVORED DIJON MUSTARD BOTTLE 9 OUNCE </t>
  </si>
  <si>
    <t xml:space="preserve">ANNIE'S SAUCE UNFLAVORED YELLOW MUSTARD BOTTLE 9 OUNCE </t>
  </si>
  <si>
    <t>BETTY CROCKER DUNKAROOS BISCUIT WITH DIP TRAY IN BOX 1 OUNCE X30</t>
  </si>
  <si>
    <t>BETTY CROCKER DUNKAROOS BISCUIT WITH DIP TRAY IN BOX 1 OUNCE X6</t>
  </si>
  <si>
    <t xml:space="preserve">BETTY CROCKER DUNKAROOS BISCUIT WITH DIP TRAY IN BOX 1.5 OUNCE </t>
  </si>
  <si>
    <t>BETTY CROCKER DUNKAROOS BISCUIT WITH DIP TRAY IN BOX 1.5 OUNCE X6</t>
  </si>
  <si>
    <t xml:space="preserve">BETTY CROCKER DUNKAROOS COOKIE WITH FROSTING AND TPNG MOLDED TRAY 1.5 OUNCE </t>
  </si>
  <si>
    <t xml:space="preserve">BETTY CROCKER DUNKAROOS COOKIE WITH FROSTING MOLDED TRAY 1.5 OUNCE </t>
  </si>
  <si>
    <t>BETTY CROCKER DUNKAROOS COOKIE WITH FROSTING MOLDED TRAY 1.5 OUNCE X6</t>
  </si>
  <si>
    <t>BETTY CROCKER DUNKAROOS COOKIE WITH FROSTING MOLDED TRAY 6 OUNCE X6</t>
  </si>
  <si>
    <t xml:space="preserve">CASCADIAN FARM ENTREE BROWN RICE CORN BLACK BEAN RED BAG 24 OUNCE </t>
  </si>
  <si>
    <t xml:space="preserve">CASCADIAN FARM ENTREE FARRO BROCCOLI CARROT CHICKPEA BAG 24 OUNCE </t>
  </si>
  <si>
    <t xml:space="preserve">CASCADIAN FARM ENTREE HRTY BLND BRWN RC CRN BLCK BN BAG 12 OUNCE </t>
  </si>
  <si>
    <t xml:space="preserve">CASCADIAN FARM ENTREE SWEET POTATO FARRO BLACK BEAN BAG 24 OUNCE </t>
  </si>
  <si>
    <t xml:space="preserve">CASCADIAN FARM FRUIT JUICE CONCENTRATE ORANGE CAN 12 FLUID OUNCE </t>
  </si>
  <si>
    <t xml:space="preserve">CASCADIAN FARM JUICE COCKTAIL DRINK CNCNT CRANBERRY CAN 12 FLUID OUNCE </t>
  </si>
  <si>
    <t xml:space="preserve">CHEX MIX SNACK MIX BOLD PARTY BLEND MULTIPLE FORM BAG 1.75 OUNCE </t>
  </si>
  <si>
    <t xml:space="preserve">CHEX MIX SNACK MIX CHEDDAR MULTIPLE FORM BAG 1.75 OUNCE </t>
  </si>
  <si>
    <t xml:space="preserve">CHEX MIX SNACK MIX UNFLAVORED MULTIPLE FORM BAG 1.75 OUNCE </t>
  </si>
  <si>
    <t xml:space="preserve">CHEX MIX SNACK MIX WHITE CHEDDAR MULTIPLE FORM BAG 3.75 OUNCE </t>
  </si>
  <si>
    <t xml:space="preserve">CHX MIX &amp; FRT RL-UPS &amp; CNMN TS PROCESSED FRUIT SNACK FAMILY FAVORITES BOX 1 COUNT </t>
  </si>
  <si>
    <t xml:space="preserve">EPIC CHICKEN CRISP CRACKED PEPPER ROUND BAG 1.5 OUNCE </t>
  </si>
  <si>
    <t xml:space="preserve">EPIC CHICKEN CRISP PINK HIMALAYAN SEA SALT ROUND BAG 1.5 OUNCE </t>
  </si>
  <si>
    <t xml:space="preserve">EPIC LARD BEEF TALLOW JAR 11 OUNCE </t>
  </si>
  <si>
    <t xml:space="preserve">EPIC LARD DUCK JAR 11 OUNCE </t>
  </si>
  <si>
    <t xml:space="preserve">EPIC LARD PORK NON DEODORIZED JAR 11 OUNCE </t>
  </si>
  <si>
    <t xml:space="preserve">EPIC MEAT SNACK ORIGINAL VENISON PIECE BAG 2.5 OUNCE </t>
  </si>
  <si>
    <t xml:space="preserve">EPIC MEAT SNACK SEA SALT AND PEPPER BEEF PIECE BAG 2.5 OUNCE </t>
  </si>
  <si>
    <t xml:space="preserve">EPIC MEAT SNACK SEA SALT AND PEPPER VENISON STRIP WRAP .8 OUNCE </t>
  </si>
  <si>
    <t xml:space="preserve">EPIC MEAT SNACK SRIRACHA CHICKEN PIECE BAG 2.5 OUNCE </t>
  </si>
  <si>
    <t xml:space="preserve">EPIC MEAT SNACK SRIRACHA CHICKEN STRIP WRAP .8 OUNCE </t>
  </si>
  <si>
    <t xml:space="preserve">EPIC MEAT SNACK SWEET AND SAVORY BISON PIECE BAG 2.5 OUNCE </t>
  </si>
  <si>
    <t xml:space="preserve">EPIC MEAT SNACK SWEET AND SPICY SRIRACHA BEEF PIECE BAG 2.5 OUNCE </t>
  </si>
  <si>
    <t xml:space="preserve">EPIC MEAT SNACK UNFLAVORED BEEF PIECE BAG 2.5 OUNCE </t>
  </si>
  <si>
    <t xml:space="preserve">EPIC MEAT SNACK UNFLAVORED BISON STRIP WRAP .8 OUNCE </t>
  </si>
  <si>
    <t xml:space="preserve">EPIC MEAT SNACK UNFLAVORED PORK BIT BAG 3 OUNCE </t>
  </si>
  <si>
    <t xml:space="preserve">EPIC MEAT SNACK UNFLAVORED WAGYU BEEF STRIP WRAP .8 OUNCE </t>
  </si>
  <si>
    <t xml:space="preserve">EPIC MEAT SNACK UNFLAVORED WAGYU BEEF STRIP WRAP IN BOX 16 OUNCE </t>
  </si>
  <si>
    <t xml:space="preserve">EPIC PORK CRACKLING MAPLE BACON SEASONING BAG 2.5 OUNCE </t>
  </si>
  <si>
    <t xml:space="preserve">EPIC PORK RIND BBQ SEASONING BAG 2.5 OUNCE </t>
  </si>
  <si>
    <t xml:space="preserve">EPIC PORK RIND CHILI LIME BAG 2.5 OUNCE </t>
  </si>
  <si>
    <t xml:space="preserve">EPIC PORK RIND HOT SPICY BAG 2.5 OUNCE </t>
  </si>
  <si>
    <t xml:space="preserve">EPIC PORK RIND PINK HIMALAYAN PLUS SEA SALT BAG 2.5 OUNCE </t>
  </si>
  <si>
    <t xml:space="preserve">EPIC PORK RIND PINK HIMALAYAN PLUS SEA SALT BAG 5 OUNCE </t>
  </si>
  <si>
    <t xml:space="preserve">EPIC PORK RIND PINK HIMALAYAN PLUS SEA SALT BAG 7 OUNCE </t>
  </si>
  <si>
    <t xml:space="preserve">EPIC PORK RIND PINK HIMALAYAN PLUS SEA SALT BAG 8 OUNCE </t>
  </si>
  <si>
    <t xml:space="preserve">EPIC PORK RIND SEA SALT AND PEPPER BAG 2.5 OUNCE </t>
  </si>
  <si>
    <t xml:space="preserve">EPIC PORK RIND SEA SALT AND VINEGAR BAG 2.5 OUNCE </t>
  </si>
  <si>
    <t xml:space="preserve">EPIC SEAFOOD SNACK SMOKED MAPLE FILLET STRIP WRAP IN BOX 16 OUNCE </t>
  </si>
  <si>
    <t xml:space="preserve">EPIC SEAFOOD SNACK SMOKED MAPLE STRIP WRAP .8 OUNCE </t>
  </si>
  <si>
    <t xml:space="preserve">EPIC SEAFOOD SNACK UNFLAVORED PIECE BAG 2.5 OUNCE </t>
  </si>
  <si>
    <t xml:space="preserve">FIBER ONE CHOCOLATE CHUNK COOKIE BAG IN BOX 6.6 OUNCE </t>
  </si>
  <si>
    <t xml:space="preserve">FIBER ONE OATMEAL RAISIN COOKIE BAG IN BOX 6.6 OUNCE </t>
  </si>
  <si>
    <t xml:space="preserve">GARDETTO'S POTATO AND WHEAT SNACK PEPPERCORN RANCH HEXAGON BAG 3 OUNCE </t>
  </si>
  <si>
    <t xml:space="preserve">GARDETTO'S POTATO AND WHEAT SNACK UNFLAVORED HEXAGON BAG 3 OUNCE </t>
  </si>
  <si>
    <t xml:space="preserve">GARDETTO'S SNACK MIX SPICY ITALIAN MULTIPLE FORM BAG 5.5 OUNCE </t>
  </si>
  <si>
    <t>1,236.118</t>
  </si>
  <si>
    <t xml:space="preserve">GARDETTO'S SNAK-ENS SNACK MIX ORIGINAL MULTIPLE FORM BAG 1.75 OUNCE </t>
  </si>
  <si>
    <t xml:space="preserve">GENERAL MILLS BUGLES BUGLE CHILI CHEESE HORN BAG 3 OUNCE </t>
  </si>
  <si>
    <t xml:space="preserve">GENERAL MILLS BUGLES BUGLE NACHO CHEESE HORN BAG 1.5 OUNCE </t>
  </si>
  <si>
    <t xml:space="preserve">GENERAL MILLS BUGLES BUGLE ORIGINAL HORN BAG .875 OUNCE </t>
  </si>
  <si>
    <t xml:space="preserve">GENERAL MILLS BUGLES BUGLE ORIGINAL HORN BAG 1.5 OUNCE </t>
  </si>
  <si>
    <t xml:space="preserve">GENERAL MILLS BUGLES BUGLE RANCH HORN BAG 1.5 OUNCE </t>
  </si>
  <si>
    <t xml:space="preserve">GENERAL MILLS CHEX PARTY MIX SEASONING MIX PARTY UNFLAVORED POWDER ENVELOPE .62 OUNCE </t>
  </si>
  <si>
    <t xml:space="preserve">GENERAL MILLS CNMN TST CRNCH HOT CEREAL OATMEAL INSTANT MICROWAVE ENVELOPE IN BOX 8.1 OUNCE </t>
  </si>
  <si>
    <t xml:space="preserve">GENERAL MILLS CNMN TST CRNCH PROTEIN BAR CINNAMON TOAST WRAP 1 COUNT </t>
  </si>
  <si>
    <t xml:space="preserve">GENERAL MILLS CNMN TST CRNCH SNACK BAR CINNAMON SWIRL BOX 12 COUNT </t>
  </si>
  <si>
    <t xml:space="preserve">GENERAL MILLS CNMN TST CRNCH SNACK BAR CINNAMON SWIRL WRAP IN BOX 6 COUNT </t>
  </si>
  <si>
    <t xml:space="preserve">GENERAL MILLS COCOA PUFFS HOT CEREAL OATMEAL INSTANT MICROWAVE ENVELOP IN BOX 8.4 OUNCE </t>
  </si>
  <si>
    <t xml:space="preserve">GENERAL MILLS COOKIE CRISP HOT CEREAL OATMEAL INSTANT MICROWAVE BAG IN BOX 8.4 OUNCE </t>
  </si>
  <si>
    <t xml:space="preserve">GENERAL MILLS DUNKAROOS BISCUIT WITH DIP TRAY 1.5 OUNCE </t>
  </si>
  <si>
    <t>GENERAL MILLS DUNKAROOS CINMN COOKIE WITH FROSTING MOLDED TRAY 1 OUNCE X30</t>
  </si>
  <si>
    <t>GENERAL MILLS DUNKAROOS COOKIE WITH FROSTING MOLDED TRAY 1 OUNCE X10</t>
  </si>
  <si>
    <t xml:space="preserve">GENERAL MILLS GOLDEN GRAHAMS PROTEIN BAR GRAHAM WRAP 1 COUNT </t>
  </si>
  <si>
    <t xml:space="preserve">GENERAL MILLS GOLDEN GRAHAMS SNACK BAR SMORES WRAP IN BOX 12 COUNT </t>
  </si>
  <si>
    <t xml:space="preserve">GENERAL MILLS LUCKY CHARMS HOT CEREAL OATMEAL INSTANT MICROWAVE ENVELOP IN BOX 8.4 OUNCE </t>
  </si>
  <si>
    <t xml:space="preserve">GENERAL MILLS LUCKY CHARMS SNACK BAR MARSHMALLOW CHIP BLONDIE WRAP IN BOX 12 COUNT </t>
  </si>
  <si>
    <t xml:space="preserve">GENERAL MILLS TRIX HOT CEREAL OATMEAL INSTANT MICROWAVE ENVELOP IN BOX 8.64 OUNCE </t>
  </si>
  <si>
    <t xml:space="preserve">MUDDY BUDDIES PRETZEL UNFLAVORED NUGGET BAG 4 OUNCE </t>
  </si>
  <si>
    <t xml:space="preserve">PILLSBURY CHOCOLATE CHIP COOKIE BAG 1.5 OUNCE </t>
  </si>
  <si>
    <t>PILLSBURY CHOCOLATE CHIP COOKIE BAG 1.5 OUNCE X28</t>
  </si>
  <si>
    <t xml:space="preserve">PILLSBURY CHOCOLATE CHIP COOKIE BAG 9.53 OUNCE </t>
  </si>
  <si>
    <t>PILLSBURY CHOCOLATE CHOCOLATE CHIP COOKIE BAG 1 OUNCE X12</t>
  </si>
  <si>
    <t xml:space="preserve">PILLSBURY CHOCOLATE MINT COOKIE BAG 9.53 OUNCE </t>
  </si>
  <si>
    <t xml:space="preserve">PILLSBURY CINNAMON ROLL CINNAMON ICED MOLDED TRAY 14 OUNCE </t>
  </si>
  <si>
    <t xml:space="preserve">PILLSBURY CINNAMON TOAST CRUNC CINNAMON TOAST COOKIE BAG 3 OUNCE </t>
  </si>
  <si>
    <t xml:space="preserve">PILLSBURY CINNAMON TOAST CRUNC SUGAR COOKIE TRAY IN BAG 9.53 OUNCE </t>
  </si>
  <si>
    <t>PILLSBURY CONFETTI COOKIE BAG 1 OUNCE X12</t>
  </si>
  <si>
    <t xml:space="preserve">PILLSBURY CONFETTI COOKIE BAG 3 OUNCE </t>
  </si>
  <si>
    <t xml:space="preserve">PILLSBURY DOUBLE CHOCOLATE COOKIE BAG 3 OUNCE </t>
  </si>
  <si>
    <t>PILLSBURY FLAVORED BISCUIT BISCUIT CINNAMON SUGAR BAG 1.5 OUNCE X7</t>
  </si>
  <si>
    <t>PILLSBURY FLAVORED BISCUIT BISCUIT SWEET BLUEBERRY BAG 1.5 OUNCE X7</t>
  </si>
  <si>
    <t>PILLSBURY FLAVORED BISCUIT BISCUIT SWEET CHOCOLATE CHIP BAG 1.5 OUNCE X7</t>
  </si>
  <si>
    <t>PILLSBURY FLAVORED BISCUIT BISCUIT SWEET HONEY BUTTER BAG 1.5 OUNCE X7</t>
  </si>
  <si>
    <t xml:space="preserve">PILLSBURY FUNFETTI FUNFETTI COOKIE BAG 1.5 OUNCE </t>
  </si>
  <si>
    <t xml:space="preserve">PILLSBURY FUNFETTI SUGAR COOKIE TRAY IN BAG 9.53 OUNCE </t>
  </si>
  <si>
    <t xml:space="preserve">PILLSBURY LUCKY CHARMS SUGAR COOKIE BAG 3 OUNCE </t>
  </si>
  <si>
    <t xml:space="preserve">PILLSBURY LUCKY CHARMS SUGAR COOKIE TRAY IN BAG 9.53 OUNCE </t>
  </si>
  <si>
    <t xml:space="preserve">PILLSBURY PEANUT BUTTER AND CHCLT CHP COOKIE BAG 9.53 OUNCE </t>
  </si>
  <si>
    <t xml:space="preserve">PILLSBURY SANDWICH COOKIE BOX 12.8 OUNCE </t>
  </si>
  <si>
    <t xml:space="preserve">PILLSBURY SANDWICH EGG SAUSAGE CHEESE SAUCE MOLDED TRAY 4.4 OUNCE </t>
  </si>
  <si>
    <t xml:space="preserve">PILLSBURY SINGLE LAYER CAKE COFFEE CAKE FULL MOLDED TRAY 3 OUNCE </t>
  </si>
  <si>
    <t xml:space="preserve">PILLSBURY SUGAR COOKIE TRAY IN BAG 9.53 OUNCE </t>
  </si>
  <si>
    <t xml:space="preserve">PROGRESSO BREAD CRUMBS GARLIC AND HERB CRUMB CANISTER 15 OUNCE </t>
  </si>
  <si>
    <t xml:space="preserve">PROGRESSO BREAD CRUMBS ITALIAN CRUMB CANISTER 8 OUNCE </t>
  </si>
  <si>
    <t xml:space="preserve">PROGRESSO BREAD CRUMBS MEDIUM SWEET AND SPICY PANKO CRUMB BOX 8 OUNCE </t>
  </si>
  <si>
    <t xml:space="preserve">PROGRESSO BREAD CRUMBS PANKO ITALIAN CRUMB BAG IN BOX 8 OUNCE </t>
  </si>
  <si>
    <t xml:space="preserve">PROGRESSO BREAD CRUMBS PANKO LEMON PEPPER CRUMB BAG IN BOX 8 OUNCE </t>
  </si>
  <si>
    <t xml:space="preserve">PROGRESSO BREAD CRUMBS PANKO PLAIN CRUMB BOX 8 OUNCE </t>
  </si>
  <si>
    <t xml:space="preserve">PROGRESSO BREAD CRUMBS PARMESAN CRUMB CANISTER 15 OUNCE </t>
  </si>
  <si>
    <t xml:space="preserve">PROGRESSO BREAD CRUMBS PLAIN CRUMB CANISTER 15 OUNCE </t>
  </si>
  <si>
    <t xml:space="preserve">PROGRESSO BREAD CRUMBS PLAIN CRUMB CANISTER 24 OUNCE </t>
  </si>
  <si>
    <t xml:space="preserve">PROGRESSO BREAD CRUMBS PLAIN CRUMB CANISTER 8 OUNCE </t>
  </si>
  <si>
    <t xml:space="preserve">PROGRESSO BREAD CRUMBS UNFLAVORED CRUMB CANISTER 24 OUNCE </t>
  </si>
  <si>
    <t xml:space="preserve">PROGRESSO BREAD CRUMBS UNSEASONED CRUMB CANISTER 15 OUNCE </t>
  </si>
  <si>
    <t xml:space="preserve">PROGRESSO SINGLE VEGETABLE HEART ARTICHOKE CAN 14 OUNCE </t>
  </si>
  <si>
    <t xml:space="preserve">PROGRESSO SINGLE VEGETABLE QUARTERED HEART ARTICHOKE JAR 6 OUNCE </t>
  </si>
  <si>
    <t xml:space="preserve">PROGRESSO SINGLE VEGETABLE WHOLE BLACK BEAN CAN 15 OUNCE </t>
  </si>
  <si>
    <t xml:space="preserve">PROGRESSO SINGLE VEGETABLE WHOLE BLACK BEAN CAN 19 OUNCE </t>
  </si>
  <si>
    <t xml:space="preserve">PROGRESSO SINGLE VEGETABLE WHOLE CANNELLINI BEAN CAN 15 OUNCE </t>
  </si>
  <si>
    <t xml:space="preserve">PROGRESSO SINGLE VEGETABLE WHOLE CANNELLINI WHITE KIDNEY BEAN CAN 19 OUNCE </t>
  </si>
  <si>
    <t xml:space="preserve">PROGRESSO SINGLE VEGETABLE WHOLE CHICK PEA CAN 15 OUNCE </t>
  </si>
  <si>
    <t xml:space="preserve">PROGRESSO SINGLE VEGETABLE WHOLE CHICK PEA CAN 19 OUNCE </t>
  </si>
  <si>
    <t xml:space="preserve">PROGRESSO SINGLE VEGETABLE WHOLE DARK RED KIDNEY BEAN CAN 19 OUNCE </t>
  </si>
  <si>
    <t xml:space="preserve">PROGRESSO SINGLE VEGETABLE WHOLE RED KIDNEY BEAN CAN 19 OUNCE </t>
  </si>
  <si>
    <t xml:space="preserve">PROGRESSO SOUP MIX BEEF FLAVORED CHEESY NOODLE POWDER BAG 10.2 OUNCE </t>
  </si>
  <si>
    <t xml:space="preserve">PROGRESSO SOUP MIX BROCCOLI CHEDDAR POWDER BAG 8 OUNCE </t>
  </si>
  <si>
    <t xml:space="preserve">PROGRESSO SOUP MIX CHICKEN NOODLE POWDER BAG 7.2 OUNCE </t>
  </si>
  <si>
    <t xml:space="preserve">PROGRESSO SOUP MIX CREAMY CORN CHOWDER POWDER BAG 8 OUNCE </t>
  </si>
  <si>
    <t xml:space="preserve">PROGRESSO SOUP MIX CREAMY WILD RICE POWDER BAG 6.5 OUNCE </t>
  </si>
  <si>
    <t xml:space="preserve">PROGRESSO SOUP MIX MINESTRONE POWDER BAG 7.5 OUNCE </t>
  </si>
  <si>
    <t xml:space="preserve">PROGRESSO SOUP MIX SOUTHWEST STYLE TORTILLA POWDER BAG 7 OUNCE </t>
  </si>
  <si>
    <t xml:space="preserve">PROGRESSO WINE VINEGAR UNFLAVORED BOTTLE 12 FLUID OUNCE </t>
  </si>
  <si>
    <t xml:space="preserve">PROGRESSO WINE VINEGAR UNFLAVORED BOTTLE 25 FLUID OUNCE </t>
  </si>
  <si>
    <t xml:space="preserve">PROGRESSO WINE VINEGAR UNFLAVORED BOTTLE 32 FLUID OUNCE </t>
  </si>
  <si>
    <t>YOPLAIT OUI CREAM DESSERT CARAMEL CHEESECAKE KEEP REFRIGERATED JAR 3.5 OUNCE X2</t>
  </si>
  <si>
    <t>YOPLAIT OUI CREAM DESSERT CHERRY CHEESECAKE KEEP REFRIGERATED JAR 3.5 OUNCE X2</t>
  </si>
  <si>
    <t>YOPLAIT OUI CREAM DESSERT KEY LIME PIE KEEP REFRIGERATED JAR 3.5 OUNCE X2</t>
  </si>
  <si>
    <t>YOPLAIT OUI CREAM DESSERT STRAWBERRY CHEESECAKE KEEP REFRIGERATED JAR 3.5 OUNCE X2</t>
  </si>
  <si>
    <t xml:space="preserve">YOPLAIT OUI PUDDING-REFRIGERATED BOX 28 OUNCE </t>
  </si>
  <si>
    <t>GRAHAM CRACKERS</t>
  </si>
  <si>
    <t xml:space="preserve">ANNIE'S BUNNY GRAHAMS CARAMEL APPLE GRAHAM SNACK COOKIE BOX 7.5 OUNCE </t>
  </si>
  <si>
    <t xml:space="preserve">ANNIE'S BUNNY GRAHAMS SMORE GRAHAMS COOKIE BOX 7.5 OUNCE </t>
  </si>
  <si>
    <t>ANNIE'S CRACKER CHOCOLATE AND HONEY GRAHAM BAG 1 OUNCE X12</t>
  </si>
  <si>
    <t>ANNIE'S HOMEGROWN BUNNY GRAHAM MULTIPLE GRAHAM COOKIE BAG 1 OUNCE X12</t>
  </si>
  <si>
    <t xml:space="preserve">ANNIE'S HOMEGROWN BUNNY GRAHAM MULTIPLE GRAHAM COOKIE BAG IN BOX 7 OUNCE </t>
  </si>
  <si>
    <t xml:space="preserve">ANNIE'S HOMEGROWN BUNNY GRAHAM MULTIPLE GRAHAM COOKIE BOX 11.25 OUNCE </t>
  </si>
  <si>
    <t xml:space="preserve">ANNIE'S HOMEGROWN BUNNY GRHMS BIRTHDAY CAKE GRAHAM CUT OUT COOKIE BOX 7.5 OUNCE </t>
  </si>
  <si>
    <t xml:space="preserve">ANNIE'S HOMEGROWN BUNNY GRHMS CHOCOLATE CHIP GRAHAM CUT OUT COOKIE WRAP IN BOX 7.5 OUNCE </t>
  </si>
  <si>
    <t xml:space="preserve">ANNIE'S HOMEGROWN BUNNY GRHMS CHOCOLATE GRAHAM CUT OUT COOKIE WRAP IN BOX 7.5 OUNCE </t>
  </si>
  <si>
    <t xml:space="preserve">ANNIE'S HOMEGROWN BUNNY GRHMS HONEY GRAHAM COOKIE BAG IN BOX 7.5 OUNCE </t>
  </si>
  <si>
    <t xml:space="preserve">ANNIE'S HOMEGROWN BUNNY GRHMS MULTIPLE COOKIE TYPE COOKIE BAG IN BOX 6.75 OUNCE </t>
  </si>
  <si>
    <t xml:space="preserve">ANNIE'S HOMEGROWN BUNNY GRHMS NEAPOLITAN GRAHAM COOKIE BOX 7.5 OUNCE </t>
  </si>
  <si>
    <t xml:space="preserve">ANNIE'S HOMEGROWN CRACKER CINNAMON GRAHAM BOX 14.4 OUNCE </t>
  </si>
  <si>
    <t xml:space="preserve">ANNIE'S HOMEGROWN CRACKER HONEY GRAHAM BOX 14.4 OUNCE </t>
  </si>
  <si>
    <t xml:space="preserve">ANNIE'S SANDWICH COOKIE TRAY IN BOX 8 OUNCE </t>
  </si>
  <si>
    <t xml:space="preserve">GENERAL MILLS BREAKFAST BARS BOX 28 COUNT </t>
  </si>
  <si>
    <t xml:space="preserve">GENERAL MILLS COUNT CHCL TRTS CEREAL TREAT BAR UNFLAVORED MARSHMALLOW CHOCOLATEY WRAP IN BOX 20 COUNT </t>
  </si>
  <si>
    <t xml:space="preserve">GENERAL MILLS GOLDEN GRAHAMS S CEREAL TREAT BAR UNFLAVORED CHOCOLATE MARSHMALLOW WRAP 1 COUNT </t>
  </si>
  <si>
    <t xml:space="preserve">GENERAL MILLS LUCKY CHRMS TRTS CEREAL TREAT BAR UNFLAVORED MARSHMALLOW WRAP 1 COUNT </t>
  </si>
  <si>
    <t xml:space="preserve">GENERAL MILLS LUCKY CHRMS TRTS CEREAL TREAT BAR UNFLAVORED MARSHMALLOW WRAP IN BOX 16 COUNT </t>
  </si>
  <si>
    <t xml:space="preserve">GENERAL MILLS REESE'S PUFFS TR CEREAL TREAT BAR UNFLAVORED PEANUT BUTTER AND COCOA WRAP IN BOX 16 COUNT </t>
  </si>
  <si>
    <t xml:space="preserve">GENERAL MILLS REESE'S PUFFS TR CEREAL TREAT BAR UNFLAVORED PEANUT BUTTER AND COCOA WRAP IN BOX 8 COUNT </t>
  </si>
  <si>
    <t xml:space="preserve">GENERAL MILLS TRIX CEREAL TREAT BAR FRUIT WRAP IN BOX 8 COUNT </t>
  </si>
  <si>
    <t xml:space="preserve">NATURE VALLEY SWEET AND SALTY NUT GRNL BAR UNFLAVORED DARK CHOCOLATE PEANUT AND ALMO WRAP IN BOX 6 COUNT </t>
  </si>
  <si>
    <t>MEXICAN MEX AISLE</t>
  </si>
  <si>
    <t xml:space="preserve">MEZCO SAUCE REMAINING SHELF STBL OZ BOX 1 COUNT </t>
  </si>
  <si>
    <t xml:space="preserve">MEZCO SAUCE-MEXICAN REMAINING-OZ BOX 1 COUNT </t>
  </si>
  <si>
    <t xml:space="preserve">MEZCO SEASONING SPICE BLEND GROUND JAR 1.95 OUNCE </t>
  </si>
  <si>
    <t xml:space="preserve">MEZCO SEASONING SPICE BLEND GROUND JAR 2.05 OUNCE </t>
  </si>
  <si>
    <t xml:space="preserve">MEZCO SEASONING SPICE BLEND GROUND JAR 2.1 OUNCE </t>
  </si>
  <si>
    <t xml:space="preserve">MEZCO SEASONING SPICE BLEND GROUND JAR 2.4 OUNCE </t>
  </si>
  <si>
    <t xml:space="preserve">MUIR GLEN SALSA GARLIC CILANTRO TOMATOES SALSA JAR 16 OUNCE </t>
  </si>
  <si>
    <t xml:space="preserve">MUIR GLEN SALSA MEDIUM SALSA JAR 16 OUNCE </t>
  </si>
  <si>
    <t xml:space="preserve">MUIR GLEN SALSA MILD SALSA JAR 16 OUNCE </t>
  </si>
  <si>
    <t xml:space="preserve">MUIR GLEN SALSA UNFLAVORED BLACK BEAN CORN SALSA JAR 16 OUNCE </t>
  </si>
  <si>
    <t xml:space="preserve">OLD EL PASO BURRITO BOWL KIT BOIL BOX 11 OUNCE </t>
  </si>
  <si>
    <t xml:space="preserve">OLD EL PASO BURRITO BOWL KIT NON STICK SKILLET BOX 11 OUNCE </t>
  </si>
  <si>
    <t xml:space="preserve">OLD EL PASO DRY RICE MIX CHEESY MEXICAN STYLE RICE BOX 7.6 OUNCE </t>
  </si>
  <si>
    <t xml:space="preserve">OLD EL PASO DRY RICE MIX CILANTRO LIME RICE BOX 6.2 OUNCE </t>
  </si>
  <si>
    <t xml:space="preserve">OLD EL PASO DRY RICE MIX SPANISH RICE BOX 7.6 OUNCE </t>
  </si>
  <si>
    <t xml:space="preserve">OLD EL PASO ENCHILADA DINNER KIT SKILLET AND BAKE BOX 14 OUNCE </t>
  </si>
  <si>
    <t xml:space="preserve">OLD EL PASO FAJITA DINNER KIT OVEN BOX 12.5 OUNCE </t>
  </si>
  <si>
    <t xml:space="preserve">OLD EL PASO MEAL STARTER CRMY MXCN STYL RNCH SHT PAN BOX 3.9 OUNCE </t>
  </si>
  <si>
    <t xml:space="preserve">OLD EL PASO MEAL STARTER TNGY FJT SHT PAN DNR STRTR BOX 3.9 OUNCE </t>
  </si>
  <si>
    <t xml:space="preserve">OLD EL PASO MEAL STARTER ZNGY STHWST STYL DNR STRTR SHT BOX 3.9 OUNCE </t>
  </si>
  <si>
    <t xml:space="preserve">OLD EL PASO SALSA MEDIUM SALSA VERDE BOTTLE 9 OUNCE </t>
  </si>
  <si>
    <t xml:space="preserve">OLD EL PASO SAUCE HOT RED ENCHILADA CAN 10 OUNCE </t>
  </si>
  <si>
    <t xml:space="preserve">OLD EL PASO SAUCE MEDIUM CILANTRO LIME FIRE ROASTED VERDE BOTTLE 9 OUNCE </t>
  </si>
  <si>
    <t xml:space="preserve">OLD EL PASO SAUCE MEDIUM ENCHILADA CAN 10 OUNCE </t>
  </si>
  <si>
    <t xml:space="preserve">OLD EL PASO SAUCE MEDIUM RED ENCHILADA CAN 19 OUNCE </t>
  </si>
  <si>
    <t xml:space="preserve">OLD EL PASO SAUCE MEDIUM SPICY QUESO BLANCO BOTTLE 9 OUNCE </t>
  </si>
  <si>
    <t xml:space="preserve">OLD EL PASO SAUCE MEDIUM TACO BOTTLE 9 OUNCE </t>
  </si>
  <si>
    <t xml:space="preserve">OLD EL PASO SAUCE MILD GREEN CHILE ENCHILADA CAN 10 OUNCE </t>
  </si>
  <si>
    <t xml:space="preserve">OLD EL PASO SAUCE MILD GREEN CHILE ENCHILADA CAN 28 OUNCE </t>
  </si>
  <si>
    <t xml:space="preserve">OLD EL PASO SAUCE MILD QUESO BOTTLE 9 OUNCE </t>
  </si>
  <si>
    <t xml:space="preserve">OLD EL PASO SAUCE MILD RED ENCHILADA CAN 10 OUNCE </t>
  </si>
  <si>
    <t xml:space="preserve">OLD EL PASO SAUCE MILD RED ENCHILADA CAN 19 OUNCE </t>
  </si>
  <si>
    <t xml:space="preserve">OLD EL PASO SAUCE MILD RED ENCHILADA CAN 28 OUNCE </t>
  </si>
  <si>
    <t xml:space="preserve">OLD EL PASO SAUCE MILD TACO BOTTLE 9 OUNCE </t>
  </si>
  <si>
    <t xml:space="preserve">OLD EL PASO SAUCE MILD ZESTY RANCH BOTTLE 9 OUNCE </t>
  </si>
  <si>
    <t xml:space="preserve">OLD EL PASO SEASONING MIX BEEF BARBACOA UNFLAVORED POWDER ENVELOPE .85 OUNCE </t>
  </si>
  <si>
    <t xml:space="preserve">OLD EL PASO SEASONING MIX CHILI UNFLAVORED POWDER ENVELOPE 1 OUNCE </t>
  </si>
  <si>
    <t xml:space="preserve">OLD EL PASO SEASONING MIX FAJITA UNFLAVORED POWDER ENVELOPE 1 OUNCE </t>
  </si>
  <si>
    <t xml:space="preserve">OLD EL PASO SEASONING MIX TACO AL PASTOR POWDER ENVELOPE .85 OUNCE </t>
  </si>
  <si>
    <t xml:space="preserve">OLD EL PASO SEASONING MIX TACO CHEESY POWDER ENVELOPE 1 OUNCE </t>
  </si>
  <si>
    <t xml:space="preserve">OLD EL PASO SEASONING MIX TACO CHICKEN POWDER ENVELOPE .85 OUNCE </t>
  </si>
  <si>
    <t xml:space="preserve">OLD EL PASO SEASONING MIX TACO CHORIZO POWDER ENVELOPE .85 OUNCE </t>
  </si>
  <si>
    <t xml:space="preserve">OLD EL PASO SEASONING MIX TACO HOT AND SPICY POWDER ENVELOPE 1 OUNCE </t>
  </si>
  <si>
    <t xml:space="preserve">OLD EL PASO SEASONING MIX TACO MILD POWDER ENVELOPE 1 OUNCE </t>
  </si>
  <si>
    <t xml:space="preserve">OLD EL PASO SEASONING MIX TACO ORIGINAL POWDER ENVELOPE 1 OUNCE </t>
  </si>
  <si>
    <t>OLD EL PASO SEASONING MIX TACO ORIGINAL POWDER ENVELOPE 1 OUNCE X10</t>
  </si>
  <si>
    <t>OLD EL PASO SEASONING MIX TACO ORIGINAL POWDER ENVELOPE 1 OUNCE X3</t>
  </si>
  <si>
    <t xml:space="preserve">OLD EL PASO SEASONING MIX TACO UNFLAVORED POWDER CANISTER 6.25 OUNCE </t>
  </si>
  <si>
    <t xml:space="preserve">OLD EL PASO SEASONING MIX TACO UNFLAVORED POWDER ENVELOPE 1 OUNCE </t>
  </si>
  <si>
    <t xml:space="preserve">OLD EL PASO SINGLE VEGETABLE CHOPPED GREEN CHILE CAN 4 OUNCE </t>
  </si>
  <si>
    <t xml:space="preserve">OLD EL PASO SINGLE VEGETABLE CHOPPED GREEN CHILI CAN 4.5 FLUID OUNCE </t>
  </si>
  <si>
    <t xml:space="preserve">OLD EL PASO SINGLE VEGETABLE CHOPPED GREEN CHILI CAN 4.5 OUNCE </t>
  </si>
  <si>
    <t xml:space="preserve">OLD EL PASO SINGLE VEGETABLE CHOPPED GREEN CHILI CAN 7 OUNCE </t>
  </si>
  <si>
    <t xml:space="preserve">OLD EL PASO SINGLE VEGETABLE PASTE BEAN CAN 16 OUNCE </t>
  </si>
  <si>
    <t>OLD EL PASO SINGLE VEGETABLE PASTE BEAN CAN 16 OUNCE X6</t>
  </si>
  <si>
    <t xml:space="preserve">OLD EL PASO SINGLE VEGETABLE PASTE BEAN CAN 31 OUNCE </t>
  </si>
  <si>
    <t xml:space="preserve">OLD EL PASO SINGLE VEGETABLE PASTE BLACK BEAN CAN 16 OUNCE </t>
  </si>
  <si>
    <t xml:space="preserve">OLD EL PASO SINGLE VEGETABLE SLICE JALAPENO JAR 12 OUNCE </t>
  </si>
  <si>
    <t xml:space="preserve">OLD EL PASO SOFT TORTILLA BLEACHED WHEAT FLOUR BAG 6 COUNT </t>
  </si>
  <si>
    <t xml:space="preserve">OLD EL PASO SOFT TORTILLA BOWL FLOUR BUTTERY TRAY IN SLEEVE 8 COUNT </t>
  </si>
  <si>
    <t xml:space="preserve">OLD EL PASO SOFT TORTILLA BOWL FLOUR PLUS CORN BLEND TRAY IN SLEEVE 8 COUNT </t>
  </si>
  <si>
    <t xml:space="preserve">OLD EL PASO SOFT TORTILLA BOWL FLOUR TUB IN SLEEVE 8 COUNT </t>
  </si>
  <si>
    <t xml:space="preserve">OLD EL PASO SOFT TORTILLA FLOUR BAG 10 COUNT </t>
  </si>
  <si>
    <t xml:space="preserve">OLD EL PASO SOFT TORTILLA FLOUR BAG 20 COUNT </t>
  </si>
  <si>
    <t xml:space="preserve">OLD EL PASO SOFT TORTILLA FLOUR BAG 8 COUNT </t>
  </si>
  <si>
    <t xml:space="preserve">OLD EL PASO SOFT TORTILLA FLOUR BOX 8 COUNT </t>
  </si>
  <si>
    <t xml:space="preserve">OLD EL PASO STAND'N STUFF SOFT TORTILLA BOAT FLOUR TUB IN SLEEVE 12 COUNT </t>
  </si>
  <si>
    <t xml:space="preserve">OLD EL PASO STAND'N STUFF TACO DINNER KIT OVEN BOX 8.8 OUNCE </t>
  </si>
  <si>
    <t xml:space="preserve">OLD EL PASO STAND'N STUFF TACO DINNER KIT OVEN TRAY IN BOX 9.4 OUNCE </t>
  </si>
  <si>
    <t xml:space="preserve">OLD EL PASO STAND'N STUFF TACO SHELL LIMED CORN FLOUR BOX 10 COUNT </t>
  </si>
  <si>
    <t xml:space="preserve">OLD EL PASO STAND'N STUFF TACO SHELL LIMED CORN FLOUR BOX 15 COUNT </t>
  </si>
  <si>
    <t xml:space="preserve">OLD EL PASO STAND'N STUFF TACO SHELL LIMED CORN FLOUR BOX 20 COUNT </t>
  </si>
  <si>
    <t xml:space="preserve">OLD EL PASO STAND'N STUFF TACO SHELL LIMED CORN FLOUR HOT CHILI PEPPER AND LIME BOX 10 COUNT </t>
  </si>
  <si>
    <t xml:space="preserve">OLD EL PASO STAND'N STUFF TACO SHELL LIMED CORN FLOUR RANCH BOX 10 COUNT </t>
  </si>
  <si>
    <t xml:space="preserve">OLD EL PASO STAND'N STUFF TACO SHELL LIMED CORN FLOUR SPICY JALAPENO CHEDDAR BOX 10 COUNT </t>
  </si>
  <si>
    <t xml:space="preserve">OLD EL PASO STAND'N STUFF TACO SHELL LIMED CORN NACHO CHEESE BOX 10 COUNT </t>
  </si>
  <si>
    <t xml:space="preserve">OLD EL PASO STAND'N STUFF TACO SHELL WHITE CORN WRAP IN BOX 10 COUNT </t>
  </si>
  <si>
    <t xml:space="preserve">OLD EL PASO SUPER STUFFER TACO SHELL CORN FLOUR WRAP IN BOX 10 COUNT </t>
  </si>
  <si>
    <t xml:space="preserve">OLD EL PASO TACO BAKE DINNER KIT SKILLET AND BAKE BOX 8.4 OUNCE </t>
  </si>
  <si>
    <t xml:space="preserve">OLD EL PASO TACO BOATS SOFT TORTILLA BOAT FLOUR BOX 8.5 OUNCE </t>
  </si>
  <si>
    <t xml:space="preserve">OLD EL PASO TACO DINNER KIT COOK WRAP IN BOX 8.8 OUNCE </t>
  </si>
  <si>
    <t xml:space="preserve">OLD EL PASO TACO DINNER KIT ELECTRIC PRESSURE COOKER BOX 11.3 OUNCE </t>
  </si>
  <si>
    <t>OLD EL PASO TACO DINNER KIT MICROWAVE AND OVEN AND SKILLET BOX 11.4 OUNCE X3</t>
  </si>
  <si>
    <t xml:space="preserve">OLD EL PASO TACO DINNER KIT MICROWAVE BAG IN BOX 12.6 OUNCE </t>
  </si>
  <si>
    <t xml:space="preserve">OLD EL PASO TACO DINNER KIT MICROWAVE BOX 12.5 OUNCE </t>
  </si>
  <si>
    <t xml:space="preserve">OLD EL PASO TACO DINNER KIT NON STICK SKILLET BOX 11.3 OUNCE </t>
  </si>
  <si>
    <t>OLD EL PASO TACO DINNER KIT OVEN BAG IN BOX 10.6 OUNCE X2</t>
  </si>
  <si>
    <t xml:space="preserve">OLD EL PASO TACO DINNER KIT OVEN BOX 11.4 OUNCE </t>
  </si>
  <si>
    <t xml:space="preserve">OLD EL PASO TACO DINNER KIT OVEN BOX 13.25 OUNCE </t>
  </si>
  <si>
    <t xml:space="preserve">OLD EL PASO TACO DINNER KIT OVEN BOX 9.5 OUNCE </t>
  </si>
  <si>
    <t xml:space="preserve">OLD EL PASO TACO KIT OVEN BAG IN BOX 11.7 OUNCE </t>
  </si>
  <si>
    <t xml:space="preserve">OLD EL PASO TACO SHELL CORN FLOUR WRAP IN BOX 12 COUNT </t>
  </si>
  <si>
    <t xml:space="preserve">OLD EL PASO TACO SHELL LIMED CORN FLOUR BOX 18 COUNT </t>
  </si>
  <si>
    <t xml:space="preserve">OLD EL PASO TACO SHELL WHITE CORN BOX 12 COUNT </t>
  </si>
  <si>
    <t xml:space="preserve">OLD EL PASO TORTILLA AND MEXICAN SHL CMBPK BOX 12 COUNT </t>
  </si>
  <si>
    <t xml:space="preserve">OLD EL PASO TORTILLA DINNER KIT MICROWAVE BOX 9.3 OUNCE </t>
  </si>
  <si>
    <t xml:space="preserve">OLD EL PASO TORTILLA DINNER KIT OVEN TRAY IN BOX 10.9 OUNCE </t>
  </si>
  <si>
    <t xml:space="preserve">OLD EL PASO TORTILLA POCKETS SOFT TORTILLA BLEACHED FLOUR TRAY IN SLEEVE 8 COUNT </t>
  </si>
  <si>
    <t>OLD EL PASO TORTILLA POCKETS TORTILLA DINNER KIT OVEN BOX 12.4 OUNCE X2</t>
  </si>
  <si>
    <t xml:space="preserve">OLD EL PASO TORTILLA POCKETS TORTILLA DINNER KIT OVEN TRAY IN BOX 12.4 OUNCE </t>
  </si>
  <si>
    <t xml:space="preserve">OLD EL PASO TOSTADA SHELL CORN WRAP IN BOX 12 COUNT </t>
  </si>
  <si>
    <t>NAT/ORG FZ FRUIT</t>
  </si>
  <si>
    <t xml:space="preserve">CASCADIAN FARM MIXED FRUIT CHERRY BERRY BLEND MULTIPLE FORM BAG 32 OUNCE </t>
  </si>
  <si>
    <t xml:space="preserve">CASCADIAN FARM MIXED FRUIT HARVEST BERRIES MULTIPLE FORM BAG 32 OUNCE </t>
  </si>
  <si>
    <t xml:space="preserve">CASCADIAN FARM MIXED FRUIT HARVEST BERRIES WHOLE BAG 10 OUNCE </t>
  </si>
  <si>
    <t xml:space="preserve">CASCADIAN FARM MIXED FRUIT MANGO STRAWBERRY BLEND MULTIPLE FORM BAG 32 OUNCE </t>
  </si>
  <si>
    <t xml:space="preserve">CASCADIAN FARM SINGLE FRUIT BLACKBERRY PIECE BAG 32 OUNCE </t>
  </si>
  <si>
    <t xml:space="preserve">CASCADIAN FARM SINGLE FRUIT BLACKBERRY WHOLE BAG 10 OUNCE </t>
  </si>
  <si>
    <t xml:space="preserve">CASCADIAN FARM SINGLE FRUIT BLUEBERRY PIECE BAG 28 OUNCE </t>
  </si>
  <si>
    <t xml:space="preserve">CASCADIAN FARM SINGLE FRUIT BLUEBERRY WHOLE BAG 8 OUNCE </t>
  </si>
  <si>
    <t xml:space="preserve">CASCADIAN FARM SINGLE FRUIT CHERRY PIECE BAG 32 OUNCE </t>
  </si>
  <si>
    <t xml:space="preserve">CASCADIAN FARM SINGLE FRUIT MANGO CHUNK BAG 10 OUNCE </t>
  </si>
  <si>
    <t xml:space="preserve">CASCADIAN FARM SINGLE FRUIT PEACH SLICED BAG 10 OUNCE </t>
  </si>
  <si>
    <t xml:space="preserve">CASCADIAN FARM SINGLE FRUIT RED RASPBERRY PIECE BAG 8 OUNCE </t>
  </si>
  <si>
    <t xml:space="preserve">CASCADIAN FARM SINGLE FRUIT RED RASPBERRY WHOLE BAG 10 OUNCE </t>
  </si>
  <si>
    <t xml:space="preserve">CASCADIAN FARM SINGLE FRUIT STRAWBERRY PIECE BAG 32 OUNCE </t>
  </si>
  <si>
    <t xml:space="preserve">CASCADIAN FARM SINGLE FRUIT STRAWBERRY WHOLE BAG 10 OUNCE </t>
  </si>
  <si>
    <t>NAT/ORG FZ VEGETABLES</t>
  </si>
  <si>
    <t xml:space="preserve">CASCADIAN FARM FIRE ROASTED SWEET POTATO CUT KEEP FROZEN BAG 16 OUNCE </t>
  </si>
  <si>
    <t xml:space="preserve">CASCADIAN FARM FRENCH FRY POTATO CRINKLE CUT FROZEN BAG 16 OUNCE </t>
  </si>
  <si>
    <t xml:space="preserve">CASCADIAN FARM FRENCH FRY POTATO STRAIGHT CUT FROZEN BAG 16 OUNCE </t>
  </si>
  <si>
    <t xml:space="preserve">CASCADIAN FARM HASH BROWN POTATO SHREDDED FROZEN BAG 16 OUNCE </t>
  </si>
  <si>
    <t xml:space="preserve">CASCADIAN FARM MORE THAN 1 VEGETABLE BROCCOLI CAULIFLOWER SWEET POT KEEP FROZEN BAG 10 OUNCE </t>
  </si>
  <si>
    <t xml:space="preserve">CASCADIAN FARM MORE THAN 1 VEGETABLE CARROT PEA KEEP FROZEN BAG 10 OUNCE </t>
  </si>
  <si>
    <t xml:space="preserve">CASCADIAN FARM MORE THAN 1 VEGETABLE VEGETABLE BLEND BRCL CHCKP MLT CLR CRT SWT PTT KEEP FROZEN BAG 10 OUNCE </t>
  </si>
  <si>
    <t xml:space="preserve">CASCADIAN FARM MORE THAN 1 VEGETABLE VEGETABLE BLEND CALIFORNIA BLEND FROZEN BAG 10 OUNCE </t>
  </si>
  <si>
    <t xml:space="preserve">CASCADIAN FARM MORE THAN 1 VEGETABLE VEGETABLE BLEND CHINESE STYLE STIR FRY KEEP FROZEN BAG 10 OUNCE </t>
  </si>
  <si>
    <t xml:space="preserve">CASCADIAN FARM MORE THAN 1 VEGETABLE VEGETABLE BLEND GARDENERS BLEND KEEP FROZEN BAG 10 OUNCE </t>
  </si>
  <si>
    <t xml:space="preserve">CASCADIAN FARM MORE THAN 1 VEGETABLE VEGETABLE BLEND HEARTY BLEND KEEP FROZEN BAG 12 OUNCE </t>
  </si>
  <si>
    <t xml:space="preserve">CASCADIAN FARM MORE THAN 1 VEGETABLE VEGETABLE BLEND MIREPOIX KEEP FROZEN BAG 10 OUNCE </t>
  </si>
  <si>
    <t xml:space="preserve">CASCADIAN FARM MORE THAN 1 VEGETABLE VEGETABLE BLEND MIXED VEGETABLE KEEP FROZEN BAG 16 OUNCE </t>
  </si>
  <si>
    <t xml:space="preserve">CASCADIAN FARM MORE THAN 1 VEGETABLE VEGETABLE BLEND MULTI COLORED CARROT KEEP FROZEN BAG 10 OUNCE </t>
  </si>
  <si>
    <t xml:space="preserve">CASCADIAN FARM MORE THAN 1 VEGETABLE VEGETABLE BLEND ROOT VEGETABLE HASHBROWN KEEP FROZEN BAG 14 OUNCE </t>
  </si>
  <si>
    <t xml:space="preserve">CASCADIAN FARM RED GREEN BELL PEPPER BLACK BE CUT KEEP FROZEN BAG 12 OUNCE </t>
  </si>
  <si>
    <t xml:space="preserve">CASCADIAN FARM SINGLE VEGETABLE BROCCOLI FROZEN BAG 10 OUNCE </t>
  </si>
  <si>
    <t xml:space="preserve">CASCADIAN FARM SINGLE VEGETABLE BROCCOLI FROZEN BAG 16 OUNCE </t>
  </si>
  <si>
    <t xml:space="preserve">CASCADIAN FARM SINGLE VEGETABLE BROCCOLI KEEP FROZEN BAG 12 OUNCE </t>
  </si>
  <si>
    <t xml:space="preserve">CASCADIAN FARM SINGLE VEGETABLE CAULIFLOWER KEEP FROZEN BAG 12 OUNCE </t>
  </si>
  <si>
    <t xml:space="preserve">CASCADIAN FARM SINGLE VEGETABLE CHICK PEA KEEP FROZEN BAG 10 OUNCE </t>
  </si>
  <si>
    <t xml:space="preserve">CASCADIAN FARM SINGLE VEGETABLE EDAMAME KEEP FROZEN BAG 10 OUNCE </t>
  </si>
  <si>
    <t xml:space="preserve">CASCADIAN FARM SINGLE VEGETABLE EDAMAME SOYBEAN FROZEN BAG 10 OUNCE </t>
  </si>
  <si>
    <t xml:space="preserve">CASCADIAN FARM SINGLE VEGETABLE GARDEN PEA KEEP FROZEN BAG 16 OUNCE </t>
  </si>
  <si>
    <t xml:space="preserve">CASCADIAN FARM SINGLE VEGETABLE GREEN BEAN FROZEN BAG 10 OUNCE </t>
  </si>
  <si>
    <t xml:space="preserve">CASCADIAN FARM SINGLE VEGETABLE GREEN BEAN FROZEN BAG 16 OUNCE </t>
  </si>
  <si>
    <t xml:space="preserve">CASCADIAN FARM SINGLE VEGETABLE KALE KEEP FROZEN BAG 10 OUNCE </t>
  </si>
  <si>
    <t xml:space="preserve">CASCADIAN FARM SINGLE VEGETABLE SPINACH FROZEN BOX 10 OUNCE </t>
  </si>
  <si>
    <t xml:space="preserve">CASCADIAN FARM SINGLE VEGETABLE SWEET CORN FROZEN BAG 10 OUNCE </t>
  </si>
  <si>
    <t xml:space="preserve">CASCADIAN FARM SINGLE VEGETABLE SWEET CORN FROZEN BAG 16 OUNCE </t>
  </si>
  <si>
    <t xml:space="preserve">CASCADIAN FARM SINGLE VEGETABLE SWEET PEA KEEP FROZEN BAG 10 OUNCE </t>
  </si>
  <si>
    <t xml:space="preserve">CASCADIAN FARM SINGLE VEGETABLE VEGETABLE BLEND CAULIFLOWER BLEND KEEP FROZEN BAG 12 OUNCE </t>
  </si>
  <si>
    <t xml:space="preserve">CASCADIAN FARM SPUD PUPPIES POTATO PUFF PUFF FROZEN BAG 16 OUNCE </t>
  </si>
  <si>
    <t>NAT/ORG PASTA SAUCE</t>
  </si>
  <si>
    <t xml:space="preserve">MUIR GLEN ORGANIC SAUCE CHUNKY TOMATO AND HERB PASTA JAR 23.5 OUNCE </t>
  </si>
  <si>
    <t xml:space="preserve">MUIR GLEN ORGANIC SAUCE CLASSIC MARINARA PASTA JAR 23.5 OUNCE </t>
  </si>
  <si>
    <t xml:space="preserve">MUIR GLEN ORGANIC SAUCE FIRE ROASTED TOMATO PASTA JAR 23.5 OUNCE </t>
  </si>
  <si>
    <t xml:space="preserve">MUIR GLEN ORGANIC SAUCE GARDEN VEGETABLE PASTA JAR 23.5 OUNCE </t>
  </si>
  <si>
    <t xml:space="preserve">MUIR GLEN ORGANIC SAUCE ITALIAN HERB PASTA JAR 23.5 OUNCE </t>
  </si>
  <si>
    <t xml:space="preserve">MUIR GLEN ORGANIC SAUCE TOMATO BASIL PASTA JAR 23.5 OUNCE </t>
  </si>
  <si>
    <t xml:space="preserve">MUIR GLEN SAUCE CHUNKY TOMATO AND HERB PASTA JAR 25.5 OUNCE </t>
  </si>
  <si>
    <t xml:space="preserve">MUIR GLEN SAUCE CLASSIC MARINARA PASTA JAR 25.5 OUNCE </t>
  </si>
  <si>
    <t xml:space="preserve">MUIR GLEN SAUCE FIRE ROASTED TOMATO PASTA JAR 25.5 OUNCE </t>
  </si>
  <si>
    <t xml:space="preserve">MUIR GLEN SAUCE GARDEN VEGETABLE PASTA JAR 25.5 OUNCE </t>
  </si>
  <si>
    <t xml:space="preserve">MUIR GLEN SAUCE GARLIC ROASTED GARLIC PASTA JAR 25.5 OUNCE </t>
  </si>
  <si>
    <t xml:space="preserve">MUIR GLEN SAUCE ITALIAN HERB PASTA JAR 25.5 OUNCE </t>
  </si>
  <si>
    <t xml:space="preserve">MUIR GLEN SAUCE PORTABELLO MUSHROOM PASTA JAR 23.5 OUNCE </t>
  </si>
  <si>
    <t xml:space="preserve">MUIR GLEN SAUCE PORTABELLO MUSHROOM PASTA JAR 25.5 OUNCE </t>
  </si>
  <si>
    <t xml:space="preserve">MUIR GLEN SAUCE ROASTED GARLIC PASTA JAR 23.5 OUNCE </t>
  </si>
  <si>
    <t xml:space="preserve">MUIR GLEN SAUCE SPICY ARRABIATTA PASTA JAR 23.5 OUNCE </t>
  </si>
  <si>
    <t xml:space="preserve">MUIR GLEN SAUCE TOMATO BASIL PASTA JAR 25.5 OUNCE </t>
  </si>
  <si>
    <t xml:space="preserve">PROGRESSO SAUCE UNFLAVORED WHITE CLAM CAN 15 OUNCE </t>
  </si>
  <si>
    <t>NAT/ORG SALAD DRESSING</t>
  </si>
  <si>
    <t xml:space="preserve">ANNIE'S NATURALS SALAD DRESSING LIQUID ASIAN SESAME BOTTLE 8 FLUID OUNCE </t>
  </si>
  <si>
    <t xml:space="preserve">ANNIE'S NATURALS SALAD DRESSING LIQUID BALSAMIC VINAIGRETTE BOTTLE 8 FLUID OUNCE </t>
  </si>
  <si>
    <t xml:space="preserve">ANNIE'S NATURALS SALAD DRESSING LIQUID CAESAR BOTTLE 8 FLUID OUNCE </t>
  </si>
  <si>
    <t xml:space="preserve">ANNIE'S NATURALS SALAD DRESSING LIQUID FRENCH BOTTLE 8 OUNCE </t>
  </si>
  <si>
    <t xml:space="preserve">ANNIE'S NATURALS SALAD DRESSING LIQUID GODDESS BOTTLE 8 FLUID OUNCE </t>
  </si>
  <si>
    <t xml:space="preserve">ANNIE'S NATURALS SALAD DRESSING LIQUID GREEN GODDESS BOTTLE 8 FLUID OUNCE </t>
  </si>
  <si>
    <t xml:space="preserve">ANNIE'S NATURALS SALAD DRESSING LIQUID LEMON AND CHIVE BOTTLE 8 FLUID OUNCE </t>
  </si>
  <si>
    <t xml:space="preserve">ANNIE'S NATURALS SALAD DRESSING LIQUID PAPAYA POPPY SEED BOTTLE 8 FLUID OUNCE </t>
  </si>
  <si>
    <t xml:space="preserve">ANNIE'S NATURALS SALAD DRESSING LIQUID POPPY SEED BOTTLE 8 FLUID OUNCE </t>
  </si>
  <si>
    <t xml:space="preserve">ANNIE'S NATURALS SALAD DRESSING LIQUID RASPBERRY VINAIGRETTE BOTTLE 8 FLUID OUNCE </t>
  </si>
  <si>
    <t xml:space="preserve">ANNIE'S NATURALS SALAD DRESSING LIQUID RED WINE OLIVE OIL VINAIGRETTE BOTTLE 8 FLUID OUNCE </t>
  </si>
  <si>
    <t xml:space="preserve">ANNIE'S NATURALS SALAD DRESSING LIQUID ROASTED RED PEPPER BOTTLE 8 FLUID OUNCE </t>
  </si>
  <si>
    <t xml:space="preserve">ANNIE'S NATURALS SALAD DRESSING LIQUID SESAME GINGER VINAIGRETTE BOTTLE 8 FLUID OUNCE </t>
  </si>
  <si>
    <t xml:space="preserve">ANNIE'S NATURALS SALAD DRESSING LIQUID SHITAKE SESAME VINAIGRETTE BOTTLE 8 FLUID OUNCE </t>
  </si>
  <si>
    <t xml:space="preserve">ANNIE'S NATURALS SALAD DRESSING LIQUID TUSCANY ITALIAN BOTTLE 8 FLUID OUNCE </t>
  </si>
  <si>
    <t xml:space="preserve">ANNIE'S SALAD DRESSING LIQUID BALSAMIC VINAIGRETTE BOTTLE 8 FLUID OUNCE </t>
  </si>
  <si>
    <t xml:space="preserve">ANNIE'S SALAD DRESSING LIQUID FIG BALSAMIC VINAIGRETTE BOTTLE 8 FLUID OUNCE </t>
  </si>
  <si>
    <t xml:space="preserve">ANNIE'S SALAD DRESSING LIQUID GREEN GARLIC BOTTLE 8 FLUID OUNCE </t>
  </si>
  <si>
    <t xml:space="preserve">ANNIE'S SALAD DRESSING LIQUID HONEY MUSTARD VINAIGRETTE BOTTLE 8 FLUID OUNCE </t>
  </si>
  <si>
    <t xml:space="preserve">ANNIE'S SALAD DRESSING LIQUID OIL AND VINEGAR VINAIGRETTE BOTTLE 8 FLUID OUNCE </t>
  </si>
  <si>
    <t xml:space="preserve">ANNIE'S SALAD DRESSING LIQUID ROASTED GARLIC VINAIGRETTE BOTTLE 8 FLUID OUNCE </t>
  </si>
  <si>
    <t xml:space="preserve">ANNIE'S SALAD DRESSING LIQUID SHITAKE SESAME VINAIGRETTE BOTTLE 8 FLUID OUNCE </t>
  </si>
  <si>
    <t xml:space="preserve">ANNIE'S SALAD DRESSING LIQUID THOUSAND ISLAND BOTTLE 8 FLUID OUNCE </t>
  </si>
  <si>
    <t xml:space="preserve">ANNIE'S SALAD DRESSING LIQUID UNFLAVORED BOTTLE 8 FLUID OUNCE </t>
  </si>
  <si>
    <t>NAT/ORG SAVORY CRACKERS</t>
  </si>
  <si>
    <t xml:space="preserve">ANNIE'S CRACKER CHEDDAR BUNNIE SNACK BOX 7.5 OUNCE </t>
  </si>
  <si>
    <t xml:space="preserve">ANNIE'S CRACKER CHEESY CHEDDAR SNACK BOX 7.5 OUNCE </t>
  </si>
  <si>
    <t xml:space="preserve">ANNIE'S CRACKER REALLY RANCH SNACK BOX 7.5 OUNCE </t>
  </si>
  <si>
    <t xml:space="preserve">ANNIE'S CRACKER SEA SALTY SNACK BAG IN BOX 7.5 OUNCE </t>
  </si>
  <si>
    <t>ANNIE'S HOMEGROWN CHEDDAR BNS CRACKER CHEDDAR CHEESE SNACK BAG 1 OUNCE X12</t>
  </si>
  <si>
    <t xml:space="preserve">ANNIE'S HOMEGROWN CHEDDAR BNS CRACKER CHEDDAR SNACK BOX 11.25 OUNCE </t>
  </si>
  <si>
    <t xml:space="preserve">ANNIE'S HOMEGROWN CHEDDAR BNS CRACKER CHEDDAR SNACK BOX 7.5 OUNCE </t>
  </si>
  <si>
    <t xml:space="preserve">ANNIE'S HOMEGROWN CHEDDAR BNS CRACKER CHEESY CHEDDAR SNACK BOX 7.5 OUNCE </t>
  </si>
  <si>
    <t xml:space="preserve">ANNIE'S HOMEGROWN CHEDDAR SQUA CRACKER CHEESE SQUARE SNACK BOX 11.25 OUNCE </t>
  </si>
  <si>
    <t xml:space="preserve">ANNIE'S HOMEGROWN CRACKER CHEDDAR SQUARE SNACK BOX 7.5 OUNCE </t>
  </si>
  <si>
    <t xml:space="preserve">ANNIE'S HOMEGROWN CRACKER WHITE CHEDDAR SNACK BOX 7.5 OUNCE </t>
  </si>
  <si>
    <t xml:space="preserve">ANNIE'S HOMEGROWN CRACKER WHITE CHEDDAR SQUARE SNACK BOX 7.5 OUNCE </t>
  </si>
  <si>
    <t>NAT/ORG TOMATOES</t>
  </si>
  <si>
    <t xml:space="preserve">MUIR GLEN SAUCE UNFLAVORED PIZZA CAN 15 OUNCE </t>
  </si>
  <si>
    <t xml:space="preserve">MUIR GLEN SAUCE UNFLAVORED TOMATO CAN 15 OUNCE </t>
  </si>
  <si>
    <t xml:space="preserve">MUIR GLEN SAUCE UNFLAVORED TOMATO CAN 28 OUNCE </t>
  </si>
  <si>
    <t xml:space="preserve">MUIR GLEN SAUCE UNFLAVORED TOMATO CAN 8 OUNCE </t>
  </si>
  <si>
    <t xml:space="preserve">MUIR GLEN SAUCE UNFLAVORED TOMATO PASTE BAG 5.5 OUNCE </t>
  </si>
  <si>
    <t xml:space="preserve">MUIR GLEN SAUCE UNFLAVORED TOMATO PASTE CAN 6 OUNCE </t>
  </si>
  <si>
    <t xml:space="preserve">MUIR GLEN SINGLE VEGETABLE CRUSHED TOMATO CAN 14.5 OUNCE </t>
  </si>
  <si>
    <t xml:space="preserve">MUIR GLEN SINGLE VEGETABLE CRUSHED TOMATO CAN 28 OUNCE </t>
  </si>
  <si>
    <t xml:space="preserve">MUIR GLEN SINGLE VEGETABLE DICED TOMATO CAN 14.5 OUNCE </t>
  </si>
  <si>
    <t>MUIR GLEN SINGLE VEGETABLE DICED TOMATO CAN 14.5 OUNCE X6</t>
  </si>
  <si>
    <t xml:space="preserve">MUIR GLEN SINGLE VEGETABLE DICED TOMATO CAN 28 OUNCE </t>
  </si>
  <si>
    <t>MUIR GLEN SINGLE VEGETABLE DICED TOMATO CAN IN BOX 14.5 OUNCE X4</t>
  </si>
  <si>
    <t xml:space="preserve">MUIR GLEN SINGLE VEGETABLE GROUND TOMATO CAN 28 OUNCE </t>
  </si>
  <si>
    <t xml:space="preserve">MUIR GLEN SINGLE VEGETABLE PETITE DICED GREEN TOMATO CAN 14.5 OUNCE </t>
  </si>
  <si>
    <t xml:space="preserve">MUIR GLEN SINGLE VEGETABLE PETITE DICED TOMATO CAN 14.5 OUNCE </t>
  </si>
  <si>
    <t xml:space="preserve">MUIR GLEN SINGLE VEGETABLE WHOLE SAN MARZANO STYLE TOMATO CAN 28 OUNCE </t>
  </si>
  <si>
    <t xml:space="preserve">MUIR GLEN SINGLE VEGETABLE WHOLE TOMATO CAN 14.5 OUNCE </t>
  </si>
  <si>
    <t xml:space="preserve">MUIR GLEN SINGLE VEGETABLE WHOLE TOMATO CAN 28 OUNCE </t>
  </si>
  <si>
    <t>RF BAKED GOODS</t>
  </si>
  <si>
    <t xml:space="preserve">ANNIE'S CRESCENT ROLL DOUGH UNFLAVORED CANISTER 8 OUNCE </t>
  </si>
  <si>
    <t xml:space="preserve">ANNIE'S HOMEGROWN CHOCOLATE CHUNK COOKIE DOUGH BAG 12 OUNCE </t>
  </si>
  <si>
    <t xml:space="preserve">ANNIE'S HOMEGROWN CINNAMON ROLL CINNAMON ICED CANISTER 17.5 OUNCE </t>
  </si>
  <si>
    <t xml:space="preserve">ANNIE'S HOMEGROWN FLAKY BISCUIT DOUGH UNFLAVORED CANISTER 16 OUNCE </t>
  </si>
  <si>
    <t xml:space="preserve">BETTY CROCKER SUGAR COOKIE DOUGH TRAY IN BAG 10.5 OUNCE </t>
  </si>
  <si>
    <t xml:space="preserve">IMMACULATE CHOCOLATE CHUNK COOKIE DOUGH BAG 12 OUNCE </t>
  </si>
  <si>
    <t xml:space="preserve">IMMACULATE CHOCOLATE CHUNK COOKIE DOUGH TRAY IN BAG 14 OUNCE </t>
  </si>
  <si>
    <t xml:space="preserve">IMMACULATE CINNAMON ROLL CINNAMON ICED CAN 17.5 OUNCE </t>
  </si>
  <si>
    <t xml:space="preserve">IMMACULATE CINNAMON ROLL PUMPKIN SPICE ICED CAN 17.5 OUNCE </t>
  </si>
  <si>
    <t xml:space="preserve">IMMACULATE CRESCENT ROLL DOUGH UNFLAVORED CAN 8 OUNCE </t>
  </si>
  <si>
    <t xml:space="preserve">IMMACULATE DOUBLE CHOCOLATE COOKIE DOUGH TRAY IN BAG 14 OUNCE </t>
  </si>
  <si>
    <t xml:space="preserve">IMMACULATE FLAKY BISCUIT DOUGH UNFLAVORED CAN 16 OUNCE </t>
  </si>
  <si>
    <t xml:space="preserve">IMMACULATE PEANUT BUTTER COOKIE DOUGH BAG 14 OUNCE </t>
  </si>
  <si>
    <t xml:space="preserve">MILK BAR CORNFLAKE CHOCOLATE CHIP MARSH COOKIE DOUGH TRAY IN BAG 14 OUNCE </t>
  </si>
  <si>
    <t xml:space="preserve">MILK BAR FRUITY CEREAL COOKIE DOUGH TRAY IN BAG 14 OUNCE </t>
  </si>
  <si>
    <t xml:space="preserve">PILLSBURY BIRTHDAY CAKE COOKIE DOUGH TRAY IN BAG 16 OUNCE </t>
  </si>
  <si>
    <t xml:space="preserve">PILLSBURY BREAD BATTER FLAVORED BREAD BANANA BAG 30 OUNCE </t>
  </si>
  <si>
    <t xml:space="preserve">PILLSBURY BREAD DOUGH FRENCH LOAF UNFLAVORED CANISTER 11 OUNCE </t>
  </si>
  <si>
    <t xml:space="preserve">PILLSBURY BREAD DOUGH MONKEY PULL APART UNFLAVORED BOX 16.8 OUNCE </t>
  </si>
  <si>
    <t xml:space="preserve">PILLSBURY BREAD DOUGH PULL APART GARLIC BUTTER BOX 14.7 OUNCE </t>
  </si>
  <si>
    <t xml:space="preserve">PILLSBURY BREAD STICK DOUGH GRAIN BREAD STICK DOUGH UNFLAVORED WHITE CAN 11 OUNCE </t>
  </si>
  <si>
    <t xml:space="preserve">PILLSBURY BROWNIE CHOCOLATE ROUND BAG IN BOX 10.6 OUNCE </t>
  </si>
  <si>
    <t xml:space="preserve">PILLSBURY CANDY CANE SUGAR COOKIE DOUGH BAG 30 OUNCE </t>
  </si>
  <si>
    <t xml:space="preserve">PILLSBURY CHOCOLATE CHIP COOKIE DOUGH BAG 16 OUNCE </t>
  </si>
  <si>
    <t>PILLSBURY CHOCOLATE CHIP COOKIE DOUGH BAG 16 OUNCE X2</t>
  </si>
  <si>
    <t xml:space="preserve">PILLSBURY CHOCOLATE CHIP COOKIE DOUGH TRAY IN BAG 16 OUNCE </t>
  </si>
  <si>
    <t xml:space="preserve">PILLSBURY CHOCOLATE CHIP COOKIE DOUGH TUB 76 OUNCE </t>
  </si>
  <si>
    <t xml:space="preserve">PILLSBURY CHOCOLATE CHIP COOKIE DOUGH WRAP 16.5 OUNCE </t>
  </si>
  <si>
    <t xml:space="preserve">PILLSBURY CHOCOLATE CHIP COOKIE DOUGH WRAP 30 OUNCE </t>
  </si>
  <si>
    <t xml:space="preserve">PILLSBURY CHOCOLATE CHUNK AND CHIP COOKIE DOUGH BAG 16 OUNCE </t>
  </si>
  <si>
    <t xml:space="preserve">PILLSBURY CINNAMON ROLL CINNAMON BOX 10.8 OUNCE </t>
  </si>
  <si>
    <t xml:space="preserve">PILLSBURY CINNAMON ROLL CINNAMON ICED CAN 12.4 OUNCE </t>
  </si>
  <si>
    <t>PILLSBURY CINNAMON ROLL CINNAMON ICED CAN 12.4 OUNCE X2</t>
  </si>
  <si>
    <t>PILLSBURY CINNAMON ROLL CINNAMON ICED CAN 12.4 OUNCE X4</t>
  </si>
  <si>
    <t xml:space="preserve">PILLSBURY CINNAMON ROLL CINNAMON ICED CAN 13 OUNCE </t>
  </si>
  <si>
    <t>PILLSBURY CINNAMON ROLL CINNAMON ICED CAN 13 OUNCE X4</t>
  </si>
  <si>
    <t xml:space="preserve">PILLSBURY CINNAMON ROLL CINNAMON ICED CAN 7.3 OUNCE </t>
  </si>
  <si>
    <t xml:space="preserve">PILLSBURY CINNAMON TOAST CRUNC CINNAMON COOKIE DOUGH TRAY IN BAG 14 OUNCE </t>
  </si>
  <si>
    <t xml:space="preserve">PILLSBURY CINNAMON TOAST CRUNC CINNAMON ROLL CINNAMON DRIZZLED CAN 12.4 OUNCE </t>
  </si>
  <si>
    <t xml:space="preserve">PILLSBURY CORNDOG DOUGH UNFLAVORED KEEP DOUGH REFRIGERATED CANISTER 11.5 OUNCE </t>
  </si>
  <si>
    <t xml:space="preserve">PILLSBURY CRESCENT BUTTERFLAKE ROLL DOUGH UNFLAVORED CANISTER 8 OUNCE </t>
  </si>
  <si>
    <t xml:space="preserve">PILLSBURY CRESCENT ROLL DOUGH APPLE CANISTER IN BOX 13.51 OUNCE </t>
  </si>
  <si>
    <t xml:space="preserve">PILLSBURY CRESCENT ROLL DOUGH CHERRY CANISTER IN BOX 13.51 OUNCE </t>
  </si>
  <si>
    <t xml:space="preserve">PILLSBURY CRESCENT ROLL DOUGH HONEY BUTTER CANISTER 8 OUNCE </t>
  </si>
  <si>
    <t>PILLSBURY CRESCENT ROLL DOUGH ORIGINAL CAN 8 OUNCE X2</t>
  </si>
  <si>
    <t>PILLSBURY CRESCENT ROLL DOUGH ORIGINAL CAN 8 OUNCE X4</t>
  </si>
  <si>
    <t xml:space="preserve">PILLSBURY CRESCENT ROLL DOUGH ORIGINAL CANISTER 8 OUNCE </t>
  </si>
  <si>
    <t xml:space="preserve">PILLSBURY CRESCENT ROLL DOUGH UNFLAVORED CANISTER 4 OUNCE </t>
  </si>
  <si>
    <t>PILLSBURY CRESCENT ROLL DOUGH UNFLAVORED CANISTER 4 OUNCE X2</t>
  </si>
  <si>
    <t xml:space="preserve">PILLSBURY CRESCENT ROLL DOUGH UNFLAVORED CANISTER 8 OUNCE </t>
  </si>
  <si>
    <t xml:space="preserve">PILLSBURY CRESCENT ROUND ROLL DOUGH UNFLAVORED CANISTER 8 OUNCE </t>
  </si>
  <si>
    <t xml:space="preserve">PILLSBURY CRESCENT SHEET ROLL DOUGH ORIGINAL CANISTER 8 OUNCE </t>
  </si>
  <si>
    <t>PILLSBURY CRESCENT SHEET ROLL DOUGH UNFLAVORED CAN 8 OUNCE X4</t>
  </si>
  <si>
    <t xml:space="preserve">PILLSBURY CRUSTY FRENCH LOAF BREAD DOUGH FRENCH LOAF UNFLAVORED CANISTER 11 OUNCE </t>
  </si>
  <si>
    <t xml:space="preserve">PILLSBURY DINNER SWIRL ROLL DOUGH ORIGINAL CANISTER 11 OUNCE </t>
  </si>
  <si>
    <t xml:space="preserve">PILLSBURY FLAKY BISCUIT DOUGH BUTTER CAN 6 OUNCE </t>
  </si>
  <si>
    <t xml:space="preserve">PILLSBURY FLAKY BISCUIT DOUGH BUTTERMILK CAN 6 OUNCE </t>
  </si>
  <si>
    <t xml:space="preserve">PILLSBURY FLAKY BISCUIT DOUGH HONEY BUTTER CAN 6 OUNCE </t>
  </si>
  <si>
    <t xml:space="preserve">PILLSBURY FLAVORED BISCUIT BISCUIT DOUGH BUTTER CAN 12 OUNCE </t>
  </si>
  <si>
    <t xml:space="preserve">PILLSBURY FLAVORED BISCUIT DOUGH BISCUIT DOUGH BUTTERMILK CAN 12 OUNCE </t>
  </si>
  <si>
    <t xml:space="preserve">PILLSBURY FLAVORED BISCUIT DOUGH BISCUIT DOUGH BUTTERMILK CAN 6 OUNCE </t>
  </si>
  <si>
    <t xml:space="preserve">PILLSBURY FLAVORED BISCUIT DOUGH BISCUIT DOUGH SWEET BLUEBERRY CAN 12.4 OUNCE </t>
  </si>
  <si>
    <t xml:space="preserve">PILLSBURY FLAVORED BISCUIT DOUGH BISCUIT DOUGH SWEET CHOCOLATE CHIP CAN 12.4 OUNCE </t>
  </si>
  <si>
    <t xml:space="preserve">PILLSBURY GINGERBREAD COOKIE DOUGH WRAP 30 OUNCE </t>
  </si>
  <si>
    <t xml:space="preserve">PILLSBURY GRANDS! CINNAMON ROLL CINNAMON BAKED CANISTER 17.5 OUNCE </t>
  </si>
  <si>
    <t xml:space="preserve">PILLSBURY GRANDS! CINNAMON ROLL CINNAMON ICED CAN 17.5 OUNCE </t>
  </si>
  <si>
    <t xml:space="preserve">PILLSBURY GRANDS! CINNAMON ROLL CINNAMON ICED CANISTER 17.5 OUNCE </t>
  </si>
  <si>
    <t>PILLSBURY GRANDS! CINNAMON ROLL CINNAMON ICED CANISTER 17.5 OUNCE X2</t>
  </si>
  <si>
    <t xml:space="preserve">PILLSBURY GRANDS! CRESCENT ROLL DOUGH BUTTER FLAKE CANISTER 12 OUNCE </t>
  </si>
  <si>
    <t xml:space="preserve">PILLSBURY GRANDS! CRESCENT ROLL DOUGH UNFLAVORED CAN 12 OUNCE </t>
  </si>
  <si>
    <t xml:space="preserve">PILLSBURY GRANDS! FLAKY BISCUIT DOUGH ORIGINAL CANISTER 16.3 OUNCE </t>
  </si>
  <si>
    <t xml:space="preserve">PILLSBURY GRANDS! FLAVORED BISCUIT BISCUIT DOUGH BUTTERMILK CANISTER 10.2 OUNCE </t>
  </si>
  <si>
    <t xml:space="preserve">PILLSBURY GRANDS! FLAVORED BISCUIT DOUGH BISCUIT DOUGH BUTTER CAN 10.2 OUNCE </t>
  </si>
  <si>
    <t xml:space="preserve">PILLSBURY GRANDS! FLAVORED BISCUIT DOUGH BISCUIT DOUGH BUTTER CAN 16.3 OUNCE </t>
  </si>
  <si>
    <t xml:space="preserve">PILLSBURY GRANDS! FLAVORED BISCUIT DOUGH BISCUIT DOUGH BUTTER CANISTER 16.3 OUNCE </t>
  </si>
  <si>
    <t xml:space="preserve">PILLSBURY GRANDS! FLAVORED BISCUIT DOUGH BISCUIT DOUGH BUTTERMILK CANISTER 10.2 OUNCE </t>
  </si>
  <si>
    <t xml:space="preserve">PILLSBURY GRANDS! FLAVORED BISCUIT DOUGH BISCUIT DOUGH BUTTERMILK CANISTER 16.3 OUNCE </t>
  </si>
  <si>
    <t xml:space="preserve">PILLSBURY GRANDS! FLAVORED BISCUIT DOUGH BISCUIT DOUGH HONEY BUTTER CANISTER 16.3 OUNCE </t>
  </si>
  <si>
    <t xml:space="preserve">PILLSBURY GRANDS! FLAVORED BISCUIT DOUGH BISCUIT DOUGH ORIGINAL CAN 10.2 OUNCE </t>
  </si>
  <si>
    <t>PILLSBURY GRANDS! FLAVORED BISCUIT DOUGH BISCUIT DOUGH ORIGINAL CAN 16.3 OUNCE X4</t>
  </si>
  <si>
    <t>PILLSBURY GRANDS! FLUFFY BISCUIT DOUGH BUTTERMILK CAN 16.3 OUNCE X2</t>
  </si>
  <si>
    <t>PILLSBURY GRANDS! FLUFFY BISCUIT DOUGH BUTTERMILK CANISTER 10.2 OUNCE X2</t>
  </si>
  <si>
    <t xml:space="preserve">PILLSBURY GRANDS! SOUTHERN BISCUIT DOUGH BUTTERMILK CANISTER 16.3 OUNCE </t>
  </si>
  <si>
    <t xml:space="preserve">PILLSBURY GRANDS! SOUTHERN BISCUIT DOUGH ORIGINAL CAN 16.3 OUNCE </t>
  </si>
  <si>
    <t xml:space="preserve">PILLSBURY GRANDS! SOUTHERN STYLE BISCUIT DOUGH UNFLAVORED CANISTER 16.3 OUNCE </t>
  </si>
  <si>
    <t xml:space="preserve">PILLSBURY GRANDS! SWEET HAWAIIAN BISCUIT DOUGH UNFLAVORED CAN 16.3 OUNCE </t>
  </si>
  <si>
    <t xml:space="preserve">PILLSBURY GRANDS! SWEET ROLL PUMPKIN SPICE CINNAMON ICED CAN 17.5 OUNCE </t>
  </si>
  <si>
    <t xml:space="preserve">PILLSBURY LUCKY CHARMS SUGAR COOKIE DOUGH TRAY IN BAG 14 OUNCE </t>
  </si>
  <si>
    <t xml:space="preserve">PILLSBURY MINI CINNI STIX CINNAMON ROLL CINNAMON ICED CANISTER 12.7 OUNCE </t>
  </si>
  <si>
    <t xml:space="preserve">PILLSBURY PEANUT BUTTER COOKIE DOUGH BAG 16 OUNCE </t>
  </si>
  <si>
    <t xml:space="preserve">PILLSBURY PEANUT BUTTER COOKIE DOUGH BAG 16.5 OUNCE </t>
  </si>
  <si>
    <t xml:space="preserve">PILLSBURY PEANUT BUTTER COOKIE DOUGH BAG 30 OUNCE </t>
  </si>
  <si>
    <t xml:space="preserve">PILLSBURY PIE CRUST DOUGH UNFLAVORED KEEP DOUGH REFRIGERATED BAG IN BOX 14.1 OUNCE </t>
  </si>
  <si>
    <t>PILLSBURY PIE CRUST DOUGH UNFLAVORED KEEP DOUGH REFRIGERATED BOX 14.1 OUNCE X2</t>
  </si>
  <si>
    <t xml:space="preserve">PILLSBURY PIE CRUST DOUGH UNFLAVORED KEEP DOUGH RFRGR FRZBL 2 MNTH WRAP IN BOX 42.3 OUNCE </t>
  </si>
  <si>
    <t xml:space="preserve">PILLSBURY PIE CRUST KEEP DOUGH REFRIGERATED BAG IN BOX 14.1 OUNCE </t>
  </si>
  <si>
    <t xml:space="preserve">PILLSBURY PIZZA CRUST DOUGH UNFLAVORED DO NOT FREEZE KEEP RFRGR CAN 16.3 OUNCE </t>
  </si>
  <si>
    <t xml:space="preserve">PILLSBURY PIZZA CRUST DOUGH UNFLAVORED KEEP DOUGH REFRIGERATED CAN 11 OUNCE </t>
  </si>
  <si>
    <t xml:space="preserve">PILLSBURY PIZZA CRUST DOUGH UNFLAVORED KEEP DOUGH REFRIGERATED CAN 13.8 OUNCE </t>
  </si>
  <si>
    <t xml:space="preserve">PILLSBURY PIZZA CRUST DOUGH UNFLAVORED KEEP DOUGH REFRIGERATED CAN 8 OUNCE </t>
  </si>
  <si>
    <t>PILLSBURY PIZZA CRUST DOUGH UNFLAVORED KEEP DOUGH REFRIGERATED CANISTER 13.8 OUNCE X2</t>
  </si>
  <si>
    <t xml:space="preserve">PILLSBURY POPPINS BIRTHDAY CAKE COOKIE DOUGH BAG 7 OUNCE </t>
  </si>
  <si>
    <t xml:space="preserve">PILLSBURY POPPINS CHOCOLATE CHIP COOKIE DOUGH BAG 7 OUNCE </t>
  </si>
  <si>
    <t xml:space="preserve">PILLSBURY POPPINS PEANUT BUTTER COOKIE DOUGH BAG 7 OUNCE </t>
  </si>
  <si>
    <t xml:space="preserve">PILLSBURY PUMPKIN COOKIE DOUGH BAG 14 OUNCE </t>
  </si>
  <si>
    <t xml:space="preserve">PILLSBURY READY TO BAKE! DINO SUGAR CUT OUT COOKIE DOUGH BOX 7.2 OUNCE </t>
  </si>
  <si>
    <t xml:space="preserve">PILLSBURY READY TO BAKE! SUGAR COOKIE DOUGH BAG IN BOX 9.1 OUNCE </t>
  </si>
  <si>
    <t xml:space="preserve">PILLSBURY READY TO BAKE! SUGAR COOKIE DOUGH TRAY IN BOX 9.1 OUNCE </t>
  </si>
  <si>
    <t xml:space="preserve">PILLSBURY READY TO BAKE! SUGAR CUT OUT COOKIE DOUGH BAG 6.4 OUNCE </t>
  </si>
  <si>
    <t xml:space="preserve">PILLSBURY READY TO BAKE! SUGAR CUT OUT COOKIE DOUGH BOX 7.2 OUNCE </t>
  </si>
  <si>
    <t xml:space="preserve">PILLSBURY READY TO BAKE! SUGAR CUTOUT COOKIE DOUGH BOX 7.2 OUNCE </t>
  </si>
  <si>
    <t xml:space="preserve">PILLSBURY READY TO BAKE! SUGAR WITH BUNNY CENTER COOKIE DOUGH BOX 9.1 OUNCE </t>
  </si>
  <si>
    <t xml:space="preserve">PILLSBURY READY TO BAKE! SUGAR WITH CHARACTER CENTER COOKIE DOUGH BOX 9.1 OUNCE </t>
  </si>
  <si>
    <t xml:space="preserve">PILLSBURY READY TO BAKE! SUGAR WITH CHARACTER CENTER COOKIE DOUGH TRAY IN BOX 9.1 OUNCE </t>
  </si>
  <si>
    <t xml:space="preserve">PILLSBURY READY TO BAKE! SUGAR WITH CHICK CENTER COOKIE DOUGH BOX 9.1 OUNCE </t>
  </si>
  <si>
    <t xml:space="preserve">PILLSBURY READY TO BAKE! SUGAR WITH GHOST CENTER COOKIE DOUGH WRAP IN BOX 9.1 OUNCE </t>
  </si>
  <si>
    <t>PILLSBURY READY TO BAKE! SUGAR WITH MULTIPLE CENTER COOKIE DOUGH WRAP 9.1 OUNCE X3</t>
  </si>
  <si>
    <t xml:space="preserve">PILLSBURY READY TO BAKE! SUGAR WITH PUMPKIN CENTER COOKIE DOUGH BOX 9.1 OUNCE </t>
  </si>
  <si>
    <t xml:space="preserve">PILLSBURY READY TO BAKE! SUGAR WITH REINDEER CENTER COOKIE DOUGH TRAY IN BOX 9.1 OUNCE </t>
  </si>
  <si>
    <t xml:space="preserve">PILLSBURY READY TO BAKE! SUGAR WITH SNOWMAN CENTER COOKIE DOUGH TRAY IN BOX 9.1 OUNCE </t>
  </si>
  <si>
    <t xml:space="preserve">PILLSBURY READY TO BAKE! SUGAR WITH TREE CENTER COOKIE DOUGH TRAY IN BOX 9.1 OUNCE </t>
  </si>
  <si>
    <t xml:space="preserve">PILLSBURY READY TO BAKE! SUGAR WITH TURKEY CENTER COOKIE DOUGH TRAY IN BOX 9.1 OUNCE </t>
  </si>
  <si>
    <t xml:space="preserve">PILLSBURY READY TO BAKE! SUGAR WITH UNICORN CENTER COOKIE DOUGH BOX 9.1 OUNCE </t>
  </si>
  <si>
    <t xml:space="preserve">PILLSBURY SALTED CARAMEL APPLE COOKIE DOUGH TRAY IN BAG 14 OUNCE </t>
  </si>
  <si>
    <t xml:space="preserve">PILLSBURY SUGAR COOKIE DOUGH BAG 16 OUNCE </t>
  </si>
  <si>
    <t xml:space="preserve">PILLSBURY SUGAR COOKIE DOUGH BAG 16.5 OUNCE </t>
  </si>
  <si>
    <t xml:space="preserve">PILLSBURY SUGAR COOKIE DOUGH BAG 30 OUNCE </t>
  </si>
  <si>
    <t xml:space="preserve">PILLSBURY SUGAR COOKIE DOUGH TRAY IN BAG 16 OUNCE </t>
  </si>
  <si>
    <t xml:space="preserve">PILLSBURY SUGAR COOKIE DOUGH TUB 80 OUNCE </t>
  </si>
  <si>
    <t xml:space="preserve">PILLSBURY SWEET HAWAIIAN CRESCENT ROLL DOUGH UNFLAVORED CAN 8 OUNCE </t>
  </si>
  <si>
    <t xml:space="preserve">PILLSBURY SWEET ROLL DOUGH-REFRIGERATED PIZZA FUN NIGHT KIT BOX 53 OUNCE </t>
  </si>
  <si>
    <t xml:space="preserve">PILLSBURY SWEET ROLL ORANGE ICED CANISTER 13.9 OUNCE </t>
  </si>
  <si>
    <t>PILLSBURY SWIRL ROLL DOUGH CANISTER 11 OUNCE X4</t>
  </si>
  <si>
    <t xml:space="preserve">PILLSBURY SWIRL ROLL DOUGH UNFLAVORED CAN 11 OUNCE </t>
  </si>
  <si>
    <t>RF YOGURT</t>
  </si>
  <si>
    <t xml:space="preserve">:RATIO DAIRY SNACK BLACK CHERRY TUB 5.3 OUNCE </t>
  </si>
  <si>
    <t xml:space="preserve">:RATIO DAIRY SNACK BLUEBERRY TUB 5.3 OUNCE </t>
  </si>
  <si>
    <t>:RATIO DAIRY SNACK COCONUT CUP 5.3 OUNCE X4</t>
  </si>
  <si>
    <t xml:space="preserve">:RATIO DAIRY SNACK COCONUT TUB 5.3 OUNCE </t>
  </si>
  <si>
    <t xml:space="preserve">:RATIO DAIRY SNACK KEY LIME TUB 5.3 OUNCE </t>
  </si>
  <si>
    <t xml:space="preserve">:RATIO DAIRY SNACK MANGO TUB 5.3 OUNCE </t>
  </si>
  <si>
    <t>:RATIO DAIRY SNACK MIXED BERRY CUP 5.3 OUNCE X4</t>
  </si>
  <si>
    <t xml:space="preserve">:RATIO DAIRY SNACK MIXED BERRY TUB 5.3 OUNCE </t>
  </si>
  <si>
    <t xml:space="preserve">:RATIO DAIRY SNACK PEACH TUB 5.3 OUNCE </t>
  </si>
  <si>
    <t xml:space="preserve">:RATIO DAIRY SNACK STRAWBERRY TUB 5.3 OUNCE </t>
  </si>
  <si>
    <t>:RATIO DAIRY SNACK STRAWBERRY TUB 5.3 OUNCE X4</t>
  </si>
  <si>
    <t xml:space="preserve">:RATIO DAIRY SNACK VANILLA TUB 24 OUNCE </t>
  </si>
  <si>
    <t xml:space="preserve">:RATIO DAIRY SNACK VANILLA TUB 5.3 OUNCE </t>
  </si>
  <si>
    <t>:RATIO DAIRY SNACK VANILLA TUB 5.3 OUNCE X4</t>
  </si>
  <si>
    <t xml:space="preserve">:RATIO MILK DRINK BOTTLE 7 FLUID OUNCE </t>
  </si>
  <si>
    <t xml:space="preserve">:RATIO MILK DRINK GRADE A BOTTLE 7 FLUID OUNCE </t>
  </si>
  <si>
    <t xml:space="preserve">:RATIO YOGURT WITH TOPPING COCONUT CUP 4.7 OUNCE </t>
  </si>
  <si>
    <t xml:space="preserve">:RATIO YOGURT WITH TOPPING STRAWBERRY CUP 4.7 OUNCE </t>
  </si>
  <si>
    <t xml:space="preserve">:RATIO YOGURT WITH TOPPING VANILLA CUP 4.7 OUNCE </t>
  </si>
  <si>
    <t xml:space="preserve">HAAGEN-DAZS DAIRY SNACK BLACK CHERRY CREME CUP 4 OUNCE </t>
  </si>
  <si>
    <t xml:space="preserve">HAAGEN-DAZS DAIRY SNACK BLUEBERRY CREME CUP 4 OUNCE </t>
  </si>
  <si>
    <t xml:space="preserve">HAAGEN-DAZS DAIRY SNACK COFFEE CUP 4 OUNCE </t>
  </si>
  <si>
    <t xml:space="preserve">HAAGEN-DAZS DAIRY SNACK LEMON CREME CUP 4 OUNCE </t>
  </si>
  <si>
    <t xml:space="preserve">HAAGEN-DAZS DAIRY SNACK STRAWBERRY CUP 4 OUNCE </t>
  </si>
  <si>
    <t xml:space="preserve">HAAGEN-DAZS DAIRY SNACK VANILLA BEAN CREME CUP 4 OUNCE </t>
  </si>
  <si>
    <t>HAAGEN-DAZS DAIRY SNACK VANILLA BEAN CUP 4 OUNCE X8</t>
  </si>
  <si>
    <t xml:space="preserve">MOUNTAIN HIGH YOGHURT PLAIN CUP 64 OUNCE </t>
  </si>
  <si>
    <t xml:space="preserve">MOUNTAIN HIGH YOGHURT PLAIN TUB 32 OUNCE </t>
  </si>
  <si>
    <t xml:space="preserve">MOUNTAIN HIGH YOGHURT STRAWBERRY TUB 32 OUNCE </t>
  </si>
  <si>
    <t xml:space="preserve">MOUNTAIN HIGH YOGHURT VANILLA TUB 32 OUNCE </t>
  </si>
  <si>
    <t xml:space="preserve">YO BITES DAIRY SNACK MIXED BERRY BAG 5.1 OUNCE </t>
  </si>
  <si>
    <t xml:space="preserve">YO BITES DAIRY SNACK STRAWBERRY BAG 5.1 OUNCE </t>
  </si>
  <si>
    <t>YOPLAIT GO-GURT DUNKERS COOKIE WITH YOGURT MOLDED TRAY 2.2 OUNCE X4</t>
  </si>
  <si>
    <t xml:space="preserve">YOPLAIT GO-GURT SLUSHIE YOGURT-SPOONABLE-REFRIGERATED BOX 16 OUNCE </t>
  </si>
  <si>
    <t xml:space="preserve">YOPLAIT GO-GURT SLUSHIE YOGURT-SPOONABLE-REFRIGERATED BOX 32 OUNCE </t>
  </si>
  <si>
    <t xml:space="preserve">YOPLAIT GO-GURT SLUSHIE YOGURT-SPOONABLE-REFRIGERATED BOX 40 OUNCE </t>
  </si>
  <si>
    <t>YOPLAIT GO-GURT YOGURT BERRY TUBE 2 OUNCE X8</t>
  </si>
  <si>
    <t>YOPLAIT GO-GURT YOGURT COTTON CANDY TUBE 2 OUNCE X8</t>
  </si>
  <si>
    <t>YOPLAIT GO-GURT YOGURT STRAWBERRY TUBE 2 OUNCE X8</t>
  </si>
  <si>
    <t xml:space="preserve">YOPLAIT GO-GURT YOGURT-SPOONABLE-REFRIGERATED BOX 16 OUNCE </t>
  </si>
  <si>
    <t xml:space="preserve">YOPLAIT GO-GURT YOGURT-SPOONABLE-REFRIGERATED BOX 32 OUNCE </t>
  </si>
  <si>
    <t xml:space="preserve">YOPLAIT GO-GURT YOGURT-SPOONABLE-REFRIGERATED BOX 40 OUNCE </t>
  </si>
  <si>
    <t xml:space="preserve">YOPLAIT GO-GURT YOGURT-SPOONABLE-REFRIGERATED BOX 48 OUNCE </t>
  </si>
  <si>
    <t xml:space="preserve">YOPLAIT GO-GURT YOGURT-SPOONABLE-REFRIGERATED BOX 54 OUNCE </t>
  </si>
  <si>
    <t xml:space="preserve">YOPLAIT GO-GURT YOGURT-SPOONABLE-REFRIGERATED BOX 64 OUNCE </t>
  </si>
  <si>
    <t>YOPLAIT KIDS YOGURT ROYAL STRAWBERRY BANANA TUB 3 OUNCE X4</t>
  </si>
  <si>
    <t xml:space="preserve">YOPLAIT LIGHT YOGURT BANANA CREAM PIE TUB 6 OUNCE </t>
  </si>
  <si>
    <t xml:space="preserve">YOPLAIT LIGHT YOGURT BLUEBERRY PATCH TUB 6 OUNCE </t>
  </si>
  <si>
    <t xml:space="preserve">YOPLAIT LIGHT YOGURT BOSTON CREAM PIE TUB 6 OUNCE </t>
  </si>
  <si>
    <t xml:space="preserve">YOPLAIT LIGHT YOGURT CHERRY TUB 6 OUNCE </t>
  </si>
  <si>
    <t xml:space="preserve">YOPLAIT LIGHT YOGURT HARVEST PEACH TUB 6 OUNCE </t>
  </si>
  <si>
    <t xml:space="preserve">YOPLAIT LIGHT YOGURT KEY LIME PIE TUB 6 OUNCE </t>
  </si>
  <si>
    <t xml:space="preserve">YOPLAIT LIGHT YOGURT ORANGE CREME TUB 6 OUNCE </t>
  </si>
  <si>
    <t xml:space="preserve">YOPLAIT LIGHT YOGURT RED RASPBERRY TUB 6 OUNCE </t>
  </si>
  <si>
    <t xml:space="preserve">YOPLAIT LIGHT YOGURT STRAWBERRIES N BANANAS TUB 6 OUNCE </t>
  </si>
  <si>
    <t xml:space="preserve">YOPLAIT LIGHT YOGURT STRAWBERRY TUB 6 OUNCE </t>
  </si>
  <si>
    <t>YOPLAIT LIGHT YOGURT VERY VANILLA TUB 6 OUNCE X4</t>
  </si>
  <si>
    <t>YOPLAIT LIGHT YOGURT WITH TOPPING BLUEBERRY TUB 6 OUNCE X2</t>
  </si>
  <si>
    <t>YOPLAIT LIGHT YOGURT WITH TOPPING STRAWBERRY TUB 6 OUNCE X2</t>
  </si>
  <si>
    <t xml:space="preserve">YOPLAIT LIGHT YOGURT-SPOONABLE-REFRIGERATED MULTI PACK BOX 144 OUNCE </t>
  </si>
  <si>
    <t xml:space="preserve">YOPLAIT LIGHT YOGURT-SPOONABLE-REFRIGERATED SLEEVE 48 OUNCE </t>
  </si>
  <si>
    <t xml:space="preserve">YOPLAIT OUI YOGURT BLACK CHERRY TUB 5 OUNCE </t>
  </si>
  <si>
    <t xml:space="preserve">YOPLAIT OUI YOGURT BLACKBERRY TUB 5 OUNCE </t>
  </si>
  <si>
    <t xml:space="preserve">YOPLAIT OUI YOGURT BLUEBERRY JAR 5 OUNCE </t>
  </si>
  <si>
    <t xml:space="preserve">YOPLAIT OUI YOGURT CARAMEL AND CHOCOLATE JAR 5 OUNCE </t>
  </si>
  <si>
    <t xml:space="preserve">YOPLAIT OUI YOGURT CARAMELIZED BANANA JAR 5 OUNCE </t>
  </si>
  <si>
    <t xml:space="preserve">YOPLAIT OUI YOGURT COCONUT JAR 5 OUNCE </t>
  </si>
  <si>
    <t xml:space="preserve">YOPLAIT OUI YOGURT COCONUT TUB 5 OUNCE </t>
  </si>
  <si>
    <t xml:space="preserve">YOPLAIT OUI YOGURT COFFEE JAR 5 OUNCE </t>
  </si>
  <si>
    <t xml:space="preserve">YOPLAIT OUI YOGURT HONEY TUB 5 OUNCE </t>
  </si>
  <si>
    <t xml:space="preserve">YOPLAIT OUI YOGURT KEY LIME TUB 5 OUNCE </t>
  </si>
  <si>
    <t xml:space="preserve">YOPLAIT OUI YOGURT LEMON TUB 5 OUNCE </t>
  </si>
  <si>
    <t xml:space="preserve">YOPLAIT OUI YOGURT MANGO JAR 5 OUNCE </t>
  </si>
  <si>
    <t xml:space="preserve">YOPLAIT OUI YOGURT MANGO TUB 5 OUNCE </t>
  </si>
  <si>
    <t xml:space="preserve">YOPLAIT OUI YOGURT MAPLE TUB 5 OUNCE </t>
  </si>
  <si>
    <t xml:space="preserve">YOPLAIT OUI YOGURT MOCHA AND CHOCOLATE JAR 5 OUNCE </t>
  </si>
  <si>
    <t xml:space="preserve">YOPLAIT OUI YOGURT PEACH TUB 5 OUNCE </t>
  </si>
  <si>
    <t xml:space="preserve">YOPLAIT OUI YOGURT PINEAPPLE JAR 5 OUNCE </t>
  </si>
  <si>
    <t xml:space="preserve">YOPLAIT OUI YOGURT PUMPKIN CARAMEL JAR 5 OUNCE </t>
  </si>
  <si>
    <t xml:space="preserve">YOPLAIT OUI YOGURT RASPBERRY AND CHOCOLATE JAR 5 OUNCE </t>
  </si>
  <si>
    <t xml:space="preserve">YOPLAIT OUI YOGURT RASPBERRY JAR 5 OUNCE </t>
  </si>
  <si>
    <t xml:space="preserve">YOPLAIT OUI YOGURT RASPBERRY TUB 5 OUNCE </t>
  </si>
  <si>
    <t>YOPLAIT OUI YOGURT SEA SALT CARAMEL JAR 3.5 OUNCE X2</t>
  </si>
  <si>
    <t xml:space="preserve">YOPLAIT OUI YOGURT STRAWBERRY JAR 5 OUNCE </t>
  </si>
  <si>
    <t xml:space="preserve">YOPLAIT OUI YOGURT STRAWBERRY TUB 5 OUNCE </t>
  </si>
  <si>
    <t>YOPLAIT OUI YOGURT STRAWBERRY TUB 5 OUNCE X4</t>
  </si>
  <si>
    <t xml:space="preserve">YOPLAIT OUI YOGURT VANILLA AND CHOCOLATE JAR 5 OUNCE </t>
  </si>
  <si>
    <t xml:space="preserve">YOPLAIT OUI YOGURT VANILLA JAR 5 OUNCE </t>
  </si>
  <si>
    <t>YOPLAIT OUI YOGURT VANILLA JAR 5 OUNCE X4</t>
  </si>
  <si>
    <t>YOPLAIT OUI YOGURT VANILLA JAR 5 OUNCE X8</t>
  </si>
  <si>
    <t xml:space="preserve">YOPLAIT OUI YOGURT VANILLA TUB 5 OUNCE </t>
  </si>
  <si>
    <t xml:space="preserve">YOPLAIT OUI YOGURT-SPOONABLE-REFRIGERATED BOX 40 OUNCE </t>
  </si>
  <si>
    <t>YOPLAIT SIMPLY... GO-GURT YOGURT STRAWBERRY TUBE 2 OUNCE X8</t>
  </si>
  <si>
    <t xml:space="preserve">YOPLAIT SIMPLY... GO-GURT YOGURT-SPOONABLE-REFRIGERATED BOX 16 OUNCE </t>
  </si>
  <si>
    <t xml:space="preserve">YOPLAIT SIMPLY... GO-GURT YOGURT-SPOONABLE-REFRIGERATED BOX 32 OUNCE </t>
  </si>
  <si>
    <t xml:space="preserve">YOPLAIT SIMPLY... GO-GURT YOGURT-SPOONABLE-REFRIGERATED BOX 36 OUNCE </t>
  </si>
  <si>
    <t xml:space="preserve">YOPLAIT SIMPLY... GO-GURT YOGURT-SPOONABLE-REFRIGERATED BOX 40 OUNCE </t>
  </si>
  <si>
    <t xml:space="preserve">YOPLAIT STARBURST YOGURT CHERRY CUP 6 OUNCE </t>
  </si>
  <si>
    <t xml:space="preserve">YOPLAIT STARBURST YOGURT STRAWBERRY CUP 6 OUNCE </t>
  </si>
  <si>
    <t xml:space="preserve">YOPLAIT THICK &amp; CREAMY YOGURT VANILLA TUB 6 OUNCE </t>
  </si>
  <si>
    <t xml:space="preserve">YOPLAIT TRIX YOGURT STRAWBERRY BANANA BASH TUB 4 OUNCE </t>
  </si>
  <si>
    <t xml:space="preserve">YOPLAIT TRIX YOGURT WITH TOPPING STRAWBERRY CUP 4.27 OUNCE </t>
  </si>
  <si>
    <t xml:space="preserve">YOPLAIT TRIX YOGURT-SPOONABLE-REFRIGERATED SLEEVE 32 OUNCE </t>
  </si>
  <si>
    <t xml:space="preserve">YOPLAIT WHIPS! YOGURT CHERRY CHEESECAKE MOUSSE TUB 4 OUNCE </t>
  </si>
  <si>
    <t xml:space="preserve">YOPLAIT WHIPS! YOGURT CHOCOLATE MOUSSE TUB 4 OUNCE </t>
  </si>
  <si>
    <t xml:space="preserve">YOPLAIT WHIPS! YOGURT COCONUT CREME MOUSSE TUB 4 OUNCE </t>
  </si>
  <si>
    <t xml:space="preserve">YOPLAIT WHIPS! YOGURT KEY LIME PIE MOUSSE TUB 4 OUNCE </t>
  </si>
  <si>
    <t xml:space="preserve">YOPLAIT WHIPS! YOGURT ORANGE CREME MOUSSE TUB 4 OUNCE </t>
  </si>
  <si>
    <t xml:space="preserve">YOPLAIT WHIPS! YOGURT RASPBERRY MOUSSE TUB 4 OUNCE </t>
  </si>
  <si>
    <t xml:space="preserve">YOPLAIT WHIPS! YOGURT SEA SALT CARAMEL MOUSSE CUP 4 OUNCE </t>
  </si>
  <si>
    <t xml:space="preserve">YOPLAIT WHIPS! YOGURT STRAWBERRY MIST MOUSSE TUB 4 OUNCE </t>
  </si>
  <si>
    <t xml:space="preserve">YOPLAIT WHIPS! YOGURT VANILLA CREME MOUSSE TUB 4 OUNCE </t>
  </si>
  <si>
    <t xml:space="preserve">YOPLAIT YOGURT BLACK CHERRY TUB 5.3 OUNCE </t>
  </si>
  <si>
    <t xml:space="preserve">YOPLAIT YOGURT BLACKBERRY HARVEST TUB 6 OUNCE </t>
  </si>
  <si>
    <t xml:space="preserve">YOPLAIT YOGURT BLACKBERRY POMEGRANATE TUB 6 OUNCE </t>
  </si>
  <si>
    <t xml:space="preserve">YOPLAIT YOGURT BLUEBERRY CUP 6 OUNCE </t>
  </si>
  <si>
    <t xml:space="preserve">YOPLAIT YOGURT BLUEBERRY TUB 32 OUNCE </t>
  </si>
  <si>
    <t xml:space="preserve">YOPLAIT YOGURT BLUEBERRY TUB 5.3 OUNCE </t>
  </si>
  <si>
    <t xml:space="preserve">YOPLAIT YOGURT CHERRY AND CHOCOLATE CUP 6 OUNCE </t>
  </si>
  <si>
    <t xml:space="preserve">YOPLAIT YOGURT CHERRY CUP 6 OUNCE </t>
  </si>
  <si>
    <t xml:space="preserve">YOPLAIT YOGURT CHERRY ORCHARD CUP 6 OUNCE </t>
  </si>
  <si>
    <t xml:space="preserve">YOPLAIT YOGURT COOKIES N CREAM TUB 6 OUNCE </t>
  </si>
  <si>
    <t xml:space="preserve">YOPLAIT YOGURT FRENCH VANILLA CUP 6 OUNCE </t>
  </si>
  <si>
    <t>YOPLAIT YOGURT FRENCH VANILLA CUP 6 OUNCE X8</t>
  </si>
  <si>
    <t xml:space="preserve">YOPLAIT YOGURT FRENCH VANILLA TUB 6 OUNCE </t>
  </si>
  <si>
    <t xml:space="preserve">YOPLAIT YOGURT HARVEST PEACH CUP 6 OUNCE </t>
  </si>
  <si>
    <t>YOPLAIT YOGURT HARVEST PEACH CUP 6 OUNCE X8</t>
  </si>
  <si>
    <t xml:space="preserve">YOPLAIT YOGURT HARVEST PEACH TUB 32 OUNCE </t>
  </si>
  <si>
    <t xml:space="preserve">YOPLAIT YOGURT HARVEST PEACH TUB 6 OUNCE </t>
  </si>
  <si>
    <t>YOPLAIT YOGURT HARVEST PEACH TUB 6 OUNCE X4</t>
  </si>
  <si>
    <t xml:space="preserve">YOPLAIT YOGURT KEY LIME PIE TUB 6 OUNCE </t>
  </si>
  <si>
    <t xml:space="preserve">YOPLAIT YOGURT LEMON BURST TUB 6 OUNCE </t>
  </si>
  <si>
    <t xml:space="preserve">YOPLAIT YOGURT MIXED BERRY TUB 5.3 OUNCE </t>
  </si>
  <si>
    <t xml:space="preserve">YOPLAIT YOGURT MIXED BERRY TUB 6 OUNCE </t>
  </si>
  <si>
    <t xml:space="preserve">YOPLAIT YOGURT MOUNTAIN BLUEBERRY CUP 6 OUNCE </t>
  </si>
  <si>
    <t xml:space="preserve">YOPLAIT YOGURT ORANGE CREME TUB 6 OUNCE </t>
  </si>
  <si>
    <t xml:space="preserve">YOPLAIT YOGURT ORIGINAL TUB 6 OUNCE </t>
  </si>
  <si>
    <t xml:space="preserve">YOPLAIT YOGURT PEACH TUB 5.3 OUNCE </t>
  </si>
  <si>
    <t xml:space="preserve">YOPLAIT YOGURT PINA COLADA CUP 6 OUNCE </t>
  </si>
  <si>
    <t xml:space="preserve">YOPLAIT YOGURT PINEAPPLE TUB 6 OUNCE </t>
  </si>
  <si>
    <t xml:space="preserve">YOPLAIT YOGURT RASPBERRY AND CHOCOLATE CUP 6 OUNCE </t>
  </si>
  <si>
    <t xml:space="preserve">YOPLAIT YOGURT RASPBERRY CUP 6 OUNCE </t>
  </si>
  <si>
    <t xml:space="preserve">YOPLAIT YOGURT RED RASPBERRY TUB 6 OUNCE </t>
  </si>
  <si>
    <t xml:space="preserve">YOPLAIT YOGURT STRAWBERRY BANANA CUP 6 OUNCE </t>
  </si>
  <si>
    <t xml:space="preserve">YOPLAIT YOGURT STRAWBERRY BANANA TUB 32 OUNCE </t>
  </si>
  <si>
    <t xml:space="preserve">YOPLAIT YOGURT STRAWBERRY BANANA TUB 5.3 OUNCE </t>
  </si>
  <si>
    <t xml:space="preserve">YOPLAIT YOGURT STRAWBERRY CHEESECAKE TUB 6 OUNCE </t>
  </si>
  <si>
    <t xml:space="preserve">YOPLAIT YOGURT STRAWBERRY CUP 6 OUNCE </t>
  </si>
  <si>
    <t>YOPLAIT YOGURT STRAWBERRY CUP 6 OUNCE X8</t>
  </si>
  <si>
    <t xml:space="preserve">YOPLAIT YOGURT STRAWBERRY KIWI TUB 6 OUNCE </t>
  </si>
  <si>
    <t xml:space="preserve">YOPLAIT YOGURT STRAWBERRY MANGO CUP 6 OUNCE </t>
  </si>
  <si>
    <t xml:space="preserve">YOPLAIT YOGURT STRAWBERRY TUB 32 OUNCE </t>
  </si>
  <si>
    <t xml:space="preserve">YOPLAIT YOGURT STRAWBERRY TUB 5.3 OUNCE </t>
  </si>
  <si>
    <t xml:space="preserve">YOPLAIT YOGURT STRAWBERRY TUB 6 OUNCE </t>
  </si>
  <si>
    <t>YOPLAIT YOGURT STRAWBERRY TUB 6 OUNCE X4</t>
  </si>
  <si>
    <t xml:space="preserve">YOPLAIT YOGURT TROPICAL PUNCH CUP 6 OUNCE </t>
  </si>
  <si>
    <t xml:space="preserve">YOPLAIT YOGURT UNFLAVORED TUB 6 OUNCE </t>
  </si>
  <si>
    <t xml:space="preserve">YOPLAIT YOGURT VANILLA TUB 32 OUNCE </t>
  </si>
  <si>
    <t xml:space="preserve">YOPLAIT YOGURT VANILLA TUB 5.3 OUNCE </t>
  </si>
  <si>
    <t xml:space="preserve">YOPLAIT YOGURT VERY VANILLA CUP 6 OUNCE </t>
  </si>
  <si>
    <t xml:space="preserve">YOPLAIT YOGURT WILD BERRY TUB 6 OUNCE </t>
  </si>
  <si>
    <t xml:space="preserve">YOPLAIT YOGURT WITH TOPPING CINNAMON VANILLA CUP 4.27 OUNCE </t>
  </si>
  <si>
    <t xml:space="preserve">YOPLAIT YOGURT WITH TOPPING VANILLA CUP 4.27 OUNCE </t>
  </si>
  <si>
    <t xml:space="preserve">YOPLAIT YOGURT WITH TOPPING VANILLA CUP 4.31 OUNCE </t>
  </si>
  <si>
    <t xml:space="preserve">YOPLAIT YOGURT-SPOONABLE-REFRIGERATED BOX 144 OUNCE </t>
  </si>
  <si>
    <t xml:space="preserve">YOPLAIT YOGURT-SPOONABLE-REFRIGERATED BOX 32 OUNCE </t>
  </si>
  <si>
    <t xml:space="preserve">YOPLAIT YOGURT-SPOONABLE-REFRIGERATED BOX 48 OUNCE </t>
  </si>
  <si>
    <t xml:space="preserve">YOPLAIT YOGURT-SPOONABLE-REFRIGERATED BOX 64 OUNCE </t>
  </si>
  <si>
    <t xml:space="preserve">YOPLAIT YOGURT-SPOONABLE-REFRIGERATED BOX 96 OUNCE </t>
  </si>
  <si>
    <t xml:space="preserve">YOPLAIT YOGURT-SPOONABLE-REFRIGERATED SLEEVE 32 OUNCE </t>
  </si>
  <si>
    <t xml:space="preserve">YOPLAIT YOGURT-SPOONABLE-REFRIGERATED SLEEVE 48 OUNCE </t>
  </si>
  <si>
    <t xml:space="preserve">YOPLAIT YOGURT-SPOONABLE-REFRIGERATED SLEEVE 72 OUNCE </t>
  </si>
  <si>
    <t>SALTY SNACKS</t>
  </si>
  <si>
    <t xml:space="preserve">ANNIE'S HOMEGROWN CHEESE PUFF BAKED NOT FRIED CHEDDAR CHEESY CORN PUFF BAG 12.5 OUNCE </t>
  </si>
  <si>
    <t xml:space="preserve">ANNIE'S HOMEGROWN CHEESE PUFF BAKED NOT FRIED CHEDDAR CHEESY CORN PUFF BAG 4 OUNCE </t>
  </si>
  <si>
    <t xml:space="preserve">ANNIE'S HOMEGROWN SNACK MIX CHEDDAR MULTIPLE FORM BAG 2.5 OUNCE </t>
  </si>
  <si>
    <t xml:space="preserve">ANNIE'S HOMEGROWN SNCK MIX BNS SNACK MIX CHEDDAR BUNNIES BOX 9 OUNCE </t>
  </si>
  <si>
    <t xml:space="preserve">ANNIE'S HOMEGROWN SNCK MIX BNS SNACK MIX UNFLAVORED BUNNIES BOX 9 OUNCE </t>
  </si>
  <si>
    <t xml:space="preserve">CHEX MIX MAX'D SNACK MIX BUFFALO RANCH MULTIPLE FORM BAG 4.25 OUNCE </t>
  </si>
  <si>
    <t xml:space="preserve">CHEX MIX MAX'D SNACK MIX BUFFALO RANCH MULTIPLE FORM BAG 7.5 OUNCE </t>
  </si>
  <si>
    <t xml:space="preserve">CHEX MIX MAX'D SNACK MIX SPICY DILL MULTIPLE FORM BAG 4.25 OUNCE </t>
  </si>
  <si>
    <t xml:space="preserve">CHEX MIX MUDDY BUDDIES CEREAL MIX PEANUT BUTTER CHOCOLATE SQUARE BAG 10.5 OUNCE </t>
  </si>
  <si>
    <t xml:space="preserve">CHEX MIX MUDDY BUDDIES CEREAL MIX PEANUT BUTTER CHOCOLATE SQUARE BAG 11.75 OUNCE </t>
  </si>
  <si>
    <t xml:space="preserve">CHEX MIX MUDDY BUDDIES CEREAL MIX PEANUT BUTTER CHOCOLATE SQUARE BAG 4.5 OUNCE </t>
  </si>
  <si>
    <t xml:space="preserve">CHEX MIX MUDDY BUDDIES SNACK MIX BROWNIE SUPREME SQUARE BAG 10.5 OUNCE </t>
  </si>
  <si>
    <t xml:space="preserve">CHEX MIX MUDDY BUDDIES SNACK MIX BROWNIE SUPREME SQUARE BAG 4.5 OUNCE </t>
  </si>
  <si>
    <t xml:space="preserve">CHEX MIX MUDDY BUDDIES SNACK MIX COOKIES AND CREAM SQUARE BAG 10.5 OUNCE </t>
  </si>
  <si>
    <t xml:space="preserve">CHEX MIX MUDDY BUDDIES SNACK MIX COOKIES AND CREAM SQUARE BAG 4.25 OUNCE </t>
  </si>
  <si>
    <t xml:space="preserve">CHEX MIX MUDDY BUDDIES SNACK MIX COOKIES AND CREAM SQUARE BAG 7 OUNCE </t>
  </si>
  <si>
    <t xml:space="preserve">CHEX MIX MUDDY BUDDIES SNACK MIX FUNFETTI SQUARE BAG 4.25 OUNCE </t>
  </si>
  <si>
    <t xml:space="preserve">CHEX MIX MUDDY BUDDIES SNACK MIX FUNFETTI SQUARE BAG 9 OUNCE </t>
  </si>
  <si>
    <t xml:space="preserve">CHEX MIX MUDDY BUDDIES SNACK MIX MINT CHOCOLATE SQUARE BAG 4.5 OUNCE </t>
  </si>
  <si>
    <t xml:space="preserve">CHEX MIX MUDDY BUDDIES SNACK MIX PEANUT BUTTER AND CHOCOLATE SQUARE BAG 2.25 OUNCE </t>
  </si>
  <si>
    <t>CHEX MIX MUDDY BUDDIES SNACK MIX PEANUT BUTTER CHOCOLATE PILLOW BAG 1.75 OUNCE X30</t>
  </si>
  <si>
    <t xml:space="preserve">CHEX MIX MUDDY BUDDIES SNACK MIX PEANUT BUTTER CHOCOLATE SQUARE BAG 2.25 OUNCE </t>
  </si>
  <si>
    <t xml:space="preserve">CHEX MIX MUDDY BUDDIES SNACK MIX PEANUT BUTTER CHOCOLATE SQUARE BAG 7 OUNCE </t>
  </si>
  <si>
    <t xml:space="preserve">CHEX MIX SNACK MIX BOLD PARTY BLEND MULTIPLE FORM BAG 15 OUNCE </t>
  </si>
  <si>
    <t xml:space="preserve">CHEX MIX SNACK MIX BOLD PARTY BLEND MULTIPLE FORM BAG 3.75 OUNCE </t>
  </si>
  <si>
    <t xml:space="preserve">CHEX MIX SNACK MIX BOLD PARTY BLEND MULTIPLE FORM BAG 32.5 OUNCE </t>
  </si>
  <si>
    <t xml:space="preserve">CHEX MIX SNACK MIX BOLD PARTY BLEND MULTIPLE FORM BAG 8.75 OUNCE </t>
  </si>
  <si>
    <t>CHEX MIX SNACK MIX CHEDDAR MULTIPLE FORM BAG 1.75 OUNCE X10</t>
  </si>
  <si>
    <t xml:space="preserve">CHEX MIX SNACK MIX CHEDDAR MULTIPLE FORM BAG 15 OUNCE </t>
  </si>
  <si>
    <t xml:space="preserve">CHEX MIX SNACK MIX CHEDDAR MULTIPLE FORM BAG 3.75 OUNCE </t>
  </si>
  <si>
    <t xml:space="preserve">CHEX MIX SNACK MIX CHEDDAR MULTIPLE FORM BAG 8.75 OUNCE </t>
  </si>
  <si>
    <t xml:space="preserve">CHEX MIX SNACK MIX CHEESY PIZZA MULTIPLE FORM BAG 11 OUNCE </t>
  </si>
  <si>
    <t xml:space="preserve">CHEX MIX SNACK MIX CHEESY PIZZA MULTIPLE FORM BAG 4.25 OUNCE </t>
  </si>
  <si>
    <t xml:space="preserve">CHEX MIX SNACK MIX CHEESY PIZZA MULTIPLE FORM BAG 7 OUNCE </t>
  </si>
  <si>
    <t xml:space="preserve">CHEX MIX SNACK MIX CHOCOLATE TURTLE MULTIPLE FORM BAG 4.5 OUNCE </t>
  </si>
  <si>
    <t xml:space="preserve">CHEX MIX SNACK MIX DARK CHOCOLATE MULTIPLE FORM BAG 7 OUNCE </t>
  </si>
  <si>
    <t xml:space="preserve">CHEX MIX SNACK MIX HONEY BBQ MULTIPLE FORM BAG 3.75 OUNCE </t>
  </si>
  <si>
    <t xml:space="preserve">CHEX MIX SNACK MIX HONEY BBQ MULTIPLE FORM BAG 8.75 OUNCE </t>
  </si>
  <si>
    <t xml:space="preserve">CHEX MIX SNACK MIX JALAPENO CHEDDAR MULTIPLE FORM BAG 3.75 OUNCE </t>
  </si>
  <si>
    <t xml:space="preserve">CHEX MIX SNACK MIX SAVORY MULTIPLE FORM BAG 31 OUNCE </t>
  </si>
  <si>
    <t xml:space="preserve">CHEX MIX SNACK MIX SOUR CREAM AND ONION MULTIPLE FORM BAG 8.75 OUNCE </t>
  </si>
  <si>
    <t xml:space="preserve">CHEX MIX SNACK MIX SWEET AND SALTY HONEY NUT MULTIPLE FORM BAG 8.75 OUNCE </t>
  </si>
  <si>
    <t xml:space="preserve">CHEX MIX SNACK MIX SWEET N SALTY HONEY NUT MULTIPLE FORM BAG 15 OUNCE </t>
  </si>
  <si>
    <t>CHEX MIX SNACK MIX TRADITIONAL MULTIPLE FORM BAG 1.75 OUNCE X42</t>
  </si>
  <si>
    <t xml:space="preserve">CHEX MIX SNACK MIX TRADITIONAL MULTIPLE FORM BAG 8.75 OUNCE </t>
  </si>
  <si>
    <t xml:space="preserve">CHEX MIX SNACK MIX TURTLE MULTIPLE FORM BAG 14 OUNCE </t>
  </si>
  <si>
    <t xml:space="preserve">CHEX MIX SNACK MIX TURTLE MULTIPLE FORM BAG 8 OUNCE </t>
  </si>
  <si>
    <t>CHEX MIX SNACK MIX UNFLAVORED MULTIPLE FORM BAG 1.75 OUNCE X10</t>
  </si>
  <si>
    <t xml:space="preserve">CHEX MIX SNACK MIX UNFLAVORED MULTIPLE FORM BAG 15 OUNCE </t>
  </si>
  <si>
    <t xml:space="preserve">CHEX MIX SNACK MIX UNFLAVORED MULTIPLE FORM BAG 3.75 OUNCE </t>
  </si>
  <si>
    <t xml:space="preserve">CHEX MIX SNACK MIX UNFLAVORED MULTIPLE FORM BAG 40 OUNCE </t>
  </si>
  <si>
    <t xml:space="preserve">CHEX MIX SNACK MIX WHITE CHEDDAR MULTIPLE FORM BAG 15 OUNCE </t>
  </si>
  <si>
    <t xml:space="preserve">CHEX MIX SNACK MIX WHITE CHEDDAR MULTIPLE FORM BAG 8.75 OUNCE </t>
  </si>
  <si>
    <t xml:space="preserve">CHEX MIX SNACK MIX ZESTY TACO MULTIPLE FORM BAG 11 OUNCE </t>
  </si>
  <si>
    <t xml:space="preserve">CHEX MIX SNACK MIX ZESTY TACO MULTIPLE FORM BAG 4.25 OUNCE </t>
  </si>
  <si>
    <t xml:space="preserve">CHEX MIX SNACK MIX ZESTY TACO MULTIPLE FORM BAG 7 OUNCE </t>
  </si>
  <si>
    <t xml:space="preserve">CHEX MIX SNACKS-REMAINING MIX IT UP BOX 52.5 OUNCE </t>
  </si>
  <si>
    <t xml:space="preserve">CHEX MIX TRAIL MIX SWEET AND SALTY BAG 8.75 OUNCE </t>
  </si>
  <si>
    <t xml:space="preserve">GARDETTO'S RYE CHIP GARLIC CHIP BAG 4.75 OUNCE </t>
  </si>
  <si>
    <t xml:space="preserve">GARDETTO'S RYE CHIP ROASTED GARLIC CHIP BAG 14 OUNCE </t>
  </si>
  <si>
    <t xml:space="preserve">GARDETTO'S RYE CHIP ROASTED GARLIC CHIP BAG 4.75 OUNCE </t>
  </si>
  <si>
    <t xml:space="preserve">GARDETTO'S RYE CHIP ROASTED GARLIC CHIP BAG 8 OUNCE </t>
  </si>
  <si>
    <t xml:space="preserve">GARDETTO'S SNACK MIX CHIPOTLE CHEDDAR MULTIPLE FORM BAG 5.5 OUNCE </t>
  </si>
  <si>
    <t xml:space="preserve">GARDETTO'S SNACK MIX ITALIAN CHEESE BLEND MULTIPLE FORM BAG 5.5 OUNCE </t>
  </si>
  <si>
    <t xml:space="preserve">GARDETTO'S SNACK MIX ITALIAN MULTIPLE FORM BAG 5 OUNCE </t>
  </si>
  <si>
    <t xml:space="preserve">GARDETTO'S SNACK MIX PIZZERIA MULTIPLE FORM BAG 14.5 OUNCE </t>
  </si>
  <si>
    <t xml:space="preserve">GARDETTO'S SNACK MIX PIZZERIA MULTIPLE FORM BAG 8.6 OUNCE </t>
  </si>
  <si>
    <t xml:space="preserve">GARDETTO'S SNACK MIX SPICY ITALIAN MULTIPLE FORM BAG 14.5 OUNCE </t>
  </si>
  <si>
    <t>GARDETTO'S SNACK MIX UNFLAVORED MULTIPLE FORM BAG 1.75 OUNCE X10</t>
  </si>
  <si>
    <t>GARDETTO'S SNACK MIX UNFLAVORED MULTIPLE FORM BAG 1.75 OUNCE X42</t>
  </si>
  <si>
    <t xml:space="preserve">GARDETTO'S SNACK MIX UNFLAVORED MULTIPLE FORM BAG 14.5 OUNCE </t>
  </si>
  <si>
    <t xml:space="preserve">GARDETTO'S SNACK MIX UNFLAVORED MULTIPLE FORM BAG 19.3 OUNCE </t>
  </si>
  <si>
    <t xml:space="preserve">GARDETTO'S SNACK MIX UNFLAVORED MULTIPLE FORM BAG 3.75 OUNCE </t>
  </si>
  <si>
    <t xml:space="preserve">GARDETTO'S SNACK MIX UNFLAVORED MULTIPLE FORM BAG 40 OUNCE </t>
  </si>
  <si>
    <t xml:space="preserve">GARDETTO'S SNACK MIX UNFLAVORED MULTIPLE FORM BAG 8.6 OUNCE </t>
  </si>
  <si>
    <t xml:space="preserve">GARDETTO'S SNAK-ENS PRETZEL MUSTARD MULTIPLE FORM BAG 5.5 OUNCE </t>
  </si>
  <si>
    <t xml:space="preserve">GARDETTO'S SNAK-ENS SNACK MIX UNFLAVORED MULTIPLE FORM BAG 5.5 OUNCE </t>
  </si>
  <si>
    <t xml:space="preserve">GENERAL MILLS BUGLES BUGLE CHURRO HORN BAG 3 OUNCE </t>
  </si>
  <si>
    <t xml:space="preserve">GENERAL MILLS BUGLES BUGLE NACHO CHEESE HORN BAG 14.5 OUNCE </t>
  </si>
  <si>
    <t xml:space="preserve">GENERAL MILLS BUGLES BUGLE NACHO CHEESE HORN BAG 3 OUNCE </t>
  </si>
  <si>
    <t xml:space="preserve">GENERAL MILLS BUGLES BUGLE NACHO CHEESE HORN BAG 3.7 OUNCE </t>
  </si>
  <si>
    <t xml:space="preserve">GENERAL MILLS BUGLES BUGLE NACHO CHEESE HORN BAG 4.1 OUNCE </t>
  </si>
  <si>
    <t xml:space="preserve">GENERAL MILLS BUGLES BUGLE NACHO CHEESE HORN BAG 7.5 OUNCE </t>
  </si>
  <si>
    <t>GENERAL MILLS BUGLES BUGLE ORIGINAL HORN BAG .875 OUNCE X10</t>
  </si>
  <si>
    <t>GENERAL MILLS BUGLES BUGLE ORIGINAL HORN BAG .875 OUNCE X30</t>
  </si>
  <si>
    <t xml:space="preserve">GENERAL MILLS BUGLES BUGLE ORIGINAL HORN BAG 14.5 OUNCE </t>
  </si>
  <si>
    <t xml:space="preserve">GENERAL MILLS BUGLES BUGLE ORIGINAL HORN BAG 3 OUNCE </t>
  </si>
  <si>
    <t xml:space="preserve">GENERAL MILLS BUGLES BUGLE ORIGINAL HORN BAG 3.7 OUNCE </t>
  </si>
  <si>
    <t xml:space="preserve">GENERAL MILLS BUGLES BUGLE ORIGINAL HORN BAG 4.1 OUNCE </t>
  </si>
  <si>
    <t xml:space="preserve">GENERAL MILLS BUGLES BUGLE ORIGINAL HORN BAG 7.5 OUNCE </t>
  </si>
  <si>
    <t xml:space="preserve">GENERAL MILLS BUGLES BUGLE RANCH HORN BAG 3 OUNCE </t>
  </si>
  <si>
    <t xml:space="preserve">GENERAL MILLS BUGLES BUGLE RANCH HORN BAG 7.5 OUNCE </t>
  </si>
  <si>
    <t xml:space="preserve">GENERAL MILLS BUGLES BUGLE SWEET AND SALTY CARAMEL HORN BAG 10.5 OUNCE </t>
  </si>
  <si>
    <t xml:space="preserve">GENERAL MILLS BUGLES BUGLE SWEET AND SALTY CARAMEL HORN BAG 6 OUNCE </t>
  </si>
  <si>
    <t xml:space="preserve">GENERAL MILLS BUGLES CORN SNACK RANCH CONE BAG 14.5 OUNCE </t>
  </si>
  <si>
    <t xml:space="preserve">GENERAL MILLS BUGLES CORN SNACK SWEET AND SALTY CARAMEL CONE BAG 3.5 OUNCE </t>
  </si>
  <si>
    <t xml:space="preserve">GENERAL MILLS CNMN TST CRNCH POPPED POPCORN UNFLAVORED BAG 2.25 OUNCE </t>
  </si>
  <si>
    <t xml:space="preserve">GENERAL MILLS CNMN TST CRNCH POPPED POPCORN UNFLAVORED BAG 7 OUNCE </t>
  </si>
  <si>
    <t xml:space="preserve">GENERAL MILLS COCOA PUFFS POPPED POPCORN COCOA GLAZE BAG 2.25 OUNCE </t>
  </si>
  <si>
    <t xml:space="preserve">GENERAL MILLS COCOA PUFFS POPPED POPCORN COCOA GLAZE BAG 7 OUNCE </t>
  </si>
  <si>
    <t xml:space="preserve">GENERAL MILLS SIMPLY CHEX SNACK MIX STRAWBERRY YOGURT PIECE BAG 14 OUNCE </t>
  </si>
  <si>
    <t xml:space="preserve">GENERAL MILLS SNACKS-REMAINING CLASSIC MIX BAG 26.25 OUNCE </t>
  </si>
  <si>
    <t xml:space="preserve">GENERAL MILLS SNACKS-REMAINING CLASSIC MIX BAG 28 OUNCE </t>
  </si>
  <si>
    <t xml:space="preserve">GENERAL MILLS TRIX POPPED POPCORN UNFLAVORED BAG 7 OUNCE </t>
  </si>
  <si>
    <t xml:space="preserve">MUDDY BUDDIES PRETZEL UNFLAVORED NUGGET BAG 9 OUNCE </t>
  </si>
  <si>
    <t xml:space="preserve">OLD EL PASO FIESTA CHIP CINNAMON CHURRO TWIST BAG 2 OUNCE </t>
  </si>
  <si>
    <t xml:space="preserve">OLD EL PASO FIESTA CHIP CINNAMON CHURRO TWIST JAR 5.5 OUNCE </t>
  </si>
  <si>
    <t xml:space="preserve">OLD EL PASO FIESTA CHIP QUESO TWIST BAG 12 OUNCE </t>
  </si>
  <si>
    <t xml:space="preserve">OLD EL PASO FIESTA CHIP QUESO TWIST BAG 2 OUNCE </t>
  </si>
  <si>
    <t xml:space="preserve">OLD EL PASO FIESTA CHIP QUESO TWIST BAG 5.5 OUNCE </t>
  </si>
  <si>
    <t xml:space="preserve">OLD EL PASO FIESTA CHIP SALSA VERDE TWIST BAG 5.5 OUNCE </t>
  </si>
  <si>
    <t xml:space="preserve">OLD EL PASO FIESTA CHIP ZESTY RANCH TWIST BAG 2 OUNCE </t>
  </si>
  <si>
    <t xml:space="preserve">OLD EL PASO FIESTA CHIP ZESTY RANCH TWIST BAG 5.5 OUNCE </t>
  </si>
  <si>
    <t xml:space="preserve">PILLSBURY FUNFETTI POPPED POPCORN UNFLAVORED BAG 20 OUNCE </t>
  </si>
  <si>
    <t xml:space="preserve">PILLSBURY FUNFETTI POPPED POPCORN UNFLAVORED BAG 7 OUNCE </t>
  </si>
  <si>
    <t xml:space="preserve">YOKI POTATO STICK BATATA PALHA STICK BAG 3.675 OUNCE </t>
  </si>
  <si>
    <t xml:space="preserve">YOKI POTATO STICK UNFLAVORED STICK BAG 3.5 OUNCE </t>
  </si>
  <si>
    <t>WET SOUP</t>
  </si>
  <si>
    <t xml:space="preserve">ANNIE'S HOMEGROWN SOUP BUNNY PASTA CHICKEN BROTH LIQUID CAN 14 OUNCE </t>
  </si>
  <si>
    <t xml:space="preserve">ANNIE'S HOMEGROWN SOUP CHICKEN NOODLE LIQUID CAN 14 OUNCE </t>
  </si>
  <si>
    <t xml:space="preserve">ANNIE'S HOMEGROWN SOUP CREAMY TOMATO BUNNY PASTA LIQUID CAN 14.3 OUNCE </t>
  </si>
  <si>
    <t xml:space="preserve">ANNIE'S HOMEGROWN SOUP PASTA VEGETABLE MEATBALL LIQUID CAN 14 OUNCE </t>
  </si>
  <si>
    <t xml:space="preserve">ANNIE'S HOMEGROWN SOUP STAR PASTA CHICKEN LIQUID CAN 14 OUNCE </t>
  </si>
  <si>
    <t xml:space="preserve">ANNIE'S HOMEGROWN SOUP TOMATO LIQUID CAN 14.3 OUNCE </t>
  </si>
  <si>
    <t xml:space="preserve">ANNIE'S HOMEGROWN SOUP VEGETABLE FARM SHAPED PASTA LIQUID CAN 14 OUNCE </t>
  </si>
  <si>
    <t xml:space="preserve">ANNIE'S SOUP CHICKEN PASTA LIQUID CAN 14 OUNCE </t>
  </si>
  <si>
    <t xml:space="preserve">ANNIE'S SOUP VEGETABLE PASTA LIQUID CAN 14 OUNCE </t>
  </si>
  <si>
    <t xml:space="preserve">EPIC BROTH BONE BROTH LIQUID JAR 14 FLUID OUNCE </t>
  </si>
  <si>
    <t xml:space="preserve">EPIC BROTH HOMESTYLE SAVORY CHICKEN BONE LIQUID JAR 14 FLUID OUNCE </t>
  </si>
  <si>
    <t xml:space="preserve">EPIC BROTH TUSCAN STYLE CHICKEN BONE LIQUID JAR 14 FLUID OUNCE </t>
  </si>
  <si>
    <t xml:space="preserve">MUIR GLEN SOUP GARDEN VEGETABLE LIQUID CAN 14.9 OUNCE </t>
  </si>
  <si>
    <t xml:space="preserve">PROGRESSO BROTH BEEF LIQUID BOX 32 OUNCE </t>
  </si>
  <si>
    <t xml:space="preserve">PROGRESSO BROTH CHICKEN LIQUID BOX 32 OUNCE </t>
  </si>
  <si>
    <t xml:space="preserve">PROGRESSO BROTH SPICY CHICKEN LIQUID BOX 32 OUNCE </t>
  </si>
  <si>
    <t xml:space="preserve">PROGRESSO BROTH SPICY VEGETABLE LIQUID BOX 32 OUNCE </t>
  </si>
  <si>
    <t xml:space="preserve">PROGRESSO BROTH TUSCANY CHICKEN LIQUID BOX 32 OUNCE </t>
  </si>
  <si>
    <t xml:space="preserve">PROGRESSO BROTH VEGETABLE LIQUID BOX 32 OUNCE </t>
  </si>
  <si>
    <t xml:space="preserve">PROGRESSO RICH &amp; HEARTY SOUP BACON FLAVORED CHCKN CRN CHWDR LIQUID CAN 18.5 OUNCE </t>
  </si>
  <si>
    <t xml:space="preserve">PROGRESSO RICH &amp; HEARTY SOUP BEEF POT ROAST COUNTRY VGTBL LIQUID CAN 18.5 OUNCE </t>
  </si>
  <si>
    <t xml:space="preserve">PROGRESSO RICH &amp; HEARTY SOUP BROCCOLI CHEESE BACON LIQUID CAN 18 OUNCE </t>
  </si>
  <si>
    <t xml:space="preserve">PROGRESSO RICH &amp; HEARTY SOUP CHICKEN HOMESTYLE NOODLE LIQUID CAN 19 OUNCE </t>
  </si>
  <si>
    <t xml:space="preserve">PROGRESSO RICH &amp; HEARTY SOUP CREAMY CHICKEN BROCCOLI BROWN LIQUID CAN 18.5 OUNCE </t>
  </si>
  <si>
    <t xml:space="preserve">PROGRESSO RICH &amp; HEARTY SOUP CREAMY ROASTED CHICKEN WILD RC LIQUID CAN 18.5 OUNCE </t>
  </si>
  <si>
    <t xml:space="preserve">PROGRESSO RICH &amp; HEARTY SOUP HEARTY CHICKEN POT PIE STYLE D LIQUID CAN 18.5 OUNCE </t>
  </si>
  <si>
    <t xml:space="preserve">PROGRESSO RICH &amp; HEARTY SOUP ITALIAN SAUSAGE POTATO LIQUID CAN 18.5 OUNCE </t>
  </si>
  <si>
    <t xml:space="preserve">PROGRESSO RICH &amp; HEARTY SOUP LASAGNA STYLE ITALIAN SAUSAGE LIQUID CAN 18.5 OUNCE </t>
  </si>
  <si>
    <t xml:space="preserve">PROGRESSO RICH &amp; HEARTY SOUP LOADED POTATO BACON LIQUID CAN 18.5 OUNCE </t>
  </si>
  <si>
    <t xml:space="preserve">PROGRESSO RICH &amp; HEARTY SOUP NEW ENGLAND CLAM CHOWDER LIQUID CAN 18.5 OUNCE </t>
  </si>
  <si>
    <t>PROGRESSO RICH &amp; HEARTY SOUP NEW ENGLAND CLAM CHOWDER LIQUID CAN 18.5 OUNCE X4</t>
  </si>
  <si>
    <t xml:space="preserve">PROGRESSO RICH &amp; HEARTY SOUP SAVORY BEEF BARLEY VEGETABLE LIQUID CAN 18.6 OUNCE </t>
  </si>
  <si>
    <t xml:space="preserve">PROGRESSO RICH &amp; HEARTY SOUP STEAK VEGETABLE LIQUID CAN 18.8 OUNCE </t>
  </si>
  <si>
    <t xml:space="preserve">PROGRESSO RICH &amp; HEARTY SOUP THREE CHEESE TORTELLINI CREAMY LIQUID CAN 18.5 OUNCE </t>
  </si>
  <si>
    <t xml:space="preserve">PROGRESSO RICH &amp; HEARTY SOUP VEGETABLE BEEF LIQUID CAN 19 OUNCE </t>
  </si>
  <si>
    <t xml:space="preserve">PROGRESSO SOUP BEEF POT ROAST LIQUID CAN 18.5 OUNCE </t>
  </si>
  <si>
    <t xml:space="preserve">PROGRESSO SOUP BROCCOLI CHEESE LIQUID CAN 18 OUNCE </t>
  </si>
  <si>
    <t xml:space="preserve">PROGRESSO SOUP CHICKEN CHEESE ENCHILADA FLVR LIQUID CAN 18.5 OUNCE </t>
  </si>
  <si>
    <t xml:space="preserve">PROGRESSO SOUP CHICKEN DUMPLING LIQUID CAN 18.5 OUNCE </t>
  </si>
  <si>
    <t xml:space="preserve">PROGRESSO SOUP CHICKEN NOODLE LIQUID CAN 18.5 OUNCE </t>
  </si>
  <si>
    <t xml:space="preserve">PROGRESSO SOUP CHICKEN NOODLE LIQUID CAN 19 OUNCE </t>
  </si>
  <si>
    <t xml:space="preserve">PROGRESSO SOUP CHICKEN POT PIE STYLE LIQUID CAN 18.5 OUNCE </t>
  </si>
  <si>
    <t xml:space="preserve">PROGRESSO SOUP CHICKEN RICE VEGETABLE LIQUID CAN 19 OUNCE </t>
  </si>
  <si>
    <t xml:space="preserve">PROGRESSO SOUP CHICKPEA NOODLE LIQUID CAN 18.5 OUNCE </t>
  </si>
  <si>
    <t xml:space="preserve">PROGRESSO SOUP CREAMY CAULIFLOWER LIQUID CAN 14.5 OUNCE </t>
  </si>
  <si>
    <t xml:space="preserve">PROGRESSO SOUP CREAMY CHICKEN HOMESTYLE NOODL LIQUID CAN 18.5 OUNCE </t>
  </si>
  <si>
    <t xml:space="preserve">PROGRESSO SOUP CREAMY CHICKEN MUSHROOM BARLEY LIQUID CAN 18.5 OUNCE </t>
  </si>
  <si>
    <t xml:space="preserve">PROGRESSO SOUP CREAMY CHICKEN NOODLE LIQUID CAN 18.5 OUNCE </t>
  </si>
  <si>
    <t xml:space="preserve">PROGRESSO SOUP CREAMY POTATO BACON AND CHEESE LIQUID CAN 18.5 OUNCE </t>
  </si>
  <si>
    <t xml:space="preserve">PROGRESSO SOUP CREAMY POTATO HAM CHIVE LIQUID CAN 18.5 OUNCE </t>
  </si>
  <si>
    <t xml:space="preserve">PROGRESSO SOUP CREAMY TOMATO BASIL LIQUID CAN 19 OUNCE </t>
  </si>
  <si>
    <t xml:space="preserve">PROGRESSO SOUP CREAMY TOMATO LIQUID CAN 14.5 OUNCE </t>
  </si>
  <si>
    <t xml:space="preserve">PROGRESSO SOUP HEARTY MINESTRONE LIQUID CAN 19 OUNCE </t>
  </si>
  <si>
    <t xml:space="preserve">PROGRESSO SOUP HOMESTYLE CHICKEN LIQUID CAN 14 OUNCE </t>
  </si>
  <si>
    <t xml:space="preserve">PROGRESSO SOUP HOT SPICY JAMBALAYA SAUSAGE HA LIQUID CAN 18.5 OUNCE </t>
  </si>
  <si>
    <t xml:space="preserve">PROGRESSO SOUP ITALIAN STYLE BEAN PASTA LIQUID CAN 18.5 OUNCE </t>
  </si>
  <si>
    <t xml:space="preserve">PROGRESSO SOUP ITALIAN STYLE MEATBALL LIQUID CAN 18.5 OUNCE </t>
  </si>
  <si>
    <t xml:space="preserve">PROGRESSO SOUP ITALIAN STYLE WEDDING MEATBALL LIQUID CAN 14 OUNCE </t>
  </si>
  <si>
    <t xml:space="preserve">PROGRESSO SOUP ITALIAN STYLE WEDDING MEATBALL LIQUID CAN 18.5 OUNCE </t>
  </si>
  <si>
    <t xml:space="preserve">PROGRESSO SOUP ITLN STYL WDNG MTBL CRT SPNCH LIQUID CAN 14 OUNCE </t>
  </si>
  <si>
    <t xml:space="preserve">PROGRESSO SOUP ITLN STYL WDNG MTBL CRT SPNCH LIQUID CAN 18.5 OUNCE </t>
  </si>
  <si>
    <t xml:space="preserve">PROGRESSO SOUP LENTIL LIQUID CAN 19 OUNCE </t>
  </si>
  <si>
    <t xml:space="preserve">PROGRESSO SOUP MANHATTAN CLAM CHOWDER LIQUID CAN 19 OUNCE </t>
  </si>
  <si>
    <t xml:space="preserve">PROGRESSO SOUP MEDITERRANEAN STYLE LENTIL LIQUID CAN 19 OUNCE </t>
  </si>
  <si>
    <t xml:space="preserve">PROGRESSO SOUP MEDIUM SPICY CHICKEN NOODLE JA LIQUID CAN 18.5 OUNCE </t>
  </si>
  <si>
    <t xml:space="preserve">PROGRESSO SOUP MEDIUM SPICY CHICKEN TORTILLA LIQUID CAN 18.5 OUNCE </t>
  </si>
  <si>
    <t xml:space="preserve">PROGRESSO SOUP MEDIUM SPICY ITALIAN STYLE WDN LIQUID CAN 18 OUNCE </t>
  </si>
  <si>
    <t xml:space="preserve">PROGRESSO SOUP MILD CHIPOTLE CORN CHOWDER LIQUID CAN 18.5 OUNCE </t>
  </si>
  <si>
    <t xml:space="preserve">PROGRESSO SOUP MINESTRONE LIQUID CAN 14.3 OUNCE </t>
  </si>
  <si>
    <t xml:space="preserve">PROGRESSO SOUP NEW ENGLAND CLAM CHOWDER LIQUID CAN 18.5 OUNCE </t>
  </si>
  <si>
    <t xml:space="preserve">PROGRESSO SOUP NEW ENGLAND CLAM CHOWDER LIQUID CAN 19 OUNCE </t>
  </si>
  <si>
    <t xml:space="preserve">PROGRESSO SOUP ORIGINAL MINESTRONE LIQUID CAN 19 OUNCE </t>
  </si>
  <si>
    <t xml:space="preserve">PROGRESSO SOUP RIGATI PASTA MEATBALL LIQUID CAN 18.5 OUNCE </t>
  </si>
  <si>
    <t xml:space="preserve">PROGRESSO SOUP ROASTED WHITE MEAT CHICKEN NDL LIQUID CAN 18.5 OUNCE </t>
  </si>
  <si>
    <t xml:space="preserve">PROGRESSO SOUP SAVORY CHICKEN WILD RICE LIQUID CAN 18.5 OUNCE </t>
  </si>
  <si>
    <t xml:space="preserve">PROGRESSO SOUP SAVORY VEGETABLE BARLEY LIQUID CAN 18.5 OUNCE </t>
  </si>
  <si>
    <t xml:space="preserve">PROGRESSO SOUP SOUTHWEST STYLE BLACK BEAN LIQUID CAN 18.5 OUNCE </t>
  </si>
  <si>
    <t xml:space="preserve">PROGRESSO SOUP SOUTHWEST STYLE BLACK BEAN VEG LIQUID CAN 18.5 OUNCE </t>
  </si>
  <si>
    <t xml:space="preserve">PROGRESSO SOUP SPICY NEW ENGLAND CLAM CHOWDER LIQUID CAN 18.5 OUNCE </t>
  </si>
  <si>
    <t xml:space="preserve">PROGRESSO SOUP SPICY TOMATO LIQUID CAN 18.5 OUNCE </t>
  </si>
  <si>
    <t xml:space="preserve">PROGRESSO SOUP SPLIT PEA HAM LIQUID CAN 19 OUNCE </t>
  </si>
  <si>
    <t xml:space="preserve">PROGRESSO SOUP THCK AND CHNKY STYL CHCKN HMST LIQUID CAN 19 OUNCE </t>
  </si>
  <si>
    <t xml:space="preserve">PROGRESSO SOUP TOMATO BASIL LIQUID CAN 14.3 OUNCE </t>
  </si>
  <si>
    <t>PROGRESSO SOUP TOMATO BASIL LIQUID CAN 19 OUNCE X4</t>
  </si>
  <si>
    <t xml:space="preserve">PROGRESSO SOUP TOMATO ROASTED RED PEPPER LIQUID CAN 18.5 OUNCE </t>
  </si>
  <si>
    <t xml:space="preserve">PROGRESSO SOUP VEGETABLE AND NOODLE LIQUID CAN 18.5 OUNCE </t>
  </si>
  <si>
    <t xml:space="preserve">PROGRESSO SOUP VEGETABLE MINESTRONE LIQUID CAN 19 OUNCE </t>
  </si>
  <si>
    <t xml:space="preserve">PROGRESSO SOUP WHITE MEAT CHICKEN NOODLE LIQUID CAN 14 OUNCE </t>
  </si>
  <si>
    <t>PROGRESSO SOUP WHITE MEAT CHICKEN NOODLE LIQUID CAN 19 OUNCE X8</t>
  </si>
  <si>
    <t xml:space="preserve">PROGRESSO SOUP WHITE MEAT CHICKEN WILD RICE LIQUID CAN 14 OUNCE </t>
  </si>
  <si>
    <t xml:space="preserve">PROGRESSO SOUP ZESTY SANTA FE STYLE CHICKEN LIQUID CAN 18.5 OUNCE </t>
  </si>
  <si>
    <t xml:space="preserve">PROGRESSO SOUP ZESTY TOMATO DUMPLING VEGETABL LIQUID CAN 18.5 OUNCE </t>
  </si>
  <si>
    <t xml:space="preserve">PROGRESSO TOPPERS SOUP BROCCOLI CHEESE OYSTER CRACKER LIQUID TUB IN WRAP 12.2 OUNCE </t>
  </si>
  <si>
    <t xml:space="preserve">PROGRESSO TOPPERS SOUP CHEDDAR CRACKER TOMATO BASIL LIQUID TUB IN WRAP 12.2 OUNCE </t>
  </si>
  <si>
    <t xml:space="preserve">PROGRESSO TOPPERS SOUP CHICKEN CORN CHOWDER OYSTER CR LIQUID TUB IN WRAP 12.2 OUNCE </t>
  </si>
  <si>
    <t xml:space="preserve">PROGRESSO TOPPERS SOUP CHICKEN TORTILLA STRIP LIQUID TUB IN WRAP 12.2 OUNCE </t>
  </si>
  <si>
    <t xml:space="preserve">PROGRESSO TOPPERS SOUP FRIED ONION STRING LOADED POTA LIQUID TUB IN WRAP 12.2 OUNCE </t>
  </si>
  <si>
    <t xml:space="preserve">PROGRESSO TOPPERS SOUP ITALIAN STYLE WEDDING OYSTER C LIQUID TUB IN WRAP 12.2 OUNCE </t>
  </si>
  <si>
    <t xml:space="preserve">PROGRESSO TOPPERS SOUP OYSTER CRACKER CHICKEN NOODLE LIQUID TUB IN WRAP 12.2 OUNCE </t>
  </si>
  <si>
    <t xml:space="preserve">PROGRESSO TRADITIONAL SOUP BEEF BARLEY LIQUID CAN 19 OUNCE </t>
  </si>
  <si>
    <t xml:space="preserve">PROGRESSO TRADITIONAL SOUP BEEF VEGETABLE LIQUID CAN 18.5 OUNCE </t>
  </si>
  <si>
    <t xml:space="preserve">PROGRESSO TRADITIONAL SOUP BROCCOLI CHEESE LIQUID CAN 18 OUNCE </t>
  </si>
  <si>
    <t xml:space="preserve">PROGRESSO TRADITIONAL SOUP BUTTERNUT SQUASH LIQUID CAN 18.5 OUNCE </t>
  </si>
  <si>
    <t xml:space="preserve">PROGRESSO TRADITIONAL SOUP CHEESE TORTELLINI GARDEN VEGET LIQUID CAN 18.5 OUNCE </t>
  </si>
  <si>
    <t xml:space="preserve">PROGRESSO TRADITIONAL SOUP CHICKARINA CHICKEN MEATBALL LIQUID CAN 19 OUNCE </t>
  </si>
  <si>
    <t xml:space="preserve">PROGRESSO TRADITIONAL SOUP CHICKEN AND HERB DUMPLINGS LIQUID CAN 18.5 OUNCE </t>
  </si>
  <si>
    <t xml:space="preserve">PROGRESSO TRADITIONAL SOUP CHICKEN AND WILD RICE LIQUID CAN 19 OUNCE </t>
  </si>
  <si>
    <t xml:space="preserve">PROGRESSO TRADITIONAL SOUP CHICKEN BARLEY LIQUID CAN 18.5 OUNCE </t>
  </si>
  <si>
    <t xml:space="preserve">PROGRESSO TRADITIONAL SOUP CHICKEN NOODLE LIQUID CAN 19 OUNCE </t>
  </si>
  <si>
    <t>PROGRESSO TRADITIONAL SOUP CHICKEN NOODLE LIQUID CAN 19 OUNCE X4</t>
  </si>
  <si>
    <t xml:space="preserve">PROGRESSO TRADITIONAL SOUP CHICKEN RICE VEGETABLE LIQUID CAN 19 OUNCE </t>
  </si>
  <si>
    <t xml:space="preserve">PROGRESSO TRADITIONAL SOUP CHICKEN SAUSAGE GUMBO LIQUID CAN 19 OUNCE </t>
  </si>
  <si>
    <t xml:space="preserve">PROGRESSO TRADITIONAL SOUP CHICKEN TORTILLA LIQUID CAN 18.5 OUNCE </t>
  </si>
  <si>
    <t xml:space="preserve">PROGRESSO TRADITIONAL SOUP CREAMY TOMATO PENNE LIQUID CAN 18.5 OUNCE </t>
  </si>
  <si>
    <t xml:space="preserve">PROGRESSO TRADITIONAL SOUP HEARTY CHICKEN ROTINI LIQUID CAN 19 OUNCE </t>
  </si>
  <si>
    <t xml:space="preserve">PROGRESSO TRADITIONAL SOUP HOMESTYLE CHCKN VGTBL PRL PST LIQUID CAN 19 OUNCE </t>
  </si>
  <si>
    <t xml:space="preserve">PROGRESSO TRADITIONAL SOUP ITLN STYL WDNG MTBL CRT SPNCH LIQUID CAN 18.5 OUNCE </t>
  </si>
  <si>
    <t xml:space="preserve">PROGRESSO TRADITIONAL SOUP LEMON CHICKEN ORZO LIQUID CAN 18.5 OUNCE </t>
  </si>
  <si>
    <t xml:space="preserve">PROGRESSO TRADITIONAL SOUP MANHATTAN CLAM CHOWDER LIQUID CAN 19 OUNCE </t>
  </si>
  <si>
    <t xml:space="preserve">PROGRESSO TRADITIONAL SOUP NEW ENGLAND CLAM CHOWDER LIQUID CAN 18.5 OUNCE </t>
  </si>
  <si>
    <t xml:space="preserve">PROGRESSO TRADITIONAL SOUP POTATO BROCCOLI CHEESE CHOWDER LIQUID CAN 18.5 OUNCE </t>
  </si>
  <si>
    <t xml:space="preserve">PROGRESSO TRADITIONAL SOUP SPLIT PEA HAM LIQUID CAN 19 OUNCE </t>
  </si>
  <si>
    <t xml:space="preserve">PROGRESSO VEGETABLE CLASSICS SOUP BACON GREEN SPLIT PEA LIQUID CAN 19 OUNCE </t>
  </si>
  <si>
    <t xml:space="preserve">PROGRESSO VEGETABLE CLASSICS SOUP CREAMY MUSHROOM LIQUID CAN 18 OUNCE </t>
  </si>
  <si>
    <t xml:space="preserve">PROGRESSO VEGETABLE CLASSICS SOUP FRENCH ONION LIQUID CAN 18.5 OUNCE </t>
  </si>
  <si>
    <t xml:space="preserve">PROGRESSO VEGETABLE CLASSICS SOUP GARDEN VEGETABLE LIQUID CAN 18.5 OUNCE </t>
  </si>
  <si>
    <t xml:space="preserve">PROGRESSO VEGETABLE CLASSICS SOUP GREEN SPLIT PEA LIQUID CAN 19 OUNCE </t>
  </si>
  <si>
    <t xml:space="preserve">PROGRESSO VEGETABLE CLASSICS SOUP HEARTY PENNE CHICKEN BROTH LIQUID CAN 19 OUNCE </t>
  </si>
  <si>
    <t xml:space="preserve">PROGRESSO VEGETABLE CLASSICS SOUP HEARTY TOMATO LIQUID CAN 19 OUNCE </t>
  </si>
  <si>
    <t xml:space="preserve">PROGRESSO VEGETABLE CLASSICS SOUP LENTIL LIQUID CAN 19 OUNCE </t>
  </si>
  <si>
    <t xml:space="preserve">PROGRESSO VEGETABLE CLASSICS SOUP LENTIL ROASTED VEGETABLE LIQUID CAN 19 OUNCE </t>
  </si>
  <si>
    <t xml:space="preserve">PROGRESSO VEGETABLE CLASSICS SOUP MACARONI BEAN LIQUID CAN 19 OUNCE </t>
  </si>
  <si>
    <t xml:space="preserve">PROGRESSO VEGETABLE CLASSICS SOUP MINESTRONE LIQUID CAN 19 OUNCE </t>
  </si>
  <si>
    <t xml:space="preserve">PROGRESSO VEGETABLE CLASSICS SOUP TOMATO BASIL LIQUID CAN 19 OUNCE </t>
  </si>
  <si>
    <t xml:space="preserve">PROGRESSO VEGETABLE CLASSICS SOUP TOMATO ROTINI LIQUID CAN 19 OUNCE </t>
  </si>
  <si>
    <t xml:space="preserve">PROGRESSO VEGETABLE CLASSICS SOUP TUSCAN STYLE WHITE BEAN LIQUID CAN 18.5 OUNCE </t>
  </si>
  <si>
    <t xml:space="preserve">PROGRESSO VEGETABLE CLASSICS SOUP VEGETABLE LIQUID CAN 19 OUNCE </t>
  </si>
  <si>
    <t xml:space="preserve">PROGRESSO VEGETABLE CLASSICS SOUP VEGETARIAN VEGETABLE BARLEY LIQUID CAN 19 OUNCE </t>
  </si>
  <si>
    <t>LI UPC</t>
  </si>
  <si>
    <t>013562116539</t>
  </si>
  <si>
    <t>013562474080</t>
  </si>
  <si>
    <t>016000421707</t>
  </si>
  <si>
    <t>016000421004</t>
  </si>
  <si>
    <t>016000135406</t>
  </si>
  <si>
    <t>016000135505</t>
  </si>
  <si>
    <t>016000157057</t>
  </si>
  <si>
    <t>016000157033</t>
  </si>
  <si>
    <t>016000157040</t>
  </si>
  <si>
    <t>016000420601</t>
  </si>
  <si>
    <t>0016000420403</t>
  </si>
  <si>
    <t>016000420809</t>
  </si>
  <si>
    <t>016000422001</t>
  </si>
  <si>
    <t>0016000277465</t>
  </si>
  <si>
    <t>016000430594</t>
  </si>
  <si>
    <t>016000427310</t>
  </si>
  <si>
    <t>016000194281</t>
  </si>
  <si>
    <t>016000194267</t>
  </si>
  <si>
    <t>NA</t>
  </si>
  <si>
    <t>016000178434</t>
  </si>
  <si>
    <t>016000157606</t>
  </si>
  <si>
    <t>016000455108</t>
  </si>
  <si>
    <t>016000197633</t>
  </si>
  <si>
    <t>016000455306</t>
  </si>
  <si>
    <t>013562474073</t>
  </si>
  <si>
    <t>013562102952</t>
  </si>
  <si>
    <t>013562102945</t>
  </si>
  <si>
    <t>013562474066</t>
  </si>
  <si>
    <t>013562474097</t>
  </si>
  <si>
    <t>016000456013</t>
  </si>
  <si>
    <t>016000456037</t>
  </si>
  <si>
    <t>016000456044</t>
  </si>
  <si>
    <t>016000302204</t>
  </si>
  <si>
    <t>016000456051</t>
  </si>
  <si>
    <t>0016000456020</t>
  </si>
  <si>
    <t>016000441309</t>
  </si>
  <si>
    <t>016000440302</t>
  </si>
  <si>
    <t>016000197657</t>
  </si>
  <si>
    <t>016000176799</t>
  </si>
  <si>
    <t>0016000176492</t>
  </si>
  <si>
    <t>016000277922</t>
  </si>
  <si>
    <t>016000445307</t>
  </si>
  <si>
    <t>016000277915</t>
  </si>
  <si>
    <t>016000135628</t>
  </si>
  <si>
    <t>016000135611</t>
  </si>
  <si>
    <t>016000135635</t>
  </si>
  <si>
    <t>016000135666</t>
  </si>
  <si>
    <t>016000454101</t>
  </si>
  <si>
    <t>016000439702</t>
  </si>
  <si>
    <t>0016000207646</t>
  </si>
  <si>
    <t>0016000186576</t>
  </si>
  <si>
    <t>0016000186477</t>
  </si>
  <si>
    <t>0016000186552</t>
  </si>
  <si>
    <t>0016000164062</t>
  </si>
  <si>
    <t>016000161078</t>
  </si>
  <si>
    <t>016000161092</t>
  </si>
  <si>
    <t>016000306509</t>
  </si>
  <si>
    <t>016000177512</t>
  </si>
  <si>
    <t>016000473638</t>
  </si>
  <si>
    <t>016000208889</t>
  </si>
  <si>
    <t>016000457072</t>
  </si>
  <si>
    <t>016000161122</t>
  </si>
  <si>
    <t>016000277946</t>
  </si>
  <si>
    <t>016000150164</t>
  </si>
  <si>
    <t>016000161139</t>
  </si>
  <si>
    <t>016000306707</t>
  </si>
  <si>
    <t>016000169913</t>
  </si>
  <si>
    <t>016000175020</t>
  </si>
  <si>
    <t>016000207295</t>
  </si>
  <si>
    <t>016000175136</t>
  </si>
  <si>
    <t>016000175181</t>
  </si>
  <si>
    <t>016000175174</t>
  </si>
  <si>
    <t>016000175242</t>
  </si>
  <si>
    <t>016000175099</t>
  </si>
  <si>
    <t>016000176188</t>
  </si>
  <si>
    <t>016000176195</t>
  </si>
  <si>
    <t>016000193451</t>
  </si>
  <si>
    <t>016000207196</t>
  </si>
  <si>
    <t>016000167544</t>
  </si>
  <si>
    <t>0016000193420</t>
  </si>
  <si>
    <t>016000307902</t>
  </si>
  <si>
    <t>0016000197589</t>
  </si>
  <si>
    <t>016000305700</t>
  </si>
  <si>
    <t>016000212534</t>
  </si>
  <si>
    <t>016000473645</t>
  </si>
  <si>
    <t>016000155596</t>
  </si>
  <si>
    <t>016000457058</t>
  </si>
  <si>
    <t>0016000298514</t>
  </si>
  <si>
    <t>016000451025</t>
  </si>
  <si>
    <t>016000474352</t>
  </si>
  <si>
    <t>016000135581</t>
  </si>
  <si>
    <t>0016000200036</t>
  </si>
  <si>
    <t>0016000306301</t>
  </si>
  <si>
    <t>016000473652</t>
  </si>
  <si>
    <t>016000457065</t>
  </si>
  <si>
    <t>016000458956</t>
  </si>
  <si>
    <t>016000150317</t>
  </si>
  <si>
    <t>016000139008</t>
  </si>
  <si>
    <t>016000442252</t>
  </si>
  <si>
    <t>016000350700</t>
  </si>
  <si>
    <t>016000477384</t>
  </si>
  <si>
    <t>016000477360</t>
  </si>
  <si>
    <t>016000813311</t>
  </si>
  <si>
    <t>016000813335</t>
  </si>
  <si>
    <t>016000139770</t>
  </si>
  <si>
    <t>016000139763</t>
  </si>
  <si>
    <t>016000477377</t>
  </si>
  <si>
    <t>016000813410</t>
  </si>
  <si>
    <t>016000813359</t>
  </si>
  <si>
    <t>016000207547</t>
  </si>
  <si>
    <t>016000207639</t>
  </si>
  <si>
    <t>016000207561</t>
  </si>
  <si>
    <t>0016000207714</t>
  </si>
  <si>
    <t>0016000207738</t>
  </si>
  <si>
    <t>0016000207660</t>
  </si>
  <si>
    <t>0016000207578</t>
  </si>
  <si>
    <t>016000207776</t>
  </si>
  <si>
    <t>0016000207769</t>
  </si>
  <si>
    <t>016000139787</t>
  </si>
  <si>
    <t>016000488960</t>
  </si>
  <si>
    <t>016000277939</t>
  </si>
  <si>
    <t>0016000186514</t>
  </si>
  <si>
    <t>0016000186545</t>
  </si>
  <si>
    <t>0016000207677</t>
  </si>
  <si>
    <t>016000427303</t>
  </si>
  <si>
    <t>016000205949</t>
  </si>
  <si>
    <t>016000302808</t>
  </si>
  <si>
    <t>0016000207684</t>
  </si>
  <si>
    <t>0016000197268</t>
  </si>
  <si>
    <t>016000135659</t>
  </si>
  <si>
    <t>016000149298</t>
  </si>
  <si>
    <t>0016000207622</t>
  </si>
  <si>
    <t>016000430587</t>
  </si>
  <si>
    <t>0016000197787</t>
  </si>
  <si>
    <t>016000496286</t>
  </si>
  <si>
    <t>016000193437</t>
  </si>
  <si>
    <t>016000150157</t>
  </si>
  <si>
    <t>016000186569</t>
  </si>
  <si>
    <t>016000448049</t>
  </si>
  <si>
    <t>016000437760</t>
  </si>
  <si>
    <t>016000458901</t>
  </si>
  <si>
    <t>016000460706</t>
  </si>
  <si>
    <t>016000464308</t>
  </si>
  <si>
    <t>0016000186729</t>
  </si>
  <si>
    <t>016000302709</t>
  </si>
  <si>
    <t>016000302303</t>
  </si>
  <si>
    <t>016000188013</t>
  </si>
  <si>
    <t>016000305007</t>
  </si>
  <si>
    <t>016000188037</t>
  </si>
  <si>
    <t>016000305908</t>
  </si>
  <si>
    <t>0016000186460</t>
  </si>
  <si>
    <t>0016000186422</t>
  </si>
  <si>
    <t>0016000186446</t>
  </si>
  <si>
    <t>0016000186439</t>
  </si>
  <si>
    <t>016000178144</t>
  </si>
  <si>
    <t>016000178120</t>
  </si>
  <si>
    <t>016000178151</t>
  </si>
  <si>
    <t>016000178113</t>
  </si>
  <si>
    <t>016000429406</t>
  </si>
  <si>
    <t>016000302006</t>
  </si>
  <si>
    <t>016000161665</t>
  </si>
  <si>
    <t>0016000458307</t>
  </si>
  <si>
    <t>016000458406</t>
  </si>
  <si>
    <t>016000458505</t>
  </si>
  <si>
    <t>016000458604</t>
  </si>
  <si>
    <t>016000459007</t>
  </si>
  <si>
    <t>016000459601</t>
  </si>
  <si>
    <t>016000409859</t>
  </si>
  <si>
    <t>016000409866</t>
  </si>
  <si>
    <t>0016000207615</t>
  </si>
  <si>
    <t>0016000207653</t>
  </si>
  <si>
    <t>0016000409897</t>
  </si>
  <si>
    <t>0016000207691</t>
  </si>
  <si>
    <t>016000409828</t>
  </si>
  <si>
    <t>016000409910</t>
  </si>
  <si>
    <t>016000409941</t>
  </si>
  <si>
    <t>016000207592</t>
  </si>
  <si>
    <t>016000409972</t>
  </si>
  <si>
    <t>0016000207554</t>
  </si>
  <si>
    <t>016000428997</t>
  </si>
  <si>
    <t>016000409996</t>
  </si>
  <si>
    <t>016000410015</t>
  </si>
  <si>
    <t>0016000207523</t>
  </si>
  <si>
    <t>0016000409965</t>
  </si>
  <si>
    <t>0016000207745</t>
  </si>
  <si>
    <t>0016000207110</t>
  </si>
  <si>
    <t>0016000430549</t>
  </si>
  <si>
    <t>016000409842</t>
  </si>
  <si>
    <t>016000409873</t>
  </si>
  <si>
    <t>016000409880</t>
  </si>
  <si>
    <t>016000409835</t>
  </si>
  <si>
    <t>016000409927</t>
  </si>
  <si>
    <t>016000409958</t>
  </si>
  <si>
    <t>016000409989</t>
  </si>
  <si>
    <t>016000409811</t>
  </si>
  <si>
    <t>016000323209</t>
  </si>
  <si>
    <t>016000329904</t>
  </si>
  <si>
    <t>016000374003</t>
  </si>
  <si>
    <t>016000374102</t>
  </si>
  <si>
    <t>016000374201</t>
  </si>
  <si>
    <t>016000374300</t>
  </si>
  <si>
    <t>016000374607</t>
  </si>
  <si>
    <t>016000417779</t>
  </si>
  <si>
    <t>016000149052</t>
  </si>
  <si>
    <t>016000149069</t>
  </si>
  <si>
    <t>016000149045</t>
  </si>
  <si>
    <t>0016000198715</t>
  </si>
  <si>
    <t>0016000198739</t>
  </si>
  <si>
    <t>0016000198647</t>
  </si>
  <si>
    <t>0016000198654</t>
  </si>
  <si>
    <t>0016000198722</t>
  </si>
  <si>
    <t>013562000562</t>
  </si>
  <si>
    <t>013562117826</t>
  </si>
  <si>
    <t>013562111725</t>
  </si>
  <si>
    <t>013562111732</t>
  </si>
  <si>
    <t>013562111749</t>
  </si>
  <si>
    <t>013562111817</t>
  </si>
  <si>
    <t>013562111787</t>
  </si>
  <si>
    <t>0013562111695</t>
  </si>
  <si>
    <t>013562001385</t>
  </si>
  <si>
    <t>013562000456</t>
  </si>
  <si>
    <t>013562001446</t>
  </si>
  <si>
    <t>013562300396</t>
  </si>
  <si>
    <t>013562123032</t>
  </si>
  <si>
    <t>013562000043</t>
  </si>
  <si>
    <t>0013562128877</t>
  </si>
  <si>
    <t>0013562133680</t>
  </si>
  <si>
    <t>0013562133727</t>
  </si>
  <si>
    <t>013562128891</t>
  </si>
  <si>
    <t>0013562128914</t>
  </si>
  <si>
    <t>013562135486</t>
  </si>
  <si>
    <t>0013562133697</t>
  </si>
  <si>
    <t>0013562133710</t>
  </si>
  <si>
    <t>0013562300167</t>
  </si>
  <si>
    <t>0013562121212</t>
  </si>
  <si>
    <t>013562001378</t>
  </si>
  <si>
    <t>013562131594</t>
  </si>
  <si>
    <t>0013562126545</t>
  </si>
  <si>
    <t>013562117833</t>
  </si>
  <si>
    <t>013562118250</t>
  </si>
  <si>
    <t>013562118243</t>
  </si>
  <si>
    <t>013562300983</t>
  </si>
  <si>
    <t>013562300846</t>
  </si>
  <si>
    <t>013562300631</t>
  </si>
  <si>
    <t>0013562302109</t>
  </si>
  <si>
    <t>013562000067</t>
  </si>
  <si>
    <t>013562134144</t>
  </si>
  <si>
    <t>013562134151</t>
  </si>
  <si>
    <t>013562117796</t>
  </si>
  <si>
    <t>013562117819</t>
  </si>
  <si>
    <t>013562123537</t>
  </si>
  <si>
    <t>0013562126552</t>
  </si>
  <si>
    <t>013562129454</t>
  </si>
  <si>
    <t>013562121199</t>
  </si>
  <si>
    <t>0013562121182</t>
  </si>
  <si>
    <t>013562121175</t>
  </si>
  <si>
    <t>013562117413</t>
  </si>
  <si>
    <t>013562117499</t>
  </si>
  <si>
    <t>013562117437</t>
  </si>
  <si>
    <t>013562000623</t>
  </si>
  <si>
    <t>0013562300600</t>
  </si>
  <si>
    <t>013562116294</t>
  </si>
  <si>
    <t>013562610020</t>
  </si>
  <si>
    <t>013562002214</t>
  </si>
  <si>
    <t>013562499014</t>
  </si>
  <si>
    <t>013562300112</t>
  </si>
  <si>
    <t>013562363476</t>
  </si>
  <si>
    <t>013562300501</t>
  </si>
  <si>
    <t>013562300921</t>
  </si>
  <si>
    <t>013562300884</t>
  </si>
  <si>
    <t>013562300877</t>
  </si>
  <si>
    <t>013562000609</t>
  </si>
  <si>
    <t>013562000616</t>
  </si>
  <si>
    <t>013562478750</t>
  </si>
  <si>
    <t>013562000586</t>
  </si>
  <si>
    <t>0013562000593</t>
  </si>
  <si>
    <t>013562300990</t>
  </si>
  <si>
    <t>013562610068</t>
  </si>
  <si>
    <t>013562300693</t>
  </si>
  <si>
    <t>013562002566</t>
  </si>
  <si>
    <t>013562002573</t>
  </si>
  <si>
    <t>013562610518</t>
  </si>
  <si>
    <t>013562610105</t>
  </si>
  <si>
    <t>013562610013</t>
  </si>
  <si>
    <t>013562000579</t>
  </si>
  <si>
    <t>013562300976</t>
  </si>
  <si>
    <t>013562001439</t>
  </si>
  <si>
    <t>013562300624</t>
  </si>
  <si>
    <t>013562363421</t>
  </si>
  <si>
    <t>013562001422</t>
  </si>
  <si>
    <t>013562001705</t>
  </si>
  <si>
    <t>013562300143</t>
  </si>
  <si>
    <t>013562001767</t>
  </si>
  <si>
    <t>016000461420</t>
  </si>
  <si>
    <t>016000461437</t>
  </si>
  <si>
    <t>016000461444</t>
  </si>
  <si>
    <t>016000461451</t>
  </si>
  <si>
    <t>016000461468</t>
  </si>
  <si>
    <t>016000461475</t>
  </si>
  <si>
    <t>016000461413</t>
  </si>
  <si>
    <t>016000200678</t>
  </si>
  <si>
    <t>0016000200685</t>
  </si>
  <si>
    <t>0016000200692</t>
  </si>
  <si>
    <t>0016000200715</t>
  </si>
  <si>
    <t>0016000200739</t>
  </si>
  <si>
    <t>016000200753</t>
  </si>
  <si>
    <t>0016000200760</t>
  </si>
  <si>
    <t>0016000200784</t>
  </si>
  <si>
    <t>016000200661</t>
  </si>
  <si>
    <t>016000461482</t>
  </si>
  <si>
    <t>016000461499</t>
  </si>
  <si>
    <t>016000186118</t>
  </si>
  <si>
    <t>016000186095</t>
  </si>
  <si>
    <t>016000418202</t>
  </si>
  <si>
    <t>016000285583</t>
  </si>
  <si>
    <t>0016000274884</t>
  </si>
  <si>
    <t>016000274891</t>
  </si>
  <si>
    <t>016000395107</t>
  </si>
  <si>
    <t>016000415508</t>
  </si>
  <si>
    <t>016000274860</t>
  </si>
  <si>
    <t>016000274853</t>
  </si>
  <si>
    <t>016000430860</t>
  </si>
  <si>
    <t>016000154445</t>
  </si>
  <si>
    <t>016000288829</t>
  </si>
  <si>
    <t>016000288812</t>
  </si>
  <si>
    <t>016000416109</t>
  </si>
  <si>
    <t>016000416604</t>
  </si>
  <si>
    <t>016000458963</t>
  </si>
  <si>
    <t>021908130392</t>
  </si>
  <si>
    <t>016000106406</t>
  </si>
  <si>
    <t>016000104303</t>
  </si>
  <si>
    <t>016000181359</t>
  </si>
  <si>
    <t>016000188075</t>
  </si>
  <si>
    <t>016000583559</t>
  </si>
  <si>
    <t>016000117105</t>
  </si>
  <si>
    <t>016000116108</t>
  </si>
  <si>
    <t>016000195806</t>
  </si>
  <si>
    <t>016000196100</t>
  </si>
  <si>
    <t>016000104105</t>
  </si>
  <si>
    <t>016000107106</t>
  </si>
  <si>
    <t>016000510487</t>
  </si>
  <si>
    <t>016000181342</t>
  </si>
  <si>
    <t>016000126701</t>
  </si>
  <si>
    <t>016000106109</t>
  </si>
  <si>
    <t>016000502697</t>
  </si>
  <si>
    <t>016000133105</t>
  </si>
  <si>
    <t>016000108103</t>
  </si>
  <si>
    <t>016000189805</t>
  </si>
  <si>
    <t>013562127672</t>
  </si>
  <si>
    <t>013562127559</t>
  </si>
  <si>
    <t>013562127689</t>
  </si>
  <si>
    <t>0013562127627</t>
  </si>
  <si>
    <t>0013562127726</t>
  </si>
  <si>
    <t>0013562127542</t>
  </si>
  <si>
    <t>013562134427</t>
  </si>
  <si>
    <t>0013562132676</t>
  </si>
  <si>
    <t>0013562134410</t>
  </si>
  <si>
    <t>013562001262</t>
  </si>
  <si>
    <t>0013562127573</t>
  </si>
  <si>
    <t>013562320066</t>
  </si>
  <si>
    <t>0013562111053</t>
  </si>
  <si>
    <t>013562110827</t>
  </si>
  <si>
    <t>013562110544</t>
  </si>
  <si>
    <t>0013562111077</t>
  </si>
  <si>
    <t>0013562127665</t>
  </si>
  <si>
    <t>013562110841</t>
  </si>
  <si>
    <t>013562111008</t>
  </si>
  <si>
    <t>013562001569</t>
  </si>
  <si>
    <t>013562114924</t>
  </si>
  <si>
    <t>013562114955</t>
  </si>
  <si>
    <t>013562103850</t>
  </si>
  <si>
    <t>013562002412</t>
  </si>
  <si>
    <t>013562002429</t>
  </si>
  <si>
    <t>013562121953</t>
  </si>
  <si>
    <t>013562126262</t>
  </si>
  <si>
    <t>013562119981</t>
  </si>
  <si>
    <t>013562119912</t>
  </si>
  <si>
    <t>0013562119998</t>
  </si>
  <si>
    <t>016000200982</t>
  </si>
  <si>
    <t>0016000201019</t>
  </si>
  <si>
    <t>016000200999</t>
  </si>
  <si>
    <t>0016000201026</t>
  </si>
  <si>
    <t>016000164536</t>
  </si>
  <si>
    <t>016000164529</t>
  </si>
  <si>
    <t>016000181465</t>
  </si>
  <si>
    <t>016000164512</t>
  </si>
  <si>
    <t>016000164451</t>
  </si>
  <si>
    <t>016000181458</t>
  </si>
  <si>
    <t>016000424142</t>
  </si>
  <si>
    <t>016000492981</t>
  </si>
  <si>
    <t>016000424197</t>
  </si>
  <si>
    <t>016000178885</t>
  </si>
  <si>
    <t>016000463875</t>
  </si>
  <si>
    <t>016000485341</t>
  </si>
  <si>
    <t>0016000185746</t>
  </si>
  <si>
    <t>0016000185739</t>
  </si>
  <si>
    <t>016000182035</t>
  </si>
  <si>
    <t>016000189928</t>
  </si>
  <si>
    <t>016000152274</t>
  </si>
  <si>
    <t>016000160644</t>
  </si>
  <si>
    <t>016000189966</t>
  </si>
  <si>
    <t>016000160620</t>
  </si>
  <si>
    <t>016000160637</t>
  </si>
  <si>
    <t>016000189942</t>
  </si>
  <si>
    <t>016000189935</t>
  </si>
  <si>
    <t>016000189973</t>
  </si>
  <si>
    <t>0016000189959</t>
  </si>
  <si>
    <t>0016000185760</t>
  </si>
  <si>
    <t>0016000185753</t>
  </si>
  <si>
    <t>016000145719</t>
  </si>
  <si>
    <t>016000180963</t>
  </si>
  <si>
    <t>016000181984</t>
  </si>
  <si>
    <t>0016000147058</t>
  </si>
  <si>
    <t>016000171541</t>
  </si>
  <si>
    <t>016000289086</t>
  </si>
  <si>
    <t>016000165885</t>
  </si>
  <si>
    <t>016000194052</t>
  </si>
  <si>
    <t>016000167582</t>
  </si>
  <si>
    <t>0016000277007</t>
  </si>
  <si>
    <t>0016000162129</t>
  </si>
  <si>
    <t>0016000496156</t>
  </si>
  <si>
    <t>016000194304</t>
  </si>
  <si>
    <t>0016000162136</t>
  </si>
  <si>
    <t>016000167100</t>
  </si>
  <si>
    <t>016000156050</t>
  </si>
  <si>
    <t>0016000147096</t>
  </si>
  <si>
    <t>0016000147331</t>
  </si>
  <si>
    <t>0016000147348</t>
  </si>
  <si>
    <t>016000194045</t>
  </si>
  <si>
    <t>0016000147324</t>
  </si>
  <si>
    <t>0016000159105</t>
  </si>
  <si>
    <t>016000355101</t>
  </si>
  <si>
    <t>016000454729</t>
  </si>
  <si>
    <t>016000194076</t>
  </si>
  <si>
    <t>016000398405</t>
  </si>
  <si>
    <t>016000355408</t>
  </si>
  <si>
    <t>016000289048</t>
  </si>
  <si>
    <t>016000165892</t>
  </si>
  <si>
    <t>016000167599</t>
  </si>
  <si>
    <t>016000207219</t>
  </si>
  <si>
    <t>0016000397002</t>
  </si>
  <si>
    <t>0016000152427</t>
  </si>
  <si>
    <t>016000457225</t>
  </si>
  <si>
    <t>0016000164741</t>
  </si>
  <si>
    <t>0016000127098</t>
  </si>
  <si>
    <t>0016000179967</t>
  </si>
  <si>
    <t>016000495821</t>
  </si>
  <si>
    <t>0016000152434</t>
  </si>
  <si>
    <t>016000189102</t>
  </si>
  <si>
    <t>0016000200883</t>
  </si>
  <si>
    <t>016000200876</t>
  </si>
  <si>
    <t>016000200869</t>
  </si>
  <si>
    <t>016000180031</t>
  </si>
  <si>
    <t>016000194069</t>
  </si>
  <si>
    <t>016000442610</t>
  </si>
  <si>
    <t>016000431645</t>
  </si>
  <si>
    <t>016000487642</t>
  </si>
  <si>
    <t>016000180017</t>
  </si>
  <si>
    <t>0016000442627</t>
  </si>
  <si>
    <t>016000179998</t>
  </si>
  <si>
    <t>016000450110</t>
  </si>
  <si>
    <t>0016000494329</t>
  </si>
  <si>
    <t>016000477278</t>
  </si>
  <si>
    <t>0016000494343</t>
  </si>
  <si>
    <t>016000476950</t>
  </si>
  <si>
    <t>0016000147119</t>
  </si>
  <si>
    <t>0818480015564</t>
  </si>
  <si>
    <t>016000137042</t>
  </si>
  <si>
    <t>016000147317</t>
  </si>
  <si>
    <t>018000125753</t>
  </si>
  <si>
    <t>018000855186</t>
  </si>
  <si>
    <t>018000466610</t>
  </si>
  <si>
    <t>018000855162</t>
  </si>
  <si>
    <t>018000734122</t>
  </si>
  <si>
    <t>018000131693</t>
  </si>
  <si>
    <t>018000424337</t>
  </si>
  <si>
    <t>018000476091</t>
  </si>
  <si>
    <t>018000855179</t>
  </si>
  <si>
    <t>018000855582</t>
  </si>
  <si>
    <t>018000851348</t>
  </si>
  <si>
    <t>018000851386</t>
  </si>
  <si>
    <t>018000851331</t>
  </si>
  <si>
    <t>0013562130627</t>
  </si>
  <si>
    <t>013562122349</t>
  </si>
  <si>
    <t>013562122363</t>
  </si>
  <si>
    <t>0013562130634</t>
  </si>
  <si>
    <t>018000135837</t>
  </si>
  <si>
    <t>018000514106</t>
  </si>
  <si>
    <t>018000514601</t>
  </si>
  <si>
    <t>018000477487</t>
  </si>
  <si>
    <t>018000447596</t>
  </si>
  <si>
    <t>018000477425</t>
  </si>
  <si>
    <t>018000123896</t>
  </si>
  <si>
    <t>018000123889</t>
  </si>
  <si>
    <t>018000447626</t>
  </si>
  <si>
    <t>018000477418</t>
  </si>
  <si>
    <t>0018000447633</t>
  </si>
  <si>
    <t>018000426911</t>
  </si>
  <si>
    <t>018000427444</t>
  </si>
  <si>
    <t>018000426966</t>
  </si>
  <si>
    <t>018000426881</t>
  </si>
  <si>
    <t>018000426928</t>
  </si>
  <si>
    <t>018000427925</t>
  </si>
  <si>
    <t>018000426973</t>
  </si>
  <si>
    <t>018000427932</t>
  </si>
  <si>
    <t>018000426898</t>
  </si>
  <si>
    <t>0018000426980</t>
  </si>
  <si>
    <t>018000427420</t>
  </si>
  <si>
    <t>018000655205</t>
  </si>
  <si>
    <t>018000425877</t>
  </si>
  <si>
    <t>018000427086</t>
  </si>
  <si>
    <t>018000135851</t>
  </si>
  <si>
    <t>018000135820</t>
  </si>
  <si>
    <t>042800485915</t>
  </si>
  <si>
    <t>042800112002</t>
  </si>
  <si>
    <t>042800474919</t>
  </si>
  <si>
    <t>042800115003</t>
  </si>
  <si>
    <t>042800113009</t>
  </si>
  <si>
    <t>042800476456</t>
  </si>
  <si>
    <t>042800116000</t>
  </si>
  <si>
    <t>042800114006</t>
  </si>
  <si>
    <t>042800111005</t>
  </si>
  <si>
    <t>042800107008</t>
  </si>
  <si>
    <t>042800115201</t>
  </si>
  <si>
    <t>042800108005</t>
  </si>
  <si>
    <t>042800721570</t>
  </si>
  <si>
    <t>042800435897</t>
  </si>
  <si>
    <t>042800485892</t>
  </si>
  <si>
    <t>042800475060</t>
  </si>
  <si>
    <t>013562001729</t>
  </si>
  <si>
    <t>013562001750</t>
  </si>
  <si>
    <t>013562128631</t>
  </si>
  <si>
    <t>0013562128594</t>
  </si>
  <si>
    <t>046000135335</t>
  </si>
  <si>
    <t>046000135311</t>
  </si>
  <si>
    <t>046000135359</t>
  </si>
  <si>
    <t>046000135380</t>
  </si>
  <si>
    <t>046000135342</t>
  </si>
  <si>
    <t>042800118394</t>
  </si>
  <si>
    <t>0042800109217</t>
  </si>
  <si>
    <t>0042800120144</t>
  </si>
  <si>
    <t>042800118455</t>
  </si>
  <si>
    <t>0042800109521</t>
  </si>
  <si>
    <t>042800118363</t>
  </si>
  <si>
    <t>042800005861</t>
  </si>
  <si>
    <t>042800005809</t>
  </si>
  <si>
    <t>042800005830</t>
  </si>
  <si>
    <t>042800118387</t>
  </si>
  <si>
    <t>042800118462</t>
  </si>
  <si>
    <t>042800124647</t>
  </si>
  <si>
    <t>042800122223</t>
  </si>
  <si>
    <t>042800122216</t>
  </si>
  <si>
    <t>042800121790</t>
  </si>
  <si>
    <t>042800121820</t>
  </si>
  <si>
    <t>042800494818</t>
  </si>
  <si>
    <t>042800116031</t>
  </si>
  <si>
    <t>042800109538</t>
  </si>
  <si>
    <t>042800120199</t>
  </si>
  <si>
    <t>042800109576</t>
  </si>
  <si>
    <t>042800109545</t>
  </si>
  <si>
    <t>042800134332</t>
  </si>
  <si>
    <t>042800109156</t>
  </si>
  <si>
    <t>042800109248</t>
  </si>
  <si>
    <t>042800005977</t>
  </si>
  <si>
    <t>042800125125</t>
  </si>
  <si>
    <t>042800120137</t>
  </si>
  <si>
    <t>042800122650</t>
  </si>
  <si>
    <t>042800116468</t>
  </si>
  <si>
    <t>042800109187</t>
  </si>
  <si>
    <t>0042800120182</t>
  </si>
  <si>
    <t>042800103017</t>
  </si>
  <si>
    <t>042800118349</t>
  </si>
  <si>
    <t>042800118448</t>
  </si>
  <si>
    <t>042800721686</t>
  </si>
  <si>
    <t>042800005885</t>
  </si>
  <si>
    <t>042800125118</t>
  </si>
  <si>
    <t>0042800120168</t>
  </si>
  <si>
    <t>042800118370</t>
  </si>
  <si>
    <t>042800118431</t>
  </si>
  <si>
    <t>042800109040</t>
  </si>
  <si>
    <t>0042800125316</t>
  </si>
  <si>
    <t>013562300662</t>
  </si>
  <si>
    <t>013562300655</t>
  </si>
  <si>
    <t>013562492916</t>
  </si>
  <si>
    <t>013562493944</t>
  </si>
  <si>
    <t>0013562001804</t>
  </si>
  <si>
    <t>013562313020</t>
  </si>
  <si>
    <t>013562002580</t>
  </si>
  <si>
    <t>092325222212</t>
  </si>
  <si>
    <t>092325222250</t>
  </si>
  <si>
    <t>092325222229</t>
  </si>
  <si>
    <t>092325000018</t>
  </si>
  <si>
    <t>092325222236</t>
  </si>
  <si>
    <t>092325222243</t>
  </si>
  <si>
    <t>016000186910</t>
  </si>
  <si>
    <t>0016000129290</t>
  </si>
  <si>
    <t>0016000187085</t>
  </si>
  <si>
    <t>016000193246</t>
  </si>
  <si>
    <t>016000164550</t>
  </si>
  <si>
    <t>016000288010</t>
  </si>
  <si>
    <t>0016000296176</t>
  </si>
  <si>
    <t>016000172722</t>
  </si>
  <si>
    <t>0016000129283</t>
  </si>
  <si>
    <t>021908116754</t>
  </si>
  <si>
    <t>021908116730</t>
  </si>
  <si>
    <t>021908108629</t>
  </si>
  <si>
    <t>021908116723</t>
  </si>
  <si>
    <t>021908965161</t>
  </si>
  <si>
    <t>021908965406</t>
  </si>
  <si>
    <t>016000138704</t>
  </si>
  <si>
    <t>016000138803</t>
  </si>
  <si>
    <t>016000122505</t>
  </si>
  <si>
    <t>016000180932</t>
  </si>
  <si>
    <t>732153117389</t>
  </si>
  <si>
    <t>732153117372</t>
  </si>
  <si>
    <t>732153024731</t>
  </si>
  <si>
    <t>732153024755</t>
  </si>
  <si>
    <t>732153024816</t>
  </si>
  <si>
    <t>732153015999</t>
  </si>
  <si>
    <t>732153119611</t>
  </si>
  <si>
    <t>732153015944</t>
  </si>
  <si>
    <t>732153240575</t>
  </si>
  <si>
    <t>732153234017</t>
  </si>
  <si>
    <t>732153028555</t>
  </si>
  <si>
    <t>732153028579</t>
  </si>
  <si>
    <t>732153028593</t>
  </si>
  <si>
    <t>732153233980</t>
  </si>
  <si>
    <t>732153028494</t>
  </si>
  <si>
    <t>732153015920</t>
  </si>
  <si>
    <t>732153029613</t>
  </si>
  <si>
    <t>732153024915</t>
  </si>
  <si>
    <t>732153024922</t>
  </si>
  <si>
    <t>732153102088</t>
  </si>
  <si>
    <t>732153131255</t>
  </si>
  <si>
    <t>732153102064</t>
  </si>
  <si>
    <t>732153119239</t>
  </si>
  <si>
    <t>732153115644</t>
  </si>
  <si>
    <t>732153024939</t>
  </si>
  <si>
    <t>732153124684</t>
  </si>
  <si>
    <t>732153029644</t>
  </si>
  <si>
    <t>732153015951</t>
  </si>
  <si>
    <t>732153028609</t>
  </si>
  <si>
    <t>016000480377</t>
  </si>
  <si>
    <t>016000480353</t>
  </si>
  <si>
    <t>016000145269</t>
  </si>
  <si>
    <t>016000145238</t>
  </si>
  <si>
    <t>016000170131</t>
  </si>
  <si>
    <t>016000166097</t>
  </si>
  <si>
    <t>016000172715</t>
  </si>
  <si>
    <t>016000612709</t>
  </si>
  <si>
    <t>016000470361</t>
  </si>
  <si>
    <t>016000844803</t>
  </si>
  <si>
    <t>0016000179462</t>
  </si>
  <si>
    <t>016000297593</t>
  </si>
  <si>
    <t>016000178458</t>
  </si>
  <si>
    <t>016000163935</t>
  </si>
  <si>
    <t>0016000179479</t>
  </si>
  <si>
    <t>0016000189294</t>
  </si>
  <si>
    <t>016000323926</t>
  </si>
  <si>
    <t>016000198753</t>
  </si>
  <si>
    <t>016000205161</t>
  </si>
  <si>
    <t>016000205246</t>
  </si>
  <si>
    <t>016000297616</t>
  </si>
  <si>
    <t>016000176157</t>
  </si>
  <si>
    <t>0016000179455</t>
  </si>
  <si>
    <t>016000178441</t>
  </si>
  <si>
    <t>0016000179486</t>
  </si>
  <si>
    <t>018000234516</t>
  </si>
  <si>
    <t>018000116850</t>
  </si>
  <si>
    <t>018000122257</t>
  </si>
  <si>
    <t>018000129256</t>
  </si>
  <si>
    <t>094562132293</t>
  </si>
  <si>
    <t>018000134120</t>
  </si>
  <si>
    <t>018000132577</t>
  </si>
  <si>
    <t>018000129270</t>
  </si>
  <si>
    <t>018000515417</t>
  </si>
  <si>
    <t>0018000123872</t>
  </si>
  <si>
    <t>0018000123247</t>
  </si>
  <si>
    <t>0018000123230</t>
  </si>
  <si>
    <t>0018000123865</t>
  </si>
  <si>
    <t>018000133772</t>
  </si>
  <si>
    <t>018000122288</t>
  </si>
  <si>
    <t>018000134090</t>
  </si>
  <si>
    <t>018000132492</t>
  </si>
  <si>
    <t>018000122318</t>
  </si>
  <si>
    <t>018000238330</t>
  </si>
  <si>
    <t>018000122264</t>
  </si>
  <si>
    <t>018000128372</t>
  </si>
  <si>
    <t>041196891232</t>
  </si>
  <si>
    <t>041196891010</t>
  </si>
  <si>
    <t>041196289275</t>
  </si>
  <si>
    <t>041196406740</t>
  </si>
  <si>
    <t>041196277470</t>
  </si>
  <si>
    <t>041196406757</t>
  </si>
  <si>
    <t>041196891218</t>
  </si>
  <si>
    <t>041196891089</t>
  </si>
  <si>
    <t>041196891058</t>
  </si>
  <si>
    <t>041196891041</t>
  </si>
  <si>
    <t>041196891072</t>
  </si>
  <si>
    <t>0041196891027</t>
  </si>
  <si>
    <t>041196890129</t>
  </si>
  <si>
    <t>041196890211</t>
  </si>
  <si>
    <t>041196021226</t>
  </si>
  <si>
    <t>041196021240</t>
  </si>
  <si>
    <t>041196020359</t>
  </si>
  <si>
    <t>041196020328</t>
  </si>
  <si>
    <t>041196020168</t>
  </si>
  <si>
    <t>041196020120</t>
  </si>
  <si>
    <t>041196020243</t>
  </si>
  <si>
    <t>041196020229</t>
  </si>
  <si>
    <t>0041196130416</t>
  </si>
  <si>
    <t>0041196130423</t>
  </si>
  <si>
    <t>041196121377</t>
  </si>
  <si>
    <t>041196121476</t>
  </si>
  <si>
    <t>041196121490</t>
  </si>
  <si>
    <t>041196121452</t>
  </si>
  <si>
    <t>041196121483</t>
  </si>
  <si>
    <t>041196101164</t>
  </si>
  <si>
    <t>0041196101133</t>
  </si>
  <si>
    <t>041196129434</t>
  </si>
  <si>
    <t>070470163598</t>
  </si>
  <si>
    <t>070470161358</t>
  </si>
  <si>
    <t>070470164618</t>
  </si>
  <si>
    <t>070470179889</t>
  </si>
  <si>
    <t>013562125586</t>
  </si>
  <si>
    <t>013562121854</t>
  </si>
  <si>
    <t>013562133970</t>
  </si>
  <si>
    <t>013562494026</t>
  </si>
  <si>
    <t>013562302611</t>
  </si>
  <si>
    <t>013562493982</t>
  </si>
  <si>
    <t>013562109234</t>
  </si>
  <si>
    <t>013562000180</t>
  </si>
  <si>
    <t>013562000173</t>
  </si>
  <si>
    <t>013562000159</t>
  </si>
  <si>
    <t>013562000197</t>
  </si>
  <si>
    <t>013562117222</t>
  </si>
  <si>
    <t>013562000517</t>
  </si>
  <si>
    <t>013562000524</t>
  </si>
  <si>
    <t>013562124275</t>
  </si>
  <si>
    <t>013562124282</t>
  </si>
  <si>
    <t>0013562119165</t>
  </si>
  <si>
    <t>013562124893</t>
  </si>
  <si>
    <t>013562116126</t>
  </si>
  <si>
    <t>013562123988</t>
  </si>
  <si>
    <t>013562002603</t>
  </si>
  <si>
    <t>013562460502</t>
  </si>
  <si>
    <t>013562002627</t>
  </si>
  <si>
    <t>013562126446</t>
  </si>
  <si>
    <t>0013562126323</t>
  </si>
  <si>
    <t>0013562133888</t>
  </si>
  <si>
    <t>013562460519</t>
  </si>
  <si>
    <t>013562121830</t>
  </si>
  <si>
    <t>013562107995</t>
  </si>
  <si>
    <t>013562289721</t>
  </si>
  <si>
    <t>013562110452</t>
  </si>
  <si>
    <t>013562108848</t>
  </si>
  <si>
    <t>021908123387</t>
  </si>
  <si>
    <t>021908128153</t>
  </si>
  <si>
    <t>021908291024</t>
  </si>
  <si>
    <t>021908121932</t>
  </si>
  <si>
    <t>021908123332</t>
  </si>
  <si>
    <t>021908485331</t>
  </si>
  <si>
    <t>021908121925</t>
  </si>
  <si>
    <t>021908407753</t>
  </si>
  <si>
    <t>021908107394</t>
  </si>
  <si>
    <t>021908406763</t>
  </si>
  <si>
    <t>021908476230</t>
  </si>
  <si>
    <t>021908476223</t>
  </si>
  <si>
    <t>0016000184749</t>
  </si>
  <si>
    <t>0016000184671</t>
  </si>
  <si>
    <t>016000184695</t>
  </si>
  <si>
    <t>0016000184664</t>
  </si>
  <si>
    <t>016000200968</t>
  </si>
  <si>
    <t>016000200975</t>
  </si>
  <si>
    <t>016000184688</t>
  </si>
  <si>
    <t>016000188952</t>
  </si>
  <si>
    <t>016000184657</t>
  </si>
  <si>
    <t>016000200838</t>
  </si>
  <si>
    <t>016000200821</t>
  </si>
  <si>
    <t>016000199439</t>
  </si>
  <si>
    <t>016000426412</t>
  </si>
  <si>
    <t>016000408036</t>
  </si>
  <si>
    <t>016000364479</t>
  </si>
  <si>
    <t>016000423718</t>
  </si>
  <si>
    <t>016000107830</t>
  </si>
  <si>
    <t>016000107816</t>
  </si>
  <si>
    <t>016000108950</t>
  </si>
  <si>
    <t>016000420250</t>
  </si>
  <si>
    <t>016000456969</t>
  </si>
  <si>
    <t>016000485440</t>
  </si>
  <si>
    <t>016000423657</t>
  </si>
  <si>
    <t>016000496972</t>
  </si>
  <si>
    <t>016000504622</t>
  </si>
  <si>
    <t>016000436169</t>
  </si>
  <si>
    <t>016000143449</t>
  </si>
  <si>
    <t>016000411494</t>
  </si>
  <si>
    <t>016000405974</t>
  </si>
  <si>
    <t>016000415447</t>
  </si>
  <si>
    <t>016000261648</t>
  </si>
  <si>
    <t>0016000281660</t>
  </si>
  <si>
    <t>016000261655</t>
  </si>
  <si>
    <t>016000411487</t>
  </si>
  <si>
    <t>016000194540</t>
  </si>
  <si>
    <t>016000194519</t>
  </si>
  <si>
    <t>016000456822</t>
  </si>
  <si>
    <t>016000145252</t>
  </si>
  <si>
    <t>016000445116</t>
  </si>
  <si>
    <t>016000181489</t>
  </si>
  <si>
    <t>016000457010</t>
  </si>
  <si>
    <t>016000439764</t>
  </si>
  <si>
    <t>0016000174214</t>
  </si>
  <si>
    <t>016000156975</t>
  </si>
  <si>
    <t>016000467583</t>
  </si>
  <si>
    <t>016000660991</t>
  </si>
  <si>
    <t>0016000200937</t>
  </si>
  <si>
    <t>016000181915</t>
  </si>
  <si>
    <t>016000167612</t>
  </si>
  <si>
    <t>016000442160</t>
  </si>
  <si>
    <t>016000506497</t>
  </si>
  <si>
    <t>016000445123</t>
  </si>
  <si>
    <t>016000146440</t>
  </si>
  <si>
    <t>016000467590</t>
  </si>
  <si>
    <t>0016000200944</t>
  </si>
  <si>
    <t>016000505346</t>
  </si>
  <si>
    <t>016000506015</t>
  </si>
  <si>
    <t>0016000146419</t>
  </si>
  <si>
    <t>016000467576</t>
  </si>
  <si>
    <t>016000146464</t>
  </si>
  <si>
    <t>016000144811</t>
  </si>
  <si>
    <t>016000173637</t>
  </si>
  <si>
    <t>016000173828</t>
  </si>
  <si>
    <t>016000323933</t>
  </si>
  <si>
    <t>016000506954</t>
  </si>
  <si>
    <t>016000508293</t>
  </si>
  <si>
    <t>016000146433</t>
  </si>
  <si>
    <t>016000489837</t>
  </si>
  <si>
    <t>016000482876</t>
  </si>
  <si>
    <t>016000272880</t>
  </si>
  <si>
    <t>016000155664</t>
  </si>
  <si>
    <t>016000149434</t>
  </si>
  <si>
    <t>016000273085</t>
  </si>
  <si>
    <t>016000149458</t>
  </si>
  <si>
    <t>016000170797</t>
  </si>
  <si>
    <t>016000439894</t>
  </si>
  <si>
    <t>016000160576</t>
  </si>
  <si>
    <t>016000196964</t>
  </si>
  <si>
    <t>016000439801</t>
  </si>
  <si>
    <t>016000283725</t>
  </si>
  <si>
    <t>016000407619</t>
  </si>
  <si>
    <t>016000417274</t>
  </si>
  <si>
    <t>016000154834</t>
  </si>
  <si>
    <t>0016000411265</t>
  </si>
  <si>
    <t>0016000431027</t>
  </si>
  <si>
    <t>0016000173941</t>
  </si>
  <si>
    <t>0016000298606</t>
  </si>
  <si>
    <t>0016000160583</t>
  </si>
  <si>
    <t>0016000178359</t>
  </si>
  <si>
    <t>016000295704</t>
  </si>
  <si>
    <t>016000196155</t>
  </si>
  <si>
    <t>0016000187948</t>
  </si>
  <si>
    <t>016000264502</t>
  </si>
  <si>
    <t>016000265998</t>
  </si>
  <si>
    <t>016000265905</t>
  </si>
  <si>
    <t>016000173842</t>
  </si>
  <si>
    <t>016000507258</t>
  </si>
  <si>
    <t>0016000413146</t>
  </si>
  <si>
    <t>0016000189751</t>
  </si>
  <si>
    <t>016000264694</t>
  </si>
  <si>
    <t>016000264601</t>
  </si>
  <si>
    <t>0016000431010</t>
  </si>
  <si>
    <t>016000160514</t>
  </si>
  <si>
    <t>016000335301</t>
  </si>
  <si>
    <t>016000441446</t>
  </si>
  <si>
    <t>016000487598</t>
  </si>
  <si>
    <t>0016000187931</t>
  </si>
  <si>
    <t>016000140974</t>
  </si>
  <si>
    <t>016000264793</t>
  </si>
  <si>
    <t>0016000264700</t>
  </si>
  <si>
    <t>016000199743</t>
  </si>
  <si>
    <t>016000284159</t>
  </si>
  <si>
    <t>016000289208</t>
  </si>
  <si>
    <t>0016000187955</t>
  </si>
  <si>
    <t>016000503052</t>
  </si>
  <si>
    <t>016000442825</t>
  </si>
  <si>
    <t>016000441514</t>
  </si>
  <si>
    <t>016000457980</t>
  </si>
  <si>
    <t>016000507333</t>
  </si>
  <si>
    <t>0016000106123</t>
  </si>
  <si>
    <t>016000179417</t>
  </si>
  <si>
    <t>016000179431</t>
  </si>
  <si>
    <t>016000714328</t>
  </si>
  <si>
    <t>016000180598</t>
  </si>
  <si>
    <t>016000179448</t>
  </si>
  <si>
    <t>016000312371</t>
  </si>
  <si>
    <t>016000188938</t>
  </si>
  <si>
    <t>0016000188921</t>
  </si>
  <si>
    <t>016000179394</t>
  </si>
  <si>
    <t>0016000200395</t>
  </si>
  <si>
    <t>0016000200371</t>
  </si>
  <si>
    <t>0016000200388</t>
  </si>
  <si>
    <t>0016000458987</t>
  </si>
  <si>
    <t>016000145993</t>
  </si>
  <si>
    <t>016000514799</t>
  </si>
  <si>
    <t>016000106130</t>
  </si>
  <si>
    <t>016000489820</t>
  </si>
  <si>
    <t>0016000458918</t>
  </si>
  <si>
    <t>016000450769</t>
  </si>
  <si>
    <t>016000439627</t>
  </si>
  <si>
    <t>016000158986</t>
  </si>
  <si>
    <t>016000485426</t>
  </si>
  <si>
    <t>016000471962</t>
  </si>
  <si>
    <t>016000457249</t>
  </si>
  <si>
    <t>016000507661</t>
  </si>
  <si>
    <t>016000497061</t>
  </si>
  <si>
    <t>016000495548</t>
  </si>
  <si>
    <t>016000477797</t>
  </si>
  <si>
    <t>016000149960</t>
  </si>
  <si>
    <t>016000412699</t>
  </si>
  <si>
    <t>0016000457232</t>
  </si>
  <si>
    <t>016000444867</t>
  </si>
  <si>
    <t>016000513686</t>
  </si>
  <si>
    <t>016000513693</t>
  </si>
  <si>
    <t>016000149410</t>
  </si>
  <si>
    <t>016000158757</t>
  </si>
  <si>
    <t>016000491755</t>
  </si>
  <si>
    <t>016000495364</t>
  </si>
  <si>
    <t>016000468634</t>
  </si>
  <si>
    <t>016000158573</t>
  </si>
  <si>
    <t>016000466845</t>
  </si>
  <si>
    <t>016000489271</t>
  </si>
  <si>
    <t>016000493926</t>
  </si>
  <si>
    <t>0016000466791</t>
  </si>
  <si>
    <t>016000200845</t>
  </si>
  <si>
    <t>016000485525</t>
  </si>
  <si>
    <t>016000446465</t>
  </si>
  <si>
    <t>016000200852</t>
  </si>
  <si>
    <t>016000458970</t>
  </si>
  <si>
    <t>0016000189744</t>
  </si>
  <si>
    <t>016000189768</t>
  </si>
  <si>
    <t>016000147416</t>
  </si>
  <si>
    <t>016000186972</t>
  </si>
  <si>
    <t>016000186958</t>
  </si>
  <si>
    <t>016000506664</t>
  </si>
  <si>
    <t>016000146655</t>
  </si>
  <si>
    <t>016000178366</t>
  </si>
  <si>
    <t>016000168794</t>
  </si>
  <si>
    <t>016000484917</t>
  </si>
  <si>
    <t>016000442818</t>
  </si>
  <si>
    <t>016000160538</t>
  </si>
  <si>
    <t>0016000277069</t>
  </si>
  <si>
    <t>0016000189782</t>
  </si>
  <si>
    <t>016000104136</t>
  </si>
  <si>
    <t>016000160590</t>
  </si>
  <si>
    <t>0016000168930</t>
  </si>
  <si>
    <t>016000491854</t>
  </si>
  <si>
    <t>016000278554</t>
  </si>
  <si>
    <t>016000158740</t>
  </si>
  <si>
    <t>016000160569</t>
  </si>
  <si>
    <t>016000158948</t>
  </si>
  <si>
    <t>016000282186</t>
  </si>
  <si>
    <t>016000158733</t>
  </si>
  <si>
    <t>016000160521</t>
  </si>
  <si>
    <t>016000158931</t>
  </si>
  <si>
    <t>0016000277076</t>
  </si>
  <si>
    <t>016000102125</t>
  </si>
  <si>
    <t>016000168947</t>
  </si>
  <si>
    <t>016000105287</t>
  </si>
  <si>
    <t>016000140851</t>
  </si>
  <si>
    <t>016000140868</t>
  </si>
  <si>
    <t>016000141650</t>
  </si>
  <si>
    <t>016000140912</t>
  </si>
  <si>
    <t>016000141490</t>
  </si>
  <si>
    <t>016000140899</t>
  </si>
  <si>
    <t>046000133591</t>
  </si>
  <si>
    <t>046000133539</t>
  </si>
  <si>
    <t>046000133614</t>
  </si>
  <si>
    <t>725342488001</t>
  </si>
  <si>
    <t>725342484706</t>
  </si>
  <si>
    <t>725342484904</t>
  </si>
  <si>
    <t>725342488100</t>
  </si>
  <si>
    <t>046000123127</t>
  </si>
  <si>
    <t>046000123097</t>
  </si>
  <si>
    <t>046000123110</t>
  </si>
  <si>
    <t>046000823614</t>
  </si>
  <si>
    <t>046000123974</t>
  </si>
  <si>
    <t>046000823416</t>
  </si>
  <si>
    <t>046000287393</t>
  </si>
  <si>
    <t>046000287386</t>
  </si>
  <si>
    <t>0046000130484</t>
  </si>
  <si>
    <t>0046000130453</t>
  </si>
  <si>
    <t>0046000130460</t>
  </si>
  <si>
    <t>046000116341</t>
  </si>
  <si>
    <t>046000860510</t>
  </si>
  <si>
    <t>046000123585</t>
  </si>
  <si>
    <t>046000861210</t>
  </si>
  <si>
    <t>0046000130552</t>
  </si>
  <si>
    <t>0046000123578</t>
  </si>
  <si>
    <t>046000116440</t>
  </si>
  <si>
    <t>046000861012</t>
  </si>
  <si>
    <t>046000721828</t>
  </si>
  <si>
    <t>046000116334</t>
  </si>
  <si>
    <t>0046000860114</t>
  </si>
  <si>
    <t>046000860350</t>
  </si>
  <si>
    <t>046000721835</t>
  </si>
  <si>
    <t>046000116433</t>
  </si>
  <si>
    <t>046000116358</t>
  </si>
  <si>
    <t>046000110592</t>
  </si>
  <si>
    <t>046000288727</t>
  </si>
  <si>
    <t>046000288734</t>
  </si>
  <si>
    <t>046000116327</t>
  </si>
  <si>
    <t>046000288741</t>
  </si>
  <si>
    <t>046000480480</t>
  </si>
  <si>
    <t>046000116051</t>
  </si>
  <si>
    <t>046000288758</t>
  </si>
  <si>
    <t>0046000288765</t>
  </si>
  <si>
    <t>046000288697</t>
  </si>
  <si>
    <t>046000118963</t>
  </si>
  <si>
    <t>046000117713</t>
  </si>
  <si>
    <t>046000495422</t>
  </si>
  <si>
    <t>046000815664</t>
  </si>
  <si>
    <t>046000102870</t>
  </si>
  <si>
    <t>046000288772</t>
  </si>
  <si>
    <t>046000135816</t>
  </si>
  <si>
    <t>046000832517</t>
  </si>
  <si>
    <t>046000833316</t>
  </si>
  <si>
    <t>0046000820118</t>
  </si>
  <si>
    <t>046000821214</t>
  </si>
  <si>
    <t>046000821610</t>
  </si>
  <si>
    <t>046000843315</t>
  </si>
  <si>
    <t>046000843513</t>
  </si>
  <si>
    <t>046000307534</t>
  </si>
  <si>
    <t>046000821313</t>
  </si>
  <si>
    <t>046000413594</t>
  </si>
  <si>
    <t>046000852812</t>
  </si>
  <si>
    <t>046000400280</t>
  </si>
  <si>
    <t>046000111278</t>
  </si>
  <si>
    <t>046000101477</t>
  </si>
  <si>
    <t>046000431512</t>
  </si>
  <si>
    <t>046000273419</t>
  </si>
  <si>
    <t>046000125053</t>
  </si>
  <si>
    <t>046000273426</t>
  </si>
  <si>
    <t>046000466026</t>
  </si>
  <si>
    <t>046000131818</t>
  </si>
  <si>
    <t>0046000287362</t>
  </si>
  <si>
    <t>00046000450629</t>
  </si>
  <si>
    <t>0046000279183</t>
  </si>
  <si>
    <t>0046000295480</t>
  </si>
  <si>
    <t>0046000130613</t>
  </si>
  <si>
    <t>0046000123745</t>
  </si>
  <si>
    <t>046000458182</t>
  </si>
  <si>
    <t>046000135243</t>
  </si>
  <si>
    <t>046000453958</t>
  </si>
  <si>
    <t>046000101514</t>
  </si>
  <si>
    <t>046000811819</t>
  </si>
  <si>
    <t>046000287317</t>
  </si>
  <si>
    <t>046000477640</t>
  </si>
  <si>
    <t>0046000287355</t>
  </si>
  <si>
    <t>046000123158</t>
  </si>
  <si>
    <t>0046000111162</t>
  </si>
  <si>
    <t>046000287324</t>
  </si>
  <si>
    <t>046000123080</t>
  </si>
  <si>
    <t>046000123134</t>
  </si>
  <si>
    <t>0046000295497</t>
  </si>
  <si>
    <t>00046000287348</t>
  </si>
  <si>
    <t>046000453965</t>
  </si>
  <si>
    <t>046000116365</t>
  </si>
  <si>
    <t>046000811017</t>
  </si>
  <si>
    <t>046000811512</t>
  </si>
  <si>
    <t>046000811215</t>
  </si>
  <si>
    <t>0046000812151</t>
  </si>
  <si>
    <t>046000101613</t>
  </si>
  <si>
    <t>046000431659</t>
  </si>
  <si>
    <t>0046000130064</t>
  </si>
  <si>
    <t>0046000130088</t>
  </si>
  <si>
    <t>046000812014</t>
  </si>
  <si>
    <t>021908477978</t>
  </si>
  <si>
    <t>021908477961</t>
  </si>
  <si>
    <t>021908514956</t>
  </si>
  <si>
    <t>021908477947</t>
  </si>
  <si>
    <t>021908493350</t>
  </si>
  <si>
    <t>021908550114</t>
  </si>
  <si>
    <t>021908466125</t>
  </si>
  <si>
    <t>021908406770</t>
  </si>
  <si>
    <t>021908493343</t>
  </si>
  <si>
    <t>021908477954</t>
  </si>
  <si>
    <t>021908525013</t>
  </si>
  <si>
    <t>021908477138</t>
  </si>
  <si>
    <t>021908466118</t>
  </si>
  <si>
    <t>021908543017</t>
  </si>
  <si>
    <t>021908422374</t>
  </si>
  <si>
    <t>021908501970</t>
  </si>
  <si>
    <t>021908500256</t>
  </si>
  <si>
    <t>021908501673</t>
  </si>
  <si>
    <t>021908128085</t>
  </si>
  <si>
    <t>021908504155</t>
  </si>
  <si>
    <t>021908128078</t>
  </si>
  <si>
    <t>021908504100</t>
  </si>
  <si>
    <t>021908504193</t>
  </si>
  <si>
    <t>021908504018</t>
  </si>
  <si>
    <t>021908108698</t>
  </si>
  <si>
    <t>021908493886</t>
  </si>
  <si>
    <t>021908501413</t>
  </si>
  <si>
    <t>021908465272</t>
  </si>
  <si>
    <t>021908492766</t>
  </si>
  <si>
    <t>021908128115</t>
  </si>
  <si>
    <t>021908503356</t>
  </si>
  <si>
    <t>021908501352</t>
  </si>
  <si>
    <t>021908114415</t>
  </si>
  <si>
    <t>021908490328</t>
  </si>
  <si>
    <t>021908108537</t>
  </si>
  <si>
    <t>021908503462</t>
  </si>
  <si>
    <t>021908503479</t>
  </si>
  <si>
    <t>021908501406</t>
  </si>
  <si>
    <t>021908503455</t>
  </si>
  <si>
    <t>021908501451</t>
  </si>
  <si>
    <t>021908460277</t>
  </si>
  <si>
    <t>021908505077</t>
  </si>
  <si>
    <t>021908503240</t>
  </si>
  <si>
    <t>021908501246</t>
  </si>
  <si>
    <t>021908503400</t>
  </si>
  <si>
    <t>021908289212</t>
  </si>
  <si>
    <t>021908289236</t>
  </si>
  <si>
    <t>021908289243</t>
  </si>
  <si>
    <t>021908501871</t>
  </si>
  <si>
    <t>725342132287</t>
  </si>
  <si>
    <t>725342132270</t>
  </si>
  <si>
    <t>725342132249</t>
  </si>
  <si>
    <t>725342132164</t>
  </si>
  <si>
    <t>725342282463</t>
  </si>
  <si>
    <t>725342441921</t>
  </si>
  <si>
    <t>725342293469</t>
  </si>
  <si>
    <t>725342289868</t>
  </si>
  <si>
    <t>725342286768</t>
  </si>
  <si>
    <t>725342282661</t>
  </si>
  <si>
    <t>725342132218</t>
  </si>
  <si>
    <t>725342289769</t>
  </si>
  <si>
    <t>725342132256</t>
  </si>
  <si>
    <t>725342132157</t>
  </si>
  <si>
    <t>725342283569</t>
  </si>
  <si>
    <t>041196060560</t>
  </si>
  <si>
    <t>092325333468</t>
  </si>
  <si>
    <t>092325333505</t>
  </si>
  <si>
    <t>092325333178</t>
  </si>
  <si>
    <t>092325333246</t>
  </si>
  <si>
    <t>092325333369</t>
  </si>
  <si>
    <t>092325333444</t>
  </si>
  <si>
    <t>092325333475</t>
  </si>
  <si>
    <t>092325333451</t>
  </si>
  <si>
    <t>092325333024</t>
  </si>
  <si>
    <t>092325333314</t>
  </si>
  <si>
    <t>092325333307</t>
  </si>
  <si>
    <t>092325333109</t>
  </si>
  <si>
    <t>092325333147</t>
  </si>
  <si>
    <t>092325333352</t>
  </si>
  <si>
    <t>092325333208</t>
  </si>
  <si>
    <t>092325333321</t>
  </si>
  <si>
    <t>092325289284</t>
  </si>
  <si>
    <t>092325333123</t>
  </si>
  <si>
    <t>092325333192</t>
  </si>
  <si>
    <t>092325333543</t>
  </si>
  <si>
    <t>092325333550</t>
  </si>
  <si>
    <t>092325333536</t>
  </si>
  <si>
    <t>092325333239</t>
  </si>
  <si>
    <t>092325333017</t>
  </si>
  <si>
    <t>092325333529</t>
  </si>
  <si>
    <t>0013562302154</t>
  </si>
  <si>
    <t>013562122035</t>
  </si>
  <si>
    <t>013562122059</t>
  </si>
  <si>
    <t>013562122042</t>
  </si>
  <si>
    <t>013562494033</t>
  </si>
  <si>
    <t>013562494019</t>
  </si>
  <si>
    <t>013562320509</t>
  </si>
  <si>
    <t>013562493999</t>
  </si>
  <si>
    <t>013562000531</t>
  </si>
  <si>
    <t>013562302284</t>
  </si>
  <si>
    <t>013562495399</t>
  </si>
  <si>
    <t>725342283019</t>
  </si>
  <si>
    <t>725342280711</t>
  </si>
  <si>
    <t>725342285716</t>
  </si>
  <si>
    <t>725342281039</t>
  </si>
  <si>
    <t>725342281930</t>
  </si>
  <si>
    <t>725342283156</t>
  </si>
  <si>
    <t>725342128242</t>
  </si>
  <si>
    <t>725342381715</t>
  </si>
  <si>
    <t>725342291113</t>
  </si>
  <si>
    <t>725342283934</t>
  </si>
  <si>
    <t>725342290437</t>
  </si>
  <si>
    <t>725342260713</t>
  </si>
  <si>
    <t>725342269266</t>
  </si>
  <si>
    <t>725342283811</t>
  </si>
  <si>
    <t>725342285617</t>
  </si>
  <si>
    <t>725342287314</t>
  </si>
  <si>
    <t>725342287413</t>
  </si>
  <si>
    <t>725342291212</t>
  </si>
  <si>
    <t>725342292110</t>
  </si>
  <si>
    <t>725342426485</t>
  </si>
  <si>
    <t>725342430024</t>
  </si>
  <si>
    <t>725342130771</t>
  </si>
  <si>
    <t>725342130788</t>
  </si>
  <si>
    <t>725342260737</t>
  </si>
  <si>
    <t>725342290536</t>
  </si>
  <si>
    <t>725342497386</t>
  </si>
  <si>
    <t>725342497416</t>
  </si>
  <si>
    <t>725342129157</t>
  </si>
  <si>
    <t>725342129423</t>
  </si>
  <si>
    <t>725342281831</t>
  </si>
  <si>
    <t>725342130764</t>
  </si>
  <si>
    <t>725342269273</t>
  </si>
  <si>
    <t>725342269280</t>
  </si>
  <si>
    <t>725342269297</t>
  </si>
  <si>
    <t>725342429431</t>
  </si>
  <si>
    <t>725342429448</t>
  </si>
  <si>
    <t>725342293735</t>
  </si>
  <si>
    <t>725342260119</t>
  </si>
  <si>
    <t>725342283712</t>
  </si>
  <si>
    <t>725342260133</t>
  </si>
  <si>
    <t>725342283637</t>
  </si>
  <si>
    <t>725342290338</t>
  </si>
  <si>
    <t>016000189171</t>
  </si>
  <si>
    <t>016000189188</t>
  </si>
  <si>
    <t>016000179912</t>
  </si>
  <si>
    <t>016000303348</t>
  </si>
  <si>
    <t>016000179899</t>
  </si>
  <si>
    <t>016000173521</t>
  </si>
  <si>
    <t>016000189720</t>
  </si>
  <si>
    <t>016000287327</t>
  </si>
  <si>
    <t>016000164352</t>
  </si>
  <si>
    <t>016000164345</t>
  </si>
  <si>
    <t>016000189331</t>
  </si>
  <si>
    <t>016000173620</t>
  </si>
  <si>
    <t>732153248823</t>
  </si>
  <si>
    <t>732153125360</t>
  </si>
  <si>
    <t>732153029224</t>
  </si>
  <si>
    <t>732153125384</t>
  </si>
  <si>
    <t>732153244030</t>
  </si>
  <si>
    <t>732153247444</t>
  </si>
  <si>
    <t>732153123991</t>
  </si>
  <si>
    <t>732153025349</t>
  </si>
  <si>
    <t>732153241190</t>
  </si>
  <si>
    <t>732153117747</t>
  </si>
  <si>
    <t>732153029163</t>
  </si>
  <si>
    <t>732153025127</t>
  </si>
  <si>
    <t>732153248816</t>
  </si>
  <si>
    <t>732153125377</t>
  </si>
  <si>
    <t>732153125353</t>
  </si>
  <si>
    <t>732153106284</t>
  </si>
  <si>
    <t>732153241220</t>
  </si>
  <si>
    <t>732153117778</t>
  </si>
  <si>
    <t>732153117846</t>
  </si>
  <si>
    <t>732153248687</t>
  </si>
  <si>
    <t>732153125247</t>
  </si>
  <si>
    <t>732153125230</t>
  </si>
  <si>
    <t>732153106215</t>
  </si>
  <si>
    <t>0016000182516</t>
  </si>
  <si>
    <t>0016000170582</t>
  </si>
  <si>
    <t>0016000184756</t>
  </si>
  <si>
    <t>0016000170728</t>
  </si>
  <si>
    <t>0016000184817</t>
  </si>
  <si>
    <t>0021908122830</t>
  </si>
  <si>
    <t>0021908115399</t>
  </si>
  <si>
    <t>0021908122786</t>
  </si>
  <si>
    <t>0021908115177</t>
  </si>
  <si>
    <t>0021908115467</t>
  </si>
  <si>
    <t>021908509341</t>
  </si>
  <si>
    <t>021908122779</t>
  </si>
  <si>
    <t>021908124353</t>
  </si>
  <si>
    <t>021908115351</t>
  </si>
  <si>
    <t>021908115849</t>
  </si>
  <si>
    <t>0021908115290</t>
  </si>
  <si>
    <t>021908122762</t>
  </si>
  <si>
    <t>0021908115368</t>
  </si>
  <si>
    <t>021908115795</t>
  </si>
  <si>
    <t>0021908130934</t>
  </si>
  <si>
    <t>021908130972</t>
  </si>
  <si>
    <t>021908254395</t>
  </si>
  <si>
    <t>0021908130941</t>
  </si>
  <si>
    <t>021908130996</t>
  </si>
  <si>
    <t>021908115245</t>
  </si>
  <si>
    <t>021908254371</t>
  </si>
  <si>
    <t>021908129419</t>
  </si>
  <si>
    <t>021908129860</t>
  </si>
  <si>
    <t>0021908129853</t>
  </si>
  <si>
    <t>021908129082</t>
  </si>
  <si>
    <t>021908511948</t>
  </si>
  <si>
    <t>021908459943</t>
  </si>
  <si>
    <t>021908122922</t>
  </si>
  <si>
    <t>021908115269</t>
  </si>
  <si>
    <t>021908124414</t>
  </si>
  <si>
    <t>0021908115276</t>
  </si>
  <si>
    <t>0021908115382</t>
  </si>
  <si>
    <t>021908257419</t>
  </si>
  <si>
    <t>021908133966</t>
  </si>
  <si>
    <t>021908133942</t>
  </si>
  <si>
    <t>021908122854</t>
  </si>
  <si>
    <t>0021908115320</t>
  </si>
  <si>
    <t>021908115962</t>
  </si>
  <si>
    <t>021908122816</t>
  </si>
  <si>
    <t>021908453071</t>
  </si>
  <si>
    <t>0021908115412</t>
  </si>
  <si>
    <t>021908453064</t>
  </si>
  <si>
    <t>021908131146</t>
  </si>
  <si>
    <t>021908508627</t>
  </si>
  <si>
    <t>021908435756</t>
  </si>
  <si>
    <t>021908122915</t>
  </si>
  <si>
    <t>021908103013</t>
  </si>
  <si>
    <t>021908102832</t>
  </si>
  <si>
    <t>021908237930</t>
  </si>
  <si>
    <t>021908509273</t>
  </si>
  <si>
    <t>021908453026</t>
  </si>
  <si>
    <t>021908115832</t>
  </si>
  <si>
    <t>021908515472</t>
  </si>
  <si>
    <t>021908495750</t>
  </si>
  <si>
    <t>021908515083</t>
  </si>
  <si>
    <t>021908100517</t>
  </si>
  <si>
    <t>021908507378</t>
  </si>
  <si>
    <t>021908405162</t>
  </si>
  <si>
    <t>021908115856</t>
  </si>
  <si>
    <t>021908509259</t>
  </si>
  <si>
    <t>021908453040</t>
  </si>
  <si>
    <t>021908409528</t>
  </si>
  <si>
    <t>021908509242</t>
  </si>
  <si>
    <t>021908453156</t>
  </si>
  <si>
    <t>021908115863</t>
  </si>
  <si>
    <t>021908509365</t>
  </si>
  <si>
    <t>021908453385</t>
  </si>
  <si>
    <t>021908509372</t>
  </si>
  <si>
    <t>021908117874</t>
  </si>
  <si>
    <t>021908453392</t>
  </si>
  <si>
    <t>021908115993</t>
  </si>
  <si>
    <t>021908117911</t>
  </si>
  <si>
    <t>021908488172</t>
  </si>
  <si>
    <t>0021908515465</t>
  </si>
  <si>
    <t>021908495743</t>
  </si>
  <si>
    <t>021908508979</t>
  </si>
  <si>
    <t>021908509198</t>
  </si>
  <si>
    <t>021908453118</t>
  </si>
  <si>
    <t>021908515458</t>
  </si>
  <si>
    <t>0021908515441</t>
  </si>
  <si>
    <t>021908122847</t>
  </si>
  <si>
    <t>021908495712</t>
  </si>
  <si>
    <t>021908115870</t>
  </si>
  <si>
    <t>021908513737</t>
  </si>
  <si>
    <t>021908490854</t>
  </si>
  <si>
    <t>021908432656</t>
  </si>
  <si>
    <t>021908509327</t>
  </si>
  <si>
    <t>021908115986</t>
  </si>
  <si>
    <t>021908509358</t>
  </si>
  <si>
    <t>021908116877</t>
  </si>
  <si>
    <t>021908453378</t>
  </si>
  <si>
    <t>021908116884</t>
  </si>
  <si>
    <t>021908509167</t>
  </si>
  <si>
    <t>021908115788</t>
  </si>
  <si>
    <t>021908509150</t>
  </si>
  <si>
    <t>021908508269</t>
  </si>
  <si>
    <t>021908440637</t>
  </si>
  <si>
    <t>0021908130750</t>
  </si>
  <si>
    <t>021908106045</t>
  </si>
  <si>
    <t>021908109329</t>
  </si>
  <si>
    <t>021908109633</t>
  </si>
  <si>
    <t>021908120485</t>
  </si>
  <si>
    <t>021908120577</t>
  </si>
  <si>
    <t>021908120416</t>
  </si>
  <si>
    <t>021908131177</t>
  </si>
  <si>
    <t>021908131153</t>
  </si>
  <si>
    <t>021908131160</t>
  </si>
  <si>
    <t>021908254388</t>
  </si>
  <si>
    <t>021908130958</t>
  </si>
  <si>
    <t>013562472932</t>
  </si>
  <si>
    <t>013562469765</t>
  </si>
  <si>
    <t>0013562472925</t>
  </si>
  <si>
    <t>013562472949</t>
  </si>
  <si>
    <t>016000184855</t>
  </si>
  <si>
    <t>018000135974</t>
  </si>
  <si>
    <t>665596477058</t>
  </si>
  <si>
    <t>665596099908</t>
  </si>
  <si>
    <t>665596013010</t>
  </si>
  <si>
    <t>665596119637</t>
  </si>
  <si>
    <t>665596013027</t>
  </si>
  <si>
    <t>665596099922</t>
  </si>
  <si>
    <t>665596010026</t>
  </si>
  <si>
    <t>665596099939</t>
  </si>
  <si>
    <t>018000133253</t>
  </si>
  <si>
    <t>0018000133260</t>
  </si>
  <si>
    <t>0018000362936</t>
  </si>
  <si>
    <t>018000134281</t>
  </si>
  <si>
    <t>0018000001286</t>
  </si>
  <si>
    <t>018000000791</t>
  </si>
  <si>
    <t>018000125944</t>
  </si>
  <si>
    <t>018000117611</t>
  </si>
  <si>
    <t>018000435999</t>
  </si>
  <si>
    <t>018000817733</t>
  </si>
  <si>
    <t>018000130382</t>
  </si>
  <si>
    <t>0018000817788</t>
  </si>
  <si>
    <t>018000428410</t>
  </si>
  <si>
    <t>018000817818</t>
  </si>
  <si>
    <t>018000117598</t>
  </si>
  <si>
    <t>018000456758</t>
  </si>
  <si>
    <t>018000842728</t>
  </si>
  <si>
    <t>018000476992</t>
  </si>
  <si>
    <t>0018000119387</t>
  </si>
  <si>
    <t>0018000000753</t>
  </si>
  <si>
    <t>018000112739</t>
  </si>
  <si>
    <t>018000112722</t>
  </si>
  <si>
    <t>018000287123</t>
  </si>
  <si>
    <t>018000842735</t>
  </si>
  <si>
    <t>018000134236</t>
  </si>
  <si>
    <t>018000430345</t>
  </si>
  <si>
    <t>0018000002061</t>
  </si>
  <si>
    <t>018000428441</t>
  </si>
  <si>
    <t>018000482184</t>
  </si>
  <si>
    <t>018000001231</t>
  </si>
  <si>
    <t>018000116249</t>
  </si>
  <si>
    <t>018000106813</t>
  </si>
  <si>
    <t>018000817757</t>
  </si>
  <si>
    <t>018000428427</t>
  </si>
  <si>
    <t>0018000287949</t>
  </si>
  <si>
    <t>018000484614</t>
  </si>
  <si>
    <t>0018000131334</t>
  </si>
  <si>
    <t>0018000001347</t>
  </si>
  <si>
    <t>018000134250</t>
  </si>
  <si>
    <t>018000124497</t>
  </si>
  <si>
    <t>018000124473</t>
  </si>
  <si>
    <t>018000132430</t>
  </si>
  <si>
    <t>018000407392</t>
  </si>
  <si>
    <t>0018000121960</t>
  </si>
  <si>
    <t>0018000119325</t>
  </si>
  <si>
    <t>0018000126255</t>
  </si>
  <si>
    <t>0018000131266</t>
  </si>
  <si>
    <t>018000480524</t>
  </si>
  <si>
    <t>0018000124381</t>
  </si>
  <si>
    <t>018000119363</t>
  </si>
  <si>
    <t>018000119349</t>
  </si>
  <si>
    <t>0018000124374</t>
  </si>
  <si>
    <t>018000119257</t>
  </si>
  <si>
    <t>018000119356</t>
  </si>
  <si>
    <t>018000124367</t>
  </si>
  <si>
    <t>018000125555</t>
  </si>
  <si>
    <t>0018000124398</t>
  </si>
  <si>
    <t>018000119295</t>
  </si>
  <si>
    <t>018000119271</t>
  </si>
  <si>
    <t>018000119288</t>
  </si>
  <si>
    <t>018000118991</t>
  </si>
  <si>
    <t>0018000127849</t>
  </si>
  <si>
    <t>018000495160</t>
  </si>
  <si>
    <t>018000117093</t>
  </si>
  <si>
    <t>018000428434</t>
  </si>
  <si>
    <t>0018000817726</t>
  </si>
  <si>
    <t>018000407569</t>
  </si>
  <si>
    <t>018000124671</t>
  </si>
  <si>
    <t>0018000000586</t>
  </si>
  <si>
    <t>070470164878</t>
  </si>
  <si>
    <t>0070470185071</t>
  </si>
  <si>
    <t>070470191133</t>
  </si>
  <si>
    <t>070470164977</t>
  </si>
  <si>
    <t>0070470165936</t>
  </si>
  <si>
    <t>070470164960</t>
  </si>
  <si>
    <t>0070470165950</t>
  </si>
  <si>
    <t>070470191164</t>
  </si>
  <si>
    <t>0070470185118</t>
  </si>
  <si>
    <t>0070470185125</t>
  </si>
  <si>
    <t>070470164854</t>
  </si>
  <si>
    <t>0070470165929</t>
  </si>
  <si>
    <t>070470181363</t>
  </si>
  <si>
    <t>070470181387</t>
  </si>
  <si>
    <t>070470185088</t>
  </si>
  <si>
    <t>0070470164731</t>
  </si>
  <si>
    <t>070470164861</t>
  </si>
  <si>
    <t>070470181370</t>
  </si>
  <si>
    <t>070470206318</t>
  </si>
  <si>
    <t>070470206332</t>
  </si>
  <si>
    <t>0070470206349</t>
  </si>
  <si>
    <t>0070470206356</t>
  </si>
  <si>
    <t>070470187099</t>
  </si>
  <si>
    <t>070470187129</t>
  </si>
  <si>
    <t>070470187112</t>
  </si>
  <si>
    <t>070470205588</t>
  </si>
  <si>
    <t>0070470206530</t>
  </si>
  <si>
    <t>070470200149</t>
  </si>
  <si>
    <t>070470205571</t>
  </si>
  <si>
    <t>070470200163</t>
  </si>
  <si>
    <t>070470200156</t>
  </si>
  <si>
    <t>075270410514</t>
  </si>
  <si>
    <t>075270410521</t>
  </si>
  <si>
    <t>075270001606</t>
  </si>
  <si>
    <t>075270001668</t>
  </si>
  <si>
    <t>075270001910</t>
  </si>
  <si>
    <t>075270001651</t>
  </si>
  <si>
    <t>075270001613</t>
  </si>
  <si>
    <t>075270001675</t>
  </si>
  <si>
    <t>075270001941</t>
  </si>
  <si>
    <t>070470206295</t>
  </si>
  <si>
    <t>070470142296</t>
  </si>
  <si>
    <t>0070470163154</t>
  </si>
  <si>
    <t>00070470163093</t>
  </si>
  <si>
    <t>0070470187457</t>
  </si>
  <si>
    <t>0070470137681</t>
  </si>
  <si>
    <t>070470174044</t>
  </si>
  <si>
    <t>0070470137780</t>
  </si>
  <si>
    <t>0070470137773</t>
  </si>
  <si>
    <t>0070470137926</t>
  </si>
  <si>
    <t>0070470137711</t>
  </si>
  <si>
    <t>0070470137728</t>
  </si>
  <si>
    <t>070470137766</t>
  </si>
  <si>
    <t>0070470137797</t>
  </si>
  <si>
    <t>070470137971</t>
  </si>
  <si>
    <t>0070470186498</t>
  </si>
  <si>
    <t>0070470187419</t>
  </si>
  <si>
    <t>0070470187426</t>
  </si>
  <si>
    <t>0070470187440</t>
  </si>
  <si>
    <t>070470137919</t>
  </si>
  <si>
    <t>070470439471</t>
  </si>
  <si>
    <t>070470006574</t>
  </si>
  <si>
    <t>070470006529</t>
  </si>
  <si>
    <t>070470006611</t>
  </si>
  <si>
    <t>070470006536</t>
  </si>
  <si>
    <t>070470006550</t>
  </si>
  <si>
    <t>070470006659</t>
  </si>
  <si>
    <t>070470006413</t>
  </si>
  <si>
    <t>070470006512</t>
  </si>
  <si>
    <t>070470006543</t>
  </si>
  <si>
    <t>070470006505</t>
  </si>
  <si>
    <t>070470181653</t>
  </si>
  <si>
    <t>070470419459</t>
  </si>
  <si>
    <t>070470419428</t>
  </si>
  <si>
    <t>070470403960</t>
  </si>
  <si>
    <t>0070470496542</t>
  </si>
  <si>
    <t>070470114149</t>
  </si>
  <si>
    <t>0070470496535</t>
  </si>
  <si>
    <t>070470200361</t>
  </si>
  <si>
    <t>070470496528</t>
  </si>
  <si>
    <t>0070470142128</t>
  </si>
  <si>
    <t>070470103761</t>
  </si>
  <si>
    <t>070470496511</t>
  </si>
  <si>
    <t>0070470159676</t>
  </si>
  <si>
    <t>0070470114132</t>
  </si>
  <si>
    <t>0070470153643</t>
  </si>
  <si>
    <t>0070470185026</t>
  </si>
  <si>
    <t>0070470496498</t>
  </si>
  <si>
    <t>070470137049</t>
  </si>
  <si>
    <t>070470155531</t>
  </si>
  <si>
    <t>070470182551</t>
  </si>
  <si>
    <t>0070470159669</t>
  </si>
  <si>
    <t>0070470103754</t>
  </si>
  <si>
    <t>070470139449</t>
  </si>
  <si>
    <t>0070470158327</t>
  </si>
  <si>
    <t>070470496474</t>
  </si>
  <si>
    <t>070470496627</t>
  </si>
  <si>
    <t>070470184951</t>
  </si>
  <si>
    <t>0070470159652</t>
  </si>
  <si>
    <t>0070470496610</t>
  </si>
  <si>
    <t>070470161631</t>
  </si>
  <si>
    <t>070470496467</t>
  </si>
  <si>
    <t>070470137674</t>
  </si>
  <si>
    <t>0070470155265</t>
  </si>
  <si>
    <t>070470137292</t>
  </si>
  <si>
    <t>070470159645</t>
  </si>
  <si>
    <t>070470158655</t>
  </si>
  <si>
    <t>070470001128</t>
  </si>
  <si>
    <t>0070470191379</t>
  </si>
  <si>
    <t>0070470407418</t>
  </si>
  <si>
    <t>070470443379</t>
  </si>
  <si>
    <t>070470284477</t>
  </si>
  <si>
    <t>070470147833</t>
  </si>
  <si>
    <t>070470001289</t>
  </si>
  <si>
    <t>070470001296</t>
  </si>
  <si>
    <t>070470001272</t>
  </si>
  <si>
    <t>070470147840</t>
  </si>
  <si>
    <t>070470001098</t>
  </si>
  <si>
    <t>070470278315</t>
  </si>
  <si>
    <t>070470435794</t>
  </si>
  <si>
    <t>070470003306</t>
  </si>
  <si>
    <t>070470504841</t>
  </si>
  <si>
    <t>070470154138</t>
  </si>
  <si>
    <t>070470147482</t>
  </si>
  <si>
    <t>070470455785</t>
  </si>
  <si>
    <t>070470204185</t>
  </si>
  <si>
    <t>070470189598</t>
  </si>
  <si>
    <t>070470003030</t>
  </si>
  <si>
    <t>070470444529</t>
  </si>
  <si>
    <t>070470003238</t>
  </si>
  <si>
    <t>070470183886</t>
  </si>
  <si>
    <t>070470457260</t>
  </si>
  <si>
    <t>070470003078</t>
  </si>
  <si>
    <t>070470187594</t>
  </si>
  <si>
    <t>070470290614</t>
  </si>
  <si>
    <t>070470181646</t>
  </si>
  <si>
    <t>070470003214</t>
  </si>
  <si>
    <t>070470003061</t>
  </si>
  <si>
    <t>070470433318</t>
  </si>
  <si>
    <t>0070470003108</t>
  </si>
  <si>
    <t>0070470003023</t>
  </si>
  <si>
    <t>070470003191</t>
  </si>
  <si>
    <t>070470181196</t>
  </si>
  <si>
    <t>070470433332</t>
  </si>
  <si>
    <t>070470003122</t>
  </si>
  <si>
    <t>070470003085</t>
  </si>
  <si>
    <t>070470200835</t>
  </si>
  <si>
    <t>070470189635</t>
  </si>
  <si>
    <t>070470003016</t>
  </si>
  <si>
    <t>0070470003139</t>
  </si>
  <si>
    <t>070470290621</t>
  </si>
  <si>
    <t>070470486055</t>
  </si>
  <si>
    <t>070470003252</t>
  </si>
  <si>
    <t>0070470003009</t>
  </si>
  <si>
    <t>070470154121</t>
  </si>
  <si>
    <t>070470204765</t>
  </si>
  <si>
    <t>070470403878</t>
  </si>
  <si>
    <t>070470003177</t>
  </si>
  <si>
    <t>070470003290</t>
  </si>
  <si>
    <t>070470004303</t>
  </si>
  <si>
    <t>070470433325</t>
  </si>
  <si>
    <t>070470409610</t>
  </si>
  <si>
    <t>070470457253</t>
  </si>
  <si>
    <t>070470164236</t>
  </si>
  <si>
    <t>070470189611</t>
  </si>
  <si>
    <t>070470181189</t>
  </si>
  <si>
    <t>070470004396</t>
  </si>
  <si>
    <t>070470433295</t>
  </si>
  <si>
    <t>070470006437</t>
  </si>
  <si>
    <t>070470181219</t>
  </si>
  <si>
    <t>0070470191386</t>
  </si>
  <si>
    <t>0070470191355</t>
  </si>
  <si>
    <t>0070470191362</t>
  </si>
  <si>
    <t>0070470461151</t>
  </si>
  <si>
    <t>0070470461182</t>
  </si>
  <si>
    <t>070470141718</t>
  </si>
  <si>
    <t>070470419152</t>
  </si>
  <si>
    <t>0070470438269</t>
  </si>
  <si>
    <t>0070470445182</t>
  </si>
  <si>
    <t>0070470403892</t>
  </si>
  <si>
    <t>0070470403915</t>
  </si>
  <si>
    <t>016000200616</t>
  </si>
  <si>
    <t>0016000186217</t>
  </si>
  <si>
    <t>0016000171558</t>
  </si>
  <si>
    <t>0016000188631</t>
  </si>
  <si>
    <t>0016000188648</t>
  </si>
  <si>
    <t>0016000200593</t>
  </si>
  <si>
    <t>0013562116843</t>
  </si>
  <si>
    <t>013562002474</t>
  </si>
  <si>
    <t>013562468072</t>
  </si>
  <si>
    <t>021908450148</t>
  </si>
  <si>
    <t>021908120232</t>
  </si>
  <si>
    <t>0021908131993</t>
  </si>
  <si>
    <t>021908486796</t>
  </si>
  <si>
    <t>0021908455563</t>
  </si>
  <si>
    <t>021908123813</t>
  </si>
  <si>
    <t>021908743295</t>
  </si>
  <si>
    <t>021908124094</t>
  </si>
  <si>
    <t>021908115627</t>
  </si>
  <si>
    <t>021908429939</t>
  </si>
  <si>
    <t>021908455532</t>
  </si>
  <si>
    <t>0021908126654</t>
  </si>
  <si>
    <t>021908407241</t>
  </si>
  <si>
    <t>0021908133133</t>
  </si>
  <si>
    <t>021908126593</t>
  </si>
  <si>
    <t>021908133140</t>
  </si>
  <si>
    <t>021908133126</t>
  </si>
  <si>
    <t>021908133119</t>
  </si>
  <si>
    <t>021908407739</t>
  </si>
  <si>
    <t>021908126616</t>
  </si>
  <si>
    <t>0021908133218</t>
  </si>
  <si>
    <t>021908743318</t>
  </si>
  <si>
    <t>021908115634</t>
  </si>
  <si>
    <t>0021908133171</t>
  </si>
  <si>
    <t>0021908133157</t>
  </si>
  <si>
    <t>0021908133188</t>
  </si>
  <si>
    <t>021908455525</t>
  </si>
  <si>
    <t>021908455594</t>
  </si>
  <si>
    <t>021908459882</t>
  </si>
  <si>
    <t>021908455570</t>
  </si>
  <si>
    <t>021908121765</t>
  </si>
  <si>
    <t>021908455587</t>
  </si>
  <si>
    <t>021908455518</t>
  </si>
  <si>
    <t>021908119977</t>
  </si>
  <si>
    <t>021908112695</t>
  </si>
  <si>
    <t>021908124056</t>
  </si>
  <si>
    <t>021908130439</t>
  </si>
  <si>
    <t>021908407722</t>
  </si>
  <si>
    <t>021908743325</t>
  </si>
  <si>
    <t>0016000163461</t>
  </si>
  <si>
    <t>0016000169159</t>
  </si>
  <si>
    <t>016000178243</t>
  </si>
  <si>
    <t>016000178236</t>
  </si>
  <si>
    <t>0016000157644</t>
  </si>
  <si>
    <t>016000139756</t>
  </si>
  <si>
    <t>0016000169661</t>
  </si>
  <si>
    <t>016000202535</t>
  </si>
  <si>
    <t>016000163485</t>
  </si>
  <si>
    <t>0016000169357</t>
  </si>
  <si>
    <t>016000492349</t>
  </si>
  <si>
    <t>016000275812</t>
  </si>
  <si>
    <t>016000178212</t>
  </si>
  <si>
    <t>016000206120</t>
  </si>
  <si>
    <t>0016000877009</t>
  </si>
  <si>
    <t>016000151253</t>
  </si>
  <si>
    <t>016000208216</t>
  </si>
  <si>
    <t>0016000169135</t>
  </si>
  <si>
    <t>016000208186</t>
  </si>
  <si>
    <t>0016000171114</t>
  </si>
  <si>
    <t>016000127951</t>
  </si>
  <si>
    <t>016000200067</t>
  </si>
  <si>
    <t>016000163614</t>
  </si>
  <si>
    <t>016000160712</t>
  </si>
  <si>
    <t>0016000189157</t>
  </si>
  <si>
    <t>016000168497</t>
  </si>
  <si>
    <t>016000168510</t>
  </si>
  <si>
    <t>016000189140</t>
  </si>
  <si>
    <t>0016000200814</t>
  </si>
  <si>
    <t>0016000200791</t>
  </si>
  <si>
    <t>016000197046</t>
  </si>
  <si>
    <t>0016000188846</t>
  </si>
  <si>
    <t>0016000188839</t>
  </si>
  <si>
    <t>0016000189522</t>
  </si>
  <si>
    <t>016000275287</t>
  </si>
  <si>
    <t>016000125414</t>
  </si>
  <si>
    <t>0016000184060</t>
  </si>
  <si>
    <t>016000275263</t>
  </si>
  <si>
    <t>0016000193031</t>
  </si>
  <si>
    <t>016000141599</t>
  </si>
  <si>
    <t>0016000186590</t>
  </si>
  <si>
    <t>0016000163928</t>
  </si>
  <si>
    <t>016000183728</t>
  </si>
  <si>
    <t>0016000435094</t>
  </si>
  <si>
    <t>016000487727</t>
  </si>
  <si>
    <t>0016000200258</t>
  </si>
  <si>
    <t>0016000487932</t>
  </si>
  <si>
    <t>016000170988</t>
  </si>
  <si>
    <t>016000137813</t>
  </si>
  <si>
    <t>016000163478</t>
  </si>
  <si>
    <t>0016000168688</t>
  </si>
  <si>
    <t>016000170568</t>
  </si>
  <si>
    <t>016000206236</t>
  </si>
  <si>
    <t>016000163669</t>
  </si>
  <si>
    <t>0016000168749</t>
  </si>
  <si>
    <t>016000167162</t>
  </si>
  <si>
    <t>016000163447</t>
  </si>
  <si>
    <t>0016000169364</t>
  </si>
  <si>
    <t>016000186675</t>
  </si>
  <si>
    <t>0016000184862</t>
  </si>
  <si>
    <t>016000162549</t>
  </si>
  <si>
    <t>016000170353</t>
  </si>
  <si>
    <t>016000170995</t>
  </si>
  <si>
    <t>016000137820</t>
  </si>
  <si>
    <t>0016000103719</t>
  </si>
  <si>
    <t>0016000197077</t>
  </si>
  <si>
    <t>0016000197060</t>
  </si>
  <si>
    <t>016000145115</t>
  </si>
  <si>
    <t>016000167643</t>
  </si>
  <si>
    <t>016000171121</t>
  </si>
  <si>
    <t>016000362451</t>
  </si>
  <si>
    <t>0016000275324</t>
  </si>
  <si>
    <t>016000151598</t>
  </si>
  <si>
    <t>016000163942</t>
  </si>
  <si>
    <t>0016000171138</t>
  </si>
  <si>
    <t>016000498662</t>
  </si>
  <si>
    <t>0016000162433</t>
  </si>
  <si>
    <t>016000211445</t>
  </si>
  <si>
    <t>0016000122543</t>
  </si>
  <si>
    <t>016000125933</t>
  </si>
  <si>
    <t>016000122536</t>
  </si>
  <si>
    <t>0016000126855</t>
  </si>
  <si>
    <t>016000163898</t>
  </si>
  <si>
    <t>016000435339</t>
  </si>
  <si>
    <t>016000435322</t>
  </si>
  <si>
    <t>016000434721</t>
  </si>
  <si>
    <t>016000452893</t>
  </si>
  <si>
    <t>0016000193055</t>
  </si>
  <si>
    <t>016000141544</t>
  </si>
  <si>
    <t>016000206182</t>
  </si>
  <si>
    <t>0016000186750</t>
  </si>
  <si>
    <t>0016000186767</t>
  </si>
  <si>
    <t>0016000172524</t>
  </si>
  <si>
    <t>0016000186354</t>
  </si>
  <si>
    <t>0016000172517</t>
  </si>
  <si>
    <t>016000159471</t>
  </si>
  <si>
    <t>0016000202344</t>
  </si>
  <si>
    <t>016000202238</t>
  </si>
  <si>
    <t>016000206212</t>
  </si>
  <si>
    <t>016000141537</t>
  </si>
  <si>
    <t>016000163959</t>
  </si>
  <si>
    <t>016000163997</t>
  </si>
  <si>
    <t>016000151284</t>
  </si>
  <si>
    <t>0016000169395</t>
  </si>
  <si>
    <t>016000151543</t>
  </si>
  <si>
    <t>016000202214</t>
  </si>
  <si>
    <t>016000151291</t>
  </si>
  <si>
    <t>016000473225</t>
  </si>
  <si>
    <t>016000151635</t>
  </si>
  <si>
    <t>016000151642</t>
  </si>
  <si>
    <t>0016000169630</t>
  </si>
  <si>
    <t>0016000189584</t>
  </si>
  <si>
    <t>0016000487963</t>
  </si>
  <si>
    <t>0016000171084</t>
  </si>
  <si>
    <t>016000487970</t>
  </si>
  <si>
    <t>016000275836</t>
  </si>
  <si>
    <t>016000178229</t>
  </si>
  <si>
    <t>016000179233</t>
  </si>
  <si>
    <t>016000171251</t>
  </si>
  <si>
    <t>016000157620</t>
  </si>
  <si>
    <t>016000275829</t>
  </si>
  <si>
    <t>016000178199</t>
  </si>
  <si>
    <t>016000151963</t>
  </si>
  <si>
    <t>0016000169647</t>
  </si>
  <si>
    <t>016000163676</t>
  </si>
  <si>
    <t>0016000169142</t>
  </si>
  <si>
    <t>016000199620</t>
  </si>
  <si>
    <t>016000173187</t>
  </si>
  <si>
    <t>016000189065</t>
  </si>
  <si>
    <t>016000191334</t>
  </si>
  <si>
    <t>0016000169678</t>
  </si>
  <si>
    <t>016000206144</t>
  </si>
  <si>
    <t>016000206168</t>
  </si>
  <si>
    <t>016000120259</t>
  </si>
  <si>
    <t>016000120242</t>
  </si>
  <si>
    <t>016000122246</t>
  </si>
  <si>
    <t>0016000171091</t>
  </si>
  <si>
    <t>0016000172531</t>
  </si>
  <si>
    <t>0016000186330</t>
  </si>
  <si>
    <t>016000158542</t>
  </si>
  <si>
    <t>016000139732</t>
  </si>
  <si>
    <t>0016000169623</t>
  </si>
  <si>
    <t>0016000487925</t>
  </si>
  <si>
    <t>0016000171060</t>
  </si>
  <si>
    <t>016000137882</t>
  </si>
  <si>
    <t>016000141551</t>
  </si>
  <si>
    <t>016000124790</t>
  </si>
  <si>
    <t>016000125063</t>
  </si>
  <si>
    <t>0016000169685</t>
  </si>
  <si>
    <t>016000123151</t>
  </si>
  <si>
    <t>016000483668</t>
  </si>
  <si>
    <t>016000124950</t>
  </si>
  <si>
    <t>016000275270</t>
  </si>
  <si>
    <t>016000486652</t>
  </si>
  <si>
    <t>0016000401068</t>
  </si>
  <si>
    <t>016000163836</t>
  </si>
  <si>
    <t>0016000193048</t>
  </si>
  <si>
    <t>016000493360</t>
  </si>
  <si>
    <t>016000156432</t>
  </si>
  <si>
    <t>0016000201040</t>
  </si>
  <si>
    <t>0016000202979</t>
  </si>
  <si>
    <t>016000275676</t>
  </si>
  <si>
    <t>0016000171046</t>
  </si>
  <si>
    <t>016000125728</t>
  </si>
  <si>
    <t>016000162648</t>
  </si>
  <si>
    <t>016000204423</t>
  </si>
  <si>
    <t>016000185234</t>
  </si>
  <si>
    <t>0016000201972</t>
  </si>
  <si>
    <t>016000201767</t>
  </si>
  <si>
    <t>016000179349</t>
  </si>
  <si>
    <t>016000179356</t>
  </si>
  <si>
    <t>016000144682</t>
  </si>
  <si>
    <t>0016000496675</t>
  </si>
  <si>
    <t>016000127562</t>
  </si>
  <si>
    <t>016000124998</t>
  </si>
  <si>
    <t>016000126831</t>
  </si>
  <si>
    <t>016000483637</t>
  </si>
  <si>
    <t>016000121836</t>
  </si>
  <si>
    <t>016000275690</t>
  </si>
  <si>
    <t>016000438194</t>
  </si>
  <si>
    <t>0016000193178</t>
  </si>
  <si>
    <t>016000141568</t>
  </si>
  <si>
    <t>016000163911</t>
  </si>
  <si>
    <t>0016000194571</t>
  </si>
  <si>
    <t>0016000195196</t>
  </si>
  <si>
    <t>016000163652</t>
  </si>
  <si>
    <t>0016000196612</t>
  </si>
  <si>
    <t>0016000196384</t>
  </si>
  <si>
    <t>016000178823</t>
  </si>
  <si>
    <t>016000487697</t>
  </si>
  <si>
    <t>0016000168756</t>
  </si>
  <si>
    <t>016000487710</t>
  </si>
  <si>
    <t>016000184367</t>
  </si>
  <si>
    <t>0016000189546</t>
  </si>
  <si>
    <t>0016000275157</t>
  </si>
  <si>
    <t>016000401051</t>
  </si>
  <si>
    <t>016000161672</t>
  </si>
  <si>
    <t>016000432697</t>
  </si>
  <si>
    <t>016000150874</t>
  </si>
  <si>
    <t>016000178021</t>
  </si>
  <si>
    <t>0016000432680</t>
  </si>
  <si>
    <t>016000157774</t>
  </si>
  <si>
    <t>0016000152335</t>
  </si>
  <si>
    <t>0016000184565</t>
  </si>
  <si>
    <t>016000127326</t>
  </si>
  <si>
    <t>016000157811</t>
  </si>
  <si>
    <t>016000178953</t>
  </si>
  <si>
    <t>0016000184596</t>
  </si>
  <si>
    <t>016000199750</t>
  </si>
  <si>
    <t>0016000197466</t>
  </si>
  <si>
    <t>0016000197053</t>
  </si>
  <si>
    <t>016000473218</t>
  </si>
  <si>
    <t>016000122222</t>
  </si>
  <si>
    <t>016000127494</t>
  </si>
  <si>
    <t>016000142596</t>
  </si>
  <si>
    <t>016000121850</t>
  </si>
  <si>
    <t>0016000169692</t>
  </si>
  <si>
    <t>016000195660</t>
  </si>
  <si>
    <t>016000127258</t>
  </si>
  <si>
    <t>016000121256</t>
  </si>
  <si>
    <t>016000163980</t>
  </si>
  <si>
    <t>016000163713</t>
  </si>
  <si>
    <t>016000288874</t>
  </si>
  <si>
    <t>016000275034</t>
  </si>
  <si>
    <t>0016000487949</t>
  </si>
  <si>
    <t>0016000171022</t>
  </si>
  <si>
    <t>016000487956</t>
  </si>
  <si>
    <t>016000362468</t>
  </si>
  <si>
    <t>0016000170117</t>
  </si>
  <si>
    <t>0016000170124</t>
  </si>
  <si>
    <t>016000193277</t>
  </si>
  <si>
    <t>016000200173</t>
  </si>
  <si>
    <t>016000193284</t>
  </si>
  <si>
    <t>0016000168329</t>
  </si>
  <si>
    <t>0016000179493</t>
  </si>
  <si>
    <t>0016000185173</t>
  </si>
  <si>
    <t>016000185166</t>
  </si>
  <si>
    <t>016000143913</t>
  </si>
  <si>
    <t>0016000201286</t>
  </si>
  <si>
    <t>016000178854</t>
  </si>
  <si>
    <t>016000275638</t>
  </si>
  <si>
    <t>016000202818</t>
  </si>
  <si>
    <t>016000202696</t>
  </si>
  <si>
    <t>0016000197091</t>
  </si>
  <si>
    <t>0016000197367</t>
  </si>
  <si>
    <t>0016000169616</t>
  </si>
  <si>
    <t>0016000161979</t>
  </si>
  <si>
    <t>0016000188655</t>
  </si>
  <si>
    <t>0016000188754</t>
  </si>
  <si>
    <t>016000155411</t>
  </si>
  <si>
    <t>016000487987</t>
  </si>
  <si>
    <t>016000163492</t>
  </si>
  <si>
    <t>0016000169319</t>
  </si>
  <si>
    <t>0016000275492</t>
  </si>
  <si>
    <t>016000427242</t>
  </si>
  <si>
    <t>016000275652</t>
  </si>
  <si>
    <t>016000172838</t>
  </si>
  <si>
    <t>016000172845</t>
  </si>
  <si>
    <t>016000185296</t>
  </si>
  <si>
    <t>0016000195837</t>
  </si>
  <si>
    <t>016000172852</t>
  </si>
  <si>
    <t>016000157651</t>
  </si>
  <si>
    <t>0016000437791</t>
  </si>
  <si>
    <t>016000437784</t>
  </si>
  <si>
    <t>016000485884</t>
  </si>
  <si>
    <t>016000163454</t>
  </si>
  <si>
    <t>600699003537</t>
  </si>
  <si>
    <t>0016000188853</t>
  </si>
  <si>
    <t>0016000185876</t>
  </si>
  <si>
    <t>0016000188914</t>
  </si>
  <si>
    <t>0016000190023</t>
  </si>
  <si>
    <t>0016000189997</t>
  </si>
  <si>
    <t>016000167063</t>
  </si>
  <si>
    <t>013562496655</t>
  </si>
  <si>
    <t>013562496587</t>
  </si>
  <si>
    <t>013562000739</t>
  </si>
  <si>
    <t>013562300570</t>
  </si>
  <si>
    <t>013562300556</t>
  </si>
  <si>
    <t>016000150843</t>
  </si>
  <si>
    <t>016000150980</t>
  </si>
  <si>
    <t>016000150881</t>
  </si>
  <si>
    <t>016000280526</t>
  </si>
  <si>
    <t>016000507913</t>
  </si>
  <si>
    <t>016000507326</t>
  </si>
  <si>
    <t>016000424456</t>
  </si>
  <si>
    <t>016000512351</t>
  </si>
  <si>
    <t>016000425675</t>
  </si>
  <si>
    <t>016000507043</t>
  </si>
  <si>
    <t>016000467019</t>
  </si>
  <si>
    <t>016000204294</t>
  </si>
  <si>
    <t>016000204393</t>
  </si>
  <si>
    <t>016000118553</t>
  </si>
  <si>
    <t>016000175471</t>
  </si>
  <si>
    <t>016000188341</t>
  </si>
  <si>
    <t>016000177345</t>
  </si>
  <si>
    <t>016000467026</t>
  </si>
  <si>
    <t>016000136809</t>
  </si>
  <si>
    <t>016000126077</t>
  </si>
  <si>
    <t>016000159402</t>
  </si>
  <si>
    <t>016000476752</t>
  </si>
  <si>
    <t>016000159501</t>
  </si>
  <si>
    <t>016000126060</t>
  </si>
  <si>
    <t>016000158405</t>
  </si>
  <si>
    <t>016000205437</t>
  </si>
  <si>
    <t>016000205499</t>
  </si>
  <si>
    <t>016000205536</t>
  </si>
  <si>
    <t>016000168916</t>
  </si>
  <si>
    <t>016000162396</t>
  </si>
  <si>
    <t>016000144248</t>
  </si>
  <si>
    <t>016000114784</t>
  </si>
  <si>
    <t>016000505827</t>
  </si>
  <si>
    <t>016000125605</t>
  </si>
  <si>
    <t>016000114814</t>
  </si>
  <si>
    <t>016000164901</t>
  </si>
  <si>
    <t>016000160606</t>
  </si>
  <si>
    <t>016000494473</t>
  </si>
  <si>
    <t>016000159907</t>
  </si>
  <si>
    <t>016000468122</t>
  </si>
  <si>
    <t>016000151369</t>
  </si>
  <si>
    <t>016000476738</t>
  </si>
  <si>
    <t>016000159808</t>
  </si>
  <si>
    <t>016000160101</t>
  </si>
  <si>
    <t>016000425316</t>
  </si>
  <si>
    <t>016000161948</t>
  </si>
  <si>
    <t>016000161955</t>
  </si>
  <si>
    <t>016000205512</t>
  </si>
  <si>
    <t>016000205529</t>
  </si>
  <si>
    <t>0016000205482</t>
  </si>
  <si>
    <t>016000164307</t>
  </si>
  <si>
    <t>016000502789</t>
  </si>
  <si>
    <t>016000468139</t>
  </si>
  <si>
    <t>016000193338</t>
  </si>
  <si>
    <t>016000505384</t>
  </si>
  <si>
    <t>016000167490</t>
  </si>
  <si>
    <t>016000166998</t>
  </si>
  <si>
    <t>016000168862</t>
  </si>
  <si>
    <t>016000169043</t>
  </si>
  <si>
    <t>016000143098</t>
  </si>
  <si>
    <t>016000497016</t>
  </si>
  <si>
    <t>016000494480</t>
  </si>
  <si>
    <t>0016000193604</t>
  </si>
  <si>
    <t>016000156036</t>
  </si>
  <si>
    <t>016000476363</t>
  </si>
  <si>
    <t>016000193703</t>
  </si>
  <si>
    <t>016000507319</t>
  </si>
  <si>
    <t>016000166196</t>
  </si>
  <si>
    <t>016000136090</t>
  </si>
  <si>
    <t>016000462946</t>
  </si>
  <si>
    <t>016000513792</t>
  </si>
  <si>
    <t>016000451285</t>
  </si>
  <si>
    <t>016000283206</t>
  </si>
  <si>
    <t>016000289888</t>
  </si>
  <si>
    <t>016000407657</t>
  </si>
  <si>
    <t>016000283503</t>
  </si>
  <si>
    <t>016000368309</t>
  </si>
  <si>
    <t>016000451278</t>
  </si>
  <si>
    <t>016000283701</t>
  </si>
  <si>
    <t>016000512580</t>
  </si>
  <si>
    <t>016000363243</t>
  </si>
  <si>
    <t>016000186934</t>
  </si>
  <si>
    <t>016000287914</t>
  </si>
  <si>
    <t>016000189096</t>
  </si>
  <si>
    <t>016000504257</t>
  </si>
  <si>
    <t>0016000183056</t>
  </si>
  <si>
    <t>0016000183933</t>
  </si>
  <si>
    <t>0016000148888</t>
  </si>
  <si>
    <t>0016000189119</t>
  </si>
  <si>
    <t>016000168879</t>
  </si>
  <si>
    <t>016000172944</t>
  </si>
  <si>
    <t>016000193871</t>
  </si>
  <si>
    <t>0016000193482</t>
  </si>
  <si>
    <t>016000195950</t>
  </si>
  <si>
    <t>016000193833</t>
  </si>
  <si>
    <t>0016000193468</t>
  </si>
  <si>
    <t>016000206267</t>
  </si>
  <si>
    <t>01600019388800</t>
  </si>
  <si>
    <t>0016000193499</t>
  </si>
  <si>
    <t>016000200012</t>
  </si>
  <si>
    <t>016000199811</t>
  </si>
  <si>
    <t>013562101375</t>
  </si>
  <si>
    <t>0013562101269</t>
  </si>
  <si>
    <t>0013562101191</t>
  </si>
  <si>
    <t>013562101146</t>
  </si>
  <si>
    <t>013562100996</t>
  </si>
  <si>
    <t>013562101047</t>
  </si>
  <si>
    <t>013562101214</t>
  </si>
  <si>
    <t>0013562127078</t>
  </si>
  <si>
    <t>0013562127085</t>
  </si>
  <si>
    <t>732153027411</t>
  </si>
  <si>
    <t>732153027428</t>
  </si>
  <si>
    <t>732153124295</t>
  </si>
  <si>
    <t>041196466423</t>
  </si>
  <si>
    <t>041196466447</t>
  </si>
  <si>
    <t>041196466461</t>
  </si>
  <si>
    <t>041196466485</t>
  </si>
  <si>
    <t>041196123654</t>
  </si>
  <si>
    <t>041196123661</t>
  </si>
  <si>
    <t>041196466492</t>
  </si>
  <si>
    <t>0041196129199</t>
  </si>
  <si>
    <t>041196493214</t>
  </si>
  <si>
    <t>0041196914160</t>
  </si>
  <si>
    <t>041196914030</t>
  </si>
  <si>
    <t>041196111859</t>
  </si>
  <si>
    <t>0041196914016</t>
  </si>
  <si>
    <t>0041196129915</t>
  </si>
  <si>
    <t>041196453850</t>
  </si>
  <si>
    <t>041196453843</t>
  </si>
  <si>
    <t>0041196129939</t>
  </si>
  <si>
    <t>041196110647</t>
  </si>
  <si>
    <t>041196410761</t>
  </si>
  <si>
    <t>041196914153</t>
  </si>
  <si>
    <t>0041196131031</t>
  </si>
  <si>
    <t>0041196914085</t>
  </si>
  <si>
    <t>041196914061</t>
  </si>
  <si>
    <t>0041196111866</t>
  </si>
  <si>
    <t>041196914078</t>
  </si>
  <si>
    <t>041196404814</t>
  </si>
  <si>
    <t>041196101935</t>
  </si>
  <si>
    <t>0041196915136</t>
  </si>
  <si>
    <t>041196419337</t>
  </si>
  <si>
    <t>041196404821</t>
  </si>
  <si>
    <t>041196440829</t>
  </si>
  <si>
    <t>0041196133059</t>
  </si>
  <si>
    <t>0041196130713</t>
  </si>
  <si>
    <t>0041196133080</t>
  </si>
  <si>
    <t>041196116632</t>
  </si>
  <si>
    <t>041196101621</t>
  </si>
  <si>
    <t>041196101638</t>
  </si>
  <si>
    <t>041196412017</t>
  </si>
  <si>
    <t>041196116649</t>
  </si>
  <si>
    <t>041196419429</t>
  </si>
  <si>
    <t>0041196130690</t>
  </si>
  <si>
    <t>041196805468</t>
  </si>
  <si>
    <t>041196123630</t>
  </si>
  <si>
    <t>041196123289</t>
  </si>
  <si>
    <t>0041196133073</t>
  </si>
  <si>
    <t>041196419320</t>
  </si>
  <si>
    <t>041196123623</t>
  </si>
  <si>
    <t>041196740738</t>
  </si>
  <si>
    <t>041196101492</t>
  </si>
  <si>
    <t>041196101645</t>
  </si>
  <si>
    <t>0041196133066</t>
  </si>
  <si>
    <t>041196123265</t>
  </si>
  <si>
    <t>041196123296</t>
  </si>
  <si>
    <t>041196123272</t>
  </si>
  <si>
    <t>041196123326</t>
  </si>
  <si>
    <t>041196123616</t>
  </si>
  <si>
    <t>041196452815</t>
  </si>
  <si>
    <t>0041196133097</t>
  </si>
  <si>
    <t>041196805482</t>
  </si>
  <si>
    <t>041196740745</t>
  </si>
  <si>
    <t>041196404722</t>
  </si>
  <si>
    <t>0041196133011</t>
  </si>
  <si>
    <t>041196458930</t>
  </si>
  <si>
    <t>0041196129892</t>
  </si>
  <si>
    <t>0041196129922</t>
  </si>
  <si>
    <t>041196492828</t>
  </si>
  <si>
    <t>041196135541</t>
  </si>
  <si>
    <t>041196101898</t>
  </si>
  <si>
    <t>041196404746</t>
  </si>
  <si>
    <t>041196492330</t>
  </si>
  <si>
    <t>041196126150</t>
  </si>
  <si>
    <t>041196492323</t>
  </si>
  <si>
    <t>041196404838</t>
  </si>
  <si>
    <t>041196116786</t>
  </si>
  <si>
    <t>041196110722</t>
  </si>
  <si>
    <t>041196110661</t>
  </si>
  <si>
    <t>041196122510</t>
  </si>
  <si>
    <t>041196110678</t>
  </si>
  <si>
    <t>0041196110685</t>
  </si>
  <si>
    <t>041196122497</t>
  </si>
  <si>
    <t>041196110654</t>
  </si>
  <si>
    <t>041196910940</t>
  </si>
  <si>
    <t>041196910759</t>
  </si>
  <si>
    <t>0041196101850</t>
  </si>
  <si>
    <t>041196101928</t>
  </si>
  <si>
    <t>041196101874</t>
  </si>
  <si>
    <t>041196010329</t>
  </si>
  <si>
    <t>0041196915020</t>
  </si>
  <si>
    <t>0041196910360</t>
  </si>
  <si>
    <t>041196910643</t>
  </si>
  <si>
    <t>0041196010886</t>
  </si>
  <si>
    <t>041196911831</t>
  </si>
  <si>
    <t>0041196131024</t>
  </si>
  <si>
    <t>0041196010008</t>
  </si>
  <si>
    <t>041196914184</t>
  </si>
  <si>
    <t>041196476033</t>
  </si>
  <si>
    <t>041196460551</t>
  </si>
  <si>
    <t>0041196911169</t>
  </si>
  <si>
    <t>041196011210</t>
  </si>
  <si>
    <t>0041196915051</t>
  </si>
  <si>
    <t>0041196423778</t>
  </si>
  <si>
    <t>0041196011111</t>
  </si>
  <si>
    <t>041196011128</t>
  </si>
  <si>
    <t>0041196911381</t>
  </si>
  <si>
    <t>041196010954</t>
  </si>
  <si>
    <t>041196010510</t>
  </si>
  <si>
    <t>041196911572</t>
  </si>
  <si>
    <t>041196910933</t>
  </si>
  <si>
    <t>0041196915075</t>
  </si>
  <si>
    <t>041196910858</t>
  </si>
  <si>
    <t>041196910681</t>
  </si>
  <si>
    <t>0041196010220</t>
  </si>
  <si>
    <t>041196911817</t>
  </si>
  <si>
    <t>041196010619</t>
  </si>
  <si>
    <t>041196010121</t>
  </si>
  <si>
    <t>041196010138</t>
  </si>
  <si>
    <t>041196910841</t>
  </si>
  <si>
    <t>041196486742</t>
  </si>
  <si>
    <t>041196911138</t>
  </si>
  <si>
    <t>041196910742</t>
  </si>
  <si>
    <t>001356212765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</si>
</sst>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783C2A6-736C-4FD3-AABC-F63E080DA8E5}">
  <we:reference id="7ed9f353-5223-496e-98a3-77b0de11c54e" version="2.0.2.26" store="EXCatalog" storeType="EXCatalog"/>
  <we:alternateReferences/>
  <we:properties>
    <we:property name="CEAI_RANGE_MODEL_VERSION" value="2"/>
    <we:property name="CEAI_RANGES" value="[{&quot;guid&quot;:&quot;dacd6c9a-1a9e-498b-ba89-546b572ef907&quot;,&quot;jobId&quot;:&quot;991272BFE2DC4C229B6C1517936222E5&quot;,&quot;awafGuid&quot;:&quot;&quot;,&quot;portfolioId&quot;:&quot;B8F785B473E0434D9906D4267CF24275&quot;,&quot;name&quot;:&quot;text&quot;,&quot;description&quot;:&quot;&quot;,&quot;showNameInReport&quot;:false,&quot;prompts&quot;:[{&quot;promptId&quot;:&quot;Markets_QF&quot;,&quot;basePromptId&quot;:&quot;Markets_QF&quot;,&quot;promptName&quot;:&quot;Markets&quot;,&quot;promptForSelection&quot;:true,&quot;linkedRange&quot;:null},{&quot;promptId&quot;:&quot;Products_QF&quot;,&quot;basePromptId&quot;:&quot;Products_QF&quot;,&quot;promptName&quot;:&quot;Products&quot;,&quot;promptForSelection&quot;:true,&quot;linkedRange&quot;:null},{&quot;promptId&quot;:&quot;Fact_QF&quot;,&quot;basePromptId&quot;:&quot;Fact_QF&quot;,&quot;promptName&quot;:&quot;Facts&quot;,&quot;promptForSelection&quot;:true,&quot;linkedRange&quot;:null},{&quot;promptId&quot;:&quot;Periods_QF&quot;,&quot;basePromptId&quot;:&quot;Periods_QF&quot;,&quot;promptName&quot;:&quot;Periods&quot;,&quot;promptForSelection&quot;:true,&quot;linkedRange&quot;:null}]}]"/>
  </we:properties>
  <we:bindings>
    <we:binding id="dacd6c9a-1a9e-498b-ba89-546b572ef907" type="matrix" appref="{B90B656E-829F-4039-88F9-9CB181CFFFB5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6823664-BB8A-42DE-A4C4-38A6B72A393B}">
  <we:reference id="b25d4dac-864a-4911-bf50-dd01b1a8ae6a" version="1.0.0.1" store="EXCatalog" storeType="EXCatalog"/>
  <we:alternateReferences>
    <we:reference id="WA200004632" version="1.0.0.1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9FCC-8486-4BF1-AAAD-381AE46926A8}">
  <dimension ref="A1:N2486"/>
  <sheetViews>
    <sheetView tabSelected="1" topLeftCell="B1" workbookViewId="0">
      <selection activeCell="I7" sqref="I7"/>
    </sheetView>
  </sheetViews>
  <sheetFormatPr defaultRowHeight="14.4" x14ac:dyDescent="0.3"/>
  <cols>
    <col min="1" max="1" width="12.77734375" bestFit="1" customWidth="1"/>
    <col min="2" max="2" width="13.77734375" bestFit="1" customWidth="1"/>
    <col min="3" max="3" width="10.77734375" bestFit="1" customWidth="1"/>
    <col min="4" max="4" width="10.88671875" bestFit="1" customWidth="1"/>
    <col min="5" max="5" width="116.44140625" bestFit="1" customWidth="1"/>
    <col min="6" max="6" width="13.109375" bestFit="1" customWidth="1"/>
    <col min="7" max="7" width="15.109375" bestFit="1" customWidth="1"/>
    <col min="8" max="8" width="11.44140625" bestFit="1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t="s">
        <v>380</v>
      </c>
      <c r="G1" s="1" t="s">
        <v>2370</v>
      </c>
      <c r="H1" s="3" t="s">
        <v>5</v>
      </c>
      <c r="I1" s="3"/>
      <c r="J1" s="3"/>
      <c r="K1" s="3"/>
      <c r="L1" s="3"/>
      <c r="M1" s="3"/>
      <c r="N1" s="3"/>
    </row>
    <row r="2" spans="1:14" x14ac:dyDescent="0.3">
      <c r="A2" t="s">
        <v>6</v>
      </c>
      <c r="B2" t="s">
        <v>7</v>
      </c>
      <c r="C2" t="s">
        <v>1338</v>
      </c>
      <c r="D2" t="s">
        <v>9</v>
      </c>
      <c r="E2" t="s">
        <v>1371</v>
      </c>
      <c r="F2" t="str">
        <f>"004280010953"</f>
        <v>004280010953</v>
      </c>
      <c r="G2" t="s">
        <v>2927</v>
      </c>
      <c r="H2" s="4">
        <v>2986177.7069999999</v>
      </c>
      <c r="I2" s="3"/>
      <c r="J2" s="3"/>
      <c r="K2" s="3"/>
      <c r="L2" s="3"/>
      <c r="M2" s="3"/>
      <c r="N2" s="3"/>
    </row>
    <row r="3" spans="1:14" x14ac:dyDescent="0.3">
      <c r="A3" t="s">
        <v>6</v>
      </c>
      <c r="B3" t="s">
        <v>7</v>
      </c>
      <c r="C3" t="s">
        <v>1805</v>
      </c>
      <c r="D3" t="s">
        <v>9</v>
      </c>
      <c r="E3" t="s">
        <v>1898</v>
      </c>
      <c r="F3" t="str">
        <f>"001800028794"</f>
        <v>001800028794</v>
      </c>
      <c r="G3" t="s">
        <v>3786</v>
      </c>
      <c r="H3" s="4">
        <v>2888180.5819999999</v>
      </c>
      <c r="I3" s="3"/>
      <c r="J3" s="3"/>
      <c r="K3" s="3"/>
      <c r="L3" s="3"/>
      <c r="M3" s="3"/>
      <c r="N3" s="3"/>
    </row>
    <row r="4" spans="1:14" x14ac:dyDescent="0.3">
      <c r="A4" t="s">
        <v>6</v>
      </c>
      <c r="B4" t="s">
        <v>7</v>
      </c>
      <c r="C4" t="s">
        <v>8</v>
      </c>
      <c r="D4" t="s">
        <v>9</v>
      </c>
      <c r="E4" t="s">
        <v>241</v>
      </c>
      <c r="F4" t="str">
        <f>"001600016968"</f>
        <v>001600016968</v>
      </c>
      <c r="G4" t="s">
        <v>4198</v>
      </c>
      <c r="H4" s="4">
        <v>2744020.8640000001</v>
      </c>
      <c r="I4" s="3"/>
      <c r="J4" s="3"/>
      <c r="K4" s="3"/>
      <c r="L4" s="3"/>
      <c r="M4" s="3"/>
      <c r="N4" s="3"/>
    </row>
    <row r="5" spans="1:14" x14ac:dyDescent="0.3">
      <c r="A5" t="s">
        <v>6</v>
      </c>
      <c r="B5" t="s">
        <v>7</v>
      </c>
      <c r="C5" t="s">
        <v>8</v>
      </c>
      <c r="D5" t="s">
        <v>9</v>
      </c>
      <c r="E5" t="s">
        <v>239</v>
      </c>
      <c r="F5" t="str">
        <f>"001600012479"</f>
        <v>001600012479</v>
      </c>
      <c r="G5" t="s">
        <v>4196</v>
      </c>
      <c r="H5" s="4">
        <v>2650468.7069999999</v>
      </c>
      <c r="I5" s="3"/>
      <c r="J5" s="3"/>
      <c r="K5" s="3"/>
      <c r="L5" s="3"/>
      <c r="M5" s="3"/>
      <c r="N5" s="3"/>
    </row>
    <row r="6" spans="1:14" x14ac:dyDescent="0.3">
      <c r="A6" t="s">
        <v>6</v>
      </c>
      <c r="B6" t="s">
        <v>7</v>
      </c>
      <c r="C6" t="s">
        <v>8</v>
      </c>
      <c r="D6" t="s">
        <v>9</v>
      </c>
      <c r="E6" t="s">
        <v>169</v>
      </c>
      <c r="F6" t="str">
        <f>"001600017113"</f>
        <v>001600017113</v>
      </c>
      <c r="G6" t="s">
        <v>4124</v>
      </c>
      <c r="H6" s="4">
        <v>2294076.0299999998</v>
      </c>
      <c r="I6" s="3"/>
      <c r="J6" s="3"/>
      <c r="K6" s="3"/>
      <c r="L6" s="3"/>
      <c r="M6" s="3"/>
      <c r="N6" s="3"/>
    </row>
    <row r="7" spans="1:14" x14ac:dyDescent="0.3">
      <c r="A7" t="s">
        <v>6</v>
      </c>
      <c r="B7" t="s">
        <v>7</v>
      </c>
      <c r="C7" t="s">
        <v>1805</v>
      </c>
      <c r="D7" t="s">
        <v>9</v>
      </c>
      <c r="E7" t="s">
        <v>1852</v>
      </c>
      <c r="F7" t="str">
        <f>"001800000401"</f>
        <v>001800000401</v>
      </c>
      <c r="G7" t="s">
        <v>2389</v>
      </c>
      <c r="H7" s="4">
        <v>2166327.5070000002</v>
      </c>
      <c r="I7" s="3"/>
      <c r="J7" s="3"/>
      <c r="K7" s="3"/>
      <c r="L7" s="3"/>
      <c r="M7" s="3"/>
      <c r="N7" s="3"/>
    </row>
    <row r="8" spans="1:14" x14ac:dyDescent="0.3">
      <c r="A8" t="s">
        <v>6</v>
      </c>
      <c r="B8" t="s">
        <v>7</v>
      </c>
      <c r="C8" t="s">
        <v>8</v>
      </c>
      <c r="D8" t="s">
        <v>9</v>
      </c>
      <c r="E8" t="s">
        <v>167</v>
      </c>
      <c r="F8" t="str">
        <f>"001600012254"</f>
        <v>001600012254</v>
      </c>
      <c r="G8" t="s">
        <v>4128</v>
      </c>
      <c r="H8" s="4">
        <v>2140714.827</v>
      </c>
      <c r="I8" s="3"/>
      <c r="J8" s="3"/>
      <c r="K8" s="3"/>
      <c r="L8" s="3"/>
      <c r="M8" s="3"/>
      <c r="N8" s="3"/>
    </row>
    <row r="9" spans="1:14" x14ac:dyDescent="0.3">
      <c r="A9" t="s">
        <v>6</v>
      </c>
      <c r="B9" t="s">
        <v>7</v>
      </c>
      <c r="C9" t="s">
        <v>1338</v>
      </c>
      <c r="D9" t="s">
        <v>9</v>
      </c>
      <c r="E9" t="s">
        <v>1362</v>
      </c>
      <c r="F9" t="str">
        <f>"004280011846"</f>
        <v>004280011846</v>
      </c>
      <c r="G9" t="s">
        <v>2919</v>
      </c>
      <c r="H9" s="4">
        <v>2134880.7680000002</v>
      </c>
      <c r="I9" s="3"/>
      <c r="J9" s="3"/>
      <c r="K9" s="3"/>
      <c r="L9" s="3"/>
      <c r="M9" s="3"/>
      <c r="N9" s="3"/>
    </row>
    <row r="10" spans="1:14" x14ac:dyDescent="0.3">
      <c r="A10" t="s">
        <v>6</v>
      </c>
      <c r="B10" t="s">
        <v>7</v>
      </c>
      <c r="C10" t="s">
        <v>1805</v>
      </c>
      <c r="D10" t="s">
        <v>9</v>
      </c>
      <c r="E10" t="s">
        <v>1831</v>
      </c>
      <c r="F10" t="str">
        <f>"001800081778"</f>
        <v>001800081778</v>
      </c>
      <c r="G10" t="s">
        <v>3763</v>
      </c>
      <c r="H10" s="4">
        <v>2025679.797</v>
      </c>
      <c r="I10" s="3"/>
      <c r="J10" s="3"/>
      <c r="K10" s="3"/>
      <c r="L10" s="3"/>
      <c r="M10" s="3"/>
      <c r="N10" s="3"/>
    </row>
    <row r="11" spans="1:14" x14ac:dyDescent="0.3">
      <c r="A11" t="s">
        <v>6</v>
      </c>
      <c r="B11" t="s">
        <v>7</v>
      </c>
      <c r="C11" t="s">
        <v>1805</v>
      </c>
      <c r="D11" t="s">
        <v>9</v>
      </c>
      <c r="E11" t="s">
        <v>1837</v>
      </c>
      <c r="F11" t="str">
        <f>"001800000501"</f>
        <v>001800000501</v>
      </c>
      <c r="G11" t="s">
        <v>2389</v>
      </c>
      <c r="H11" s="4">
        <v>2021282.166</v>
      </c>
      <c r="I11" s="3"/>
      <c r="J11" s="3"/>
      <c r="K11" s="3"/>
      <c r="L11" s="3"/>
      <c r="M11" s="3"/>
      <c r="N11" s="3"/>
    </row>
    <row r="12" spans="1:14" x14ac:dyDescent="0.3">
      <c r="A12" t="s">
        <v>6</v>
      </c>
      <c r="B12" t="s">
        <v>7</v>
      </c>
      <c r="C12" t="s">
        <v>1805</v>
      </c>
      <c r="D12" t="s">
        <v>9</v>
      </c>
      <c r="E12" t="s">
        <v>1879</v>
      </c>
      <c r="F12" t="str">
        <f>"001800000211"</f>
        <v>001800000211</v>
      </c>
      <c r="G12" t="s">
        <v>2389</v>
      </c>
      <c r="H12" s="4">
        <v>2000650.277</v>
      </c>
      <c r="I12" s="3"/>
      <c r="J12" s="3"/>
      <c r="K12" s="3"/>
      <c r="L12" s="3"/>
      <c r="M12" s="3"/>
      <c r="N12" s="3"/>
    </row>
    <row r="13" spans="1:14" x14ac:dyDescent="0.3">
      <c r="A13" t="s">
        <v>6</v>
      </c>
      <c r="B13" t="s">
        <v>7</v>
      </c>
      <c r="C13" t="s">
        <v>8</v>
      </c>
      <c r="D13" t="s">
        <v>9</v>
      </c>
      <c r="E13" t="s">
        <v>116</v>
      </c>
      <c r="F13" t="str">
        <f>"001600017003"</f>
        <v>001600017003</v>
      </c>
      <c r="G13" t="s">
        <v>2389</v>
      </c>
      <c r="H13" s="4">
        <v>1989154.4080000001</v>
      </c>
      <c r="I13" s="3"/>
      <c r="J13" s="3"/>
      <c r="K13" s="3"/>
      <c r="L13" s="3"/>
      <c r="M13" s="3"/>
      <c r="N13" s="3"/>
    </row>
    <row r="14" spans="1:14" x14ac:dyDescent="0.3">
      <c r="A14" t="s">
        <v>6</v>
      </c>
      <c r="B14" t="s">
        <v>7</v>
      </c>
      <c r="C14" t="s">
        <v>1338</v>
      </c>
      <c r="D14" t="s">
        <v>9</v>
      </c>
      <c r="E14" t="s">
        <v>1361</v>
      </c>
      <c r="F14" t="str">
        <f>"004280011838"</f>
        <v>004280011838</v>
      </c>
      <c r="G14" t="s">
        <v>2918</v>
      </c>
      <c r="H14" s="4">
        <v>1881850.057</v>
      </c>
      <c r="I14" s="3"/>
      <c r="J14" s="3"/>
      <c r="K14" s="3"/>
      <c r="L14" s="3"/>
      <c r="M14" s="3"/>
      <c r="N14" s="3"/>
    </row>
    <row r="15" spans="1:14" x14ac:dyDescent="0.3">
      <c r="A15" t="s">
        <v>6</v>
      </c>
      <c r="B15" t="s">
        <v>7</v>
      </c>
      <c r="C15" t="s">
        <v>1321</v>
      </c>
      <c r="D15" t="s">
        <v>9</v>
      </c>
      <c r="E15" t="s">
        <v>1329</v>
      </c>
      <c r="F15" t="str">
        <f>"004280011400"</f>
        <v>004280011400</v>
      </c>
      <c r="G15" t="s">
        <v>2891</v>
      </c>
      <c r="H15" s="4">
        <v>1861399.5190000001</v>
      </c>
      <c r="I15" s="3"/>
      <c r="J15" s="3"/>
      <c r="K15" s="3"/>
      <c r="L15" s="3"/>
      <c r="M15" s="3"/>
      <c r="N15" s="3"/>
    </row>
    <row r="16" spans="1:14" x14ac:dyDescent="0.3">
      <c r="A16" t="s">
        <v>6</v>
      </c>
      <c r="B16" t="s">
        <v>7</v>
      </c>
      <c r="C16" t="s">
        <v>1095</v>
      </c>
      <c r="D16" t="s">
        <v>9</v>
      </c>
      <c r="E16" t="s">
        <v>1114</v>
      </c>
      <c r="F16" t="str">
        <f>"001600010610"</f>
        <v>001600010610</v>
      </c>
      <c r="G16" t="s">
        <v>2714</v>
      </c>
      <c r="H16" s="4">
        <v>1854594.0009999999</v>
      </c>
      <c r="I16" s="3"/>
      <c r="J16" s="3"/>
      <c r="K16" s="3"/>
      <c r="L16" s="3"/>
      <c r="M16" s="3"/>
      <c r="N16" s="3"/>
    </row>
    <row r="17" spans="1:14" x14ac:dyDescent="0.3">
      <c r="A17" t="s">
        <v>6</v>
      </c>
      <c r="B17" t="s">
        <v>7</v>
      </c>
      <c r="C17" t="s">
        <v>1805</v>
      </c>
      <c r="D17" t="s">
        <v>9</v>
      </c>
      <c r="E17" t="s">
        <v>1888</v>
      </c>
      <c r="F17" t="str">
        <f>"001800000182"</f>
        <v>001800000182</v>
      </c>
      <c r="G17" t="s">
        <v>2389</v>
      </c>
      <c r="H17" s="4">
        <v>1645109.3149999999</v>
      </c>
      <c r="I17" s="3"/>
      <c r="J17" s="3"/>
      <c r="K17" s="3"/>
      <c r="L17" s="3"/>
      <c r="M17" s="3"/>
      <c r="N17" s="3"/>
    </row>
    <row r="18" spans="1:14" x14ac:dyDescent="0.3">
      <c r="A18" t="s">
        <v>6</v>
      </c>
      <c r="B18" t="s">
        <v>7</v>
      </c>
      <c r="C18" t="s">
        <v>8</v>
      </c>
      <c r="D18" t="s">
        <v>9</v>
      </c>
      <c r="E18" t="s">
        <v>240</v>
      </c>
      <c r="F18" t="str">
        <f>"001600012506"</f>
        <v>001600012506</v>
      </c>
      <c r="G18" t="s">
        <v>4197</v>
      </c>
      <c r="H18" s="4">
        <v>1636835.8829999999</v>
      </c>
      <c r="I18" s="3"/>
      <c r="J18" s="3"/>
      <c r="K18" s="3"/>
      <c r="L18" s="3"/>
      <c r="M18" s="3"/>
      <c r="N18" s="3"/>
    </row>
    <row r="19" spans="1:14" x14ac:dyDescent="0.3">
      <c r="A19" t="s">
        <v>6</v>
      </c>
      <c r="B19" t="s">
        <v>7</v>
      </c>
      <c r="C19" t="s">
        <v>2231</v>
      </c>
      <c r="D19" t="s">
        <v>9</v>
      </c>
      <c r="E19" t="s">
        <v>2340</v>
      </c>
      <c r="F19" t="str">
        <f>"004119601088"</f>
        <v>004119601088</v>
      </c>
      <c r="G19" t="s">
        <v>4531</v>
      </c>
      <c r="H19" s="4">
        <v>1462319.54</v>
      </c>
      <c r="I19" s="3"/>
      <c r="J19" s="3"/>
      <c r="K19" s="3"/>
      <c r="L19" s="3"/>
      <c r="M19" s="3"/>
      <c r="N19" s="3"/>
    </row>
    <row r="20" spans="1:14" x14ac:dyDescent="0.3">
      <c r="A20" t="s">
        <v>6</v>
      </c>
      <c r="B20" t="s">
        <v>7</v>
      </c>
      <c r="C20" t="s">
        <v>1321</v>
      </c>
      <c r="D20" t="s">
        <v>9</v>
      </c>
      <c r="E20" t="s">
        <v>1335</v>
      </c>
      <c r="F20" t="str">
        <f>"004280043589"</f>
        <v>004280043589</v>
      </c>
      <c r="G20" t="s">
        <v>2897</v>
      </c>
      <c r="H20" s="4">
        <v>1459971.267</v>
      </c>
      <c r="I20" s="3"/>
      <c r="J20" s="3"/>
      <c r="K20" s="3"/>
      <c r="L20" s="3"/>
      <c r="M20" s="3"/>
      <c r="N20" s="3"/>
    </row>
    <row r="21" spans="1:14" x14ac:dyDescent="0.3">
      <c r="A21" t="s">
        <v>6</v>
      </c>
      <c r="B21" t="s">
        <v>7</v>
      </c>
      <c r="C21" t="s">
        <v>1338</v>
      </c>
      <c r="D21" t="s">
        <v>9</v>
      </c>
      <c r="E21" t="s">
        <v>1355</v>
      </c>
      <c r="F21" t="str">
        <f>"004280010952"</f>
        <v>004280010952</v>
      </c>
      <c r="G21" t="s">
        <v>2913</v>
      </c>
      <c r="H21" s="4">
        <v>1435362.1910000001</v>
      </c>
      <c r="I21" s="3"/>
      <c r="J21" s="3"/>
      <c r="K21" s="3"/>
      <c r="L21" s="3"/>
      <c r="M21" s="3"/>
      <c r="N21" s="3"/>
    </row>
    <row r="22" spans="1:14" x14ac:dyDescent="0.3">
      <c r="A22" t="s">
        <v>6</v>
      </c>
      <c r="B22" t="s">
        <v>7</v>
      </c>
      <c r="C22" t="s">
        <v>8</v>
      </c>
      <c r="D22" t="s">
        <v>9</v>
      </c>
      <c r="E22" t="s">
        <v>120</v>
      </c>
      <c r="F22" t="str">
        <f>"001600027526"</f>
        <v>001600027526</v>
      </c>
      <c r="G22" t="s">
        <v>4087</v>
      </c>
      <c r="H22" s="4">
        <v>1428400.757</v>
      </c>
      <c r="I22" s="3"/>
      <c r="J22" s="3"/>
      <c r="K22" s="3"/>
      <c r="L22" s="3"/>
      <c r="M22" s="3"/>
      <c r="N22" s="3"/>
    </row>
    <row r="23" spans="1:14" x14ac:dyDescent="0.3">
      <c r="A23" t="s">
        <v>6</v>
      </c>
      <c r="B23" t="s">
        <v>7</v>
      </c>
      <c r="C23" t="s">
        <v>8</v>
      </c>
      <c r="D23" t="s">
        <v>9</v>
      </c>
      <c r="E23" t="s">
        <v>270</v>
      </c>
      <c r="F23" t="str">
        <f>"001600012399"</f>
        <v>001600012399</v>
      </c>
      <c r="G23" t="s">
        <v>2389</v>
      </c>
      <c r="H23" s="4">
        <v>1397180.32</v>
      </c>
      <c r="I23" s="3"/>
      <c r="J23" s="3"/>
      <c r="K23" s="3"/>
      <c r="L23" s="3"/>
      <c r="M23" s="3"/>
      <c r="N23" s="3"/>
    </row>
    <row r="24" spans="1:14" x14ac:dyDescent="0.3">
      <c r="A24" t="s">
        <v>6</v>
      </c>
      <c r="B24" t="s">
        <v>7</v>
      </c>
      <c r="C24" t="s">
        <v>1805</v>
      </c>
      <c r="D24" t="s">
        <v>9</v>
      </c>
      <c r="E24" t="s">
        <v>1880</v>
      </c>
      <c r="F24" t="str">
        <f>"001800000183"</f>
        <v>001800000183</v>
      </c>
      <c r="G24" t="s">
        <v>2389</v>
      </c>
      <c r="H24" s="4">
        <v>1363070.8670000001</v>
      </c>
    </row>
    <row r="25" spans="1:14" x14ac:dyDescent="0.3">
      <c r="A25" t="s">
        <v>6</v>
      </c>
      <c r="B25" t="s">
        <v>7</v>
      </c>
      <c r="C25" t="s">
        <v>8</v>
      </c>
      <c r="D25" t="s">
        <v>9</v>
      </c>
      <c r="E25" t="s">
        <v>221</v>
      </c>
      <c r="F25" t="str">
        <f>"001600016967"</f>
        <v>001600016967</v>
      </c>
      <c r="G25" t="s">
        <v>4180</v>
      </c>
      <c r="H25" s="4">
        <v>1312848.7420000001</v>
      </c>
    </row>
    <row r="26" spans="1:14" x14ac:dyDescent="0.3">
      <c r="A26" t="s">
        <v>6</v>
      </c>
      <c r="B26" t="s">
        <v>7</v>
      </c>
      <c r="C26" t="s">
        <v>1577</v>
      </c>
      <c r="D26" t="s">
        <v>9</v>
      </c>
      <c r="E26" t="s">
        <v>1622</v>
      </c>
      <c r="F26" t="str">
        <f>"004600028869"</f>
        <v>004600028869</v>
      </c>
      <c r="G26" t="s">
        <v>3386</v>
      </c>
      <c r="H26" s="4">
        <v>1307439.1910000001</v>
      </c>
    </row>
    <row r="27" spans="1:14" x14ac:dyDescent="0.3">
      <c r="A27" t="s">
        <v>6</v>
      </c>
      <c r="B27" t="s">
        <v>7</v>
      </c>
      <c r="C27" t="s">
        <v>1122</v>
      </c>
      <c r="D27" t="s">
        <v>9</v>
      </c>
      <c r="E27" t="s">
        <v>1254</v>
      </c>
      <c r="F27" t="str">
        <f>"001600048764"</f>
        <v>001600048764</v>
      </c>
      <c r="G27" t="s">
        <v>2827</v>
      </c>
      <c r="H27" s="4">
        <v>1304213.0419999999</v>
      </c>
    </row>
    <row r="28" spans="1:14" x14ac:dyDescent="0.3">
      <c r="A28" t="s">
        <v>6</v>
      </c>
      <c r="B28" t="s">
        <v>7</v>
      </c>
      <c r="C28" t="s">
        <v>1122</v>
      </c>
      <c r="D28" t="s">
        <v>9</v>
      </c>
      <c r="E28" t="s">
        <v>1218</v>
      </c>
      <c r="F28" t="str">
        <f>"001600014709"</f>
        <v>001600014709</v>
      </c>
      <c r="G28" t="s">
        <v>2796</v>
      </c>
      <c r="H28" s="4">
        <v>1296527.138</v>
      </c>
    </row>
    <row r="29" spans="1:14" x14ac:dyDescent="0.3">
      <c r="A29" t="s">
        <v>6</v>
      </c>
      <c r="B29" t="s">
        <v>7</v>
      </c>
      <c r="C29" t="s">
        <v>2231</v>
      </c>
      <c r="D29" t="s">
        <v>9</v>
      </c>
      <c r="E29" t="s">
        <v>2254</v>
      </c>
      <c r="F29" t="str">
        <f>"004119691401"</f>
        <v>004119691401</v>
      </c>
      <c r="G29" t="s">
        <v>4453</v>
      </c>
      <c r="H29" s="4">
        <v>1282517.061</v>
      </c>
    </row>
    <row r="30" spans="1:14" x14ac:dyDescent="0.3">
      <c r="A30" t="s">
        <v>6</v>
      </c>
      <c r="B30" t="s">
        <v>7</v>
      </c>
      <c r="C30" t="s">
        <v>1321</v>
      </c>
      <c r="D30" t="s">
        <v>9</v>
      </c>
      <c r="E30" t="s">
        <v>1328</v>
      </c>
      <c r="F30" t="str">
        <f>"004280011600"</f>
        <v>004280011600</v>
      </c>
      <c r="G30" t="s">
        <v>2890</v>
      </c>
      <c r="H30" s="4">
        <v>1278799.6470000001</v>
      </c>
    </row>
    <row r="31" spans="1:14" x14ac:dyDescent="0.3">
      <c r="A31" t="s">
        <v>6</v>
      </c>
      <c r="B31" t="s">
        <v>7</v>
      </c>
      <c r="C31" t="s">
        <v>8</v>
      </c>
      <c r="D31" t="s">
        <v>9</v>
      </c>
      <c r="E31" t="s">
        <v>168</v>
      </c>
      <c r="F31" t="str">
        <f>"001600012593"</f>
        <v>001600012593</v>
      </c>
      <c r="G31" t="s">
        <v>4129</v>
      </c>
      <c r="H31" s="4">
        <v>1259449.1170000001</v>
      </c>
    </row>
    <row r="32" spans="1:14" x14ac:dyDescent="0.3">
      <c r="A32" t="s">
        <v>6</v>
      </c>
      <c r="B32" t="s">
        <v>7</v>
      </c>
      <c r="C32" t="s">
        <v>1940</v>
      </c>
      <c r="D32" t="s">
        <v>9</v>
      </c>
      <c r="E32" t="s">
        <v>2111</v>
      </c>
      <c r="F32" t="str">
        <f>"007047040389"</f>
        <v>007047040389</v>
      </c>
      <c r="G32" t="s">
        <v>4000</v>
      </c>
      <c r="H32" s="4">
        <v>1232361.577</v>
      </c>
    </row>
    <row r="33" spans="1:8" x14ac:dyDescent="0.3">
      <c r="A33" t="s">
        <v>6</v>
      </c>
      <c r="B33" t="s">
        <v>7</v>
      </c>
      <c r="C33" t="s">
        <v>1805</v>
      </c>
      <c r="D33" t="s">
        <v>9</v>
      </c>
      <c r="E33" t="s">
        <v>1846</v>
      </c>
      <c r="F33" t="str">
        <f>"001800000415"</f>
        <v>001800000415</v>
      </c>
      <c r="G33" t="s">
        <v>2389</v>
      </c>
      <c r="H33" s="4">
        <v>1221036.862</v>
      </c>
    </row>
    <row r="34" spans="1:8" x14ac:dyDescent="0.3">
      <c r="A34" t="s">
        <v>6</v>
      </c>
      <c r="B34" t="s">
        <v>7</v>
      </c>
      <c r="C34" t="s">
        <v>1805</v>
      </c>
      <c r="D34" t="s">
        <v>9</v>
      </c>
      <c r="E34" t="s">
        <v>1871</v>
      </c>
      <c r="F34" t="str">
        <f>"001800000159"</f>
        <v>001800000159</v>
      </c>
      <c r="G34" t="s">
        <v>2389</v>
      </c>
      <c r="H34" s="4">
        <v>1177908.952</v>
      </c>
    </row>
    <row r="35" spans="1:8" x14ac:dyDescent="0.3">
      <c r="A35" t="s">
        <v>6</v>
      </c>
      <c r="B35" t="s">
        <v>7</v>
      </c>
      <c r="C35" t="s">
        <v>1805</v>
      </c>
      <c r="D35" t="s">
        <v>9</v>
      </c>
      <c r="E35" t="s">
        <v>1838</v>
      </c>
      <c r="F35" t="str">
        <f>"001800045675"</f>
        <v>001800045675</v>
      </c>
      <c r="G35" t="s">
        <v>3767</v>
      </c>
      <c r="H35" s="4">
        <v>1103279.327</v>
      </c>
    </row>
    <row r="36" spans="1:8" x14ac:dyDescent="0.3">
      <c r="A36" t="s">
        <v>6</v>
      </c>
      <c r="B36" t="s">
        <v>7</v>
      </c>
      <c r="C36" t="s">
        <v>1805</v>
      </c>
      <c r="D36" t="s">
        <v>9</v>
      </c>
      <c r="E36" t="s">
        <v>1850</v>
      </c>
      <c r="F36" t="str">
        <f>"001800028712"</f>
        <v>001800028712</v>
      </c>
      <c r="G36" t="s">
        <v>3774</v>
      </c>
      <c r="H36" s="4">
        <v>1068891.6140000001</v>
      </c>
    </row>
    <row r="37" spans="1:8" x14ac:dyDescent="0.3">
      <c r="A37" t="s">
        <v>6</v>
      </c>
      <c r="B37" t="s">
        <v>7</v>
      </c>
      <c r="C37" t="s">
        <v>1338</v>
      </c>
      <c r="D37" t="s">
        <v>9</v>
      </c>
      <c r="E37" t="s">
        <v>1354</v>
      </c>
      <c r="F37" t="str">
        <f>"004280011845"</f>
        <v>004280011845</v>
      </c>
      <c r="G37" t="s">
        <v>2912</v>
      </c>
      <c r="H37" s="4">
        <v>1043705.578</v>
      </c>
    </row>
    <row r="38" spans="1:8" x14ac:dyDescent="0.3">
      <c r="A38" t="s">
        <v>6</v>
      </c>
      <c r="B38" t="s">
        <v>7</v>
      </c>
      <c r="C38" t="s">
        <v>1805</v>
      </c>
      <c r="D38" t="s">
        <v>9</v>
      </c>
      <c r="E38" t="s">
        <v>1882</v>
      </c>
      <c r="F38" t="str">
        <f>"001800000210"</f>
        <v>001800000210</v>
      </c>
      <c r="G38" t="s">
        <v>2389</v>
      </c>
      <c r="H38" s="4">
        <v>1039137.839</v>
      </c>
    </row>
    <row r="39" spans="1:8" x14ac:dyDescent="0.3">
      <c r="A39" t="s">
        <v>6</v>
      </c>
      <c r="B39" t="s">
        <v>7</v>
      </c>
      <c r="C39" t="s">
        <v>1321</v>
      </c>
      <c r="D39" t="s">
        <v>9</v>
      </c>
      <c r="E39" t="s">
        <v>1322</v>
      </c>
      <c r="F39" t="str">
        <f>"004280048591"</f>
        <v>004280048591</v>
      </c>
      <c r="G39" t="s">
        <v>2884</v>
      </c>
      <c r="H39" s="4">
        <v>1034130.3860000001</v>
      </c>
    </row>
    <row r="40" spans="1:8" x14ac:dyDescent="0.3">
      <c r="A40" t="s">
        <v>6</v>
      </c>
      <c r="B40" t="s">
        <v>7</v>
      </c>
      <c r="C40" t="s">
        <v>1940</v>
      </c>
      <c r="D40" t="s">
        <v>9</v>
      </c>
      <c r="E40" t="s">
        <v>2111</v>
      </c>
      <c r="F40" t="str">
        <f>"007047040391"</f>
        <v>007047040391</v>
      </c>
      <c r="G40" t="s">
        <v>4001</v>
      </c>
      <c r="H40" s="4">
        <v>1031681.656</v>
      </c>
    </row>
    <row r="41" spans="1:8" x14ac:dyDescent="0.3">
      <c r="A41" t="s">
        <v>6</v>
      </c>
      <c r="B41" t="s">
        <v>7</v>
      </c>
      <c r="C41" t="s">
        <v>8</v>
      </c>
      <c r="D41" t="s">
        <v>9</v>
      </c>
      <c r="E41" t="s">
        <v>244</v>
      </c>
      <c r="F41" t="str">
        <f>"001600012495"</f>
        <v>001600012495</v>
      </c>
      <c r="G41" t="s">
        <v>4201</v>
      </c>
      <c r="H41" s="4">
        <v>1030836.137</v>
      </c>
    </row>
    <row r="42" spans="1:8" x14ac:dyDescent="0.3">
      <c r="A42" t="s">
        <v>6</v>
      </c>
      <c r="B42" t="s">
        <v>7</v>
      </c>
      <c r="C42" t="s">
        <v>8</v>
      </c>
      <c r="D42" t="s">
        <v>9</v>
      </c>
      <c r="E42" t="s">
        <v>128</v>
      </c>
      <c r="F42" t="str">
        <f>"001600048772"</f>
        <v>001600048772</v>
      </c>
      <c r="G42" t="s">
        <v>4094</v>
      </c>
      <c r="H42" s="4">
        <v>1017803.9840000001</v>
      </c>
    </row>
    <row r="43" spans="1:8" x14ac:dyDescent="0.3">
      <c r="A43" t="s">
        <v>6</v>
      </c>
      <c r="B43" t="s">
        <v>7</v>
      </c>
      <c r="C43" t="s">
        <v>381</v>
      </c>
      <c r="D43" t="s">
        <v>9</v>
      </c>
      <c r="E43" t="s">
        <v>514</v>
      </c>
      <c r="F43" t="str">
        <f>"001600026460"</f>
        <v>001600026460</v>
      </c>
      <c r="G43" t="s">
        <v>3239</v>
      </c>
      <c r="H43" s="4">
        <v>1012334.689</v>
      </c>
    </row>
    <row r="44" spans="1:8" x14ac:dyDescent="0.3">
      <c r="A44" t="s">
        <v>6</v>
      </c>
      <c r="B44" t="s">
        <v>7</v>
      </c>
      <c r="C44" t="s">
        <v>1122</v>
      </c>
      <c r="D44" t="s">
        <v>9</v>
      </c>
      <c r="E44" t="s">
        <v>1219</v>
      </c>
      <c r="F44" t="str">
        <f>"001600014698"</f>
        <v>001600014698</v>
      </c>
      <c r="G44" t="s">
        <v>2389</v>
      </c>
      <c r="H44" s="4">
        <v>1003079.097</v>
      </c>
    </row>
    <row r="45" spans="1:8" x14ac:dyDescent="0.3">
      <c r="A45" t="s">
        <v>6</v>
      </c>
      <c r="B45" t="s">
        <v>7</v>
      </c>
      <c r="C45" t="s">
        <v>1577</v>
      </c>
      <c r="D45" t="s">
        <v>9</v>
      </c>
      <c r="E45" t="s">
        <v>1647</v>
      </c>
      <c r="F45" t="str">
        <f>"004600027918"</f>
        <v>004600027918</v>
      </c>
      <c r="G45" t="s">
        <v>3416</v>
      </c>
      <c r="H45" s="4">
        <v>997149.62100000004</v>
      </c>
    </row>
    <row r="46" spans="1:8" x14ac:dyDescent="0.3">
      <c r="A46" t="s">
        <v>6</v>
      </c>
      <c r="B46" t="s">
        <v>7</v>
      </c>
      <c r="C46" t="s">
        <v>1805</v>
      </c>
      <c r="D46" t="s">
        <v>9</v>
      </c>
      <c r="E46" t="s">
        <v>1876</v>
      </c>
      <c r="F46" t="str">
        <f>"001800000260"</f>
        <v>001800000260</v>
      </c>
      <c r="G46" t="s">
        <v>2389</v>
      </c>
      <c r="H46" s="4">
        <v>978437.01300000004</v>
      </c>
    </row>
    <row r="47" spans="1:8" x14ac:dyDescent="0.3">
      <c r="A47" t="s">
        <v>6</v>
      </c>
      <c r="B47" t="s">
        <v>7</v>
      </c>
      <c r="C47" t="s">
        <v>1321</v>
      </c>
      <c r="D47" t="s">
        <v>9</v>
      </c>
      <c r="E47" t="s">
        <v>1332</v>
      </c>
      <c r="F47" t="str">
        <f>"004280011520"</f>
        <v>004280011520</v>
      </c>
      <c r="G47" t="s">
        <v>2894</v>
      </c>
      <c r="H47" s="4">
        <v>954217.67599999998</v>
      </c>
    </row>
    <row r="48" spans="1:8" x14ac:dyDescent="0.3">
      <c r="A48" t="s">
        <v>6</v>
      </c>
      <c r="B48" t="s">
        <v>7</v>
      </c>
      <c r="C48" t="s">
        <v>8</v>
      </c>
      <c r="D48" t="s">
        <v>9</v>
      </c>
      <c r="E48" t="s">
        <v>172</v>
      </c>
      <c r="F48" t="str">
        <f>"001600016389"</f>
        <v>001600016389</v>
      </c>
      <c r="G48" t="s">
        <v>4132</v>
      </c>
      <c r="H48" s="4">
        <v>948848.89</v>
      </c>
    </row>
    <row r="49" spans="1:8" x14ac:dyDescent="0.3">
      <c r="A49" t="s">
        <v>6</v>
      </c>
      <c r="B49" s="3" t="s">
        <v>7</v>
      </c>
      <c r="C49" s="3" t="s">
        <v>1338</v>
      </c>
      <c r="D49" s="3" t="s">
        <v>9</v>
      </c>
      <c r="E49" s="3" t="s">
        <v>1356</v>
      </c>
      <c r="F49" t="str">
        <f>"004280011836"</f>
        <v>004280011836</v>
      </c>
      <c r="G49" t="s">
        <v>2914</v>
      </c>
      <c r="H49" s="3" t="s">
        <v>1357</v>
      </c>
    </row>
    <row r="50" spans="1:8" x14ac:dyDescent="0.3">
      <c r="A50" t="s">
        <v>6</v>
      </c>
      <c r="B50" t="s">
        <v>7</v>
      </c>
      <c r="C50" t="s">
        <v>8</v>
      </c>
      <c r="D50" t="s">
        <v>9</v>
      </c>
      <c r="E50" t="s">
        <v>174</v>
      </c>
      <c r="F50" t="str">
        <f>"001600043532"</f>
        <v>001600043532</v>
      </c>
      <c r="G50" t="s">
        <v>4134</v>
      </c>
      <c r="H50" s="4">
        <v>929557.821</v>
      </c>
    </row>
    <row r="51" spans="1:8" x14ac:dyDescent="0.3">
      <c r="A51" t="s">
        <v>6</v>
      </c>
      <c r="B51" t="s">
        <v>7</v>
      </c>
      <c r="C51" t="s">
        <v>8</v>
      </c>
      <c r="D51" t="s">
        <v>9</v>
      </c>
      <c r="E51" t="s">
        <v>171</v>
      </c>
      <c r="F51" t="str">
        <f>"001600012685"</f>
        <v>001600012685</v>
      </c>
      <c r="G51" t="s">
        <v>4131</v>
      </c>
      <c r="H51" s="4">
        <v>929155.29700000002</v>
      </c>
    </row>
    <row r="52" spans="1:8" x14ac:dyDescent="0.3">
      <c r="A52" t="s">
        <v>6</v>
      </c>
      <c r="B52" t="s">
        <v>7</v>
      </c>
      <c r="C52" t="s">
        <v>8</v>
      </c>
      <c r="D52" t="s">
        <v>9</v>
      </c>
      <c r="E52" t="s">
        <v>165</v>
      </c>
      <c r="F52" t="str">
        <f>"001600016243"</f>
        <v>001600016243</v>
      </c>
      <c r="G52" t="s">
        <v>4126</v>
      </c>
      <c r="H52" s="4">
        <v>915851.174</v>
      </c>
    </row>
    <row r="53" spans="1:8" x14ac:dyDescent="0.3">
      <c r="A53" t="s">
        <v>6</v>
      </c>
      <c r="B53" t="s">
        <v>7</v>
      </c>
      <c r="C53" t="s">
        <v>1338</v>
      </c>
      <c r="D53" t="s">
        <v>9</v>
      </c>
      <c r="E53" t="s">
        <v>1368</v>
      </c>
      <c r="F53" t="str">
        <f>"004280049481"</f>
        <v>004280049481</v>
      </c>
      <c r="G53" t="s">
        <v>2925</v>
      </c>
      <c r="H53" s="4">
        <v>902287.245</v>
      </c>
    </row>
    <row r="54" spans="1:8" x14ac:dyDescent="0.3">
      <c r="A54" t="s">
        <v>6</v>
      </c>
      <c r="B54" t="s">
        <v>7</v>
      </c>
      <c r="C54" t="s">
        <v>1805</v>
      </c>
      <c r="D54" t="s">
        <v>9</v>
      </c>
      <c r="E54" t="s">
        <v>1883</v>
      </c>
      <c r="F54" t="str">
        <f>"001800000918"</f>
        <v>001800000918</v>
      </c>
      <c r="G54" t="s">
        <v>2389</v>
      </c>
      <c r="H54" s="4">
        <v>895508.46699999995</v>
      </c>
    </row>
    <row r="55" spans="1:8" x14ac:dyDescent="0.3">
      <c r="A55" t="s">
        <v>6</v>
      </c>
      <c r="B55" t="s">
        <v>7</v>
      </c>
      <c r="C55" t="s">
        <v>1805</v>
      </c>
      <c r="D55" t="s">
        <v>9</v>
      </c>
      <c r="E55" t="s">
        <v>1904</v>
      </c>
      <c r="F55" t="str">
        <f>"001800000338"</f>
        <v>001800000338</v>
      </c>
      <c r="G55" t="s">
        <v>2389</v>
      </c>
      <c r="H55" s="4">
        <v>859934.82</v>
      </c>
    </row>
    <row r="56" spans="1:8" x14ac:dyDescent="0.3">
      <c r="A56" t="s">
        <v>6</v>
      </c>
      <c r="B56" t="s">
        <v>7</v>
      </c>
      <c r="C56" t="s">
        <v>770</v>
      </c>
      <c r="D56" t="s">
        <v>9</v>
      </c>
      <c r="E56" t="s">
        <v>781</v>
      </c>
      <c r="F56" t="str">
        <f>"001600042040"</f>
        <v>001600042040</v>
      </c>
      <c r="G56" t="s">
        <v>2381</v>
      </c>
      <c r="H56" s="4">
        <v>858083.96600000001</v>
      </c>
    </row>
    <row r="57" spans="1:8" x14ac:dyDescent="0.3">
      <c r="A57" t="s">
        <v>6</v>
      </c>
      <c r="B57" t="s">
        <v>7</v>
      </c>
      <c r="C57" t="s">
        <v>1805</v>
      </c>
      <c r="D57" t="s">
        <v>9</v>
      </c>
      <c r="E57" t="s">
        <v>1933</v>
      </c>
      <c r="F57" t="str">
        <f>"001800081772"</f>
        <v>001800081772</v>
      </c>
      <c r="G57" t="s">
        <v>3817</v>
      </c>
      <c r="H57" s="4">
        <v>849057.92500000005</v>
      </c>
    </row>
    <row r="58" spans="1:8" x14ac:dyDescent="0.3">
      <c r="A58" t="s">
        <v>6</v>
      </c>
      <c r="B58" t="s">
        <v>7</v>
      </c>
      <c r="C58" t="s">
        <v>1577</v>
      </c>
      <c r="D58" t="s">
        <v>9</v>
      </c>
      <c r="E58" t="s">
        <v>1665</v>
      </c>
      <c r="F58" t="str">
        <f>"004600028734"</f>
        <v>004600028734</v>
      </c>
      <c r="G58" t="s">
        <v>3434</v>
      </c>
      <c r="H58" s="4">
        <v>843932.38</v>
      </c>
    </row>
    <row r="59" spans="1:8" x14ac:dyDescent="0.3">
      <c r="A59" t="s">
        <v>6</v>
      </c>
      <c r="B59" t="s">
        <v>7</v>
      </c>
      <c r="C59" t="s">
        <v>2231</v>
      </c>
      <c r="D59" t="s">
        <v>9</v>
      </c>
      <c r="E59" t="s">
        <v>2365</v>
      </c>
      <c r="F59" t="str">
        <f>"004119601013"</f>
        <v>004119601013</v>
      </c>
      <c r="G59" t="s">
        <v>4556</v>
      </c>
      <c r="H59" s="4">
        <v>838297.36199999996</v>
      </c>
    </row>
    <row r="60" spans="1:8" x14ac:dyDescent="0.3">
      <c r="A60" t="s">
        <v>6</v>
      </c>
      <c r="B60" t="s">
        <v>7</v>
      </c>
      <c r="C60" t="s">
        <v>1940</v>
      </c>
      <c r="D60" t="s">
        <v>9</v>
      </c>
      <c r="E60" t="s">
        <v>2092</v>
      </c>
      <c r="F60" t="str">
        <f>"007047000430"</f>
        <v>007047000430</v>
      </c>
      <c r="G60" t="s">
        <v>3980</v>
      </c>
      <c r="H60" s="4">
        <v>828338.46100000001</v>
      </c>
    </row>
    <row r="61" spans="1:8" x14ac:dyDescent="0.3">
      <c r="A61" t="s">
        <v>6</v>
      </c>
      <c r="B61" t="s">
        <v>7</v>
      </c>
      <c r="C61" t="s">
        <v>8</v>
      </c>
      <c r="D61" t="s">
        <v>9</v>
      </c>
      <c r="E61" t="s">
        <v>314</v>
      </c>
      <c r="F61" t="str">
        <f>"001600012222"</f>
        <v>001600012222</v>
      </c>
      <c r="G61" t="s">
        <v>4262</v>
      </c>
      <c r="H61" s="4">
        <v>813461.64899999998</v>
      </c>
    </row>
    <row r="62" spans="1:8" x14ac:dyDescent="0.3">
      <c r="A62" t="s">
        <v>6</v>
      </c>
      <c r="B62" t="s">
        <v>7</v>
      </c>
      <c r="C62" t="s">
        <v>381</v>
      </c>
      <c r="D62" t="s">
        <v>9</v>
      </c>
      <c r="E62" t="s">
        <v>520</v>
      </c>
      <c r="F62" t="str">
        <f>"001600048759"</f>
        <v>001600048759</v>
      </c>
      <c r="G62" t="s">
        <v>3244</v>
      </c>
      <c r="H62" s="4">
        <v>813105.451</v>
      </c>
    </row>
    <row r="63" spans="1:8" x14ac:dyDescent="0.3">
      <c r="A63" t="s">
        <v>6</v>
      </c>
      <c r="B63" t="s">
        <v>7</v>
      </c>
      <c r="C63" t="s">
        <v>381</v>
      </c>
      <c r="D63" t="s">
        <v>9</v>
      </c>
      <c r="E63" t="s">
        <v>555</v>
      </c>
      <c r="F63" t="str">
        <f>"001600043962"</f>
        <v>001600043962</v>
      </c>
      <c r="G63" t="s">
        <v>3278</v>
      </c>
      <c r="H63" s="4">
        <v>808564.05900000001</v>
      </c>
    </row>
    <row r="64" spans="1:8" x14ac:dyDescent="0.3">
      <c r="A64" t="s">
        <v>6</v>
      </c>
      <c r="B64" t="s">
        <v>7</v>
      </c>
      <c r="C64" t="s">
        <v>1286</v>
      </c>
      <c r="D64" t="s">
        <v>9</v>
      </c>
      <c r="E64" t="s">
        <v>1314</v>
      </c>
      <c r="F64" t="str">
        <f>"001800042742"</f>
        <v>001800042742</v>
      </c>
      <c r="G64" t="s">
        <v>2878</v>
      </c>
      <c r="H64" s="4">
        <v>794178.66</v>
      </c>
    </row>
    <row r="65" spans="1:8" x14ac:dyDescent="0.3">
      <c r="A65" t="s">
        <v>6</v>
      </c>
      <c r="B65" t="s">
        <v>7</v>
      </c>
      <c r="C65" t="s">
        <v>8</v>
      </c>
      <c r="D65" t="s">
        <v>9</v>
      </c>
      <c r="E65" t="s">
        <v>289</v>
      </c>
      <c r="F65" t="str">
        <f>"001600016875"</f>
        <v>001600016875</v>
      </c>
      <c r="G65" t="s">
        <v>4240</v>
      </c>
      <c r="H65" s="4">
        <v>791687.02099999995</v>
      </c>
    </row>
    <row r="66" spans="1:8" x14ac:dyDescent="0.3">
      <c r="A66" t="s">
        <v>6</v>
      </c>
      <c r="B66" t="s">
        <v>7</v>
      </c>
      <c r="C66" t="s">
        <v>1321</v>
      </c>
      <c r="D66" t="s">
        <v>9</v>
      </c>
      <c r="E66" t="s">
        <v>1333</v>
      </c>
      <c r="F66" t="str">
        <f>"004280010800"</f>
        <v>004280010800</v>
      </c>
      <c r="G66" t="s">
        <v>2895</v>
      </c>
      <c r="H66" s="4">
        <v>784710.40500000003</v>
      </c>
    </row>
    <row r="67" spans="1:8" x14ac:dyDescent="0.3">
      <c r="A67" t="s">
        <v>6</v>
      </c>
      <c r="B67" t="s">
        <v>7</v>
      </c>
      <c r="C67" t="s">
        <v>1122</v>
      </c>
      <c r="D67" t="s">
        <v>9</v>
      </c>
      <c r="E67" t="s">
        <v>1263</v>
      </c>
      <c r="F67" t="str">
        <f>"001600047727"</f>
        <v>001600047727</v>
      </c>
      <c r="G67" t="s">
        <v>2833</v>
      </c>
      <c r="H67" s="4">
        <v>782821.99</v>
      </c>
    </row>
    <row r="68" spans="1:8" x14ac:dyDescent="0.3">
      <c r="A68" t="s">
        <v>6</v>
      </c>
      <c r="B68" t="s">
        <v>7</v>
      </c>
      <c r="C68" t="s">
        <v>1940</v>
      </c>
      <c r="D68" t="s">
        <v>9</v>
      </c>
      <c r="E68" t="s">
        <v>1985</v>
      </c>
      <c r="F68" t="str">
        <f>"007047049203"</f>
        <v>007047049203</v>
      </c>
      <c r="G68" t="s">
        <v>2389</v>
      </c>
      <c r="H68" s="4">
        <v>764751.58</v>
      </c>
    </row>
    <row r="69" spans="1:8" x14ac:dyDescent="0.3">
      <c r="A69" t="s">
        <v>6</v>
      </c>
      <c r="B69" t="s">
        <v>7</v>
      </c>
      <c r="C69" t="s">
        <v>1805</v>
      </c>
      <c r="D69" t="s">
        <v>9</v>
      </c>
      <c r="E69" t="s">
        <v>1837</v>
      </c>
      <c r="F69" t="str">
        <f>"001800000512"</f>
        <v>001800000512</v>
      </c>
      <c r="G69" t="s">
        <v>2389</v>
      </c>
      <c r="H69" s="4">
        <v>763680.43299999996</v>
      </c>
    </row>
    <row r="70" spans="1:8" x14ac:dyDescent="0.3">
      <c r="A70" t="s">
        <v>6</v>
      </c>
      <c r="B70" t="s">
        <v>7</v>
      </c>
      <c r="C70" t="s">
        <v>8</v>
      </c>
      <c r="D70" t="s">
        <v>9</v>
      </c>
      <c r="E70" t="s">
        <v>250</v>
      </c>
      <c r="F70" t="str">
        <f>"001600016383"</f>
        <v>001600016383</v>
      </c>
      <c r="G70" t="s">
        <v>4205</v>
      </c>
      <c r="H70" s="4">
        <v>754692.66</v>
      </c>
    </row>
    <row r="71" spans="1:8" x14ac:dyDescent="0.3">
      <c r="A71" t="s">
        <v>6</v>
      </c>
      <c r="B71" t="s">
        <v>7</v>
      </c>
      <c r="C71" t="s">
        <v>1286</v>
      </c>
      <c r="D71" t="s">
        <v>9</v>
      </c>
      <c r="E71" t="s">
        <v>1313</v>
      </c>
      <c r="F71" t="str">
        <f>"001800042698"</f>
        <v>001800042698</v>
      </c>
      <c r="G71" t="s">
        <v>2877</v>
      </c>
      <c r="H71" s="4">
        <v>746502.70799999998</v>
      </c>
    </row>
    <row r="72" spans="1:8" x14ac:dyDescent="0.3">
      <c r="A72" t="s">
        <v>6</v>
      </c>
      <c r="B72" t="s">
        <v>7</v>
      </c>
      <c r="C72" t="s">
        <v>1577</v>
      </c>
      <c r="D72" t="s">
        <v>9</v>
      </c>
      <c r="E72" t="s">
        <v>1653</v>
      </c>
      <c r="F72" t="str">
        <f>"004600045395"</f>
        <v>004600045395</v>
      </c>
      <c r="G72" t="s">
        <v>3422</v>
      </c>
      <c r="H72" s="4">
        <v>729097.74399999995</v>
      </c>
    </row>
    <row r="73" spans="1:8" x14ac:dyDescent="0.3">
      <c r="A73" t="s">
        <v>6</v>
      </c>
      <c r="B73" t="s">
        <v>7</v>
      </c>
      <c r="C73" t="s">
        <v>1122</v>
      </c>
      <c r="D73" t="s">
        <v>9</v>
      </c>
      <c r="E73" t="s">
        <v>1220</v>
      </c>
      <c r="F73" t="str">
        <f>"001600014733"</f>
        <v>001600014733</v>
      </c>
      <c r="G73" t="s">
        <v>2797</v>
      </c>
      <c r="H73" s="4">
        <v>722799.95</v>
      </c>
    </row>
    <row r="74" spans="1:8" x14ac:dyDescent="0.3">
      <c r="A74" t="s">
        <v>6</v>
      </c>
      <c r="B74" t="s">
        <v>7</v>
      </c>
      <c r="C74" t="s">
        <v>1805</v>
      </c>
      <c r="D74" t="s">
        <v>9</v>
      </c>
      <c r="E74" t="s">
        <v>1870</v>
      </c>
      <c r="F74" t="str">
        <f>"001800000164"</f>
        <v>001800000164</v>
      </c>
      <c r="G74" t="s">
        <v>2389</v>
      </c>
      <c r="H74" s="4">
        <v>720159.902</v>
      </c>
    </row>
    <row r="75" spans="1:8" x14ac:dyDescent="0.3">
      <c r="A75" t="s">
        <v>6</v>
      </c>
      <c r="B75" t="s">
        <v>7</v>
      </c>
      <c r="C75" t="s">
        <v>2113</v>
      </c>
      <c r="D75" t="s">
        <v>9</v>
      </c>
      <c r="E75" t="s">
        <v>2162</v>
      </c>
      <c r="F75" t="str">
        <f>"001600015980"</f>
        <v>001600015980</v>
      </c>
      <c r="G75" t="s">
        <v>4370</v>
      </c>
      <c r="H75" s="4">
        <v>715306.73400000005</v>
      </c>
    </row>
    <row r="76" spans="1:8" x14ac:dyDescent="0.3">
      <c r="A76" t="s">
        <v>6</v>
      </c>
      <c r="B76" t="s">
        <v>7</v>
      </c>
      <c r="C76" t="s">
        <v>8</v>
      </c>
      <c r="D76" t="s">
        <v>9</v>
      </c>
      <c r="E76" t="s">
        <v>368</v>
      </c>
      <c r="F76" t="str">
        <f>"001600043779"</f>
        <v>001600043779</v>
      </c>
      <c r="G76" t="s">
        <v>4312</v>
      </c>
      <c r="H76" s="4">
        <v>703607.44200000004</v>
      </c>
    </row>
    <row r="77" spans="1:8" x14ac:dyDescent="0.3">
      <c r="A77" t="s">
        <v>6</v>
      </c>
      <c r="B77" t="s">
        <v>7</v>
      </c>
      <c r="C77" t="s">
        <v>1805</v>
      </c>
      <c r="D77" t="s">
        <v>9</v>
      </c>
      <c r="E77" t="s">
        <v>1861</v>
      </c>
      <c r="F77" t="str">
        <f>"001800000108"</f>
        <v>001800000108</v>
      </c>
      <c r="G77" t="s">
        <v>2389</v>
      </c>
      <c r="H77" s="4">
        <v>701677.39500000002</v>
      </c>
    </row>
    <row r="78" spans="1:8" x14ac:dyDescent="0.3">
      <c r="A78" t="s">
        <v>6</v>
      </c>
      <c r="B78" t="s">
        <v>7</v>
      </c>
      <c r="C78" t="s">
        <v>1577</v>
      </c>
      <c r="D78" t="s">
        <v>9</v>
      </c>
      <c r="E78" t="s">
        <v>1669</v>
      </c>
      <c r="F78" t="str">
        <f>"004600081101"</f>
        <v>004600081101</v>
      </c>
      <c r="G78" t="s">
        <v>3437</v>
      </c>
      <c r="H78" s="4">
        <v>694846.86399999994</v>
      </c>
    </row>
    <row r="79" spans="1:8" x14ac:dyDescent="0.3">
      <c r="A79" t="s">
        <v>6</v>
      </c>
      <c r="B79" t="s">
        <v>7</v>
      </c>
      <c r="C79" t="s">
        <v>8</v>
      </c>
      <c r="D79" t="s">
        <v>9</v>
      </c>
      <c r="E79" t="s">
        <v>271</v>
      </c>
      <c r="F79" t="str">
        <f>"001600012499"</f>
        <v>001600012499</v>
      </c>
      <c r="G79" t="s">
        <v>4224</v>
      </c>
      <c r="H79" s="4">
        <v>694736.06299999997</v>
      </c>
    </row>
    <row r="80" spans="1:8" x14ac:dyDescent="0.3">
      <c r="A80" t="s">
        <v>6</v>
      </c>
      <c r="B80" t="s">
        <v>7</v>
      </c>
      <c r="C80" t="s">
        <v>1805</v>
      </c>
      <c r="D80" t="s">
        <v>9</v>
      </c>
      <c r="E80" t="s">
        <v>1889</v>
      </c>
      <c r="F80" t="str">
        <f>"001800000186"</f>
        <v>001800000186</v>
      </c>
      <c r="G80" t="s">
        <v>2389</v>
      </c>
      <c r="H80" s="4">
        <v>688417.04399999999</v>
      </c>
    </row>
    <row r="81" spans="1:8" x14ac:dyDescent="0.3">
      <c r="A81" t="s">
        <v>6</v>
      </c>
      <c r="B81" t="s">
        <v>7</v>
      </c>
      <c r="C81" t="s">
        <v>1095</v>
      </c>
      <c r="D81" t="s">
        <v>9</v>
      </c>
      <c r="E81" t="s">
        <v>1110</v>
      </c>
      <c r="F81" t="str">
        <f>"001600010710"</f>
        <v>001600010710</v>
      </c>
      <c r="G81" t="s">
        <v>2710</v>
      </c>
      <c r="H81" s="4">
        <v>687698.14</v>
      </c>
    </row>
    <row r="82" spans="1:8" x14ac:dyDescent="0.3">
      <c r="A82" t="s">
        <v>6</v>
      </c>
      <c r="B82" t="s">
        <v>7</v>
      </c>
      <c r="C82" t="s">
        <v>8</v>
      </c>
      <c r="D82" t="s">
        <v>9</v>
      </c>
      <c r="E82" t="s">
        <v>316</v>
      </c>
      <c r="F82" t="str">
        <f>"001600016969"</f>
        <v>001600016969</v>
      </c>
      <c r="G82" t="s">
        <v>4266</v>
      </c>
      <c r="H82" s="4">
        <v>682263.53700000001</v>
      </c>
    </row>
    <row r="83" spans="1:8" x14ac:dyDescent="0.3">
      <c r="A83" t="s">
        <v>6</v>
      </c>
      <c r="B83" t="s">
        <v>7</v>
      </c>
      <c r="C83" t="s">
        <v>1805</v>
      </c>
      <c r="D83" t="s">
        <v>9</v>
      </c>
      <c r="E83" t="s">
        <v>1857</v>
      </c>
      <c r="F83" t="str">
        <f>"001800000757"</f>
        <v>001800000757</v>
      </c>
      <c r="G83" t="s">
        <v>2389</v>
      </c>
      <c r="H83" s="4">
        <v>674650.00199999998</v>
      </c>
    </row>
    <row r="84" spans="1:8" x14ac:dyDescent="0.3">
      <c r="A84" t="s">
        <v>6</v>
      </c>
      <c r="B84" t="s">
        <v>7</v>
      </c>
      <c r="C84" t="s">
        <v>1286</v>
      </c>
      <c r="D84" t="s">
        <v>9</v>
      </c>
      <c r="E84" t="s">
        <v>1311</v>
      </c>
      <c r="F84" t="str">
        <f>"001800042793"</f>
        <v>001800042793</v>
      </c>
      <c r="G84" t="s">
        <v>2875</v>
      </c>
      <c r="H84" s="4">
        <v>673424.69900000002</v>
      </c>
    </row>
    <row r="85" spans="1:8" x14ac:dyDescent="0.3">
      <c r="A85" t="s">
        <v>6</v>
      </c>
      <c r="B85" t="s">
        <v>7</v>
      </c>
      <c r="C85" t="s">
        <v>1940</v>
      </c>
      <c r="D85" t="s">
        <v>9</v>
      </c>
      <c r="E85" t="s">
        <v>1979</v>
      </c>
      <c r="F85" t="str">
        <f>"007047013778"</f>
        <v>007047013778</v>
      </c>
      <c r="G85" t="s">
        <v>3868</v>
      </c>
      <c r="H85" s="4">
        <v>668948.95400000003</v>
      </c>
    </row>
    <row r="86" spans="1:8" x14ac:dyDescent="0.3">
      <c r="A86" t="s">
        <v>6</v>
      </c>
      <c r="B86" t="s">
        <v>7</v>
      </c>
      <c r="C86" t="s">
        <v>8</v>
      </c>
      <c r="D86" t="s">
        <v>9</v>
      </c>
      <c r="E86" t="s">
        <v>324</v>
      </c>
      <c r="F86" t="str">
        <f>"001600048794"</f>
        <v>001600048794</v>
      </c>
      <c r="G86" t="s">
        <v>4274</v>
      </c>
      <c r="H86" s="4">
        <v>661752.71</v>
      </c>
    </row>
    <row r="87" spans="1:8" x14ac:dyDescent="0.3">
      <c r="A87" t="s">
        <v>6</v>
      </c>
      <c r="B87" t="s">
        <v>7</v>
      </c>
      <c r="C87" t="s">
        <v>2231</v>
      </c>
      <c r="D87" t="s">
        <v>9</v>
      </c>
      <c r="E87" t="s">
        <v>2252</v>
      </c>
      <c r="F87" t="str">
        <f>"004119691403"</f>
        <v>004119691403</v>
      </c>
      <c r="G87" t="s">
        <v>4451</v>
      </c>
      <c r="H87" s="4">
        <v>657360.723</v>
      </c>
    </row>
    <row r="88" spans="1:8" x14ac:dyDescent="0.3">
      <c r="A88" t="s">
        <v>6</v>
      </c>
      <c r="B88" t="s">
        <v>7</v>
      </c>
      <c r="C88" t="s">
        <v>1122</v>
      </c>
      <c r="D88" t="s">
        <v>9</v>
      </c>
      <c r="E88" t="s">
        <v>1197</v>
      </c>
      <c r="F88" t="str">
        <f>"001600014705"</f>
        <v>001600014705</v>
      </c>
      <c r="G88" t="s">
        <v>2783</v>
      </c>
      <c r="H88" s="4">
        <v>654393.30799999996</v>
      </c>
    </row>
    <row r="89" spans="1:8" x14ac:dyDescent="0.3">
      <c r="A89" t="s">
        <v>6</v>
      </c>
      <c r="B89" t="s">
        <v>7</v>
      </c>
      <c r="C89" t="s">
        <v>1940</v>
      </c>
      <c r="D89" t="s">
        <v>9</v>
      </c>
      <c r="E89" t="s">
        <v>2066</v>
      </c>
      <c r="F89" t="str">
        <f>"007047000307"</f>
        <v>007047000307</v>
      </c>
      <c r="G89" t="s">
        <v>3953</v>
      </c>
      <c r="H89" s="4">
        <v>651448.62399999995</v>
      </c>
    </row>
    <row r="90" spans="1:8" x14ac:dyDescent="0.3">
      <c r="A90" t="s">
        <v>6</v>
      </c>
      <c r="B90" t="s">
        <v>7</v>
      </c>
      <c r="C90" t="s">
        <v>2231</v>
      </c>
      <c r="D90" t="s">
        <v>9</v>
      </c>
      <c r="E90" t="s">
        <v>2364</v>
      </c>
      <c r="F90" t="str">
        <f>"004119601012"</f>
        <v>004119601012</v>
      </c>
      <c r="G90" t="s">
        <v>4555</v>
      </c>
      <c r="H90" s="4">
        <v>643844.81400000001</v>
      </c>
    </row>
    <row r="91" spans="1:8" ht="28.8" x14ac:dyDescent="0.3">
      <c r="A91" t="s">
        <v>6</v>
      </c>
      <c r="B91" s="1" t="s">
        <v>7</v>
      </c>
      <c r="C91" s="1" t="s">
        <v>1122</v>
      </c>
      <c r="D91" s="1" t="s">
        <v>9</v>
      </c>
      <c r="E91" s="3" t="s">
        <v>1221</v>
      </c>
      <c r="F91" t="str">
        <f>"001600014734"</f>
        <v>001600014734</v>
      </c>
      <c r="G91" t="s">
        <v>2798</v>
      </c>
      <c r="H91" s="3" t="s">
        <v>1222</v>
      </c>
    </row>
    <row r="92" spans="1:8" x14ac:dyDescent="0.3">
      <c r="A92" t="s">
        <v>6</v>
      </c>
      <c r="B92" t="s">
        <v>7</v>
      </c>
      <c r="C92" t="s">
        <v>1122</v>
      </c>
      <c r="D92" t="s">
        <v>9</v>
      </c>
      <c r="E92" t="s">
        <v>1245</v>
      </c>
      <c r="F92" t="str">
        <f>"001600049582"</f>
        <v>001600049582</v>
      </c>
      <c r="G92" t="s">
        <v>2817</v>
      </c>
      <c r="H92" s="4">
        <v>632650.56799999997</v>
      </c>
    </row>
    <row r="93" spans="1:8" x14ac:dyDescent="0.3">
      <c r="A93" s="3" t="s">
        <v>6</v>
      </c>
      <c r="B93" t="s">
        <v>7</v>
      </c>
      <c r="C93" t="s">
        <v>1577</v>
      </c>
      <c r="D93" t="s">
        <v>9</v>
      </c>
      <c r="E93" t="s">
        <v>1631</v>
      </c>
      <c r="F93" t="str">
        <f>"004600082121"</f>
        <v>004600082121</v>
      </c>
      <c r="G93" t="s">
        <v>3397</v>
      </c>
      <c r="H93" s="4">
        <v>629348.12199999997</v>
      </c>
    </row>
    <row r="94" spans="1:8" x14ac:dyDescent="0.3">
      <c r="A94" t="s">
        <v>6</v>
      </c>
      <c r="B94" t="s">
        <v>7</v>
      </c>
      <c r="C94" t="s">
        <v>985</v>
      </c>
      <c r="D94" t="s">
        <v>9</v>
      </c>
      <c r="E94" t="s">
        <v>999</v>
      </c>
      <c r="F94" t="str">
        <f>"001356200004"</f>
        <v>001356200004</v>
      </c>
      <c r="G94" t="s">
        <v>2595</v>
      </c>
      <c r="H94" s="4">
        <v>626882.08400000003</v>
      </c>
    </row>
    <row r="95" spans="1:8" x14ac:dyDescent="0.3">
      <c r="A95" t="s">
        <v>6</v>
      </c>
      <c r="B95" t="s">
        <v>7</v>
      </c>
      <c r="C95" t="s">
        <v>1940</v>
      </c>
      <c r="D95" t="s">
        <v>9</v>
      </c>
      <c r="E95" t="s">
        <v>2089</v>
      </c>
      <c r="F95" t="str">
        <f>"007047040387"</f>
        <v>007047040387</v>
      </c>
      <c r="G95" t="s">
        <v>3977</v>
      </c>
      <c r="H95" s="4">
        <v>626245.80000000005</v>
      </c>
    </row>
    <row r="96" spans="1:8" x14ac:dyDescent="0.3">
      <c r="A96" t="s">
        <v>6</v>
      </c>
      <c r="B96" t="s">
        <v>7</v>
      </c>
      <c r="C96" t="s">
        <v>8</v>
      </c>
      <c r="D96" t="s">
        <v>9</v>
      </c>
      <c r="E96" t="s">
        <v>254</v>
      </c>
      <c r="F96" t="str">
        <f>"001600015643"</f>
        <v>001600015643</v>
      </c>
      <c r="G96" t="s">
        <v>4208</v>
      </c>
      <c r="H96" s="4">
        <v>618771.29799999995</v>
      </c>
    </row>
    <row r="97" spans="1:8" x14ac:dyDescent="0.3">
      <c r="A97" t="s">
        <v>6</v>
      </c>
      <c r="B97" t="s">
        <v>7</v>
      </c>
      <c r="C97" t="s">
        <v>8</v>
      </c>
      <c r="D97" t="s">
        <v>9</v>
      </c>
      <c r="E97" t="s">
        <v>313</v>
      </c>
      <c r="F97" t="str">
        <f>"001600047321"</f>
        <v>001600047321</v>
      </c>
      <c r="G97" t="s">
        <v>4261</v>
      </c>
      <c r="H97" s="4">
        <v>618349.72100000002</v>
      </c>
    </row>
    <row r="98" spans="1:8" x14ac:dyDescent="0.3">
      <c r="A98" t="s">
        <v>6</v>
      </c>
      <c r="B98" t="s">
        <v>7</v>
      </c>
      <c r="C98" t="s">
        <v>1940</v>
      </c>
      <c r="D98" t="s">
        <v>9</v>
      </c>
      <c r="E98" t="s">
        <v>1981</v>
      </c>
      <c r="F98" t="str">
        <f>"007047013772"</f>
        <v>007047013772</v>
      </c>
      <c r="G98" t="s">
        <v>3872</v>
      </c>
      <c r="H98" s="4">
        <v>607917.37399999995</v>
      </c>
    </row>
    <row r="99" spans="1:8" x14ac:dyDescent="0.3">
      <c r="A99" t="s">
        <v>6</v>
      </c>
      <c r="B99" t="s">
        <v>7</v>
      </c>
      <c r="C99" t="s">
        <v>1940</v>
      </c>
      <c r="D99" t="s">
        <v>9</v>
      </c>
      <c r="E99" t="s">
        <v>2088</v>
      </c>
      <c r="F99" t="str">
        <f>"007047000300"</f>
        <v>007047000300</v>
      </c>
      <c r="G99" t="s">
        <v>3974</v>
      </c>
      <c r="H99" s="4">
        <v>604451.777</v>
      </c>
    </row>
    <row r="100" spans="1:8" x14ac:dyDescent="0.3">
      <c r="A100" t="s">
        <v>6</v>
      </c>
      <c r="B100" t="s">
        <v>7</v>
      </c>
      <c r="C100" t="s">
        <v>1122</v>
      </c>
      <c r="D100" t="s">
        <v>9</v>
      </c>
      <c r="E100" t="s">
        <v>1246</v>
      </c>
      <c r="F100" t="str">
        <f>"001600018910"</f>
        <v>001600018910</v>
      </c>
      <c r="G100" t="s">
        <v>2819</v>
      </c>
      <c r="H100" s="4">
        <v>602278.125</v>
      </c>
    </row>
    <row r="101" spans="1:8" x14ac:dyDescent="0.3">
      <c r="A101" t="s">
        <v>6</v>
      </c>
      <c r="B101" t="s">
        <v>7</v>
      </c>
      <c r="C101" t="s">
        <v>1095</v>
      </c>
      <c r="D101" t="s">
        <v>9</v>
      </c>
      <c r="E101" t="s">
        <v>1115</v>
      </c>
      <c r="F101" t="str">
        <f>"001600050269"</f>
        <v>001600050269</v>
      </c>
      <c r="G101" t="s">
        <v>2715</v>
      </c>
      <c r="H101" s="4">
        <v>590816.32799999998</v>
      </c>
    </row>
    <row r="102" spans="1:8" x14ac:dyDescent="0.3">
      <c r="A102" t="s">
        <v>6</v>
      </c>
      <c r="B102" t="s">
        <v>7</v>
      </c>
      <c r="C102" t="s">
        <v>8</v>
      </c>
      <c r="D102" t="s">
        <v>9</v>
      </c>
      <c r="E102" t="s">
        <v>246</v>
      </c>
      <c r="F102" t="str">
        <f>"001600048665"</f>
        <v>001600048665</v>
      </c>
      <c r="G102" t="s">
        <v>4203</v>
      </c>
      <c r="H102" s="4">
        <v>585830.42000000004</v>
      </c>
    </row>
    <row r="103" spans="1:8" x14ac:dyDescent="0.3">
      <c r="A103" t="s">
        <v>6</v>
      </c>
      <c r="B103" t="s">
        <v>7</v>
      </c>
      <c r="C103" t="s">
        <v>1270</v>
      </c>
      <c r="D103" t="s">
        <v>9</v>
      </c>
      <c r="E103" t="s">
        <v>1275</v>
      </c>
      <c r="F103" t="str">
        <f>"001800073412"</f>
        <v>001800073412</v>
      </c>
      <c r="G103" t="s">
        <v>2844</v>
      </c>
      <c r="H103" s="4">
        <v>584553.06200000003</v>
      </c>
    </row>
    <row r="104" spans="1:8" x14ac:dyDescent="0.3">
      <c r="A104" t="s">
        <v>6</v>
      </c>
      <c r="B104" t="s">
        <v>7</v>
      </c>
      <c r="C104" t="s">
        <v>1122</v>
      </c>
      <c r="D104" t="s">
        <v>9</v>
      </c>
      <c r="E104" t="s">
        <v>1211</v>
      </c>
      <c r="F104" t="str">
        <f>"001600049615"</f>
        <v>001600049615</v>
      </c>
      <c r="G104" t="s">
        <v>2791</v>
      </c>
      <c r="H104" s="4">
        <v>583457.277</v>
      </c>
    </row>
    <row r="105" spans="1:8" x14ac:dyDescent="0.3">
      <c r="A105" t="s">
        <v>6</v>
      </c>
      <c r="B105" t="s">
        <v>7</v>
      </c>
      <c r="C105" t="s">
        <v>1805</v>
      </c>
      <c r="D105" t="s">
        <v>9</v>
      </c>
      <c r="E105" t="s">
        <v>1829</v>
      </c>
      <c r="F105" t="str">
        <f>"001800081773"</f>
        <v>001800081773</v>
      </c>
      <c r="G105" t="s">
        <v>3761</v>
      </c>
      <c r="H105" s="4">
        <v>582409.41299999994</v>
      </c>
    </row>
    <row r="106" spans="1:8" x14ac:dyDescent="0.3">
      <c r="A106" t="s">
        <v>6</v>
      </c>
      <c r="B106" t="s">
        <v>7</v>
      </c>
      <c r="C106" t="s">
        <v>1805</v>
      </c>
      <c r="D106" t="s">
        <v>9</v>
      </c>
      <c r="E106" t="s">
        <v>1878</v>
      </c>
      <c r="F106" t="str">
        <f>"001800000188"</f>
        <v>001800000188</v>
      </c>
      <c r="G106" t="s">
        <v>2389</v>
      </c>
      <c r="H106" s="4">
        <v>581813.74300000002</v>
      </c>
    </row>
    <row r="107" spans="1:8" x14ac:dyDescent="0.3">
      <c r="A107" t="s">
        <v>6</v>
      </c>
      <c r="B107" t="s">
        <v>7</v>
      </c>
      <c r="C107" t="s">
        <v>381</v>
      </c>
      <c r="D107" t="s">
        <v>9</v>
      </c>
      <c r="E107" t="s">
        <v>1576</v>
      </c>
      <c r="F107" t="str">
        <f>"001600027855"</f>
        <v>001600027855</v>
      </c>
      <c r="G107" t="s">
        <v>3326</v>
      </c>
      <c r="H107" s="4">
        <v>580728.00199999998</v>
      </c>
    </row>
    <row r="108" spans="1:8" x14ac:dyDescent="0.3">
      <c r="A108" t="s">
        <v>6</v>
      </c>
      <c r="B108" t="s">
        <v>7</v>
      </c>
      <c r="C108" t="s">
        <v>1321</v>
      </c>
      <c r="D108" t="s">
        <v>9</v>
      </c>
      <c r="E108" t="s">
        <v>1331</v>
      </c>
      <c r="F108" t="str">
        <f>"004280010700"</f>
        <v>004280010700</v>
      </c>
      <c r="G108" t="s">
        <v>2893</v>
      </c>
      <c r="H108" s="4">
        <v>577142.68999999994</v>
      </c>
    </row>
    <row r="109" spans="1:8" x14ac:dyDescent="0.3">
      <c r="A109" t="s">
        <v>6</v>
      </c>
      <c r="B109" t="s">
        <v>7</v>
      </c>
      <c r="C109" t="s">
        <v>2231</v>
      </c>
      <c r="D109" t="s">
        <v>9</v>
      </c>
      <c r="E109" t="s">
        <v>2261</v>
      </c>
      <c r="F109" t="str">
        <f>"004119691415"</f>
        <v>004119691415</v>
      </c>
      <c r="G109" t="s">
        <v>4460</v>
      </c>
      <c r="H109" s="4">
        <v>575608.91500000004</v>
      </c>
    </row>
    <row r="110" spans="1:8" x14ac:dyDescent="0.3">
      <c r="A110" t="s">
        <v>6</v>
      </c>
      <c r="B110" t="s">
        <v>7</v>
      </c>
      <c r="C110" t="s">
        <v>1805</v>
      </c>
      <c r="D110" t="s">
        <v>9</v>
      </c>
      <c r="E110" t="s">
        <v>1937</v>
      </c>
      <c r="F110" t="str">
        <f>"001800000526"</f>
        <v>001800000526</v>
      </c>
      <c r="G110" t="s">
        <v>2389</v>
      </c>
      <c r="H110" s="4">
        <v>574429.19099999999</v>
      </c>
    </row>
    <row r="111" spans="1:8" x14ac:dyDescent="0.3">
      <c r="A111" t="s">
        <v>6</v>
      </c>
      <c r="B111" t="s">
        <v>7</v>
      </c>
      <c r="C111" t="s">
        <v>1270</v>
      </c>
      <c r="D111" t="s">
        <v>9</v>
      </c>
      <c r="E111" t="s">
        <v>1283</v>
      </c>
      <c r="F111" t="str">
        <f>"001800085138"</f>
        <v>001800085138</v>
      </c>
      <c r="G111" t="s">
        <v>2851</v>
      </c>
      <c r="H111" s="4">
        <v>574396.25800000003</v>
      </c>
    </row>
    <row r="112" spans="1:8" x14ac:dyDescent="0.3">
      <c r="A112" t="s">
        <v>6</v>
      </c>
      <c r="B112" t="s">
        <v>7</v>
      </c>
      <c r="C112" t="s">
        <v>1805</v>
      </c>
      <c r="D112" t="s">
        <v>9</v>
      </c>
      <c r="E112" t="s">
        <v>1834</v>
      </c>
      <c r="F112" t="str">
        <f>"001800042841"</f>
        <v>001800042841</v>
      </c>
      <c r="G112" t="s">
        <v>3764</v>
      </c>
      <c r="H112" s="4">
        <v>565702.50300000003</v>
      </c>
    </row>
    <row r="113" spans="1:8" x14ac:dyDescent="0.3">
      <c r="A113" t="s">
        <v>6</v>
      </c>
      <c r="B113" t="s">
        <v>7</v>
      </c>
      <c r="C113" t="s">
        <v>8</v>
      </c>
      <c r="D113" t="s">
        <v>9</v>
      </c>
      <c r="E113" t="s">
        <v>361</v>
      </c>
      <c r="F113" t="str">
        <f>"001600027565"</f>
        <v>001600027565</v>
      </c>
      <c r="G113" t="s">
        <v>4305</v>
      </c>
      <c r="H113" s="4">
        <v>557273.63300000003</v>
      </c>
    </row>
    <row r="114" spans="1:8" x14ac:dyDescent="0.3">
      <c r="A114" t="s">
        <v>6</v>
      </c>
      <c r="B114" t="s">
        <v>7</v>
      </c>
      <c r="C114" t="s">
        <v>381</v>
      </c>
      <c r="D114" t="s">
        <v>9</v>
      </c>
      <c r="E114" t="s">
        <v>607</v>
      </c>
      <c r="F114" t="str">
        <f>"001600027707"</f>
        <v>001600027707</v>
      </c>
      <c r="G114" t="s">
        <v>3334</v>
      </c>
      <c r="H114" s="4">
        <v>556740.13500000001</v>
      </c>
    </row>
    <row r="115" spans="1:8" x14ac:dyDescent="0.3">
      <c r="A115" t="s">
        <v>6</v>
      </c>
      <c r="B115" t="s">
        <v>7</v>
      </c>
      <c r="C115" t="s">
        <v>1805</v>
      </c>
      <c r="D115" t="s">
        <v>9</v>
      </c>
      <c r="E115" t="s">
        <v>1892</v>
      </c>
      <c r="F115" t="str">
        <f>"001800000207"</f>
        <v>001800000207</v>
      </c>
      <c r="G115" t="s">
        <v>2389</v>
      </c>
      <c r="H115" s="4">
        <v>556231.78899999999</v>
      </c>
    </row>
    <row r="116" spans="1:8" x14ac:dyDescent="0.3">
      <c r="A116" t="s">
        <v>6</v>
      </c>
      <c r="B116" t="s">
        <v>7</v>
      </c>
      <c r="C116" t="s">
        <v>1122</v>
      </c>
      <c r="D116" t="s">
        <v>9</v>
      </c>
      <c r="E116" t="s">
        <v>1225</v>
      </c>
      <c r="F116" t="str">
        <f>"001600014732"</f>
        <v>001600014732</v>
      </c>
      <c r="G116" t="s">
        <v>2800</v>
      </c>
      <c r="H116" s="4">
        <v>551547.05900000001</v>
      </c>
    </row>
    <row r="117" spans="1:8" x14ac:dyDescent="0.3">
      <c r="A117" t="s">
        <v>6</v>
      </c>
      <c r="B117" t="s">
        <v>7</v>
      </c>
      <c r="C117" t="s">
        <v>8</v>
      </c>
      <c r="D117" t="s">
        <v>9</v>
      </c>
      <c r="E117" t="s">
        <v>194</v>
      </c>
      <c r="F117" t="str">
        <f>"001600016939"</f>
        <v>001600016939</v>
      </c>
      <c r="G117" t="s">
        <v>4153</v>
      </c>
      <c r="H117" s="4">
        <v>547814.17200000002</v>
      </c>
    </row>
    <row r="118" spans="1:8" x14ac:dyDescent="0.3">
      <c r="A118" t="s">
        <v>6</v>
      </c>
      <c r="B118" t="s">
        <v>7</v>
      </c>
      <c r="C118" t="s">
        <v>1321</v>
      </c>
      <c r="D118" t="s">
        <v>9</v>
      </c>
      <c r="E118" t="s">
        <v>1336</v>
      </c>
      <c r="F118" t="str">
        <f>"004280048589"</f>
        <v>004280048589</v>
      </c>
      <c r="G118" t="s">
        <v>2898</v>
      </c>
      <c r="H118" s="4">
        <v>546603.45200000005</v>
      </c>
    </row>
    <row r="119" spans="1:8" x14ac:dyDescent="0.3">
      <c r="A119" t="s">
        <v>6</v>
      </c>
      <c r="B119" t="s">
        <v>7</v>
      </c>
      <c r="C119" t="s">
        <v>381</v>
      </c>
      <c r="D119" t="s">
        <v>9</v>
      </c>
      <c r="E119" t="s">
        <v>592</v>
      </c>
      <c r="F119" t="str">
        <f>"001600027706"</f>
        <v>001600027706</v>
      </c>
      <c r="G119" t="s">
        <v>3320</v>
      </c>
      <c r="H119" s="4">
        <v>545896.21600000001</v>
      </c>
    </row>
    <row r="120" spans="1:8" x14ac:dyDescent="0.3">
      <c r="A120" t="s">
        <v>6</v>
      </c>
      <c r="B120" t="s">
        <v>7</v>
      </c>
      <c r="C120" t="s">
        <v>1338</v>
      </c>
      <c r="D120" t="s">
        <v>9</v>
      </c>
      <c r="E120" t="s">
        <v>1383</v>
      </c>
      <c r="F120" t="str">
        <f>"004280010918"</f>
        <v>004280010918</v>
      </c>
      <c r="G120" t="s">
        <v>2939</v>
      </c>
      <c r="H120" s="4">
        <v>545677.22699999996</v>
      </c>
    </row>
    <row r="121" spans="1:8" x14ac:dyDescent="0.3">
      <c r="A121" t="s">
        <v>6</v>
      </c>
      <c r="B121" t="s">
        <v>7</v>
      </c>
      <c r="C121" t="s">
        <v>1805</v>
      </c>
      <c r="D121" t="s">
        <v>9</v>
      </c>
      <c r="E121" t="s">
        <v>1921</v>
      </c>
      <c r="F121" t="str">
        <f>"001800012436"</f>
        <v>001800012436</v>
      </c>
      <c r="G121" t="s">
        <v>3806</v>
      </c>
      <c r="H121" s="4">
        <v>542454.424</v>
      </c>
    </row>
    <row r="122" spans="1:8" x14ac:dyDescent="0.3">
      <c r="A122" t="s">
        <v>6</v>
      </c>
      <c r="B122" t="s">
        <v>7</v>
      </c>
      <c r="C122" t="s">
        <v>1805</v>
      </c>
      <c r="D122" t="s">
        <v>9</v>
      </c>
      <c r="E122" t="s">
        <v>1842</v>
      </c>
      <c r="F122" t="str">
        <f>"001800000507"</f>
        <v>001800000507</v>
      </c>
      <c r="G122" t="s">
        <v>2389</v>
      </c>
      <c r="H122" s="4">
        <v>540919.40099999995</v>
      </c>
    </row>
    <row r="123" spans="1:8" x14ac:dyDescent="0.3">
      <c r="A123" t="s">
        <v>6</v>
      </c>
      <c r="B123" t="s">
        <v>7</v>
      </c>
      <c r="C123" t="s">
        <v>797</v>
      </c>
      <c r="D123" t="s">
        <v>9</v>
      </c>
      <c r="E123" t="s">
        <v>831</v>
      </c>
      <c r="F123" t="str">
        <f>"001600030650"</f>
        <v>001600030650</v>
      </c>
      <c r="G123" t="s">
        <v>2427</v>
      </c>
      <c r="H123" s="4">
        <v>535806.77599999995</v>
      </c>
    </row>
    <row r="124" spans="1:8" x14ac:dyDescent="0.3">
      <c r="A124" t="s">
        <v>6</v>
      </c>
      <c r="B124" t="s">
        <v>7</v>
      </c>
      <c r="C124" t="s">
        <v>381</v>
      </c>
      <c r="D124" t="s">
        <v>9</v>
      </c>
      <c r="E124" t="s">
        <v>567</v>
      </c>
      <c r="F124" t="str">
        <f>"001600045723"</f>
        <v>001600045723</v>
      </c>
      <c r="G124" t="s">
        <v>3289</v>
      </c>
      <c r="H124" s="4">
        <v>535672.11100000003</v>
      </c>
    </row>
    <row r="125" spans="1:8" x14ac:dyDescent="0.3">
      <c r="A125" t="s">
        <v>6</v>
      </c>
      <c r="B125" t="s">
        <v>7</v>
      </c>
      <c r="C125" t="s">
        <v>2231</v>
      </c>
      <c r="D125" t="s">
        <v>9</v>
      </c>
      <c r="E125" t="s">
        <v>2351</v>
      </c>
      <c r="F125" t="str">
        <f>"004119601112"</f>
        <v>004119601112</v>
      </c>
      <c r="G125" t="s">
        <v>4543</v>
      </c>
      <c r="H125" s="4">
        <v>535299.46900000004</v>
      </c>
    </row>
    <row r="126" spans="1:8" x14ac:dyDescent="0.3">
      <c r="A126" t="s">
        <v>6</v>
      </c>
      <c r="B126" t="s">
        <v>7</v>
      </c>
      <c r="C126" t="s">
        <v>2231</v>
      </c>
      <c r="D126" t="s">
        <v>9</v>
      </c>
      <c r="E126" t="s">
        <v>2271</v>
      </c>
      <c r="F126" t="str">
        <f>"004119640482"</f>
        <v>004119640482</v>
      </c>
      <c r="G126" t="s">
        <v>4470</v>
      </c>
      <c r="H126" s="4">
        <v>532156.18999999994</v>
      </c>
    </row>
    <row r="127" spans="1:8" x14ac:dyDescent="0.3">
      <c r="A127" t="s">
        <v>6</v>
      </c>
      <c r="B127" t="s">
        <v>7</v>
      </c>
      <c r="C127" t="s">
        <v>797</v>
      </c>
      <c r="D127" t="s">
        <v>9</v>
      </c>
      <c r="E127" t="s">
        <v>961</v>
      </c>
      <c r="F127" t="str">
        <f>"001600020711"</f>
        <v>001600020711</v>
      </c>
      <c r="G127" t="s">
        <v>2556</v>
      </c>
      <c r="H127" s="4">
        <v>530542.87800000003</v>
      </c>
    </row>
    <row r="128" spans="1:8" x14ac:dyDescent="0.3">
      <c r="A128" t="s">
        <v>6</v>
      </c>
      <c r="B128" t="s">
        <v>7</v>
      </c>
      <c r="C128" t="s">
        <v>8</v>
      </c>
      <c r="D128" t="s">
        <v>9</v>
      </c>
      <c r="E128" t="s">
        <v>269</v>
      </c>
      <c r="F128" t="str">
        <f>"001600049667"</f>
        <v>001600049667</v>
      </c>
      <c r="G128" t="s">
        <v>4222</v>
      </c>
      <c r="H128" s="4">
        <v>529473.897</v>
      </c>
    </row>
    <row r="129" spans="1:8" x14ac:dyDescent="0.3">
      <c r="A129" t="s">
        <v>6</v>
      </c>
      <c r="B129" t="s">
        <v>7</v>
      </c>
      <c r="C129" t="s">
        <v>2231</v>
      </c>
      <c r="D129" t="s">
        <v>9</v>
      </c>
      <c r="E129" t="s">
        <v>2348</v>
      </c>
      <c r="F129" t="str">
        <f>"004119691505"</f>
        <v>004119691505</v>
      </c>
      <c r="G129" t="s">
        <v>4540</v>
      </c>
      <c r="H129" s="4">
        <v>517458.38900000002</v>
      </c>
    </row>
    <row r="130" spans="1:8" x14ac:dyDescent="0.3">
      <c r="A130" t="s">
        <v>6</v>
      </c>
      <c r="B130" t="s">
        <v>7</v>
      </c>
      <c r="C130" t="s">
        <v>1577</v>
      </c>
      <c r="D130" t="s">
        <v>9</v>
      </c>
      <c r="E130" t="s">
        <v>1608</v>
      </c>
      <c r="F130" t="str">
        <f>"004600086011"</f>
        <v>004600086011</v>
      </c>
      <c r="G130" t="s">
        <v>3372</v>
      </c>
      <c r="H130" s="4">
        <v>509693.76699999999</v>
      </c>
    </row>
    <row r="131" spans="1:8" x14ac:dyDescent="0.3">
      <c r="A131" t="s">
        <v>6</v>
      </c>
      <c r="B131" t="s">
        <v>7</v>
      </c>
      <c r="C131" t="s">
        <v>8</v>
      </c>
      <c r="D131" t="s">
        <v>9</v>
      </c>
      <c r="E131" t="s">
        <v>117</v>
      </c>
      <c r="F131" t="str">
        <f>"001600012541"</f>
        <v>001600012541</v>
      </c>
      <c r="G131" t="s">
        <v>4085</v>
      </c>
      <c r="H131" s="4">
        <v>507116.61900000001</v>
      </c>
    </row>
    <row r="132" spans="1:8" x14ac:dyDescent="0.3">
      <c r="A132" t="s">
        <v>6</v>
      </c>
      <c r="B132" t="s">
        <v>7</v>
      </c>
      <c r="C132" t="s">
        <v>2113</v>
      </c>
      <c r="D132" t="s">
        <v>9</v>
      </c>
      <c r="E132" t="s">
        <v>2184</v>
      </c>
      <c r="F132" t="str">
        <f>"001600019360"</f>
        <v>001600019360</v>
      </c>
      <c r="G132" t="s">
        <v>4390</v>
      </c>
      <c r="H132" s="4">
        <v>504965.05800000002</v>
      </c>
    </row>
    <row r="133" spans="1:8" x14ac:dyDescent="0.3">
      <c r="A133" t="s">
        <v>6</v>
      </c>
      <c r="B133" t="s">
        <v>7</v>
      </c>
      <c r="C133" t="s">
        <v>381</v>
      </c>
      <c r="D133" t="s">
        <v>9</v>
      </c>
      <c r="E133" t="s">
        <v>483</v>
      </c>
      <c r="F133" t="str">
        <f>"001600014943"</f>
        <v>001600014943</v>
      </c>
      <c r="G133" t="s">
        <v>3210</v>
      </c>
      <c r="H133" s="4">
        <v>503753.78899999999</v>
      </c>
    </row>
    <row r="134" spans="1:8" x14ac:dyDescent="0.3">
      <c r="A134" t="s">
        <v>6</v>
      </c>
      <c r="B134" t="s">
        <v>7</v>
      </c>
      <c r="C134" t="s">
        <v>2113</v>
      </c>
      <c r="D134" t="s">
        <v>9</v>
      </c>
      <c r="E134" t="s">
        <v>2158</v>
      </c>
      <c r="F134" t="str">
        <f>"001600015990"</f>
        <v>001600015990</v>
      </c>
      <c r="G134" t="s">
        <v>4366</v>
      </c>
      <c r="H134" s="5">
        <v>502917</v>
      </c>
    </row>
    <row r="135" spans="1:8" x14ac:dyDescent="0.3">
      <c r="A135" t="s">
        <v>6</v>
      </c>
      <c r="B135" t="s">
        <v>7</v>
      </c>
      <c r="C135" t="s">
        <v>1805</v>
      </c>
      <c r="D135" t="s">
        <v>9</v>
      </c>
      <c r="E135" t="s">
        <v>1874</v>
      </c>
      <c r="F135" t="str">
        <f>"001800000236"</f>
        <v>001800000236</v>
      </c>
      <c r="G135" t="s">
        <v>2389</v>
      </c>
      <c r="H135" s="4">
        <v>502857.13500000001</v>
      </c>
    </row>
    <row r="136" spans="1:8" x14ac:dyDescent="0.3">
      <c r="A136" t="s">
        <v>6</v>
      </c>
      <c r="B136" t="s">
        <v>7</v>
      </c>
      <c r="C136" t="s">
        <v>8</v>
      </c>
      <c r="D136" t="s">
        <v>9</v>
      </c>
      <c r="E136" t="s">
        <v>326</v>
      </c>
      <c r="F136" t="str">
        <f>"001600017102"</f>
        <v>001600017102</v>
      </c>
      <c r="G136" t="s">
        <v>4275</v>
      </c>
      <c r="H136" s="4">
        <v>495911.359</v>
      </c>
    </row>
    <row r="137" spans="1:8" x14ac:dyDescent="0.3">
      <c r="A137" t="s">
        <v>6</v>
      </c>
      <c r="B137" t="s">
        <v>7</v>
      </c>
      <c r="C137" t="s">
        <v>8</v>
      </c>
      <c r="D137" t="s">
        <v>9</v>
      </c>
      <c r="E137" t="s">
        <v>275</v>
      </c>
      <c r="F137" t="str">
        <f>"001600012183"</f>
        <v>001600012183</v>
      </c>
      <c r="G137" t="s">
        <v>4227</v>
      </c>
      <c r="H137" s="4">
        <v>482908.69799999997</v>
      </c>
    </row>
    <row r="138" spans="1:8" x14ac:dyDescent="0.3">
      <c r="A138" t="s">
        <v>6</v>
      </c>
      <c r="B138" t="s">
        <v>7</v>
      </c>
      <c r="C138" t="s">
        <v>1940</v>
      </c>
      <c r="D138" t="s">
        <v>9</v>
      </c>
      <c r="E138" t="s">
        <v>2063</v>
      </c>
      <c r="F138" t="str">
        <f>"007047000323"</f>
        <v>007047000323</v>
      </c>
      <c r="G138" t="s">
        <v>3950</v>
      </c>
      <c r="H138" s="4">
        <v>479960.451</v>
      </c>
    </row>
    <row r="139" spans="1:8" x14ac:dyDescent="0.3">
      <c r="A139" t="s">
        <v>6</v>
      </c>
      <c r="B139" t="s">
        <v>7</v>
      </c>
      <c r="C139" t="s">
        <v>1397</v>
      </c>
      <c r="D139" t="s">
        <v>9</v>
      </c>
      <c r="E139" t="s">
        <v>1526</v>
      </c>
      <c r="F139" t="str">
        <f>"004119689102"</f>
        <v>004119689102</v>
      </c>
      <c r="G139" t="s">
        <v>3070</v>
      </c>
      <c r="H139" s="4">
        <v>478609.33100000001</v>
      </c>
    </row>
    <row r="140" spans="1:8" x14ac:dyDescent="0.3">
      <c r="A140" t="s">
        <v>6</v>
      </c>
      <c r="B140" t="s">
        <v>7</v>
      </c>
      <c r="C140" t="s">
        <v>1805</v>
      </c>
      <c r="D140" t="s">
        <v>9</v>
      </c>
      <c r="E140" t="s">
        <v>1840</v>
      </c>
      <c r="F140" t="str">
        <f>"001800000318"</f>
        <v>001800000318</v>
      </c>
      <c r="G140" t="s">
        <v>2389</v>
      </c>
      <c r="H140" s="4">
        <v>475547.96</v>
      </c>
    </row>
    <row r="141" spans="1:8" x14ac:dyDescent="0.3">
      <c r="A141" t="s">
        <v>6</v>
      </c>
      <c r="B141" t="s">
        <v>7</v>
      </c>
      <c r="C141" t="s">
        <v>1577</v>
      </c>
      <c r="D141" t="s">
        <v>9</v>
      </c>
      <c r="E141" t="s">
        <v>1609</v>
      </c>
      <c r="F141" t="str">
        <f>"004600086035"</f>
        <v>004600086035</v>
      </c>
      <c r="G141" t="s">
        <v>3373</v>
      </c>
      <c r="H141" s="4">
        <v>466327.18099999998</v>
      </c>
    </row>
    <row r="142" spans="1:8" x14ac:dyDescent="0.3">
      <c r="A142" t="s">
        <v>6</v>
      </c>
      <c r="B142" t="s">
        <v>7</v>
      </c>
      <c r="C142" t="s">
        <v>1940</v>
      </c>
      <c r="D142" t="s">
        <v>9</v>
      </c>
      <c r="E142" t="s">
        <v>2107</v>
      </c>
      <c r="F142" t="str">
        <f>"007047014171"</f>
        <v>007047014171</v>
      </c>
      <c r="G142" t="s">
        <v>3996</v>
      </c>
      <c r="H142" s="4">
        <v>465169.6</v>
      </c>
    </row>
    <row r="143" spans="1:8" x14ac:dyDescent="0.3">
      <c r="A143" t="s">
        <v>6</v>
      </c>
      <c r="B143" t="s">
        <v>7</v>
      </c>
      <c r="C143" t="s">
        <v>1577</v>
      </c>
      <c r="D143" t="s">
        <v>9</v>
      </c>
      <c r="E143" t="s">
        <v>1642</v>
      </c>
      <c r="F143" t="str">
        <f>"004600027342"</f>
        <v>004600027342</v>
      </c>
      <c r="G143" t="s">
        <v>3411</v>
      </c>
      <c r="H143" s="4">
        <v>464690.28899999999</v>
      </c>
    </row>
    <row r="144" spans="1:8" x14ac:dyDescent="0.3">
      <c r="A144" t="s">
        <v>6</v>
      </c>
      <c r="B144" t="s">
        <v>7</v>
      </c>
      <c r="C144" t="s">
        <v>381</v>
      </c>
      <c r="D144" t="s">
        <v>9</v>
      </c>
      <c r="E144" t="s">
        <v>561</v>
      </c>
      <c r="F144" t="str">
        <f>"001600045891"</f>
        <v>001600045891</v>
      </c>
      <c r="G144" t="s">
        <v>3276</v>
      </c>
      <c r="H144" s="4">
        <v>464161.326</v>
      </c>
    </row>
    <row r="145" spans="1:8" x14ac:dyDescent="0.3">
      <c r="A145" t="s">
        <v>6</v>
      </c>
      <c r="B145" t="s">
        <v>7</v>
      </c>
      <c r="C145" t="s">
        <v>2113</v>
      </c>
      <c r="D145" t="s">
        <v>9</v>
      </c>
      <c r="E145" t="s">
        <v>2142</v>
      </c>
      <c r="F145" t="str">
        <f>"001600015950"</f>
        <v>001600015950</v>
      </c>
      <c r="G145" t="s">
        <v>4350</v>
      </c>
      <c r="H145" s="4">
        <v>461794.62300000002</v>
      </c>
    </row>
    <row r="146" spans="1:8" x14ac:dyDescent="0.3">
      <c r="A146" t="s">
        <v>6</v>
      </c>
      <c r="B146" t="s">
        <v>7</v>
      </c>
      <c r="C146" t="s">
        <v>381</v>
      </c>
      <c r="D146" t="s">
        <v>9</v>
      </c>
      <c r="E146" t="s">
        <v>570</v>
      </c>
      <c r="F146" t="str">
        <f>"001600049536"</f>
        <v>001600049536</v>
      </c>
      <c r="G146" t="s">
        <v>3296</v>
      </c>
      <c r="H146" s="4">
        <v>461134.43900000001</v>
      </c>
    </row>
    <row r="147" spans="1:8" x14ac:dyDescent="0.3">
      <c r="A147" t="s">
        <v>6</v>
      </c>
      <c r="B147" t="s">
        <v>7</v>
      </c>
      <c r="C147" t="s">
        <v>8</v>
      </c>
      <c r="D147" t="s">
        <v>9</v>
      </c>
      <c r="E147" t="s">
        <v>160</v>
      </c>
      <c r="F147" t="str">
        <f>"001600027532"</f>
        <v>001600027532</v>
      </c>
      <c r="G147" t="s">
        <v>4121</v>
      </c>
      <c r="H147" s="4">
        <v>459499.125</v>
      </c>
    </row>
    <row r="148" spans="1:8" x14ac:dyDescent="0.3">
      <c r="A148" t="s">
        <v>6</v>
      </c>
      <c r="B148" t="s">
        <v>7</v>
      </c>
      <c r="C148" t="s">
        <v>1805</v>
      </c>
      <c r="D148" t="s">
        <v>9</v>
      </c>
      <c r="E148" t="s">
        <v>1862</v>
      </c>
      <c r="F148" t="str">
        <f>"001800000109"</f>
        <v>001800000109</v>
      </c>
      <c r="G148" t="s">
        <v>2389</v>
      </c>
      <c r="H148" s="4">
        <v>459135.75900000002</v>
      </c>
    </row>
    <row r="149" spans="1:8" x14ac:dyDescent="0.3">
      <c r="A149" t="s">
        <v>6</v>
      </c>
      <c r="B149" t="s">
        <v>7</v>
      </c>
      <c r="C149" t="s">
        <v>2231</v>
      </c>
      <c r="D149" t="s">
        <v>9</v>
      </c>
      <c r="E149" t="s">
        <v>2346</v>
      </c>
      <c r="F149" t="str">
        <f>"004119691116"</f>
        <v>004119691116</v>
      </c>
      <c r="G149" t="s">
        <v>4538</v>
      </c>
      <c r="H149" s="4">
        <v>455284.13400000002</v>
      </c>
    </row>
    <row r="150" spans="1:8" x14ac:dyDescent="0.3">
      <c r="A150" t="s">
        <v>6</v>
      </c>
      <c r="B150" t="s">
        <v>7</v>
      </c>
      <c r="C150" t="s">
        <v>1577</v>
      </c>
      <c r="D150" t="s">
        <v>9</v>
      </c>
      <c r="E150" t="s">
        <v>1626</v>
      </c>
      <c r="F150" t="str">
        <f>"004600028877"</f>
        <v>004600028877</v>
      </c>
      <c r="G150" t="s">
        <v>3392</v>
      </c>
      <c r="H150" s="4">
        <v>451555.77</v>
      </c>
    </row>
    <row r="151" spans="1:8" x14ac:dyDescent="0.3">
      <c r="A151" t="s">
        <v>6</v>
      </c>
      <c r="B151" t="s">
        <v>7</v>
      </c>
      <c r="C151" t="s">
        <v>8</v>
      </c>
      <c r="D151" t="s">
        <v>9</v>
      </c>
      <c r="E151" t="s">
        <v>152</v>
      </c>
      <c r="F151" t="str">
        <f>"001600010371"</f>
        <v>001600010371</v>
      </c>
      <c r="G151" t="s">
        <v>4114</v>
      </c>
      <c r="H151" s="4">
        <v>451093.37300000002</v>
      </c>
    </row>
    <row r="152" spans="1:8" x14ac:dyDescent="0.3">
      <c r="A152" t="s">
        <v>6</v>
      </c>
      <c r="B152" t="s">
        <v>7</v>
      </c>
      <c r="C152" t="s">
        <v>381</v>
      </c>
      <c r="D152" t="s">
        <v>9</v>
      </c>
      <c r="E152" t="s">
        <v>594</v>
      </c>
      <c r="F152" t="str">
        <f>"001600010413"</f>
        <v>001600010413</v>
      </c>
      <c r="G152" t="s">
        <v>3322</v>
      </c>
      <c r="H152" s="4">
        <v>448382.31</v>
      </c>
    </row>
    <row r="153" spans="1:8" x14ac:dyDescent="0.3">
      <c r="A153" t="s">
        <v>6</v>
      </c>
      <c r="B153" t="s">
        <v>7</v>
      </c>
      <c r="C153" t="s">
        <v>985</v>
      </c>
      <c r="D153" t="s">
        <v>9</v>
      </c>
      <c r="E153" t="s">
        <v>1014</v>
      </c>
      <c r="F153" t="str">
        <f>"001356230084"</f>
        <v>001356230084</v>
      </c>
      <c r="G153" t="s">
        <v>2613</v>
      </c>
      <c r="H153" s="4">
        <v>448285.00900000002</v>
      </c>
    </row>
    <row r="154" spans="1:8" x14ac:dyDescent="0.3">
      <c r="A154" t="s">
        <v>6</v>
      </c>
      <c r="B154" t="s">
        <v>7</v>
      </c>
      <c r="C154" t="s">
        <v>1577</v>
      </c>
      <c r="D154" t="s">
        <v>9</v>
      </c>
      <c r="E154" t="s">
        <v>1621</v>
      </c>
      <c r="F154" t="str">
        <f>"004600028876"</f>
        <v>004600028876</v>
      </c>
      <c r="G154" t="s">
        <v>3385</v>
      </c>
      <c r="H154" s="4">
        <v>444976.81599999999</v>
      </c>
    </row>
    <row r="155" spans="1:8" x14ac:dyDescent="0.3">
      <c r="A155" t="s">
        <v>6</v>
      </c>
      <c r="B155" t="s">
        <v>7</v>
      </c>
      <c r="C155" t="s">
        <v>1577</v>
      </c>
      <c r="D155" t="s">
        <v>9</v>
      </c>
      <c r="E155" t="s">
        <v>1640</v>
      </c>
      <c r="F155" t="str">
        <f>"004600027341"</f>
        <v>004600027341</v>
      </c>
      <c r="G155" t="s">
        <v>3409</v>
      </c>
      <c r="H155" s="4">
        <v>442955.20799999998</v>
      </c>
    </row>
    <row r="156" spans="1:8" x14ac:dyDescent="0.3">
      <c r="A156" t="s">
        <v>6</v>
      </c>
      <c r="B156" t="s">
        <v>7</v>
      </c>
      <c r="C156" t="s">
        <v>1122</v>
      </c>
      <c r="D156" t="s">
        <v>9</v>
      </c>
      <c r="E156" t="s">
        <v>1215</v>
      </c>
      <c r="F156" t="str">
        <f>"001600016710"</f>
        <v>001600016710</v>
      </c>
      <c r="G156" t="s">
        <v>2794</v>
      </c>
      <c r="H156" s="4">
        <v>442624.80800000002</v>
      </c>
    </row>
    <row r="157" spans="1:8" x14ac:dyDescent="0.3">
      <c r="A157" t="s">
        <v>6</v>
      </c>
      <c r="B157" t="s">
        <v>7</v>
      </c>
      <c r="C157" t="s">
        <v>1805</v>
      </c>
      <c r="D157" t="s">
        <v>9</v>
      </c>
      <c r="E157" t="s">
        <v>1910</v>
      </c>
      <c r="F157" t="str">
        <f>"001800040739"</f>
        <v>001800040739</v>
      </c>
      <c r="G157" t="s">
        <v>3794</v>
      </c>
      <c r="H157" s="4">
        <v>439676.90899999999</v>
      </c>
    </row>
    <row r="158" spans="1:8" x14ac:dyDescent="0.3">
      <c r="A158" t="s">
        <v>6</v>
      </c>
      <c r="B158" t="s">
        <v>7</v>
      </c>
      <c r="C158" t="s">
        <v>1338</v>
      </c>
      <c r="D158" t="s">
        <v>9</v>
      </c>
      <c r="E158" t="s">
        <v>1376</v>
      </c>
      <c r="F158" t="str">
        <f>"004280010915"</f>
        <v>004280010915</v>
      </c>
      <c r="G158" t="s">
        <v>2932</v>
      </c>
      <c r="H158" s="4">
        <v>439463.81900000002</v>
      </c>
    </row>
    <row r="159" spans="1:8" x14ac:dyDescent="0.3">
      <c r="A159" t="s">
        <v>6</v>
      </c>
      <c r="B159" t="s">
        <v>7</v>
      </c>
      <c r="C159" t="s">
        <v>1577</v>
      </c>
      <c r="D159" t="s">
        <v>9</v>
      </c>
      <c r="E159" t="s">
        <v>1662</v>
      </c>
      <c r="F159" t="str">
        <f>"004600028732"</f>
        <v>004600028732</v>
      </c>
      <c r="G159" t="s">
        <v>3430</v>
      </c>
      <c r="H159" s="4">
        <v>438648.489</v>
      </c>
    </row>
    <row r="160" spans="1:8" x14ac:dyDescent="0.3">
      <c r="A160" t="s">
        <v>6</v>
      </c>
      <c r="B160" t="s">
        <v>7</v>
      </c>
      <c r="C160" t="s">
        <v>1397</v>
      </c>
      <c r="D160" t="s">
        <v>9</v>
      </c>
      <c r="E160" t="s">
        <v>1492</v>
      </c>
      <c r="F160" t="str">
        <f>"001800011685"</f>
        <v>001800011685</v>
      </c>
      <c r="G160" t="s">
        <v>3039</v>
      </c>
      <c r="H160" s="4">
        <v>437839.04</v>
      </c>
    </row>
    <row r="161" spans="1:8" x14ac:dyDescent="0.3">
      <c r="A161" t="s">
        <v>6</v>
      </c>
      <c r="B161" t="s">
        <v>7</v>
      </c>
      <c r="C161" t="s">
        <v>8</v>
      </c>
      <c r="D161" t="s">
        <v>9</v>
      </c>
      <c r="E161" t="s">
        <v>288</v>
      </c>
      <c r="F161" t="str">
        <f>"001600048769"</f>
        <v>001600048769</v>
      </c>
      <c r="G161" t="s">
        <v>4239</v>
      </c>
      <c r="H161" s="4">
        <v>437165.25400000002</v>
      </c>
    </row>
    <row r="162" spans="1:8" x14ac:dyDescent="0.3">
      <c r="A162" t="s">
        <v>6</v>
      </c>
      <c r="B162" t="s">
        <v>7</v>
      </c>
      <c r="C162" t="s">
        <v>8</v>
      </c>
      <c r="D162" t="s">
        <v>9</v>
      </c>
      <c r="E162" t="s">
        <v>193</v>
      </c>
      <c r="F162" t="str">
        <f>"001600015128"</f>
        <v>001600015128</v>
      </c>
      <c r="G162" t="s">
        <v>4152</v>
      </c>
      <c r="H162" s="4">
        <v>435402.12300000002</v>
      </c>
    </row>
    <row r="163" spans="1:8" x14ac:dyDescent="0.3">
      <c r="A163" t="s">
        <v>6</v>
      </c>
      <c r="B163" t="s">
        <v>7</v>
      </c>
      <c r="C163" t="s">
        <v>1122</v>
      </c>
      <c r="D163" t="s">
        <v>9</v>
      </c>
      <c r="E163" t="s">
        <v>1209</v>
      </c>
      <c r="F163" t="str">
        <f>"001600014879"</f>
        <v>001600014879</v>
      </c>
      <c r="G163" t="s">
        <v>2389</v>
      </c>
      <c r="H163" s="4">
        <v>435108.09</v>
      </c>
    </row>
    <row r="164" spans="1:8" x14ac:dyDescent="0.3">
      <c r="A164" t="s">
        <v>6</v>
      </c>
      <c r="B164" t="s">
        <v>7</v>
      </c>
      <c r="C164" t="s">
        <v>2113</v>
      </c>
      <c r="D164" t="s">
        <v>9</v>
      </c>
      <c r="E164" t="s">
        <v>2144</v>
      </c>
      <c r="F164" t="str">
        <f>"001600015840"</f>
        <v>001600015840</v>
      </c>
      <c r="G164" t="s">
        <v>4352</v>
      </c>
      <c r="H164" s="4">
        <v>434614.223</v>
      </c>
    </row>
    <row r="165" spans="1:8" x14ac:dyDescent="0.3">
      <c r="A165" t="s">
        <v>6</v>
      </c>
      <c r="B165" t="s">
        <v>7</v>
      </c>
      <c r="C165" t="s">
        <v>1940</v>
      </c>
      <c r="D165" t="s">
        <v>9</v>
      </c>
      <c r="E165" t="s">
        <v>2084</v>
      </c>
      <c r="F165" t="str">
        <f>"007047000313"</f>
        <v>007047000313</v>
      </c>
      <c r="G165" t="s">
        <v>3970</v>
      </c>
      <c r="H165" s="4">
        <v>431516.81699999998</v>
      </c>
    </row>
    <row r="166" spans="1:8" x14ac:dyDescent="0.3">
      <c r="A166" t="s">
        <v>6</v>
      </c>
      <c r="B166" t="s">
        <v>7</v>
      </c>
      <c r="C166" t="s">
        <v>1122</v>
      </c>
      <c r="D166" t="s">
        <v>9</v>
      </c>
      <c r="E166" t="s">
        <v>1207</v>
      </c>
      <c r="F166" t="str">
        <f>"001600027700"</f>
        <v>001600027700</v>
      </c>
      <c r="G166" t="s">
        <v>2789</v>
      </c>
      <c r="H166" s="4">
        <v>428782.61300000001</v>
      </c>
    </row>
    <row r="167" spans="1:8" x14ac:dyDescent="0.3">
      <c r="A167" t="s">
        <v>6</v>
      </c>
      <c r="B167" t="s">
        <v>7</v>
      </c>
      <c r="C167" t="s">
        <v>2231</v>
      </c>
      <c r="D167" t="s">
        <v>9</v>
      </c>
      <c r="E167" t="s">
        <v>2260</v>
      </c>
      <c r="F167" t="str">
        <f>"004119641076"</f>
        <v>004119641076</v>
      </c>
      <c r="G167" t="s">
        <v>4459</v>
      </c>
      <c r="H167" s="4">
        <v>427287.6</v>
      </c>
    </row>
    <row r="168" spans="1:8" x14ac:dyDescent="0.3">
      <c r="A168" t="s">
        <v>6</v>
      </c>
      <c r="B168" t="s">
        <v>7</v>
      </c>
      <c r="C168" t="s">
        <v>8</v>
      </c>
      <c r="D168" t="s">
        <v>9</v>
      </c>
      <c r="E168" t="s">
        <v>127</v>
      </c>
      <c r="F168" t="str">
        <f>"001600043509"</f>
        <v>001600043509</v>
      </c>
      <c r="G168" t="s">
        <v>4093</v>
      </c>
      <c r="H168" s="4">
        <v>424797.228</v>
      </c>
    </row>
    <row r="169" spans="1:8" x14ac:dyDescent="0.3">
      <c r="A169" t="s">
        <v>6</v>
      </c>
      <c r="B169" t="s">
        <v>7</v>
      </c>
      <c r="C169" t="s">
        <v>1577</v>
      </c>
      <c r="D169" t="s">
        <v>9</v>
      </c>
      <c r="E169" t="s">
        <v>1670</v>
      </c>
      <c r="F169" t="str">
        <f>"004600081151"</f>
        <v>004600081151</v>
      </c>
      <c r="G169" t="s">
        <v>3438</v>
      </c>
      <c r="H169" s="4">
        <v>424786.40700000001</v>
      </c>
    </row>
    <row r="170" spans="1:8" x14ac:dyDescent="0.3">
      <c r="A170" t="s">
        <v>6</v>
      </c>
      <c r="B170" t="s">
        <v>7</v>
      </c>
      <c r="C170" t="s">
        <v>1338</v>
      </c>
      <c r="D170" t="s">
        <v>9</v>
      </c>
      <c r="E170" t="s">
        <v>1394</v>
      </c>
      <c r="F170" t="str">
        <f>"004280011843"</f>
        <v>004280011843</v>
      </c>
      <c r="G170" t="s">
        <v>2949</v>
      </c>
      <c r="H170" s="4">
        <v>422760.61900000001</v>
      </c>
    </row>
    <row r="171" spans="1:8" x14ac:dyDescent="0.3">
      <c r="A171" t="s">
        <v>6</v>
      </c>
      <c r="B171" t="s">
        <v>7</v>
      </c>
      <c r="C171" t="s">
        <v>1122</v>
      </c>
      <c r="D171" t="s">
        <v>9</v>
      </c>
      <c r="E171" t="s">
        <v>1214</v>
      </c>
      <c r="F171" t="str">
        <f>"001600019430"</f>
        <v>001600019430</v>
      </c>
      <c r="G171" t="s">
        <v>2792</v>
      </c>
      <c r="H171" s="4">
        <v>419980.09700000001</v>
      </c>
    </row>
    <row r="172" spans="1:8" x14ac:dyDescent="0.3">
      <c r="A172" t="s">
        <v>6</v>
      </c>
      <c r="B172" t="s">
        <v>7</v>
      </c>
      <c r="C172" t="s">
        <v>381</v>
      </c>
      <c r="D172" t="s">
        <v>9</v>
      </c>
      <c r="E172" t="s">
        <v>516</v>
      </c>
      <c r="F172" t="str">
        <f>"001600043101"</f>
        <v>001600043101</v>
      </c>
      <c r="G172" t="s">
        <v>3240</v>
      </c>
      <c r="H172" s="4">
        <v>413604.33799999999</v>
      </c>
    </row>
    <row r="173" spans="1:8" x14ac:dyDescent="0.3">
      <c r="A173" t="s">
        <v>6</v>
      </c>
      <c r="B173" t="s">
        <v>7</v>
      </c>
      <c r="C173" t="s">
        <v>8</v>
      </c>
      <c r="D173" t="s">
        <v>9</v>
      </c>
      <c r="E173" t="s">
        <v>204</v>
      </c>
      <c r="F173" t="str">
        <f>"001600048796"</f>
        <v>001600048796</v>
      </c>
      <c r="G173" t="s">
        <v>4162</v>
      </c>
      <c r="H173" s="4">
        <v>411973.60499999998</v>
      </c>
    </row>
    <row r="174" spans="1:8" x14ac:dyDescent="0.3">
      <c r="A174" t="s">
        <v>6</v>
      </c>
      <c r="B174" t="s">
        <v>7</v>
      </c>
      <c r="C174" t="s">
        <v>797</v>
      </c>
      <c r="D174" t="s">
        <v>9</v>
      </c>
      <c r="E174" t="s">
        <v>907</v>
      </c>
      <c r="F174" t="str">
        <f>"001600020768"</f>
        <v>001600020768</v>
      </c>
      <c r="G174" t="s">
        <v>2498</v>
      </c>
      <c r="H174" s="4">
        <v>410633.848</v>
      </c>
    </row>
    <row r="175" spans="1:8" x14ac:dyDescent="0.3">
      <c r="A175" t="s">
        <v>6</v>
      </c>
      <c r="B175" t="s">
        <v>7</v>
      </c>
      <c r="C175" t="s">
        <v>1270</v>
      </c>
      <c r="D175" t="s">
        <v>9</v>
      </c>
      <c r="E175" t="s">
        <v>1281</v>
      </c>
      <c r="F175" t="str">
        <f>"001800085558"</f>
        <v>001800085558</v>
      </c>
      <c r="G175" t="s">
        <v>2849</v>
      </c>
      <c r="H175" s="4">
        <v>408625.69</v>
      </c>
    </row>
    <row r="176" spans="1:8" x14ac:dyDescent="0.3">
      <c r="A176" t="s">
        <v>6</v>
      </c>
      <c r="B176" t="s">
        <v>7</v>
      </c>
      <c r="C176" t="s">
        <v>2231</v>
      </c>
      <c r="D176" t="s">
        <v>9</v>
      </c>
      <c r="E176" t="s">
        <v>2342</v>
      </c>
      <c r="F176" t="str">
        <f>"004119601000"</f>
        <v>004119601000</v>
      </c>
      <c r="G176" t="s">
        <v>4534</v>
      </c>
      <c r="H176" s="4">
        <v>407531.31800000003</v>
      </c>
    </row>
    <row r="177" spans="1:8" x14ac:dyDescent="0.3">
      <c r="A177" t="s">
        <v>6</v>
      </c>
      <c r="B177" t="s">
        <v>7</v>
      </c>
      <c r="C177" t="s">
        <v>2231</v>
      </c>
      <c r="D177" t="s">
        <v>9</v>
      </c>
      <c r="E177" t="s">
        <v>2282</v>
      </c>
      <c r="F177" t="str">
        <f>"004119641942"</f>
        <v>004119641942</v>
      </c>
      <c r="G177" t="s">
        <v>4480</v>
      </c>
      <c r="H177" s="4">
        <v>406747.38</v>
      </c>
    </row>
    <row r="178" spans="1:8" x14ac:dyDescent="0.3">
      <c r="A178" t="s">
        <v>6</v>
      </c>
      <c r="B178" t="s">
        <v>7</v>
      </c>
      <c r="C178" t="s">
        <v>1805</v>
      </c>
      <c r="D178" t="s">
        <v>9</v>
      </c>
      <c r="E178" t="s">
        <v>1915</v>
      </c>
      <c r="F178" t="str">
        <f>"001800012438"</f>
        <v>001800012438</v>
      </c>
      <c r="G178" t="s">
        <v>3800</v>
      </c>
      <c r="H178" s="4">
        <v>403917.15600000002</v>
      </c>
    </row>
    <row r="179" spans="1:8" x14ac:dyDescent="0.3">
      <c r="A179" t="s">
        <v>6</v>
      </c>
      <c r="B179" t="s">
        <v>7</v>
      </c>
      <c r="C179" t="s">
        <v>1940</v>
      </c>
      <c r="D179" t="s">
        <v>9</v>
      </c>
      <c r="E179" t="s">
        <v>2061</v>
      </c>
      <c r="F179" t="str">
        <f>"007047000303"</f>
        <v>007047000303</v>
      </c>
      <c r="G179" t="s">
        <v>3948</v>
      </c>
      <c r="H179" s="4">
        <v>403682.29</v>
      </c>
    </row>
    <row r="180" spans="1:8" x14ac:dyDescent="0.3">
      <c r="A180" t="s">
        <v>6</v>
      </c>
      <c r="B180" t="s">
        <v>7</v>
      </c>
      <c r="C180" t="s">
        <v>8</v>
      </c>
      <c r="D180" t="s">
        <v>9</v>
      </c>
      <c r="E180" t="s">
        <v>207</v>
      </c>
      <c r="F180" t="str">
        <f>"001600017822"</f>
        <v>001600017822</v>
      </c>
      <c r="G180" t="s">
        <v>4166</v>
      </c>
      <c r="H180" s="4">
        <v>401952.23700000002</v>
      </c>
    </row>
    <row r="181" spans="1:8" x14ac:dyDescent="0.3">
      <c r="A181" t="s">
        <v>6</v>
      </c>
      <c r="B181" t="s">
        <v>7</v>
      </c>
      <c r="C181" t="s">
        <v>1805</v>
      </c>
      <c r="D181" t="s">
        <v>9</v>
      </c>
      <c r="E181" t="s">
        <v>1886</v>
      </c>
      <c r="F181" t="str">
        <f>"001800000123"</f>
        <v>001800000123</v>
      </c>
      <c r="G181" t="s">
        <v>3781</v>
      </c>
      <c r="H181" s="4">
        <v>398841.75400000002</v>
      </c>
    </row>
    <row r="182" spans="1:8" x14ac:dyDescent="0.3">
      <c r="A182" s="1" t="s">
        <v>6</v>
      </c>
      <c r="B182" t="s">
        <v>7</v>
      </c>
      <c r="C182" t="s">
        <v>381</v>
      </c>
      <c r="D182" t="s">
        <v>9</v>
      </c>
      <c r="E182" t="s">
        <v>596</v>
      </c>
      <c r="F182" t="str">
        <f>"001600016893"</f>
        <v>001600016893</v>
      </c>
      <c r="G182" t="s">
        <v>3324</v>
      </c>
      <c r="H182" s="4">
        <v>398663.92599999998</v>
      </c>
    </row>
    <row r="183" spans="1:8" x14ac:dyDescent="0.3">
      <c r="A183" t="s">
        <v>6</v>
      </c>
      <c r="B183" t="s">
        <v>7</v>
      </c>
      <c r="C183" t="s">
        <v>1338</v>
      </c>
      <c r="D183" t="s">
        <v>9</v>
      </c>
      <c r="E183" t="s">
        <v>1351</v>
      </c>
      <c r="F183" t="str">
        <f>"004280010921"</f>
        <v>004280010921</v>
      </c>
      <c r="G183" t="s">
        <v>2910</v>
      </c>
      <c r="H183" s="4">
        <v>396905.05300000001</v>
      </c>
    </row>
    <row r="184" spans="1:8" x14ac:dyDescent="0.3">
      <c r="A184" t="s">
        <v>6</v>
      </c>
      <c r="B184" t="s">
        <v>7</v>
      </c>
      <c r="C184" t="s">
        <v>2231</v>
      </c>
      <c r="D184" t="s">
        <v>9</v>
      </c>
      <c r="E184" t="s">
        <v>2305</v>
      </c>
      <c r="F184" t="str">
        <f>"004119680548"</f>
        <v>004119680548</v>
      </c>
      <c r="G184" t="s">
        <v>4499</v>
      </c>
      <c r="H184" s="4">
        <v>389100.01899999997</v>
      </c>
    </row>
    <row r="185" spans="1:8" x14ac:dyDescent="0.3">
      <c r="A185" t="s">
        <v>6</v>
      </c>
      <c r="B185" t="s">
        <v>7</v>
      </c>
      <c r="C185" t="s">
        <v>1805</v>
      </c>
      <c r="D185" t="s">
        <v>9</v>
      </c>
      <c r="E185" t="s">
        <v>1881</v>
      </c>
      <c r="F185" t="str">
        <f>"001800000187"</f>
        <v>001800000187</v>
      </c>
      <c r="G185" t="s">
        <v>2389</v>
      </c>
      <c r="H185" s="4">
        <v>389003.09399999998</v>
      </c>
    </row>
    <row r="186" spans="1:8" x14ac:dyDescent="0.3">
      <c r="A186" t="s">
        <v>6</v>
      </c>
      <c r="B186" t="s">
        <v>7</v>
      </c>
      <c r="C186" t="s">
        <v>1940</v>
      </c>
      <c r="D186" t="s">
        <v>9</v>
      </c>
      <c r="E186" t="s">
        <v>1982</v>
      </c>
      <c r="F186" t="str">
        <f>"007047018744"</f>
        <v>007047018744</v>
      </c>
      <c r="G186" t="s">
        <v>3879</v>
      </c>
      <c r="H186" s="4">
        <v>385505.59499999997</v>
      </c>
    </row>
    <row r="187" spans="1:8" x14ac:dyDescent="0.3">
      <c r="A187" t="s">
        <v>6</v>
      </c>
      <c r="B187" t="s">
        <v>7</v>
      </c>
      <c r="C187" t="s">
        <v>381</v>
      </c>
      <c r="D187" t="s">
        <v>9</v>
      </c>
      <c r="E187" t="s">
        <v>606</v>
      </c>
      <c r="F187" t="str">
        <f>"001600010212"</f>
        <v>001600010212</v>
      </c>
      <c r="G187" t="s">
        <v>3335</v>
      </c>
      <c r="H187" s="4">
        <v>383721.53</v>
      </c>
    </row>
    <row r="188" spans="1:8" x14ac:dyDescent="0.3">
      <c r="A188" t="s">
        <v>6</v>
      </c>
      <c r="B188" t="s">
        <v>7</v>
      </c>
      <c r="C188" t="s">
        <v>2231</v>
      </c>
      <c r="D188" t="s">
        <v>9</v>
      </c>
      <c r="E188" t="s">
        <v>2336</v>
      </c>
      <c r="F188" t="str">
        <f>"004119601032"</f>
        <v>004119601032</v>
      </c>
      <c r="G188" t="s">
        <v>4527</v>
      </c>
      <c r="H188" s="4">
        <v>383651.51500000001</v>
      </c>
    </row>
    <row r="189" spans="1:8" x14ac:dyDescent="0.3">
      <c r="A189" t="s">
        <v>6</v>
      </c>
      <c r="B189" t="s">
        <v>7</v>
      </c>
      <c r="C189" t="s">
        <v>8</v>
      </c>
      <c r="D189" t="s">
        <v>9</v>
      </c>
      <c r="E189" t="s">
        <v>305</v>
      </c>
      <c r="F189" t="str">
        <f>"001600015781"</f>
        <v>001600015781</v>
      </c>
      <c r="G189" t="s">
        <v>4255</v>
      </c>
      <c r="H189" s="4">
        <v>382073.71899999998</v>
      </c>
    </row>
    <row r="190" spans="1:8" x14ac:dyDescent="0.3">
      <c r="A190" t="s">
        <v>6</v>
      </c>
      <c r="B190" t="s">
        <v>7</v>
      </c>
      <c r="C190" t="s">
        <v>1122</v>
      </c>
      <c r="D190" t="s">
        <v>9</v>
      </c>
      <c r="E190" t="s">
        <v>1262</v>
      </c>
      <c r="F190" t="str">
        <f>"001600049432"</f>
        <v>001600049432</v>
      </c>
      <c r="G190" t="s">
        <v>2832</v>
      </c>
      <c r="H190" s="4">
        <v>380161.40299999999</v>
      </c>
    </row>
    <row r="191" spans="1:8" x14ac:dyDescent="0.3">
      <c r="A191" t="s">
        <v>6</v>
      </c>
      <c r="B191" t="s">
        <v>7</v>
      </c>
      <c r="C191" t="s">
        <v>8</v>
      </c>
      <c r="D191" t="s">
        <v>9</v>
      </c>
      <c r="E191" t="s">
        <v>103</v>
      </c>
      <c r="F191" t="str">
        <f>"001600016361"</f>
        <v>001600016361</v>
      </c>
      <c r="G191" t="s">
        <v>4072</v>
      </c>
      <c r="H191" s="4">
        <v>379531.60399999999</v>
      </c>
    </row>
    <row r="192" spans="1:8" x14ac:dyDescent="0.3">
      <c r="A192" t="s">
        <v>6</v>
      </c>
      <c r="B192" t="s">
        <v>7</v>
      </c>
      <c r="C192" t="s">
        <v>1805</v>
      </c>
      <c r="D192" t="s">
        <v>9</v>
      </c>
      <c r="E192" t="s">
        <v>1923</v>
      </c>
      <c r="F192" t="str">
        <f>"001800012439"</f>
        <v>001800012439</v>
      </c>
      <c r="G192" t="s">
        <v>3808</v>
      </c>
      <c r="H192" s="4">
        <v>378972.78600000002</v>
      </c>
    </row>
    <row r="193" spans="1:8" x14ac:dyDescent="0.3">
      <c r="A193" t="s">
        <v>6</v>
      </c>
      <c r="B193" t="s">
        <v>7</v>
      </c>
      <c r="C193" t="s">
        <v>381</v>
      </c>
      <c r="D193" t="s">
        <v>9</v>
      </c>
      <c r="E193" t="s">
        <v>489</v>
      </c>
      <c r="F193" t="str">
        <f>"001600019696"</f>
        <v>001600019696</v>
      </c>
      <c r="G193" t="s">
        <v>3216</v>
      </c>
      <c r="H193" s="4">
        <v>378851.58</v>
      </c>
    </row>
    <row r="194" spans="1:8" x14ac:dyDescent="0.3">
      <c r="A194" t="s">
        <v>6</v>
      </c>
      <c r="B194" t="s">
        <v>7</v>
      </c>
      <c r="C194" t="s">
        <v>1940</v>
      </c>
      <c r="D194" t="s">
        <v>9</v>
      </c>
      <c r="E194" t="s">
        <v>2025</v>
      </c>
      <c r="F194" t="str">
        <f>"007047049647"</f>
        <v>007047049647</v>
      </c>
      <c r="G194" t="s">
        <v>3916</v>
      </c>
      <c r="H194" s="4">
        <v>377921.55800000002</v>
      </c>
    </row>
    <row r="195" spans="1:8" x14ac:dyDescent="0.3">
      <c r="A195" s="1" t="s">
        <v>6</v>
      </c>
      <c r="B195" t="s">
        <v>7</v>
      </c>
      <c r="C195" t="s">
        <v>2231</v>
      </c>
      <c r="D195" t="s">
        <v>9</v>
      </c>
      <c r="E195" t="s">
        <v>2338</v>
      </c>
      <c r="F195" t="str">
        <f>"004119691036"</f>
        <v>004119691036</v>
      </c>
      <c r="G195" t="s">
        <v>4529</v>
      </c>
      <c r="H195" s="4">
        <v>376227.66499999998</v>
      </c>
    </row>
    <row r="196" spans="1:8" x14ac:dyDescent="0.3">
      <c r="A196" t="s">
        <v>6</v>
      </c>
      <c r="B196" t="s">
        <v>7</v>
      </c>
      <c r="C196" t="s">
        <v>797</v>
      </c>
      <c r="D196" t="s">
        <v>9</v>
      </c>
      <c r="E196" t="s">
        <v>882</v>
      </c>
      <c r="F196" t="str">
        <f>"001600013977"</f>
        <v>001600013977</v>
      </c>
      <c r="G196" t="s">
        <v>2475</v>
      </c>
      <c r="H196" s="4">
        <v>375246.10700000002</v>
      </c>
    </row>
    <row r="197" spans="1:8" x14ac:dyDescent="0.3">
      <c r="A197" t="s">
        <v>6</v>
      </c>
      <c r="B197" t="s">
        <v>7</v>
      </c>
      <c r="C197" t="s">
        <v>1805</v>
      </c>
      <c r="D197" t="s">
        <v>9</v>
      </c>
      <c r="E197" t="s">
        <v>1841</v>
      </c>
      <c r="F197" t="str">
        <f>"001800047699"</f>
        <v>001800047699</v>
      </c>
      <c r="G197" t="s">
        <v>3769</v>
      </c>
      <c r="H197" s="4">
        <v>373946.82</v>
      </c>
    </row>
    <row r="198" spans="1:8" x14ac:dyDescent="0.3">
      <c r="A198" t="s">
        <v>6</v>
      </c>
      <c r="B198" t="s">
        <v>7</v>
      </c>
      <c r="C198" t="s">
        <v>1577</v>
      </c>
      <c r="D198" t="s">
        <v>9</v>
      </c>
      <c r="E198" t="s">
        <v>1625</v>
      </c>
      <c r="F198" t="str">
        <f>"004600081566"</f>
        <v>004600081566</v>
      </c>
      <c r="G198" t="s">
        <v>3390</v>
      </c>
      <c r="H198" s="4">
        <v>373046.66800000001</v>
      </c>
    </row>
    <row r="199" spans="1:8" x14ac:dyDescent="0.3">
      <c r="A199" t="s">
        <v>6</v>
      </c>
      <c r="B199" t="s">
        <v>7</v>
      </c>
      <c r="C199" t="s">
        <v>1577</v>
      </c>
      <c r="D199" t="s">
        <v>9</v>
      </c>
      <c r="E199" t="s">
        <v>1610</v>
      </c>
      <c r="F199" t="str">
        <f>"004600072183"</f>
        <v>004600072183</v>
      </c>
      <c r="G199" t="s">
        <v>3374</v>
      </c>
      <c r="H199" s="4">
        <v>372960.13</v>
      </c>
    </row>
    <row r="200" spans="1:8" x14ac:dyDescent="0.3">
      <c r="A200" t="s">
        <v>6</v>
      </c>
      <c r="B200" t="s">
        <v>7</v>
      </c>
      <c r="C200" t="s">
        <v>1577</v>
      </c>
      <c r="D200" t="s">
        <v>9</v>
      </c>
      <c r="E200" t="s">
        <v>1645</v>
      </c>
      <c r="F200" t="str">
        <f>"004600028736"</f>
        <v>004600028736</v>
      </c>
      <c r="G200" t="s">
        <v>3414</v>
      </c>
      <c r="H200" s="4">
        <v>370619.40899999999</v>
      </c>
    </row>
    <row r="201" spans="1:8" x14ac:dyDescent="0.3">
      <c r="A201" t="s">
        <v>6</v>
      </c>
      <c r="B201" t="s">
        <v>7</v>
      </c>
      <c r="C201" t="s">
        <v>1940</v>
      </c>
      <c r="D201" t="s">
        <v>9</v>
      </c>
      <c r="E201" t="s">
        <v>2098</v>
      </c>
      <c r="F201" t="str">
        <f>"007047000439"</f>
        <v>007047000439</v>
      </c>
      <c r="G201" t="s">
        <v>3987</v>
      </c>
      <c r="H201" s="4">
        <v>370455.03</v>
      </c>
    </row>
    <row r="202" spans="1:8" x14ac:dyDescent="0.3">
      <c r="A202" t="s">
        <v>6</v>
      </c>
      <c r="B202" t="s">
        <v>7</v>
      </c>
      <c r="C202" t="s">
        <v>1338</v>
      </c>
      <c r="D202" t="s">
        <v>9</v>
      </c>
      <c r="E202" t="s">
        <v>1386</v>
      </c>
      <c r="F202" t="str">
        <f>"004280011834"</f>
        <v>004280011834</v>
      </c>
      <c r="G202" t="s">
        <v>2942</v>
      </c>
      <c r="H202" s="4">
        <v>368419.27600000001</v>
      </c>
    </row>
    <row r="203" spans="1:8" x14ac:dyDescent="0.3">
      <c r="A203" t="s">
        <v>6</v>
      </c>
      <c r="B203" t="s">
        <v>7</v>
      </c>
      <c r="C203" t="s">
        <v>2231</v>
      </c>
      <c r="D203" t="s">
        <v>9</v>
      </c>
      <c r="E203" t="s">
        <v>2361</v>
      </c>
      <c r="F203" t="str">
        <f>"004119601022"</f>
        <v>004119601022</v>
      </c>
      <c r="G203" t="s">
        <v>4552</v>
      </c>
      <c r="H203" s="4">
        <v>365042.72600000002</v>
      </c>
    </row>
    <row r="204" spans="1:8" x14ac:dyDescent="0.3">
      <c r="A204" s="1" t="s">
        <v>6</v>
      </c>
      <c r="B204" t="s">
        <v>7</v>
      </c>
      <c r="C204" t="s">
        <v>1270</v>
      </c>
      <c r="D204" t="s">
        <v>9</v>
      </c>
      <c r="E204" t="s">
        <v>1274</v>
      </c>
      <c r="F204" t="str">
        <f>"001800085516"</f>
        <v>001800085516</v>
      </c>
      <c r="G204" t="s">
        <v>2843</v>
      </c>
      <c r="H204" s="4">
        <v>364362.30499999999</v>
      </c>
    </row>
    <row r="205" spans="1:8" x14ac:dyDescent="0.3">
      <c r="A205" t="s">
        <v>6</v>
      </c>
      <c r="B205" t="s">
        <v>7</v>
      </c>
      <c r="C205" t="s">
        <v>8</v>
      </c>
      <c r="D205" t="s">
        <v>9</v>
      </c>
      <c r="E205" t="s">
        <v>259</v>
      </c>
      <c r="F205" t="str">
        <f>"001600017104"</f>
        <v>001600017104</v>
      </c>
      <c r="G205" t="s">
        <v>4212</v>
      </c>
      <c r="H205" s="4">
        <v>362708.80900000001</v>
      </c>
    </row>
    <row r="206" spans="1:8" x14ac:dyDescent="0.3">
      <c r="A206" t="s">
        <v>6</v>
      </c>
      <c r="B206" t="s">
        <v>7</v>
      </c>
      <c r="C206" t="s">
        <v>8</v>
      </c>
      <c r="D206" t="s">
        <v>9</v>
      </c>
      <c r="E206" t="s">
        <v>277</v>
      </c>
      <c r="F206" t="str">
        <f>"001600043819"</f>
        <v>001600043819</v>
      </c>
      <c r="G206" t="s">
        <v>4229</v>
      </c>
      <c r="H206" s="4">
        <v>361221.54100000003</v>
      </c>
    </row>
    <row r="207" spans="1:8" x14ac:dyDescent="0.3">
      <c r="A207" t="s">
        <v>6</v>
      </c>
      <c r="B207" t="s">
        <v>7</v>
      </c>
      <c r="C207" t="s">
        <v>1940</v>
      </c>
      <c r="D207" t="s">
        <v>9</v>
      </c>
      <c r="E207" t="s">
        <v>2075</v>
      </c>
      <c r="F207" t="str">
        <f>"007047000302"</f>
        <v>007047000302</v>
      </c>
      <c r="G207" t="s">
        <v>3961</v>
      </c>
      <c r="H207" s="4">
        <v>358061.83299999998</v>
      </c>
    </row>
    <row r="208" spans="1:8" x14ac:dyDescent="0.3">
      <c r="A208" t="s">
        <v>6</v>
      </c>
      <c r="B208" t="s">
        <v>7</v>
      </c>
      <c r="C208" t="s">
        <v>1940</v>
      </c>
      <c r="D208" t="s">
        <v>9</v>
      </c>
      <c r="E208" t="s">
        <v>2031</v>
      </c>
      <c r="F208" t="str">
        <f>"007047049646"</f>
        <v>007047049646</v>
      </c>
      <c r="G208" t="s">
        <v>3922</v>
      </c>
      <c r="H208" s="4">
        <v>357727.95</v>
      </c>
    </row>
    <row r="209" spans="1:8" x14ac:dyDescent="0.3">
      <c r="A209" t="s">
        <v>6</v>
      </c>
      <c r="B209" t="s">
        <v>7</v>
      </c>
      <c r="C209" t="s">
        <v>8</v>
      </c>
      <c r="D209" t="s">
        <v>9</v>
      </c>
      <c r="E209" t="s">
        <v>359</v>
      </c>
      <c r="F209" t="str">
        <f>"001600027549"</f>
        <v>001600027549</v>
      </c>
      <c r="G209" t="s">
        <v>4303</v>
      </c>
      <c r="H209" s="4">
        <v>356494.46799999999</v>
      </c>
    </row>
    <row r="210" spans="1:8" x14ac:dyDescent="0.3">
      <c r="A210" t="s">
        <v>6</v>
      </c>
      <c r="B210" t="s">
        <v>7</v>
      </c>
      <c r="C210" t="s">
        <v>985</v>
      </c>
      <c r="D210" t="s">
        <v>9</v>
      </c>
      <c r="E210" t="s">
        <v>996</v>
      </c>
      <c r="F210" t="str">
        <f>"001356200045"</f>
        <v>001356200045</v>
      </c>
      <c r="G210" t="s">
        <v>2591</v>
      </c>
      <c r="H210" s="4">
        <v>356282.43599999999</v>
      </c>
    </row>
    <row r="211" spans="1:8" x14ac:dyDescent="0.3">
      <c r="A211" t="s">
        <v>6</v>
      </c>
      <c r="B211" t="s">
        <v>7</v>
      </c>
      <c r="C211" t="s">
        <v>1805</v>
      </c>
      <c r="D211" t="s">
        <v>9</v>
      </c>
      <c r="E211" t="s">
        <v>1895</v>
      </c>
      <c r="F211" t="str">
        <f>"001800010681"</f>
        <v>001800010681</v>
      </c>
      <c r="G211" t="s">
        <v>3783</v>
      </c>
      <c r="H211" s="4">
        <v>350804.69</v>
      </c>
    </row>
    <row r="212" spans="1:8" x14ac:dyDescent="0.3">
      <c r="A212" t="s">
        <v>6</v>
      </c>
      <c r="B212" t="s">
        <v>7</v>
      </c>
      <c r="C212" t="s">
        <v>8</v>
      </c>
      <c r="D212" t="s">
        <v>9</v>
      </c>
      <c r="E212" t="s">
        <v>228</v>
      </c>
      <c r="F212" t="str">
        <f>"001600017109"</f>
        <v>001600017109</v>
      </c>
      <c r="G212" t="s">
        <v>4186</v>
      </c>
      <c r="H212" s="4">
        <v>348323.23700000002</v>
      </c>
    </row>
    <row r="213" spans="1:8" x14ac:dyDescent="0.3">
      <c r="A213" t="s">
        <v>6</v>
      </c>
      <c r="B213" t="s">
        <v>7</v>
      </c>
      <c r="C213" t="s">
        <v>1286</v>
      </c>
      <c r="D213" t="s">
        <v>9</v>
      </c>
      <c r="E213" t="s">
        <v>1310</v>
      </c>
      <c r="F213" t="str">
        <f>"001800042697"</f>
        <v>001800042697</v>
      </c>
      <c r="G213" t="s">
        <v>2874</v>
      </c>
      <c r="H213" s="4">
        <v>346606.23200000002</v>
      </c>
    </row>
    <row r="214" spans="1:8" x14ac:dyDescent="0.3">
      <c r="A214" t="s">
        <v>6</v>
      </c>
      <c r="B214" t="s">
        <v>7</v>
      </c>
      <c r="C214" t="s">
        <v>1577</v>
      </c>
      <c r="D214" t="s">
        <v>9</v>
      </c>
      <c r="E214" t="s">
        <v>1629</v>
      </c>
      <c r="F214" t="str">
        <f>"004600083251"</f>
        <v>004600083251</v>
      </c>
      <c r="G214" t="s">
        <v>3394</v>
      </c>
      <c r="H214" s="4">
        <v>344466.658</v>
      </c>
    </row>
    <row r="215" spans="1:8" x14ac:dyDescent="0.3">
      <c r="A215" t="s">
        <v>6</v>
      </c>
      <c r="B215" t="s">
        <v>7</v>
      </c>
      <c r="C215" t="s">
        <v>381</v>
      </c>
      <c r="D215" t="s">
        <v>9</v>
      </c>
      <c r="E215" t="s">
        <v>508</v>
      </c>
      <c r="F215" t="str">
        <f>"001600017384"</f>
        <v>001600017384</v>
      </c>
      <c r="G215" t="s">
        <v>3234</v>
      </c>
      <c r="H215" s="4">
        <v>344038.96399999998</v>
      </c>
    </row>
    <row r="216" spans="1:8" x14ac:dyDescent="0.3">
      <c r="A216" t="s">
        <v>6</v>
      </c>
      <c r="B216" t="s">
        <v>7</v>
      </c>
      <c r="C216" t="s">
        <v>8</v>
      </c>
      <c r="D216" t="s">
        <v>9</v>
      </c>
      <c r="E216" t="s">
        <v>315</v>
      </c>
      <c r="F216" t="str">
        <f>"001600012185"</f>
        <v>001600012185</v>
      </c>
      <c r="G216" t="s">
        <v>4265</v>
      </c>
      <c r="H216" s="4">
        <v>341796.98599999998</v>
      </c>
    </row>
    <row r="217" spans="1:8" x14ac:dyDescent="0.3">
      <c r="A217" t="s">
        <v>6</v>
      </c>
      <c r="B217" t="s">
        <v>7</v>
      </c>
      <c r="C217" t="s">
        <v>8</v>
      </c>
      <c r="D217" t="s">
        <v>9</v>
      </c>
      <c r="E217" t="s">
        <v>199</v>
      </c>
      <c r="F217" t="str">
        <f>"001600015163"</f>
        <v>001600015163</v>
      </c>
      <c r="G217" t="s">
        <v>4158</v>
      </c>
      <c r="H217" s="4">
        <v>340414.28600000002</v>
      </c>
    </row>
    <row r="218" spans="1:8" x14ac:dyDescent="0.3">
      <c r="A218" t="s">
        <v>6</v>
      </c>
      <c r="B218" t="s">
        <v>7</v>
      </c>
      <c r="C218" t="s">
        <v>1805</v>
      </c>
      <c r="D218" t="s">
        <v>9</v>
      </c>
      <c r="E218" t="s">
        <v>1939</v>
      </c>
      <c r="F218" t="str">
        <f>"001800000058"</f>
        <v>001800000058</v>
      </c>
      <c r="G218" t="s">
        <v>3820</v>
      </c>
      <c r="H218" s="4">
        <v>339550.43</v>
      </c>
    </row>
    <row r="219" spans="1:8" x14ac:dyDescent="0.3">
      <c r="A219" t="s">
        <v>6</v>
      </c>
      <c r="B219" t="s">
        <v>7</v>
      </c>
      <c r="C219" t="s">
        <v>2231</v>
      </c>
      <c r="D219" t="s">
        <v>9</v>
      </c>
      <c r="E219" t="s">
        <v>2368</v>
      </c>
      <c r="F219" t="str">
        <f>"004119691113"</f>
        <v>004119691113</v>
      </c>
      <c r="G219" t="s">
        <v>4559</v>
      </c>
      <c r="H219" s="4">
        <v>336447.14199999999</v>
      </c>
    </row>
    <row r="220" spans="1:8" x14ac:dyDescent="0.3">
      <c r="A220" t="s">
        <v>6</v>
      </c>
      <c r="B220" t="s">
        <v>7</v>
      </c>
      <c r="C220" t="s">
        <v>1805</v>
      </c>
      <c r="D220" t="s">
        <v>9</v>
      </c>
      <c r="E220" t="s">
        <v>1851</v>
      </c>
      <c r="F220" t="str">
        <f>"001800084273"</f>
        <v>001800084273</v>
      </c>
      <c r="G220" t="s">
        <v>3775</v>
      </c>
      <c r="H220" s="4">
        <v>334785.65000000002</v>
      </c>
    </row>
    <row r="221" spans="1:8" x14ac:dyDescent="0.3">
      <c r="A221" t="s">
        <v>6</v>
      </c>
      <c r="B221" t="s">
        <v>7</v>
      </c>
      <c r="C221" t="s">
        <v>1122</v>
      </c>
      <c r="D221" t="s">
        <v>9</v>
      </c>
      <c r="E221" t="s">
        <v>1257</v>
      </c>
      <c r="F221" t="str">
        <f>"001600044262"</f>
        <v>001600044262</v>
      </c>
      <c r="G221" t="s">
        <v>2829</v>
      </c>
      <c r="H221" s="4">
        <v>334620.80099999998</v>
      </c>
    </row>
    <row r="222" spans="1:8" x14ac:dyDescent="0.3">
      <c r="A222" t="s">
        <v>6</v>
      </c>
      <c r="B222" t="s">
        <v>7</v>
      </c>
      <c r="C222" t="s">
        <v>1805</v>
      </c>
      <c r="D222" t="s">
        <v>9</v>
      </c>
      <c r="E222" t="s">
        <v>1833</v>
      </c>
      <c r="F222" t="str">
        <f>"001800000731"</f>
        <v>001800000731</v>
      </c>
      <c r="G222" t="s">
        <v>2389</v>
      </c>
      <c r="H222" s="4">
        <v>334024.55800000002</v>
      </c>
    </row>
    <row r="223" spans="1:8" x14ac:dyDescent="0.3">
      <c r="A223" t="s">
        <v>6</v>
      </c>
      <c r="B223" t="s">
        <v>7</v>
      </c>
      <c r="C223" t="s">
        <v>1122</v>
      </c>
      <c r="D223" t="s">
        <v>9</v>
      </c>
      <c r="E223" t="s">
        <v>1258</v>
      </c>
      <c r="F223" t="str">
        <f>"001600017999"</f>
        <v>001600017999</v>
      </c>
      <c r="G223" t="s">
        <v>2830</v>
      </c>
      <c r="H223" s="4">
        <v>332615.54599999997</v>
      </c>
    </row>
    <row r="224" spans="1:8" x14ac:dyDescent="0.3">
      <c r="A224" t="s">
        <v>6</v>
      </c>
      <c r="B224" t="s">
        <v>7</v>
      </c>
      <c r="C224" t="s">
        <v>2231</v>
      </c>
      <c r="D224" t="s">
        <v>9</v>
      </c>
      <c r="E224" t="s">
        <v>2340</v>
      </c>
      <c r="F224" t="str">
        <f>"004119691183"</f>
        <v>004119691183</v>
      </c>
      <c r="G224" t="s">
        <v>4532</v>
      </c>
      <c r="H224" s="4">
        <v>332449.28600000002</v>
      </c>
    </row>
    <row r="225" spans="1:8" x14ac:dyDescent="0.3">
      <c r="A225" t="s">
        <v>6</v>
      </c>
      <c r="B225" t="s">
        <v>7</v>
      </c>
      <c r="C225" t="s">
        <v>797</v>
      </c>
      <c r="D225" t="s">
        <v>9</v>
      </c>
      <c r="E225" t="s">
        <v>808</v>
      </c>
      <c r="F225" t="str">
        <f>"001600045602"</f>
        <v>001600045602</v>
      </c>
      <c r="G225" t="s">
        <v>2405</v>
      </c>
      <c r="H225" s="4">
        <v>332063.076</v>
      </c>
    </row>
    <row r="226" spans="1:8" x14ac:dyDescent="0.3">
      <c r="A226" t="s">
        <v>6</v>
      </c>
      <c r="B226" t="s">
        <v>7</v>
      </c>
      <c r="C226" t="s">
        <v>2113</v>
      </c>
      <c r="D226" t="s">
        <v>9</v>
      </c>
      <c r="E226" t="s">
        <v>2140</v>
      </c>
      <c r="F226" t="str">
        <f>"001600015940"</f>
        <v>001600015940</v>
      </c>
      <c r="G226" t="s">
        <v>4348</v>
      </c>
      <c r="H226" s="4">
        <v>328474.09899999999</v>
      </c>
    </row>
    <row r="227" spans="1:8" x14ac:dyDescent="0.3">
      <c r="A227" t="s">
        <v>6</v>
      </c>
      <c r="B227" t="s">
        <v>7</v>
      </c>
      <c r="C227" t="s">
        <v>381</v>
      </c>
      <c r="D227" t="s">
        <v>9</v>
      </c>
      <c r="E227" t="s">
        <v>524</v>
      </c>
      <c r="F227" t="str">
        <f>"001600026470"</f>
        <v>001600026470</v>
      </c>
      <c r="G227" t="s">
        <v>3248</v>
      </c>
      <c r="H227" s="4">
        <v>328035.902</v>
      </c>
    </row>
    <row r="228" spans="1:8" x14ac:dyDescent="0.3">
      <c r="A228" t="s">
        <v>6</v>
      </c>
      <c r="B228" t="s">
        <v>7</v>
      </c>
      <c r="C228" t="s">
        <v>8</v>
      </c>
      <c r="D228" t="s">
        <v>9</v>
      </c>
      <c r="E228" t="s">
        <v>280</v>
      </c>
      <c r="F228" t="str">
        <f>"001600016391"</f>
        <v>001600016391</v>
      </c>
      <c r="G228" t="s">
        <v>4232</v>
      </c>
      <c r="H228" s="4">
        <v>327603.24</v>
      </c>
    </row>
    <row r="229" spans="1:8" x14ac:dyDescent="0.3">
      <c r="A229" t="s">
        <v>6</v>
      </c>
      <c r="B229" t="s">
        <v>7</v>
      </c>
      <c r="C229" t="s">
        <v>797</v>
      </c>
      <c r="D229" t="s">
        <v>9</v>
      </c>
      <c r="E229" t="s">
        <v>940</v>
      </c>
      <c r="F229" t="str">
        <f>"001600045960"</f>
        <v>001600045960</v>
      </c>
      <c r="G229" t="s">
        <v>2537</v>
      </c>
      <c r="H229" s="4">
        <v>327460.95299999998</v>
      </c>
    </row>
    <row r="230" spans="1:8" x14ac:dyDescent="0.3">
      <c r="A230" t="s">
        <v>6</v>
      </c>
      <c r="B230" t="s">
        <v>7</v>
      </c>
      <c r="C230" t="s">
        <v>8</v>
      </c>
      <c r="D230" t="s">
        <v>9</v>
      </c>
      <c r="E230" t="s">
        <v>344</v>
      </c>
      <c r="F230" t="str">
        <f>"001600027563"</f>
        <v>001600027563</v>
      </c>
      <c r="G230" t="s">
        <v>4290</v>
      </c>
      <c r="H230" s="4">
        <v>326804.57199999999</v>
      </c>
    </row>
    <row r="231" spans="1:8" x14ac:dyDescent="0.3">
      <c r="A231" t="s">
        <v>6</v>
      </c>
      <c r="B231" t="s">
        <v>7</v>
      </c>
      <c r="C231" t="s">
        <v>2113</v>
      </c>
      <c r="D231" t="s">
        <v>9</v>
      </c>
      <c r="E231" t="s">
        <v>2137</v>
      </c>
      <c r="F231" t="str">
        <f>"001600013680"</f>
        <v>001600013680</v>
      </c>
      <c r="G231" t="s">
        <v>4346</v>
      </c>
      <c r="H231" s="4">
        <v>325983.81199999998</v>
      </c>
    </row>
    <row r="232" spans="1:8" x14ac:dyDescent="0.3">
      <c r="A232" t="s">
        <v>6</v>
      </c>
      <c r="B232" t="s">
        <v>7</v>
      </c>
      <c r="C232" t="s">
        <v>1805</v>
      </c>
      <c r="D232" t="s">
        <v>9</v>
      </c>
      <c r="E232" t="s">
        <v>1931</v>
      </c>
      <c r="F232" t="str">
        <f>"001800000724"</f>
        <v>001800000724</v>
      </c>
      <c r="G232" t="s">
        <v>2389</v>
      </c>
      <c r="H232" s="4">
        <v>320068.13799999998</v>
      </c>
    </row>
    <row r="233" spans="1:8" x14ac:dyDescent="0.3">
      <c r="A233" t="s">
        <v>6</v>
      </c>
      <c r="B233" t="s">
        <v>7</v>
      </c>
      <c r="C233" t="s">
        <v>1095</v>
      </c>
      <c r="D233" t="s">
        <v>9</v>
      </c>
      <c r="E233" t="s">
        <v>1108</v>
      </c>
      <c r="F233" t="str">
        <f>"001600019610"</f>
        <v>001600019610</v>
      </c>
      <c r="G233" t="s">
        <v>2708</v>
      </c>
      <c r="H233" s="4">
        <v>319959.96500000003</v>
      </c>
    </row>
    <row r="234" spans="1:8" x14ac:dyDescent="0.3">
      <c r="A234" t="s">
        <v>6</v>
      </c>
      <c r="B234" t="s">
        <v>7</v>
      </c>
      <c r="C234" t="s">
        <v>1122</v>
      </c>
      <c r="D234" t="s">
        <v>9</v>
      </c>
      <c r="E234" t="s">
        <v>1266</v>
      </c>
      <c r="F234" t="str">
        <f>"001600014711"</f>
        <v>001600014711</v>
      </c>
      <c r="G234" t="s">
        <v>2836</v>
      </c>
      <c r="H234" s="4">
        <v>319219.25199999998</v>
      </c>
    </row>
    <row r="235" spans="1:8" x14ac:dyDescent="0.3">
      <c r="A235" t="s">
        <v>6</v>
      </c>
      <c r="B235" t="s">
        <v>7</v>
      </c>
      <c r="C235" t="s">
        <v>1122</v>
      </c>
      <c r="D235" t="s">
        <v>9</v>
      </c>
      <c r="E235" t="s">
        <v>1128</v>
      </c>
      <c r="F235" t="str">
        <f>"001356212772"</f>
        <v>001356212772</v>
      </c>
      <c r="G235" t="s">
        <v>2723</v>
      </c>
      <c r="H235" s="4">
        <v>318129.88099999999</v>
      </c>
    </row>
    <row r="236" spans="1:8" x14ac:dyDescent="0.3">
      <c r="A236" t="s">
        <v>6</v>
      </c>
      <c r="B236" t="s">
        <v>7</v>
      </c>
      <c r="C236" t="s">
        <v>381</v>
      </c>
      <c r="D236" t="s">
        <v>9</v>
      </c>
      <c r="E236" t="s">
        <v>577</v>
      </c>
      <c r="F236" t="str">
        <f>"001600044646"</f>
        <v>001600044646</v>
      </c>
      <c r="G236" t="s">
        <v>3305</v>
      </c>
      <c r="H236" s="4">
        <v>317569.315</v>
      </c>
    </row>
    <row r="237" spans="1:8" x14ac:dyDescent="0.3">
      <c r="A237" t="s">
        <v>6</v>
      </c>
      <c r="B237" t="s">
        <v>7</v>
      </c>
      <c r="C237" t="s">
        <v>8</v>
      </c>
      <c r="D237" t="s">
        <v>9</v>
      </c>
      <c r="E237" t="s">
        <v>304</v>
      </c>
      <c r="F237" t="str">
        <f>"001600017849"</f>
        <v>001600017849</v>
      </c>
      <c r="G237" t="s">
        <v>2389</v>
      </c>
      <c r="H237" s="4">
        <v>317400.28999999998</v>
      </c>
    </row>
    <row r="238" spans="1:8" x14ac:dyDescent="0.3">
      <c r="A238" t="s">
        <v>6</v>
      </c>
      <c r="B238" t="s">
        <v>7</v>
      </c>
      <c r="C238" t="s">
        <v>1095</v>
      </c>
      <c r="D238" t="s">
        <v>9</v>
      </c>
      <c r="E238" t="s">
        <v>1109</v>
      </c>
      <c r="F238" t="str">
        <f>"001600010410"</f>
        <v>001600010410</v>
      </c>
      <c r="G238" t="s">
        <v>2709</v>
      </c>
      <c r="H238" s="4">
        <v>316844.71399999998</v>
      </c>
    </row>
    <row r="239" spans="1:8" x14ac:dyDescent="0.3">
      <c r="A239" t="s">
        <v>6</v>
      </c>
      <c r="B239" t="s">
        <v>7</v>
      </c>
      <c r="C239" t="s">
        <v>1338</v>
      </c>
      <c r="D239" t="s">
        <v>9</v>
      </c>
      <c r="E239" t="s">
        <v>1349</v>
      </c>
      <c r="F239" t="str">
        <f>"004280011839"</f>
        <v>004280011839</v>
      </c>
      <c r="G239" t="s">
        <v>2909</v>
      </c>
      <c r="H239" s="4">
        <v>315966.739</v>
      </c>
    </row>
    <row r="240" spans="1:8" x14ac:dyDescent="0.3">
      <c r="A240" t="s">
        <v>6</v>
      </c>
      <c r="B240" t="s">
        <v>7</v>
      </c>
      <c r="C240" t="s">
        <v>770</v>
      </c>
      <c r="D240" t="s">
        <v>9</v>
      </c>
      <c r="E240" t="s">
        <v>787</v>
      </c>
      <c r="F240" t="str">
        <f>"001600019428"</f>
        <v>001600019428</v>
      </c>
      <c r="G240" t="s">
        <v>2387</v>
      </c>
      <c r="H240" s="4">
        <v>315907.35200000001</v>
      </c>
    </row>
    <row r="241" spans="1:8" x14ac:dyDescent="0.3">
      <c r="A241" t="s">
        <v>6</v>
      </c>
      <c r="B241" t="s">
        <v>7</v>
      </c>
      <c r="C241" t="s">
        <v>2231</v>
      </c>
      <c r="D241" t="s">
        <v>9</v>
      </c>
      <c r="E241" t="s">
        <v>2354</v>
      </c>
      <c r="F241" t="str">
        <f>"004119601051"</f>
        <v>004119601051</v>
      </c>
      <c r="G241" t="s">
        <v>4546</v>
      </c>
      <c r="H241" s="4">
        <v>312835.777</v>
      </c>
    </row>
    <row r="242" spans="1:8" x14ac:dyDescent="0.3">
      <c r="A242" t="s">
        <v>6</v>
      </c>
      <c r="B242" t="s">
        <v>7</v>
      </c>
      <c r="C242" t="s">
        <v>1940</v>
      </c>
      <c r="D242" t="s">
        <v>9</v>
      </c>
      <c r="E242" t="s">
        <v>2085</v>
      </c>
      <c r="F242" t="str">
        <f>"007047029062"</f>
        <v>007047029062</v>
      </c>
      <c r="G242" t="s">
        <v>3971</v>
      </c>
      <c r="H242" s="4">
        <v>311725.47499999998</v>
      </c>
    </row>
    <row r="243" spans="1:8" x14ac:dyDescent="0.3">
      <c r="A243" t="s">
        <v>6</v>
      </c>
      <c r="B243" t="s">
        <v>7</v>
      </c>
      <c r="C243" t="s">
        <v>1270</v>
      </c>
      <c r="D243" t="s">
        <v>9</v>
      </c>
      <c r="E243" t="s">
        <v>1282</v>
      </c>
      <c r="F243" t="str">
        <f>"001800085134"</f>
        <v>001800085134</v>
      </c>
      <c r="G243" t="s">
        <v>2850</v>
      </c>
      <c r="H243" s="4">
        <v>311635.62199999997</v>
      </c>
    </row>
    <row r="244" spans="1:8" x14ac:dyDescent="0.3">
      <c r="A244" t="s">
        <v>6</v>
      </c>
      <c r="B244" t="s">
        <v>7</v>
      </c>
      <c r="C244" t="s">
        <v>1940</v>
      </c>
      <c r="D244" t="s">
        <v>9</v>
      </c>
      <c r="E244" t="s">
        <v>2074</v>
      </c>
      <c r="F244" t="str">
        <f>"007047000310"</f>
        <v>007047000310</v>
      </c>
      <c r="G244" t="s">
        <v>3960</v>
      </c>
      <c r="H244" s="4">
        <v>310226.87400000001</v>
      </c>
    </row>
    <row r="245" spans="1:8" x14ac:dyDescent="0.3">
      <c r="A245" t="s">
        <v>6</v>
      </c>
      <c r="B245" t="s">
        <v>7</v>
      </c>
      <c r="C245" t="s">
        <v>797</v>
      </c>
      <c r="D245" t="s">
        <v>9</v>
      </c>
      <c r="E245" t="s">
        <v>898</v>
      </c>
      <c r="F245" t="str">
        <f>"001600013978"</f>
        <v>001600013978</v>
      </c>
      <c r="G245" t="s">
        <v>2489</v>
      </c>
      <c r="H245" s="4">
        <v>308781.08899999998</v>
      </c>
    </row>
    <row r="246" spans="1:8" x14ac:dyDescent="0.3">
      <c r="A246" t="s">
        <v>6</v>
      </c>
      <c r="B246" t="s">
        <v>7</v>
      </c>
      <c r="C246" t="s">
        <v>1805</v>
      </c>
      <c r="D246" t="s">
        <v>9</v>
      </c>
      <c r="E246" t="s">
        <v>1935</v>
      </c>
      <c r="F246" t="str">
        <f>"001800000013"</f>
        <v>001800000013</v>
      </c>
      <c r="G246" t="s">
        <v>2389</v>
      </c>
      <c r="H246" s="4">
        <v>308450.01400000002</v>
      </c>
    </row>
    <row r="247" spans="1:8" x14ac:dyDescent="0.3">
      <c r="A247" t="s">
        <v>6</v>
      </c>
      <c r="B247" t="s">
        <v>7</v>
      </c>
      <c r="C247" t="s">
        <v>381</v>
      </c>
      <c r="D247" t="s">
        <v>9</v>
      </c>
      <c r="E247" t="s">
        <v>562</v>
      </c>
      <c r="F247" t="str">
        <f>"001600049706"</f>
        <v>001600049706</v>
      </c>
      <c r="G247" t="s">
        <v>3284</v>
      </c>
      <c r="H247" s="4">
        <v>305802.19</v>
      </c>
    </row>
    <row r="248" spans="1:8" x14ac:dyDescent="0.3">
      <c r="A248" t="s">
        <v>6</v>
      </c>
      <c r="B248" t="s">
        <v>7</v>
      </c>
      <c r="C248" t="s">
        <v>8</v>
      </c>
      <c r="D248" t="s">
        <v>9</v>
      </c>
      <c r="E248" t="s">
        <v>124</v>
      </c>
      <c r="F248" t="str">
        <f>"001600016392"</f>
        <v>001600016392</v>
      </c>
      <c r="G248" t="s">
        <v>4091</v>
      </c>
      <c r="H248" s="4">
        <v>305568.46000000002</v>
      </c>
    </row>
    <row r="249" spans="1:8" x14ac:dyDescent="0.3">
      <c r="A249" t="s">
        <v>6</v>
      </c>
      <c r="B249" t="s">
        <v>7</v>
      </c>
      <c r="C249" t="s">
        <v>797</v>
      </c>
      <c r="D249" t="s">
        <v>9</v>
      </c>
      <c r="E249" t="s">
        <v>960</v>
      </c>
      <c r="F249" t="str">
        <f>"001600020774"</f>
        <v>001600020774</v>
      </c>
      <c r="G249" t="s">
        <v>2555</v>
      </c>
      <c r="H249" s="4">
        <v>304282.908</v>
      </c>
    </row>
    <row r="250" spans="1:8" x14ac:dyDescent="0.3">
      <c r="A250" t="s">
        <v>6</v>
      </c>
      <c r="B250" t="s">
        <v>7</v>
      </c>
      <c r="C250" t="s">
        <v>8</v>
      </c>
      <c r="D250" t="s">
        <v>9</v>
      </c>
      <c r="E250" t="s">
        <v>375</v>
      </c>
      <c r="F250" t="str">
        <f>"001600018587"</f>
        <v>001600018587</v>
      </c>
      <c r="G250" t="s">
        <v>4318</v>
      </c>
      <c r="H250" s="4">
        <v>303869.23100000003</v>
      </c>
    </row>
    <row r="251" spans="1:8" x14ac:dyDescent="0.3">
      <c r="A251" t="s">
        <v>6</v>
      </c>
      <c r="B251" t="s">
        <v>7</v>
      </c>
      <c r="C251" t="s">
        <v>2113</v>
      </c>
      <c r="D251" t="s">
        <v>9</v>
      </c>
      <c r="E251" t="s">
        <v>2188</v>
      </c>
      <c r="F251" t="str">
        <f>"001600019370"</f>
        <v>001600019370</v>
      </c>
      <c r="G251" t="s">
        <v>4393</v>
      </c>
      <c r="H251" s="4">
        <v>302874.51400000002</v>
      </c>
    </row>
    <row r="252" spans="1:8" x14ac:dyDescent="0.3">
      <c r="A252" t="s">
        <v>6</v>
      </c>
      <c r="B252" t="s">
        <v>7</v>
      </c>
      <c r="C252" t="s">
        <v>770</v>
      </c>
      <c r="D252" t="s">
        <v>9</v>
      </c>
      <c r="E252" t="s">
        <v>782</v>
      </c>
      <c r="F252" t="str">
        <f>"001600042080"</f>
        <v>001600042080</v>
      </c>
      <c r="G252" t="s">
        <v>2382</v>
      </c>
      <c r="H252" s="4">
        <v>302620.35600000003</v>
      </c>
    </row>
    <row r="253" spans="1:8" x14ac:dyDescent="0.3">
      <c r="A253" t="s">
        <v>6</v>
      </c>
      <c r="B253" t="s">
        <v>7</v>
      </c>
      <c r="C253" t="s">
        <v>1122</v>
      </c>
      <c r="D253" t="s">
        <v>9</v>
      </c>
      <c r="E253" t="s">
        <v>1244</v>
      </c>
      <c r="F253" t="str">
        <f>"001600017996"</f>
        <v>001600017996</v>
      </c>
      <c r="G253" t="s">
        <v>2816</v>
      </c>
      <c r="H253" s="4">
        <v>301260.81</v>
      </c>
    </row>
    <row r="254" spans="1:8" x14ac:dyDescent="0.3">
      <c r="A254" t="s">
        <v>6</v>
      </c>
      <c r="B254" t="s">
        <v>7</v>
      </c>
      <c r="C254" t="s">
        <v>1122</v>
      </c>
      <c r="D254" t="s">
        <v>9</v>
      </c>
      <c r="E254" t="s">
        <v>1243</v>
      </c>
      <c r="F254" t="str">
        <f>"001600012709"</f>
        <v>001600012709</v>
      </c>
      <c r="G254" t="s">
        <v>2815</v>
      </c>
      <c r="H254" s="4">
        <v>301019.62800000003</v>
      </c>
    </row>
    <row r="255" spans="1:8" x14ac:dyDescent="0.3">
      <c r="A255" t="s">
        <v>6</v>
      </c>
      <c r="B255" t="s">
        <v>7</v>
      </c>
      <c r="C255" t="s">
        <v>8</v>
      </c>
      <c r="D255" t="s">
        <v>9</v>
      </c>
      <c r="E255" t="s">
        <v>205</v>
      </c>
      <c r="F255" t="str">
        <f>"001600017108"</f>
        <v>001600017108</v>
      </c>
      <c r="G255" t="s">
        <v>4163</v>
      </c>
      <c r="H255" s="4">
        <v>298564.37199999997</v>
      </c>
    </row>
    <row r="256" spans="1:8" x14ac:dyDescent="0.3">
      <c r="A256" t="s">
        <v>6</v>
      </c>
      <c r="B256" t="s">
        <v>7</v>
      </c>
      <c r="C256" t="s">
        <v>381</v>
      </c>
      <c r="D256" t="s">
        <v>9</v>
      </c>
      <c r="E256" t="s">
        <v>482</v>
      </c>
      <c r="F256" t="str">
        <f>"001600015566"</f>
        <v>001600015566</v>
      </c>
      <c r="G256" t="s">
        <v>3209</v>
      </c>
      <c r="H256" s="4">
        <v>298142.05800000002</v>
      </c>
    </row>
    <row r="257" spans="1:8" x14ac:dyDescent="0.3">
      <c r="A257" t="s">
        <v>6</v>
      </c>
      <c r="B257" t="s">
        <v>7</v>
      </c>
      <c r="C257" t="s">
        <v>797</v>
      </c>
      <c r="D257" t="s">
        <v>9</v>
      </c>
      <c r="E257" t="s">
        <v>940</v>
      </c>
      <c r="F257" t="str">
        <f>"001600045900"</f>
        <v>001600045900</v>
      </c>
      <c r="G257" t="s">
        <v>2536</v>
      </c>
      <c r="H257" s="4">
        <v>297981.35800000001</v>
      </c>
    </row>
    <row r="258" spans="1:8" x14ac:dyDescent="0.3">
      <c r="A258" t="s">
        <v>6</v>
      </c>
      <c r="B258" t="s">
        <v>7</v>
      </c>
      <c r="C258" t="s">
        <v>1805</v>
      </c>
      <c r="D258" t="s">
        <v>9</v>
      </c>
      <c r="E258" t="s">
        <v>1905</v>
      </c>
      <c r="F258" t="str">
        <f>"001800000134"</f>
        <v>001800000134</v>
      </c>
      <c r="G258" t="s">
        <v>3789</v>
      </c>
      <c r="H258" s="4">
        <v>297217.74099999998</v>
      </c>
    </row>
    <row r="259" spans="1:8" x14ac:dyDescent="0.3">
      <c r="A259" t="s">
        <v>6</v>
      </c>
      <c r="B259" t="s">
        <v>7</v>
      </c>
      <c r="C259" t="s">
        <v>8</v>
      </c>
      <c r="D259" t="s">
        <v>9</v>
      </c>
      <c r="E259" t="s">
        <v>292</v>
      </c>
      <c r="F259" t="str">
        <f>"001600027515"</f>
        <v>001600027515</v>
      </c>
      <c r="G259" t="s">
        <v>4244</v>
      </c>
      <c r="H259" s="4">
        <v>295323.60700000002</v>
      </c>
    </row>
    <row r="260" spans="1:8" x14ac:dyDescent="0.3">
      <c r="A260" t="s">
        <v>6</v>
      </c>
      <c r="B260" t="s">
        <v>7</v>
      </c>
      <c r="C260" t="s">
        <v>8</v>
      </c>
      <c r="D260" t="s">
        <v>9</v>
      </c>
      <c r="E260" t="s">
        <v>201</v>
      </c>
      <c r="F260" t="str">
        <f>"001600016963"</f>
        <v>001600016963</v>
      </c>
      <c r="G260" t="s">
        <v>4160</v>
      </c>
      <c r="H260" s="4">
        <v>294420.174</v>
      </c>
    </row>
    <row r="261" spans="1:8" x14ac:dyDescent="0.3">
      <c r="A261" t="s">
        <v>6</v>
      </c>
      <c r="B261" t="s">
        <v>7</v>
      </c>
      <c r="C261" t="s">
        <v>1577</v>
      </c>
      <c r="D261" t="s">
        <v>9</v>
      </c>
      <c r="E261" t="s">
        <v>1667</v>
      </c>
      <c r="F261" t="str">
        <f>"004600045396"</f>
        <v>004600045396</v>
      </c>
      <c r="G261" t="s">
        <v>3435</v>
      </c>
      <c r="H261" s="4">
        <v>293273.53999999998</v>
      </c>
    </row>
    <row r="262" spans="1:8" x14ac:dyDescent="0.3">
      <c r="A262" t="s">
        <v>6</v>
      </c>
      <c r="B262" t="s">
        <v>7</v>
      </c>
      <c r="C262" t="s">
        <v>1338</v>
      </c>
      <c r="D262" t="s">
        <v>9</v>
      </c>
      <c r="E262" t="s">
        <v>1387</v>
      </c>
      <c r="F262" t="str">
        <f>"004280011844"</f>
        <v>004280011844</v>
      </c>
      <c r="G262" t="s">
        <v>2943</v>
      </c>
      <c r="H262" s="4">
        <v>290888.92200000002</v>
      </c>
    </row>
    <row r="263" spans="1:8" x14ac:dyDescent="0.3">
      <c r="A263" t="s">
        <v>6</v>
      </c>
      <c r="B263" t="s">
        <v>7</v>
      </c>
      <c r="C263" t="s">
        <v>1805</v>
      </c>
      <c r="D263" t="s">
        <v>9</v>
      </c>
      <c r="E263" t="s">
        <v>1883</v>
      </c>
      <c r="F263" t="str">
        <f>"001800000216"</f>
        <v>001800000216</v>
      </c>
      <c r="G263" t="s">
        <v>2389</v>
      </c>
      <c r="H263" s="4">
        <v>290643.30300000001</v>
      </c>
    </row>
    <row r="264" spans="1:8" x14ac:dyDescent="0.3">
      <c r="A264" t="s">
        <v>6</v>
      </c>
      <c r="B264" t="s">
        <v>7</v>
      </c>
      <c r="C264" t="s">
        <v>8</v>
      </c>
      <c r="D264" t="s">
        <v>9</v>
      </c>
      <c r="E264" t="s">
        <v>234</v>
      </c>
      <c r="F264" t="str">
        <f>"001600048792"</f>
        <v>001600048792</v>
      </c>
      <c r="G264" t="s">
        <v>4192</v>
      </c>
      <c r="H264" s="4">
        <v>290545.62400000001</v>
      </c>
    </row>
    <row r="265" spans="1:8" x14ac:dyDescent="0.3">
      <c r="A265" t="s">
        <v>6</v>
      </c>
      <c r="B265" t="s">
        <v>7</v>
      </c>
      <c r="C265" t="s">
        <v>1338</v>
      </c>
      <c r="D265" t="s">
        <v>9</v>
      </c>
      <c r="E265" t="s">
        <v>1393</v>
      </c>
      <c r="F265" t="str">
        <f>"004280011837"</f>
        <v>004280011837</v>
      </c>
      <c r="G265" t="s">
        <v>2948</v>
      </c>
      <c r="H265" s="4">
        <v>289658.788</v>
      </c>
    </row>
    <row r="266" spans="1:8" x14ac:dyDescent="0.3">
      <c r="A266" t="s">
        <v>6</v>
      </c>
      <c r="B266" t="s">
        <v>7</v>
      </c>
      <c r="C266" t="s">
        <v>1577</v>
      </c>
      <c r="D266" t="s">
        <v>9</v>
      </c>
      <c r="E266" t="s">
        <v>1639</v>
      </c>
      <c r="F266" t="str">
        <f>"004600043151"</f>
        <v>004600043151</v>
      </c>
      <c r="G266" t="s">
        <v>3408</v>
      </c>
      <c r="H266" s="4">
        <v>289164.91899999999</v>
      </c>
    </row>
    <row r="267" spans="1:8" x14ac:dyDescent="0.3">
      <c r="A267" t="s">
        <v>6</v>
      </c>
      <c r="B267" t="s">
        <v>7</v>
      </c>
      <c r="C267" t="s">
        <v>2113</v>
      </c>
      <c r="D267" t="s">
        <v>9</v>
      </c>
      <c r="E267" t="s">
        <v>2161</v>
      </c>
      <c r="F267" t="str">
        <f>"001600047673"</f>
        <v>001600047673</v>
      </c>
      <c r="G267" t="s">
        <v>4369</v>
      </c>
      <c r="H267" s="4">
        <v>288460.07400000002</v>
      </c>
    </row>
    <row r="268" spans="1:8" x14ac:dyDescent="0.3">
      <c r="A268" t="s">
        <v>6</v>
      </c>
      <c r="B268" t="s">
        <v>7</v>
      </c>
      <c r="C268" t="s">
        <v>381</v>
      </c>
      <c r="D268" t="s">
        <v>9</v>
      </c>
      <c r="E268" t="s">
        <v>428</v>
      </c>
      <c r="F268" t="str">
        <f>"001600042371"</f>
        <v>001600042371</v>
      </c>
      <c r="G268" t="s">
        <v>3154</v>
      </c>
      <c r="H268" s="4">
        <v>288245.19099999999</v>
      </c>
    </row>
    <row r="269" spans="1:8" x14ac:dyDescent="0.3">
      <c r="A269" t="s">
        <v>6</v>
      </c>
      <c r="B269" t="s">
        <v>7</v>
      </c>
      <c r="C269" t="s">
        <v>8</v>
      </c>
      <c r="D269" t="s">
        <v>9</v>
      </c>
      <c r="E269" t="s">
        <v>225</v>
      </c>
      <c r="F269" t="str">
        <f>"001600012025"</f>
        <v>001600012025</v>
      </c>
      <c r="G269" t="s">
        <v>4183</v>
      </c>
      <c r="H269" s="4">
        <v>288177.40299999999</v>
      </c>
    </row>
    <row r="270" spans="1:8" x14ac:dyDescent="0.3">
      <c r="A270" t="s">
        <v>6</v>
      </c>
      <c r="B270" t="s">
        <v>7</v>
      </c>
      <c r="C270" t="s">
        <v>1805</v>
      </c>
      <c r="D270" t="s">
        <v>9</v>
      </c>
      <c r="E270" t="s">
        <v>1849</v>
      </c>
      <c r="F270" t="str">
        <f>"001800000316"</f>
        <v>001800000316</v>
      </c>
      <c r="G270" t="s">
        <v>2389</v>
      </c>
      <c r="H270" s="4">
        <v>287423.42800000001</v>
      </c>
    </row>
    <row r="271" spans="1:8" x14ac:dyDescent="0.3">
      <c r="A271" t="s">
        <v>6</v>
      </c>
      <c r="B271" t="s">
        <v>7</v>
      </c>
      <c r="C271" t="s">
        <v>381</v>
      </c>
      <c r="D271" t="s">
        <v>9</v>
      </c>
      <c r="E271" t="s">
        <v>572</v>
      </c>
      <c r="F271" t="str">
        <f>"001600046684"</f>
        <v>001600046684</v>
      </c>
      <c r="G271" t="s">
        <v>3299</v>
      </c>
      <c r="H271" s="4">
        <v>287167.72200000001</v>
      </c>
    </row>
    <row r="272" spans="1:8" x14ac:dyDescent="0.3">
      <c r="A272" t="s">
        <v>6</v>
      </c>
      <c r="B272" t="s">
        <v>7</v>
      </c>
      <c r="C272" t="s">
        <v>1338</v>
      </c>
      <c r="D272" t="s">
        <v>9</v>
      </c>
      <c r="E272" t="s">
        <v>1381</v>
      </c>
      <c r="F272" t="str">
        <f>"004280012265"</f>
        <v>004280012265</v>
      </c>
      <c r="G272" t="s">
        <v>2937</v>
      </c>
      <c r="H272" s="4">
        <v>285063.44</v>
      </c>
    </row>
    <row r="273" spans="1:8" x14ac:dyDescent="0.3">
      <c r="A273" t="s">
        <v>6</v>
      </c>
      <c r="B273" t="s">
        <v>7</v>
      </c>
      <c r="C273" t="s">
        <v>1940</v>
      </c>
      <c r="D273" t="s">
        <v>9</v>
      </c>
      <c r="E273" t="s">
        <v>2110</v>
      </c>
      <c r="F273" t="str">
        <f>"007047044518"</f>
        <v>007047044518</v>
      </c>
      <c r="G273" t="s">
        <v>3999</v>
      </c>
      <c r="H273" s="4">
        <v>284326.37099999998</v>
      </c>
    </row>
    <row r="274" spans="1:8" x14ac:dyDescent="0.3">
      <c r="A274" t="s">
        <v>6</v>
      </c>
      <c r="B274" t="s">
        <v>7</v>
      </c>
      <c r="C274" t="s">
        <v>1805</v>
      </c>
      <c r="D274" t="s">
        <v>9</v>
      </c>
      <c r="E274" t="s">
        <v>1832</v>
      </c>
      <c r="F274" t="str">
        <f>"001800040097"</f>
        <v>001800040097</v>
      </c>
      <c r="G274" t="s">
        <v>2389</v>
      </c>
      <c r="H274" s="4">
        <v>284105.34999999998</v>
      </c>
    </row>
    <row r="275" spans="1:8" x14ac:dyDescent="0.3">
      <c r="A275" t="s">
        <v>6</v>
      </c>
      <c r="B275" t="s">
        <v>7</v>
      </c>
      <c r="C275" t="s">
        <v>8</v>
      </c>
      <c r="D275" t="s">
        <v>9</v>
      </c>
      <c r="E275" t="s">
        <v>143</v>
      </c>
      <c r="F275" t="str">
        <f>"001600016344"</f>
        <v>001600016344</v>
      </c>
      <c r="G275" t="s">
        <v>4106</v>
      </c>
      <c r="H275" s="4">
        <v>282980.21299999999</v>
      </c>
    </row>
    <row r="276" spans="1:8" x14ac:dyDescent="0.3">
      <c r="A276" t="s">
        <v>6</v>
      </c>
      <c r="B276" t="s">
        <v>7</v>
      </c>
      <c r="C276" t="s">
        <v>2113</v>
      </c>
      <c r="D276" t="s">
        <v>9</v>
      </c>
      <c r="E276" t="s">
        <v>2203</v>
      </c>
      <c r="F276" t="str">
        <f>"001600028370"</f>
        <v>001600028370</v>
      </c>
      <c r="G276" t="s">
        <v>4406</v>
      </c>
      <c r="H276" s="4">
        <v>281084.58799999999</v>
      </c>
    </row>
    <row r="277" spans="1:8" x14ac:dyDescent="0.3">
      <c r="A277" t="s">
        <v>6</v>
      </c>
      <c r="B277" t="s">
        <v>7</v>
      </c>
      <c r="C277" t="s">
        <v>2231</v>
      </c>
      <c r="D277" t="s">
        <v>9</v>
      </c>
      <c r="E277" t="s">
        <v>2331</v>
      </c>
      <c r="F277" t="str">
        <f>"004119691094"</f>
        <v>004119691094</v>
      </c>
      <c r="G277" t="s">
        <v>4522</v>
      </c>
      <c r="H277" s="4">
        <v>280841.71999999997</v>
      </c>
    </row>
    <row r="278" spans="1:8" x14ac:dyDescent="0.3">
      <c r="A278" t="s">
        <v>6</v>
      </c>
      <c r="B278" t="s">
        <v>7</v>
      </c>
      <c r="C278" t="s">
        <v>381</v>
      </c>
      <c r="D278" t="s">
        <v>9</v>
      </c>
      <c r="E278" t="s">
        <v>490</v>
      </c>
      <c r="F278" t="str">
        <f>"001600043980"</f>
        <v>001600043980</v>
      </c>
      <c r="G278" t="s">
        <v>3217</v>
      </c>
      <c r="H278" s="4">
        <v>280610.32900000003</v>
      </c>
    </row>
    <row r="279" spans="1:8" x14ac:dyDescent="0.3">
      <c r="A279" t="s">
        <v>6</v>
      </c>
      <c r="B279" t="s">
        <v>7</v>
      </c>
      <c r="C279" t="s">
        <v>8</v>
      </c>
      <c r="D279" t="s">
        <v>9</v>
      </c>
      <c r="E279" t="s">
        <v>298</v>
      </c>
      <c r="F279" t="str">
        <f>"001600043268"</f>
        <v>001600043268</v>
      </c>
      <c r="G279" t="s">
        <v>4250</v>
      </c>
      <c r="H279" s="4">
        <v>279613.78700000001</v>
      </c>
    </row>
    <row r="280" spans="1:8" x14ac:dyDescent="0.3">
      <c r="A280" t="s">
        <v>6</v>
      </c>
      <c r="B280" t="s">
        <v>7</v>
      </c>
      <c r="C280" t="s">
        <v>797</v>
      </c>
      <c r="D280" t="s">
        <v>9</v>
      </c>
      <c r="E280" t="s">
        <v>914</v>
      </c>
      <c r="F280" t="str">
        <f>"001600049628"</f>
        <v>001600049628</v>
      </c>
      <c r="G280" t="s">
        <v>2505</v>
      </c>
      <c r="H280" s="4">
        <v>278942.38</v>
      </c>
    </row>
    <row r="281" spans="1:8" x14ac:dyDescent="0.3">
      <c r="A281" s="1" t="s">
        <v>6</v>
      </c>
      <c r="B281" t="s">
        <v>7</v>
      </c>
      <c r="C281" t="s">
        <v>797</v>
      </c>
      <c r="D281" t="s">
        <v>9</v>
      </c>
      <c r="E281" t="s">
        <v>940</v>
      </c>
      <c r="F281" t="str">
        <f>"001600045830"</f>
        <v>001600045830</v>
      </c>
      <c r="G281" t="s">
        <v>2532</v>
      </c>
      <c r="H281" s="4">
        <v>278794.68400000001</v>
      </c>
    </row>
    <row r="282" spans="1:8" x14ac:dyDescent="0.3">
      <c r="A282" t="s">
        <v>6</v>
      </c>
      <c r="B282" t="s">
        <v>7</v>
      </c>
      <c r="C282" t="s">
        <v>1940</v>
      </c>
      <c r="D282" t="s">
        <v>9</v>
      </c>
      <c r="E282" t="s">
        <v>1953</v>
      </c>
      <c r="F282" t="str">
        <f>"007047016486"</f>
        <v>007047016486</v>
      </c>
      <c r="G282" t="s">
        <v>3837</v>
      </c>
      <c r="H282" s="4">
        <v>277990.98499999999</v>
      </c>
    </row>
    <row r="283" spans="1:8" x14ac:dyDescent="0.3">
      <c r="A283" t="s">
        <v>6</v>
      </c>
      <c r="B283" t="s">
        <v>7</v>
      </c>
      <c r="C283" t="s">
        <v>797</v>
      </c>
      <c r="D283" t="s">
        <v>9</v>
      </c>
      <c r="E283" t="s">
        <v>895</v>
      </c>
      <c r="F283" t="str">
        <f>"001600020775"</f>
        <v>001600020775</v>
      </c>
      <c r="G283" t="s">
        <v>2389</v>
      </c>
      <c r="H283" s="4">
        <v>276886.201</v>
      </c>
    </row>
    <row r="284" spans="1:8" x14ac:dyDescent="0.3">
      <c r="A284" t="s">
        <v>6</v>
      </c>
      <c r="B284" t="s">
        <v>7</v>
      </c>
      <c r="C284" t="s">
        <v>381</v>
      </c>
      <c r="D284" t="s">
        <v>9</v>
      </c>
      <c r="E284" t="s">
        <v>548</v>
      </c>
      <c r="F284" t="str">
        <f>"001600045898"</f>
        <v>001600045898</v>
      </c>
      <c r="G284" t="s">
        <v>3271</v>
      </c>
      <c r="H284" s="4">
        <v>276747.386</v>
      </c>
    </row>
    <row r="285" spans="1:8" x14ac:dyDescent="0.3">
      <c r="A285" t="s">
        <v>6</v>
      </c>
      <c r="B285" t="s">
        <v>7</v>
      </c>
      <c r="C285" t="s">
        <v>1940</v>
      </c>
      <c r="D285" t="s">
        <v>9</v>
      </c>
      <c r="E285" t="s">
        <v>2076</v>
      </c>
      <c r="F285" t="str">
        <f>"007047000319"</f>
        <v>007047000319</v>
      </c>
      <c r="G285" t="s">
        <v>3962</v>
      </c>
      <c r="H285" s="4">
        <v>273391.40700000001</v>
      </c>
    </row>
    <row r="286" spans="1:8" x14ac:dyDescent="0.3">
      <c r="A286" t="s">
        <v>6</v>
      </c>
      <c r="B286" t="s">
        <v>7</v>
      </c>
      <c r="C286" t="s">
        <v>8</v>
      </c>
      <c r="D286" t="s">
        <v>9</v>
      </c>
      <c r="E286" t="s">
        <v>74</v>
      </c>
      <c r="F286" t="str">
        <f>"001600016346"</f>
        <v>001600016346</v>
      </c>
      <c r="G286" t="s">
        <v>4050</v>
      </c>
      <c r="H286" s="4">
        <v>272829.05</v>
      </c>
    </row>
    <row r="287" spans="1:8" x14ac:dyDescent="0.3">
      <c r="A287" t="s">
        <v>6</v>
      </c>
      <c r="B287" t="s">
        <v>7</v>
      </c>
      <c r="C287" t="s">
        <v>797</v>
      </c>
      <c r="D287" t="s">
        <v>9</v>
      </c>
      <c r="E287" t="s">
        <v>858</v>
      </c>
      <c r="F287" t="str">
        <f>"001600030570"</f>
        <v>001600030570</v>
      </c>
      <c r="G287" t="s">
        <v>2453</v>
      </c>
      <c r="H287" s="4">
        <v>272476.36599999998</v>
      </c>
    </row>
    <row r="288" spans="1:8" x14ac:dyDescent="0.3">
      <c r="A288" t="s">
        <v>6</v>
      </c>
      <c r="B288" t="s">
        <v>7</v>
      </c>
      <c r="C288" t="s">
        <v>797</v>
      </c>
      <c r="D288" t="s">
        <v>9</v>
      </c>
      <c r="E288" t="s">
        <v>885</v>
      </c>
      <c r="F288" t="str">
        <f>"001600081341"</f>
        <v>001600081341</v>
      </c>
      <c r="G288" t="s">
        <v>2478</v>
      </c>
      <c r="H288" s="4">
        <v>271793.12</v>
      </c>
    </row>
    <row r="289" spans="1:8" x14ac:dyDescent="0.3">
      <c r="A289" t="s">
        <v>6</v>
      </c>
      <c r="B289" t="s">
        <v>7</v>
      </c>
      <c r="C289" t="s">
        <v>2231</v>
      </c>
      <c r="D289" t="s">
        <v>9</v>
      </c>
      <c r="E289" t="s">
        <v>2306</v>
      </c>
      <c r="F289" t="str">
        <f>"004119674074"</f>
        <v>004119674074</v>
      </c>
      <c r="G289" t="s">
        <v>4500</v>
      </c>
      <c r="H289" s="4">
        <v>268012.86099999998</v>
      </c>
    </row>
    <row r="290" spans="1:8" x14ac:dyDescent="0.3">
      <c r="A290" t="s">
        <v>6</v>
      </c>
      <c r="B290" t="s">
        <v>7</v>
      </c>
      <c r="C290" t="s">
        <v>2231</v>
      </c>
      <c r="D290" t="s">
        <v>9</v>
      </c>
      <c r="E290" t="s">
        <v>2333</v>
      </c>
      <c r="F290" t="str">
        <f>"004119610185"</f>
        <v>004119610185</v>
      </c>
      <c r="G290" t="s">
        <v>4524</v>
      </c>
      <c r="H290" s="4">
        <v>267811.52799999999</v>
      </c>
    </row>
    <row r="291" spans="1:8" x14ac:dyDescent="0.3">
      <c r="A291" t="s">
        <v>6</v>
      </c>
      <c r="B291" t="s">
        <v>7</v>
      </c>
      <c r="C291" t="s">
        <v>1805</v>
      </c>
      <c r="D291" t="s">
        <v>9</v>
      </c>
      <c r="E291" t="s">
        <v>1891</v>
      </c>
      <c r="F291" t="str">
        <f>"001800000014"</f>
        <v>001800000014</v>
      </c>
      <c r="G291" t="s">
        <v>2389</v>
      </c>
      <c r="H291" s="4">
        <v>267058.15600000002</v>
      </c>
    </row>
    <row r="292" spans="1:8" x14ac:dyDescent="0.3">
      <c r="A292" t="s">
        <v>6</v>
      </c>
      <c r="B292" t="s">
        <v>7</v>
      </c>
      <c r="C292" t="s">
        <v>2231</v>
      </c>
      <c r="D292" t="s">
        <v>9</v>
      </c>
      <c r="E292" t="s">
        <v>2357</v>
      </c>
      <c r="F292" t="str">
        <f>"004119691507"</f>
        <v>004119691507</v>
      </c>
      <c r="G292" t="s">
        <v>4549</v>
      </c>
      <c r="H292" s="4">
        <v>266930.03100000002</v>
      </c>
    </row>
    <row r="293" spans="1:8" x14ac:dyDescent="0.3">
      <c r="A293" t="s">
        <v>6</v>
      </c>
      <c r="B293" t="s">
        <v>7</v>
      </c>
      <c r="C293" t="s">
        <v>1940</v>
      </c>
      <c r="D293" t="s">
        <v>9</v>
      </c>
      <c r="E293" t="s">
        <v>1983</v>
      </c>
      <c r="F293" t="str">
        <f>"007047013791"</f>
        <v>007047013791</v>
      </c>
      <c r="G293" t="s">
        <v>3880</v>
      </c>
      <c r="H293" s="4">
        <v>266651.93</v>
      </c>
    </row>
    <row r="294" spans="1:8" x14ac:dyDescent="0.3">
      <c r="A294" t="s">
        <v>6</v>
      </c>
      <c r="B294" t="s">
        <v>7</v>
      </c>
      <c r="C294" t="s">
        <v>797</v>
      </c>
      <c r="D294" t="s">
        <v>9</v>
      </c>
      <c r="E294" t="s">
        <v>897</v>
      </c>
      <c r="F294" t="str">
        <f>"001600020776"</f>
        <v>001600020776</v>
      </c>
      <c r="G294" t="s">
        <v>2488</v>
      </c>
      <c r="H294" s="4">
        <v>266540.22399999999</v>
      </c>
    </row>
    <row r="295" spans="1:8" x14ac:dyDescent="0.3">
      <c r="A295" t="s">
        <v>6</v>
      </c>
      <c r="B295" t="s">
        <v>7</v>
      </c>
      <c r="C295" t="s">
        <v>381</v>
      </c>
      <c r="D295" t="s">
        <v>9</v>
      </c>
      <c r="E295" t="s">
        <v>570</v>
      </c>
      <c r="F295" t="str">
        <f>"001600049175"</f>
        <v>001600049175</v>
      </c>
      <c r="G295" t="s">
        <v>3295</v>
      </c>
      <c r="H295" s="4">
        <v>266462.79599999997</v>
      </c>
    </row>
    <row r="296" spans="1:8" x14ac:dyDescent="0.3">
      <c r="A296" t="s">
        <v>6</v>
      </c>
      <c r="B296" t="s">
        <v>7</v>
      </c>
      <c r="C296" t="s">
        <v>1270</v>
      </c>
      <c r="D296" t="s">
        <v>9</v>
      </c>
      <c r="E296" t="s">
        <v>1279</v>
      </c>
      <c r="F296" t="str">
        <f>"001800047609"</f>
        <v>001800047609</v>
      </c>
      <c r="G296" t="s">
        <v>2847</v>
      </c>
      <c r="H296" s="4">
        <v>265435.23800000001</v>
      </c>
    </row>
    <row r="297" spans="1:8" x14ac:dyDescent="0.3">
      <c r="A297" t="s">
        <v>6</v>
      </c>
      <c r="B297" t="s">
        <v>7</v>
      </c>
      <c r="C297" t="s">
        <v>2231</v>
      </c>
      <c r="D297" t="s">
        <v>9</v>
      </c>
      <c r="E297" t="s">
        <v>2353</v>
      </c>
      <c r="F297" t="str">
        <f>"004119601095"</f>
        <v>004119601095</v>
      </c>
      <c r="G297" t="s">
        <v>4545</v>
      </c>
      <c r="H297" s="4">
        <v>265219.33299999998</v>
      </c>
    </row>
    <row r="298" spans="1:8" x14ac:dyDescent="0.3">
      <c r="A298" t="s">
        <v>6</v>
      </c>
      <c r="B298" t="s">
        <v>7</v>
      </c>
      <c r="C298" t="s">
        <v>8</v>
      </c>
      <c r="D298" t="s">
        <v>9</v>
      </c>
      <c r="E298" t="s">
        <v>350</v>
      </c>
      <c r="F298" t="str">
        <f>"001600016961"</f>
        <v>001600016961</v>
      </c>
      <c r="G298" t="s">
        <v>4295</v>
      </c>
      <c r="H298" s="4">
        <v>265137.11800000002</v>
      </c>
    </row>
    <row r="299" spans="1:8" x14ac:dyDescent="0.3">
      <c r="A299" t="s">
        <v>6</v>
      </c>
      <c r="B299" t="s">
        <v>7</v>
      </c>
      <c r="C299" t="s">
        <v>1577</v>
      </c>
      <c r="D299" t="s">
        <v>9</v>
      </c>
      <c r="E299" t="s">
        <v>1658</v>
      </c>
      <c r="F299" t="str">
        <f>"004600028735"</f>
        <v>004600028735</v>
      </c>
      <c r="G299" t="s">
        <v>3427</v>
      </c>
      <c r="H299" s="4">
        <v>263511.51199999999</v>
      </c>
    </row>
    <row r="300" spans="1:8" x14ac:dyDescent="0.3">
      <c r="A300" t="s">
        <v>6</v>
      </c>
      <c r="B300" t="s">
        <v>7</v>
      </c>
      <c r="C300" t="s">
        <v>1805</v>
      </c>
      <c r="D300" t="s">
        <v>9</v>
      </c>
      <c r="E300" t="s">
        <v>1808</v>
      </c>
      <c r="F300" t="str">
        <f>"001356247292"</f>
        <v>001356247292</v>
      </c>
      <c r="G300" t="s">
        <v>3740</v>
      </c>
      <c r="H300" s="4">
        <v>263288.17499999999</v>
      </c>
    </row>
    <row r="301" spans="1:8" x14ac:dyDescent="0.3">
      <c r="A301" t="s">
        <v>6</v>
      </c>
      <c r="B301" t="s">
        <v>7</v>
      </c>
      <c r="C301" t="s">
        <v>797</v>
      </c>
      <c r="D301" t="s">
        <v>9</v>
      </c>
      <c r="E301" t="s">
        <v>911</v>
      </c>
      <c r="F301" t="str">
        <f>"001600020762"</f>
        <v>001600020762</v>
      </c>
      <c r="G301" t="s">
        <v>2502</v>
      </c>
      <c r="H301" s="4">
        <v>260590.73499999999</v>
      </c>
    </row>
    <row r="302" spans="1:8" x14ac:dyDescent="0.3">
      <c r="A302" t="s">
        <v>6</v>
      </c>
      <c r="B302" t="s">
        <v>7</v>
      </c>
      <c r="C302" t="s">
        <v>1321</v>
      </c>
      <c r="D302" t="s">
        <v>9</v>
      </c>
      <c r="E302" t="s">
        <v>1323</v>
      </c>
      <c r="F302" t="str">
        <f>"004280011200"</f>
        <v>004280011200</v>
      </c>
      <c r="G302" t="s">
        <v>2885</v>
      </c>
      <c r="H302" s="4">
        <v>259381.204</v>
      </c>
    </row>
    <row r="303" spans="1:8" x14ac:dyDescent="0.3">
      <c r="A303" t="s">
        <v>6</v>
      </c>
      <c r="B303" t="s">
        <v>7</v>
      </c>
      <c r="C303" t="s">
        <v>1940</v>
      </c>
      <c r="D303" t="s">
        <v>9</v>
      </c>
      <c r="E303" t="s">
        <v>2033</v>
      </c>
      <c r="F303" t="str">
        <f>"007047013767"</f>
        <v>007047013767</v>
      </c>
      <c r="G303" t="s">
        <v>3923</v>
      </c>
      <c r="H303" s="4">
        <v>255398.802</v>
      </c>
    </row>
    <row r="304" spans="1:8" x14ac:dyDescent="0.3">
      <c r="A304" t="s">
        <v>6</v>
      </c>
      <c r="B304" t="s">
        <v>7</v>
      </c>
      <c r="C304" t="s">
        <v>1940</v>
      </c>
      <c r="D304" t="s">
        <v>9</v>
      </c>
      <c r="E304" t="s">
        <v>2100</v>
      </c>
      <c r="F304" t="str">
        <f>"007047000643"</f>
        <v>007047000643</v>
      </c>
      <c r="G304" t="s">
        <v>3989</v>
      </c>
      <c r="H304" s="4">
        <v>255174.185</v>
      </c>
    </row>
    <row r="305" spans="1:8" x14ac:dyDescent="0.3">
      <c r="A305" t="s">
        <v>6</v>
      </c>
      <c r="B305" t="s">
        <v>7</v>
      </c>
      <c r="C305" t="s">
        <v>1940</v>
      </c>
      <c r="D305" t="s">
        <v>9</v>
      </c>
      <c r="E305" t="s">
        <v>1980</v>
      </c>
      <c r="F305" t="str">
        <f>"007047013777"</f>
        <v>007047013777</v>
      </c>
      <c r="G305" t="s">
        <v>3869</v>
      </c>
      <c r="H305" s="4">
        <v>254176.75599999999</v>
      </c>
    </row>
    <row r="306" spans="1:8" x14ac:dyDescent="0.3">
      <c r="A306" t="s">
        <v>6</v>
      </c>
      <c r="B306" t="s">
        <v>7</v>
      </c>
      <c r="C306" t="s">
        <v>381</v>
      </c>
      <c r="D306" t="s">
        <v>9</v>
      </c>
      <c r="E306" t="s">
        <v>517</v>
      </c>
      <c r="F306" t="str">
        <f>"001600016051"</f>
        <v>001600016051</v>
      </c>
      <c r="G306" t="s">
        <v>3241</v>
      </c>
      <c r="H306" s="4">
        <v>252816.03899999999</v>
      </c>
    </row>
    <row r="307" spans="1:8" x14ac:dyDescent="0.3">
      <c r="A307" t="s">
        <v>6</v>
      </c>
      <c r="B307" t="s">
        <v>7</v>
      </c>
      <c r="C307" t="s">
        <v>381</v>
      </c>
      <c r="D307" t="s">
        <v>9</v>
      </c>
      <c r="E307" t="s">
        <v>458</v>
      </c>
      <c r="F307" t="str">
        <f>"001600046758"</f>
        <v>001600046758</v>
      </c>
      <c r="G307" t="s">
        <v>3183</v>
      </c>
      <c r="H307" s="4">
        <v>251847.06099999999</v>
      </c>
    </row>
    <row r="308" spans="1:8" x14ac:dyDescent="0.3">
      <c r="A308" s="1" t="s">
        <v>6</v>
      </c>
      <c r="B308" t="s">
        <v>7</v>
      </c>
      <c r="C308" t="s">
        <v>797</v>
      </c>
      <c r="D308" t="s">
        <v>9</v>
      </c>
      <c r="E308" t="s">
        <v>891</v>
      </c>
      <c r="F308" t="str">
        <f>"001600020771"</f>
        <v>001600020771</v>
      </c>
      <c r="G308" t="s">
        <v>2483</v>
      </c>
      <c r="H308" s="4">
        <v>250967.60399999999</v>
      </c>
    </row>
    <row r="309" spans="1:8" x14ac:dyDescent="0.3">
      <c r="A309" t="s">
        <v>6</v>
      </c>
      <c r="B309" t="s">
        <v>7</v>
      </c>
      <c r="C309" t="s">
        <v>1577</v>
      </c>
      <c r="D309" t="s">
        <v>9</v>
      </c>
      <c r="E309" t="s">
        <v>1605</v>
      </c>
      <c r="F309" t="str">
        <f>"004600086101"</f>
        <v>004600086101</v>
      </c>
      <c r="G309" t="s">
        <v>3369</v>
      </c>
      <c r="H309" s="4">
        <v>250531.26199999999</v>
      </c>
    </row>
    <row r="310" spans="1:8" x14ac:dyDescent="0.3">
      <c r="A310" t="s">
        <v>6</v>
      </c>
      <c r="B310" t="s">
        <v>7</v>
      </c>
      <c r="C310" t="s">
        <v>1072</v>
      </c>
      <c r="D310" t="s">
        <v>9</v>
      </c>
      <c r="E310" t="s">
        <v>1082</v>
      </c>
      <c r="F310" t="str">
        <f>"001600027488"</f>
        <v>001600027488</v>
      </c>
      <c r="G310" t="s">
        <v>2686</v>
      </c>
      <c r="H310" s="4">
        <v>250448.576</v>
      </c>
    </row>
    <row r="311" spans="1:8" x14ac:dyDescent="0.3">
      <c r="A311" t="s">
        <v>6</v>
      </c>
      <c r="B311" t="s">
        <v>7</v>
      </c>
      <c r="C311" t="s">
        <v>381</v>
      </c>
      <c r="D311" t="s">
        <v>9</v>
      </c>
      <c r="E311" t="s">
        <v>587</v>
      </c>
      <c r="F311" t="str">
        <f>"001600017836"</f>
        <v>001600017836</v>
      </c>
      <c r="G311" t="s">
        <v>3315</v>
      </c>
      <c r="H311" s="4">
        <v>249912.02499999999</v>
      </c>
    </row>
    <row r="312" spans="1:8" x14ac:dyDescent="0.3">
      <c r="A312" t="s">
        <v>6</v>
      </c>
      <c r="B312" t="s">
        <v>7</v>
      </c>
      <c r="C312" t="s">
        <v>1940</v>
      </c>
      <c r="D312" t="s">
        <v>9</v>
      </c>
      <c r="E312" t="s">
        <v>2051</v>
      </c>
      <c r="F312" t="str">
        <f>"007047000109"</f>
        <v>007047000109</v>
      </c>
      <c r="G312" t="s">
        <v>3938</v>
      </c>
      <c r="H312" s="4">
        <v>249421.80799999999</v>
      </c>
    </row>
    <row r="313" spans="1:8" x14ac:dyDescent="0.3">
      <c r="A313" t="s">
        <v>6</v>
      </c>
      <c r="B313" t="s">
        <v>7</v>
      </c>
      <c r="C313" t="s">
        <v>1805</v>
      </c>
      <c r="D313" t="s">
        <v>9</v>
      </c>
      <c r="E313" t="s">
        <v>1823</v>
      </c>
      <c r="F313" t="str">
        <f>"001800000128"</f>
        <v>001800000128</v>
      </c>
      <c r="G313" t="s">
        <v>3756</v>
      </c>
      <c r="H313" s="4">
        <v>249237.31400000001</v>
      </c>
    </row>
    <row r="314" spans="1:8" x14ac:dyDescent="0.3">
      <c r="A314" t="s">
        <v>6</v>
      </c>
      <c r="B314" t="s">
        <v>7</v>
      </c>
      <c r="C314" t="s">
        <v>1286</v>
      </c>
      <c r="D314" t="s">
        <v>9</v>
      </c>
      <c r="E314" t="s">
        <v>1306</v>
      </c>
      <c r="F314" t="str">
        <f>"001800042696"</f>
        <v>001800042696</v>
      </c>
      <c r="G314" t="s">
        <v>2870</v>
      </c>
      <c r="H314" s="4">
        <v>249193.601</v>
      </c>
    </row>
    <row r="315" spans="1:8" x14ac:dyDescent="0.3">
      <c r="A315" t="s">
        <v>6</v>
      </c>
      <c r="B315" t="s">
        <v>7</v>
      </c>
      <c r="C315" t="s">
        <v>8</v>
      </c>
      <c r="D315" t="s">
        <v>9</v>
      </c>
      <c r="E315" t="s">
        <v>286</v>
      </c>
      <c r="F315" t="str">
        <f>"001600017881"</f>
        <v>001600017881</v>
      </c>
      <c r="G315" t="s">
        <v>2389</v>
      </c>
      <c r="H315" s="4">
        <v>248531.03</v>
      </c>
    </row>
    <row r="316" spans="1:8" x14ac:dyDescent="0.3">
      <c r="A316" t="s">
        <v>6</v>
      </c>
      <c r="B316" t="s">
        <v>7</v>
      </c>
      <c r="C316" t="s">
        <v>1940</v>
      </c>
      <c r="D316" t="s">
        <v>9</v>
      </c>
      <c r="E316" t="s">
        <v>1950</v>
      </c>
      <c r="F316" t="str">
        <f>"007047016485"</f>
        <v>007047016485</v>
      </c>
      <c r="G316" t="s">
        <v>3831</v>
      </c>
      <c r="H316" s="4">
        <v>247850.29399999999</v>
      </c>
    </row>
    <row r="317" spans="1:8" x14ac:dyDescent="0.3">
      <c r="A317" t="s">
        <v>6</v>
      </c>
      <c r="B317" t="s">
        <v>7</v>
      </c>
      <c r="C317" t="s">
        <v>381</v>
      </c>
      <c r="D317" t="s">
        <v>9</v>
      </c>
      <c r="E317" t="s">
        <v>473</v>
      </c>
      <c r="F317" t="str">
        <f>"001600046757"</f>
        <v>001600046757</v>
      </c>
      <c r="G317" t="s">
        <v>3197</v>
      </c>
      <c r="H317" s="4">
        <v>247155.546</v>
      </c>
    </row>
    <row r="318" spans="1:8" x14ac:dyDescent="0.3">
      <c r="A318" t="s">
        <v>6</v>
      </c>
      <c r="B318" t="s">
        <v>7</v>
      </c>
      <c r="C318" t="s">
        <v>8</v>
      </c>
      <c r="D318" t="s">
        <v>9</v>
      </c>
      <c r="E318" t="s">
        <v>34</v>
      </c>
      <c r="F318" t="str">
        <f>"002190845556"</f>
        <v>002190845556</v>
      </c>
      <c r="G318" t="s">
        <v>4015</v>
      </c>
      <c r="H318" s="4">
        <v>245338.73199999999</v>
      </c>
    </row>
    <row r="319" spans="1:8" x14ac:dyDescent="0.3">
      <c r="A319" t="s">
        <v>6</v>
      </c>
      <c r="B319" t="s">
        <v>7</v>
      </c>
      <c r="C319" t="s">
        <v>8</v>
      </c>
      <c r="D319" t="s">
        <v>9</v>
      </c>
      <c r="E319" t="s">
        <v>75</v>
      </c>
      <c r="F319" t="str">
        <f>"001600016915"</f>
        <v>001600016915</v>
      </c>
      <c r="G319" t="s">
        <v>4051</v>
      </c>
      <c r="H319" s="4">
        <v>245276.253</v>
      </c>
    </row>
    <row r="320" spans="1:8" x14ac:dyDescent="0.3">
      <c r="A320" t="s">
        <v>6</v>
      </c>
      <c r="B320" t="s">
        <v>7</v>
      </c>
      <c r="C320" t="s">
        <v>1940</v>
      </c>
      <c r="D320" t="s">
        <v>9</v>
      </c>
      <c r="E320" t="s">
        <v>2002</v>
      </c>
      <c r="F320" t="str">
        <f>"007047049654"</f>
        <v>007047049654</v>
      </c>
      <c r="G320" t="s">
        <v>3896</v>
      </c>
      <c r="H320" s="4">
        <v>243546.72700000001</v>
      </c>
    </row>
    <row r="321" spans="1:8" x14ac:dyDescent="0.3">
      <c r="A321" t="s">
        <v>6</v>
      </c>
      <c r="B321" t="s">
        <v>7</v>
      </c>
      <c r="C321" t="s">
        <v>1805</v>
      </c>
      <c r="D321" t="s">
        <v>9</v>
      </c>
      <c r="E321" t="s">
        <v>1930</v>
      </c>
      <c r="F321" t="str">
        <f>"001800011709"</f>
        <v>001800011709</v>
      </c>
      <c r="G321" t="s">
        <v>3815</v>
      </c>
      <c r="H321" s="4">
        <v>241967.96400000001</v>
      </c>
    </row>
    <row r="322" spans="1:8" x14ac:dyDescent="0.3">
      <c r="A322" t="s">
        <v>6</v>
      </c>
      <c r="B322" t="s">
        <v>7</v>
      </c>
      <c r="C322" t="s">
        <v>8</v>
      </c>
      <c r="D322" t="s">
        <v>9</v>
      </c>
      <c r="E322" t="s">
        <v>104</v>
      </c>
      <c r="F322" t="str">
        <f>"001600016932"</f>
        <v>001600016932</v>
      </c>
      <c r="G322" t="s">
        <v>2389</v>
      </c>
      <c r="H322" s="4">
        <v>241742.128</v>
      </c>
    </row>
    <row r="323" spans="1:8" x14ac:dyDescent="0.3">
      <c r="A323" t="s">
        <v>6</v>
      </c>
      <c r="B323" t="s">
        <v>7</v>
      </c>
      <c r="C323" t="s">
        <v>1940</v>
      </c>
      <c r="D323" t="s">
        <v>9</v>
      </c>
      <c r="E323" t="s">
        <v>1981</v>
      </c>
      <c r="F323" t="str">
        <f>"007047013779"</f>
        <v>007047013779</v>
      </c>
      <c r="G323" t="s">
        <v>3874</v>
      </c>
      <c r="H323" s="4">
        <v>241663.27299999999</v>
      </c>
    </row>
    <row r="324" spans="1:8" x14ac:dyDescent="0.3">
      <c r="A324" t="s">
        <v>6</v>
      </c>
      <c r="B324" t="s">
        <v>7</v>
      </c>
      <c r="C324" t="s">
        <v>2231</v>
      </c>
      <c r="D324" t="s">
        <v>9</v>
      </c>
      <c r="E324" t="s">
        <v>2347</v>
      </c>
      <c r="F324" t="str">
        <f>"004119601121"</f>
        <v>004119601121</v>
      </c>
      <c r="G324" t="s">
        <v>4539</v>
      </c>
      <c r="H324" s="4">
        <v>241663.05300000001</v>
      </c>
    </row>
    <row r="325" spans="1:8" x14ac:dyDescent="0.3">
      <c r="A325" t="s">
        <v>6</v>
      </c>
      <c r="B325" t="s">
        <v>7</v>
      </c>
      <c r="C325" t="s">
        <v>1940</v>
      </c>
      <c r="D325" t="s">
        <v>9</v>
      </c>
      <c r="E325" t="s">
        <v>1968</v>
      </c>
      <c r="F325" t="str">
        <f>"007527000160"</f>
        <v>007527000160</v>
      </c>
      <c r="G325" t="s">
        <v>3854</v>
      </c>
      <c r="H325" s="4">
        <v>241570.41800000001</v>
      </c>
    </row>
    <row r="326" spans="1:8" x14ac:dyDescent="0.3">
      <c r="A326" t="s">
        <v>6</v>
      </c>
      <c r="B326" t="s">
        <v>7</v>
      </c>
      <c r="C326" t="s">
        <v>381</v>
      </c>
      <c r="D326" t="s">
        <v>9</v>
      </c>
      <c r="E326" t="s">
        <v>480</v>
      </c>
      <c r="F326" t="str">
        <f>"001600046827"</f>
        <v>001600046827</v>
      </c>
      <c r="G326" t="s">
        <v>2389</v>
      </c>
      <c r="H326" s="4">
        <v>241175.34</v>
      </c>
    </row>
    <row r="327" spans="1:8" x14ac:dyDescent="0.3">
      <c r="A327" t="s">
        <v>6</v>
      </c>
      <c r="B327" t="s">
        <v>7</v>
      </c>
      <c r="C327" t="s">
        <v>1940</v>
      </c>
      <c r="D327" t="s">
        <v>9</v>
      </c>
      <c r="E327" t="s">
        <v>2017</v>
      </c>
      <c r="F327" t="str">
        <f>"007047049649"</f>
        <v>007047049649</v>
      </c>
      <c r="G327" t="s">
        <v>3908</v>
      </c>
      <c r="H327" s="4">
        <v>240769.15400000001</v>
      </c>
    </row>
    <row r="328" spans="1:8" x14ac:dyDescent="0.3">
      <c r="A328" t="s">
        <v>6</v>
      </c>
      <c r="B328" t="s">
        <v>7</v>
      </c>
      <c r="C328" t="s">
        <v>1286</v>
      </c>
      <c r="D328" t="s">
        <v>9</v>
      </c>
      <c r="E328" t="s">
        <v>1304</v>
      </c>
      <c r="F328" t="str">
        <f>"001800042691"</f>
        <v>001800042691</v>
      </c>
      <c r="G328" t="s">
        <v>2868</v>
      </c>
      <c r="H328" s="4">
        <v>240459.834</v>
      </c>
    </row>
    <row r="329" spans="1:8" x14ac:dyDescent="0.3">
      <c r="A329" t="s">
        <v>6</v>
      </c>
      <c r="B329" t="s">
        <v>7</v>
      </c>
      <c r="C329" t="s">
        <v>1338</v>
      </c>
      <c r="D329" t="s">
        <v>9</v>
      </c>
      <c r="E329" t="s">
        <v>1377</v>
      </c>
      <c r="F329" t="str">
        <f>"004280010924"</f>
        <v>004280010924</v>
      </c>
      <c r="G329" t="s">
        <v>2933</v>
      </c>
      <c r="H329" s="4">
        <v>239469.07399999999</v>
      </c>
    </row>
    <row r="330" spans="1:8" x14ac:dyDescent="0.3">
      <c r="A330" t="s">
        <v>6</v>
      </c>
      <c r="B330" t="s">
        <v>7</v>
      </c>
      <c r="C330" t="s">
        <v>1805</v>
      </c>
      <c r="D330" t="s">
        <v>9</v>
      </c>
      <c r="E330" t="s">
        <v>1871</v>
      </c>
      <c r="F330" t="str">
        <f>"001800000254"</f>
        <v>001800000254</v>
      </c>
      <c r="G330" t="s">
        <v>2389</v>
      </c>
      <c r="H330" s="4">
        <v>236428.497</v>
      </c>
    </row>
    <row r="331" spans="1:8" x14ac:dyDescent="0.3">
      <c r="A331" t="s">
        <v>6</v>
      </c>
      <c r="B331" t="s">
        <v>7</v>
      </c>
      <c r="C331" t="s">
        <v>8</v>
      </c>
      <c r="D331" t="s">
        <v>9</v>
      </c>
      <c r="E331" t="s">
        <v>93</v>
      </c>
      <c r="F331" t="str">
        <f>"001600020874"</f>
        <v>001600020874</v>
      </c>
      <c r="G331" t="s">
        <v>2389</v>
      </c>
      <c r="H331" s="4">
        <v>236426.63</v>
      </c>
    </row>
    <row r="332" spans="1:8" x14ac:dyDescent="0.3">
      <c r="A332" t="s">
        <v>6</v>
      </c>
      <c r="B332" t="s">
        <v>7</v>
      </c>
      <c r="C332" t="s">
        <v>1805</v>
      </c>
      <c r="D332" t="s">
        <v>9</v>
      </c>
      <c r="E332" t="s">
        <v>1890</v>
      </c>
      <c r="F332" t="str">
        <f>"001800000185"</f>
        <v>001800000185</v>
      </c>
      <c r="G332" t="s">
        <v>2389</v>
      </c>
      <c r="H332" s="4">
        <v>236389.83</v>
      </c>
    </row>
    <row r="333" spans="1:8" x14ac:dyDescent="0.3">
      <c r="A333" t="s">
        <v>6</v>
      </c>
      <c r="B333" t="s">
        <v>7</v>
      </c>
      <c r="C333" t="s">
        <v>8</v>
      </c>
      <c r="D333" t="s">
        <v>9</v>
      </c>
      <c r="E333" t="s">
        <v>367</v>
      </c>
      <c r="F333" t="str">
        <f>"001600015765"</f>
        <v>001600015765</v>
      </c>
      <c r="G333" t="s">
        <v>4311</v>
      </c>
      <c r="H333" s="4">
        <v>234818.318</v>
      </c>
    </row>
    <row r="334" spans="1:8" x14ac:dyDescent="0.3">
      <c r="A334" t="s">
        <v>6</v>
      </c>
      <c r="B334" t="s">
        <v>7</v>
      </c>
      <c r="C334" t="s">
        <v>8</v>
      </c>
      <c r="D334" t="s">
        <v>9</v>
      </c>
      <c r="E334" t="s">
        <v>130</v>
      </c>
      <c r="F334" t="str">
        <f>"001600048793"</f>
        <v>001600048793</v>
      </c>
      <c r="G334" t="s">
        <v>4096</v>
      </c>
      <c r="H334" s="4">
        <v>234688.93700000001</v>
      </c>
    </row>
    <row r="335" spans="1:8" x14ac:dyDescent="0.3">
      <c r="A335" t="s">
        <v>6</v>
      </c>
      <c r="B335" t="s">
        <v>7</v>
      </c>
      <c r="C335" t="s">
        <v>1397</v>
      </c>
      <c r="D335" t="s">
        <v>9</v>
      </c>
      <c r="E335" t="s">
        <v>1522</v>
      </c>
      <c r="F335" t="str">
        <f>"004119689108"</f>
        <v>004119689108</v>
      </c>
      <c r="G335" t="s">
        <v>3066</v>
      </c>
      <c r="H335" s="4">
        <v>233130.03099999999</v>
      </c>
    </row>
    <row r="336" spans="1:8" x14ac:dyDescent="0.3">
      <c r="A336" t="s">
        <v>6</v>
      </c>
      <c r="B336" t="s">
        <v>7</v>
      </c>
      <c r="C336" t="s">
        <v>797</v>
      </c>
      <c r="D336" t="s">
        <v>9</v>
      </c>
      <c r="E336" t="s">
        <v>945</v>
      </c>
      <c r="F336" t="str">
        <f>"001600020765"</f>
        <v>001600020765</v>
      </c>
      <c r="G336" t="s">
        <v>2541</v>
      </c>
      <c r="H336" s="4">
        <v>233037.87299999999</v>
      </c>
    </row>
    <row r="337" spans="1:8" x14ac:dyDescent="0.3">
      <c r="A337" t="s">
        <v>6</v>
      </c>
      <c r="B337" t="s">
        <v>7</v>
      </c>
      <c r="C337" t="s">
        <v>8</v>
      </c>
      <c r="D337" t="s">
        <v>9</v>
      </c>
      <c r="E337" t="s">
        <v>95</v>
      </c>
      <c r="F337" t="str">
        <f>"001600087700"</f>
        <v>001600087700</v>
      </c>
      <c r="G337" t="s">
        <v>4064</v>
      </c>
      <c r="H337" s="4">
        <v>232510.261</v>
      </c>
    </row>
    <row r="338" spans="1:8" x14ac:dyDescent="0.3">
      <c r="A338" t="s">
        <v>6</v>
      </c>
      <c r="B338" t="s">
        <v>7</v>
      </c>
      <c r="C338" t="s">
        <v>8</v>
      </c>
      <c r="D338" t="s">
        <v>9</v>
      </c>
      <c r="E338" t="s">
        <v>144</v>
      </c>
      <c r="F338" t="str">
        <f>"001600016936"</f>
        <v>001600016936</v>
      </c>
      <c r="G338" t="s">
        <v>4107</v>
      </c>
      <c r="H338" s="4">
        <v>232417.77600000001</v>
      </c>
    </row>
    <row r="339" spans="1:8" x14ac:dyDescent="0.3">
      <c r="A339" t="s">
        <v>6</v>
      </c>
      <c r="B339" t="s">
        <v>7</v>
      </c>
      <c r="C339" t="s">
        <v>1805</v>
      </c>
      <c r="D339" t="s">
        <v>9</v>
      </c>
      <c r="E339" t="s">
        <v>1853</v>
      </c>
      <c r="F339" t="str">
        <f>"001800000402"</f>
        <v>001800000402</v>
      </c>
      <c r="G339" t="s">
        <v>2389</v>
      </c>
      <c r="H339" s="4">
        <v>232084.065</v>
      </c>
    </row>
    <row r="340" spans="1:8" x14ac:dyDescent="0.3">
      <c r="A340" t="s">
        <v>6</v>
      </c>
      <c r="B340" t="s">
        <v>7</v>
      </c>
      <c r="C340" t="s">
        <v>2231</v>
      </c>
      <c r="D340" t="s">
        <v>9</v>
      </c>
      <c r="E340" t="s">
        <v>2343</v>
      </c>
      <c r="F340" t="str">
        <f>"004119691418"</f>
        <v>004119691418</v>
      </c>
      <c r="G340" t="s">
        <v>4535</v>
      </c>
      <c r="H340" s="4">
        <v>231474.519</v>
      </c>
    </row>
    <row r="341" spans="1:8" x14ac:dyDescent="0.3">
      <c r="A341" t="s">
        <v>6</v>
      </c>
      <c r="B341" t="s">
        <v>7</v>
      </c>
      <c r="C341" t="s">
        <v>1805</v>
      </c>
      <c r="D341" t="s">
        <v>9</v>
      </c>
      <c r="E341" t="s">
        <v>1895</v>
      </c>
      <c r="F341" t="str">
        <f>"001800081775"</f>
        <v>001800081775</v>
      </c>
      <c r="G341" t="s">
        <v>3784</v>
      </c>
      <c r="H341" s="4">
        <v>230977.027</v>
      </c>
    </row>
    <row r="342" spans="1:8" x14ac:dyDescent="0.3">
      <c r="A342" t="s">
        <v>6</v>
      </c>
      <c r="B342" t="s">
        <v>7</v>
      </c>
      <c r="C342" t="s">
        <v>381</v>
      </c>
      <c r="D342" t="s">
        <v>9</v>
      </c>
      <c r="E342" t="s">
        <v>586</v>
      </c>
      <c r="F342" t="str">
        <f>"001600014665"</f>
        <v>001600014665</v>
      </c>
      <c r="G342" t="s">
        <v>3314</v>
      </c>
      <c r="H342" s="4">
        <v>230399.13699999999</v>
      </c>
    </row>
    <row r="343" spans="1:8" x14ac:dyDescent="0.3">
      <c r="A343" t="s">
        <v>6</v>
      </c>
      <c r="B343" t="s">
        <v>7</v>
      </c>
      <c r="C343" t="s">
        <v>2113</v>
      </c>
      <c r="D343" t="s">
        <v>9</v>
      </c>
      <c r="E343" t="s">
        <v>2122</v>
      </c>
      <c r="F343" t="str">
        <f>"001600028052"</f>
        <v>001600028052</v>
      </c>
      <c r="G343" t="s">
        <v>4331</v>
      </c>
      <c r="H343" s="4">
        <v>229704.30300000001</v>
      </c>
    </row>
    <row r="344" spans="1:8" x14ac:dyDescent="0.3">
      <c r="A344" t="s">
        <v>6</v>
      </c>
      <c r="B344" t="s">
        <v>7</v>
      </c>
      <c r="C344" t="s">
        <v>770</v>
      </c>
      <c r="D344" t="s">
        <v>9</v>
      </c>
      <c r="E344" t="s">
        <v>780</v>
      </c>
      <c r="F344" t="str">
        <f>"001600042060"</f>
        <v>001600042060</v>
      </c>
      <c r="G344" t="s">
        <v>2380</v>
      </c>
      <c r="H344" s="4">
        <v>228412.511</v>
      </c>
    </row>
    <row r="345" spans="1:8" x14ac:dyDescent="0.3">
      <c r="A345" t="s">
        <v>6</v>
      </c>
      <c r="B345" t="s">
        <v>7</v>
      </c>
      <c r="C345" t="s">
        <v>1940</v>
      </c>
      <c r="D345" t="s">
        <v>9</v>
      </c>
      <c r="E345" t="s">
        <v>2067</v>
      </c>
      <c r="F345" t="str">
        <f>"007047018759"</f>
        <v>007047018759</v>
      </c>
      <c r="G345" t="s">
        <v>3954</v>
      </c>
      <c r="H345" s="4">
        <v>226973.016</v>
      </c>
    </row>
    <row r="346" spans="1:8" x14ac:dyDescent="0.3">
      <c r="A346" t="s">
        <v>6</v>
      </c>
      <c r="B346" t="s">
        <v>7</v>
      </c>
      <c r="C346" t="s">
        <v>797</v>
      </c>
      <c r="D346" t="s">
        <v>9</v>
      </c>
      <c r="E346" t="s">
        <v>913</v>
      </c>
      <c r="F346" t="str">
        <f>"001600019778"</f>
        <v>001600019778</v>
      </c>
      <c r="G346" t="s">
        <v>2504</v>
      </c>
      <c r="H346" s="4">
        <v>226628.05</v>
      </c>
    </row>
    <row r="347" spans="1:8" x14ac:dyDescent="0.3">
      <c r="A347" t="s">
        <v>6</v>
      </c>
      <c r="B347" t="s">
        <v>7</v>
      </c>
      <c r="C347" t="s">
        <v>8</v>
      </c>
      <c r="D347" t="s">
        <v>9</v>
      </c>
      <c r="E347" t="s">
        <v>87</v>
      </c>
      <c r="F347" t="str">
        <f>"001600017821"</f>
        <v>001600017821</v>
      </c>
      <c r="G347" t="s">
        <v>4062</v>
      </c>
      <c r="H347" s="4">
        <v>226251.541</v>
      </c>
    </row>
    <row r="348" spans="1:8" x14ac:dyDescent="0.3">
      <c r="A348" t="s">
        <v>6</v>
      </c>
      <c r="B348" t="s">
        <v>7</v>
      </c>
      <c r="C348" t="s">
        <v>797</v>
      </c>
      <c r="D348" t="s">
        <v>9</v>
      </c>
      <c r="E348" t="s">
        <v>870</v>
      </c>
      <c r="F348" t="str">
        <f>"001600030630"</f>
        <v>001600030630</v>
      </c>
      <c r="G348" t="s">
        <v>2463</v>
      </c>
      <c r="H348" s="4">
        <v>224590.10399999999</v>
      </c>
    </row>
    <row r="349" spans="1:8" x14ac:dyDescent="0.3">
      <c r="A349" t="s">
        <v>6</v>
      </c>
      <c r="B349" t="s">
        <v>7</v>
      </c>
      <c r="C349" t="s">
        <v>2231</v>
      </c>
      <c r="D349" t="s">
        <v>9</v>
      </c>
      <c r="E349" t="s">
        <v>2251</v>
      </c>
      <c r="F349" t="str">
        <f>"004119691416"</f>
        <v>004119691416</v>
      </c>
      <c r="G349" t="s">
        <v>4450</v>
      </c>
      <c r="H349" s="4">
        <v>223954.367</v>
      </c>
    </row>
    <row r="350" spans="1:8" x14ac:dyDescent="0.3">
      <c r="A350" s="3" t="s">
        <v>6</v>
      </c>
      <c r="B350" t="s">
        <v>7</v>
      </c>
      <c r="C350" t="s">
        <v>8</v>
      </c>
      <c r="D350" t="s">
        <v>9</v>
      </c>
      <c r="E350" t="s">
        <v>303</v>
      </c>
      <c r="F350" t="str">
        <f>"001600012732"</f>
        <v>001600012732</v>
      </c>
      <c r="G350" t="s">
        <v>4254</v>
      </c>
      <c r="H350" s="4">
        <v>221524.997</v>
      </c>
    </row>
    <row r="351" spans="1:8" x14ac:dyDescent="0.3">
      <c r="A351" t="s">
        <v>6</v>
      </c>
      <c r="B351" t="s">
        <v>7</v>
      </c>
      <c r="C351" t="s">
        <v>8</v>
      </c>
      <c r="D351" t="s">
        <v>9</v>
      </c>
      <c r="E351" t="s">
        <v>319</v>
      </c>
      <c r="F351" t="str">
        <f>"001600012125"</f>
        <v>001600012125</v>
      </c>
      <c r="G351" t="s">
        <v>4269</v>
      </c>
      <c r="H351" s="4">
        <v>221489.82500000001</v>
      </c>
    </row>
    <row r="352" spans="1:8" x14ac:dyDescent="0.3">
      <c r="A352" t="s">
        <v>6</v>
      </c>
      <c r="B352" t="s">
        <v>7</v>
      </c>
      <c r="C352" t="s">
        <v>381</v>
      </c>
      <c r="D352" t="s">
        <v>9</v>
      </c>
      <c r="E352" t="s">
        <v>597</v>
      </c>
      <c r="F352" t="str">
        <f>"001600049185"</f>
        <v>001600049185</v>
      </c>
      <c r="G352" t="s">
        <v>3325</v>
      </c>
      <c r="H352" s="4">
        <v>221212.45699999999</v>
      </c>
    </row>
    <row r="353" spans="1:8" x14ac:dyDescent="0.3">
      <c r="A353" t="s">
        <v>6</v>
      </c>
      <c r="B353" t="s">
        <v>7</v>
      </c>
      <c r="C353" t="s">
        <v>797</v>
      </c>
      <c r="D353" t="s">
        <v>9</v>
      </c>
      <c r="E353" t="s">
        <v>947</v>
      </c>
      <c r="F353" t="str">
        <f>"001600020769"</f>
        <v>001600020769</v>
      </c>
      <c r="G353" t="s">
        <v>2543</v>
      </c>
      <c r="H353" s="4">
        <v>219813.51</v>
      </c>
    </row>
    <row r="354" spans="1:8" x14ac:dyDescent="0.3">
      <c r="A354" t="s">
        <v>6</v>
      </c>
      <c r="B354" t="s">
        <v>7</v>
      </c>
      <c r="C354" t="s">
        <v>381</v>
      </c>
      <c r="D354" t="s">
        <v>9</v>
      </c>
      <c r="E354" t="s">
        <v>589</v>
      </c>
      <c r="F354" t="str">
        <f>"001600048491"</f>
        <v>001600048491</v>
      </c>
      <c r="G354" t="s">
        <v>3317</v>
      </c>
      <c r="H354" s="4">
        <v>219699.924</v>
      </c>
    </row>
    <row r="355" spans="1:8" x14ac:dyDescent="0.3">
      <c r="A355" t="s">
        <v>6</v>
      </c>
      <c r="B355" t="s">
        <v>7</v>
      </c>
      <c r="C355" t="s">
        <v>2113</v>
      </c>
      <c r="D355" t="s">
        <v>9</v>
      </c>
      <c r="E355" t="s">
        <v>2199</v>
      </c>
      <c r="F355" t="str">
        <f>"001600028350"</f>
        <v>001600028350</v>
      </c>
      <c r="G355" t="s">
        <v>4403</v>
      </c>
      <c r="H355" s="4">
        <v>219289.986</v>
      </c>
    </row>
    <row r="356" spans="1:8" x14ac:dyDescent="0.3">
      <c r="A356" t="s">
        <v>6</v>
      </c>
      <c r="B356" t="s">
        <v>7</v>
      </c>
      <c r="C356" t="s">
        <v>8</v>
      </c>
      <c r="D356" t="s">
        <v>9</v>
      </c>
      <c r="E356" t="s">
        <v>107</v>
      </c>
      <c r="F356" t="str">
        <f>"001600016849"</f>
        <v>001600016849</v>
      </c>
      <c r="G356" t="s">
        <v>4075</v>
      </c>
      <c r="H356" s="4">
        <v>219243.016</v>
      </c>
    </row>
    <row r="357" spans="1:8" x14ac:dyDescent="0.3">
      <c r="A357" t="s">
        <v>6</v>
      </c>
      <c r="B357" t="s">
        <v>7</v>
      </c>
      <c r="C357" t="s">
        <v>8</v>
      </c>
      <c r="D357" t="s">
        <v>9</v>
      </c>
      <c r="E357" t="s">
        <v>212</v>
      </c>
      <c r="F357" t="str">
        <f>"001600017819"</f>
        <v>001600017819</v>
      </c>
      <c r="G357" t="s">
        <v>4171</v>
      </c>
      <c r="H357" s="4">
        <v>219068.07</v>
      </c>
    </row>
    <row r="358" spans="1:8" x14ac:dyDescent="0.3">
      <c r="A358" t="s">
        <v>6</v>
      </c>
      <c r="B358" t="s">
        <v>7</v>
      </c>
      <c r="C358" t="s">
        <v>381</v>
      </c>
      <c r="D358" t="s">
        <v>9</v>
      </c>
      <c r="E358" t="s">
        <v>426</v>
      </c>
      <c r="F358" t="str">
        <f>"001600040803"</f>
        <v>001600040803</v>
      </c>
      <c r="G358" t="s">
        <v>3152</v>
      </c>
      <c r="H358" s="4">
        <v>218891.31</v>
      </c>
    </row>
    <row r="359" spans="1:8" x14ac:dyDescent="0.3">
      <c r="A359" t="s">
        <v>6</v>
      </c>
      <c r="B359" t="s">
        <v>7</v>
      </c>
      <c r="C359" t="s">
        <v>1805</v>
      </c>
      <c r="D359" t="s">
        <v>9</v>
      </c>
      <c r="E359" t="s">
        <v>1927</v>
      </c>
      <c r="F359" t="str">
        <f>"001800011899"</f>
        <v>001800011899</v>
      </c>
      <c r="G359" t="s">
        <v>3812</v>
      </c>
      <c r="H359" s="4">
        <v>218673.61300000001</v>
      </c>
    </row>
    <row r="360" spans="1:8" x14ac:dyDescent="0.3">
      <c r="A360" t="s">
        <v>6</v>
      </c>
      <c r="B360" t="s">
        <v>7</v>
      </c>
      <c r="C360" t="s">
        <v>381</v>
      </c>
      <c r="D360" t="s">
        <v>9</v>
      </c>
      <c r="E360" t="s">
        <v>495</v>
      </c>
      <c r="F360" t="str">
        <f>"001600041126"</f>
        <v>001600041126</v>
      </c>
      <c r="G360" t="s">
        <v>3222</v>
      </c>
      <c r="H360" s="4">
        <v>216827.16</v>
      </c>
    </row>
    <row r="361" spans="1:8" ht="28.8" x14ac:dyDescent="0.3">
      <c r="A361" t="s">
        <v>6</v>
      </c>
      <c r="B361" s="1" t="s">
        <v>7</v>
      </c>
      <c r="C361" s="1" t="s">
        <v>797</v>
      </c>
      <c r="D361" s="1" t="s">
        <v>9</v>
      </c>
      <c r="E361" s="3" t="s">
        <v>957</v>
      </c>
      <c r="F361" t="str">
        <f>"001600020752"</f>
        <v>001600020752</v>
      </c>
      <c r="G361" t="s">
        <v>2553</v>
      </c>
      <c r="H361" s="3" t="s">
        <v>958</v>
      </c>
    </row>
    <row r="362" spans="1:8" x14ac:dyDescent="0.3">
      <c r="A362" t="s">
        <v>6</v>
      </c>
      <c r="B362" t="s">
        <v>7</v>
      </c>
      <c r="C362" t="s">
        <v>2231</v>
      </c>
      <c r="D362" t="s">
        <v>9</v>
      </c>
      <c r="E362" t="s">
        <v>2337</v>
      </c>
      <c r="F362" t="str">
        <f>"004119691502"</f>
        <v>004119691502</v>
      </c>
      <c r="G362" t="s">
        <v>4528</v>
      </c>
      <c r="H362" s="4">
        <v>216305.033</v>
      </c>
    </row>
    <row r="363" spans="1:8" x14ac:dyDescent="0.3">
      <c r="A363" t="s">
        <v>6</v>
      </c>
      <c r="B363" t="s">
        <v>7</v>
      </c>
      <c r="C363" t="s">
        <v>381</v>
      </c>
      <c r="D363" t="s">
        <v>9</v>
      </c>
      <c r="E363" t="s">
        <v>535</v>
      </c>
      <c r="F363" t="str">
        <f>"001600010612"</f>
        <v>001600010612</v>
      </c>
      <c r="G363" t="s">
        <v>3258</v>
      </c>
      <c r="H363" s="4">
        <v>215859.80499999999</v>
      </c>
    </row>
    <row r="364" spans="1:8" x14ac:dyDescent="0.3">
      <c r="A364" t="s">
        <v>6</v>
      </c>
      <c r="B364" t="s">
        <v>7</v>
      </c>
      <c r="C364" t="s">
        <v>1122</v>
      </c>
      <c r="D364" t="s">
        <v>9</v>
      </c>
      <c r="E364" t="s">
        <v>1140</v>
      </c>
      <c r="F364" t="str">
        <f>"001356212766"</f>
        <v>001356212766</v>
      </c>
      <c r="G364" t="s">
        <v>2735</v>
      </c>
      <c r="H364" s="4">
        <v>215792.421</v>
      </c>
    </row>
    <row r="365" spans="1:8" x14ac:dyDescent="0.3">
      <c r="A365" t="s">
        <v>6</v>
      </c>
      <c r="B365" t="s">
        <v>7</v>
      </c>
      <c r="C365" t="s">
        <v>381</v>
      </c>
      <c r="D365" t="s">
        <v>9</v>
      </c>
      <c r="E365" t="s">
        <v>515</v>
      </c>
      <c r="F365" t="str">
        <f>"001600018696"</f>
        <v>001600018696</v>
      </c>
      <c r="G365" t="s">
        <v>2389</v>
      </c>
      <c r="H365" s="4">
        <v>214640.26199999999</v>
      </c>
    </row>
    <row r="366" spans="1:8" x14ac:dyDescent="0.3">
      <c r="A366" t="s">
        <v>6</v>
      </c>
      <c r="B366" t="s">
        <v>7</v>
      </c>
      <c r="C366" t="s">
        <v>1940</v>
      </c>
      <c r="D366" t="s">
        <v>9</v>
      </c>
      <c r="E366" t="s">
        <v>2106</v>
      </c>
      <c r="F366" t="str">
        <f>"007047046118"</f>
        <v>007047046118</v>
      </c>
      <c r="G366" t="s">
        <v>3995</v>
      </c>
      <c r="H366" s="4">
        <v>214492.42</v>
      </c>
    </row>
    <row r="367" spans="1:8" x14ac:dyDescent="0.3">
      <c r="A367" t="s">
        <v>6</v>
      </c>
      <c r="B367" t="s">
        <v>7</v>
      </c>
      <c r="C367" t="s">
        <v>1577</v>
      </c>
      <c r="D367" t="s">
        <v>9</v>
      </c>
      <c r="E367" t="s">
        <v>1601</v>
      </c>
      <c r="F367" t="str">
        <f>"004600086121"</f>
        <v>004600086121</v>
      </c>
      <c r="G367" t="s">
        <v>3365</v>
      </c>
      <c r="H367" s="4">
        <v>213855.554</v>
      </c>
    </row>
    <row r="368" spans="1:8" x14ac:dyDescent="0.3">
      <c r="A368" t="s">
        <v>6</v>
      </c>
      <c r="B368" t="s">
        <v>7</v>
      </c>
      <c r="C368" t="s">
        <v>1773</v>
      </c>
      <c r="D368" t="s">
        <v>9</v>
      </c>
      <c r="E368" t="s">
        <v>1774</v>
      </c>
      <c r="F368" t="str">
        <f>"001356230215"</f>
        <v>001356230215</v>
      </c>
      <c r="G368" t="s">
        <v>3536</v>
      </c>
      <c r="H368" s="4">
        <v>212244.88500000001</v>
      </c>
    </row>
    <row r="369" spans="1:8" x14ac:dyDescent="0.3">
      <c r="A369" t="s">
        <v>6</v>
      </c>
      <c r="B369" t="s">
        <v>7</v>
      </c>
      <c r="C369" t="s">
        <v>1940</v>
      </c>
      <c r="D369" t="s">
        <v>9</v>
      </c>
      <c r="E369" t="s">
        <v>1982</v>
      </c>
      <c r="F369" t="str">
        <f>"007047018649"</f>
        <v>007047018649</v>
      </c>
      <c r="G369" t="s">
        <v>3876</v>
      </c>
      <c r="H369" s="4">
        <v>212148.20199999999</v>
      </c>
    </row>
    <row r="370" spans="1:8" x14ac:dyDescent="0.3">
      <c r="A370" t="s">
        <v>6</v>
      </c>
      <c r="B370" t="s">
        <v>7</v>
      </c>
      <c r="C370" t="s">
        <v>1940</v>
      </c>
      <c r="D370" t="s">
        <v>9</v>
      </c>
      <c r="E370" t="s">
        <v>1981</v>
      </c>
      <c r="F370" t="str">
        <f>"007047013771"</f>
        <v>007047013771</v>
      </c>
      <c r="G370" t="s">
        <v>3871</v>
      </c>
      <c r="H370" s="4">
        <v>211836.05</v>
      </c>
    </row>
    <row r="371" spans="1:8" x14ac:dyDescent="0.3">
      <c r="A371" t="s">
        <v>6</v>
      </c>
      <c r="B371" t="s">
        <v>7</v>
      </c>
      <c r="C371" t="s">
        <v>797</v>
      </c>
      <c r="D371" t="s">
        <v>9</v>
      </c>
      <c r="E371" t="s">
        <v>883</v>
      </c>
      <c r="F371" t="str">
        <f>"001600013976"</f>
        <v>001600013976</v>
      </c>
      <c r="G371" t="s">
        <v>2476</v>
      </c>
      <c r="H371" s="4">
        <v>211224.46</v>
      </c>
    </row>
    <row r="372" spans="1:8" x14ac:dyDescent="0.3">
      <c r="A372" t="s">
        <v>6</v>
      </c>
      <c r="B372" t="s">
        <v>7</v>
      </c>
      <c r="C372" t="s">
        <v>1577</v>
      </c>
      <c r="D372" t="s">
        <v>9</v>
      </c>
      <c r="E372" t="s">
        <v>1636</v>
      </c>
      <c r="F372" t="str">
        <f>"004600040028"</f>
        <v>004600040028</v>
      </c>
      <c r="G372" t="s">
        <v>3405</v>
      </c>
      <c r="H372" s="4">
        <v>210982.204</v>
      </c>
    </row>
    <row r="373" spans="1:8" x14ac:dyDescent="0.3">
      <c r="A373" t="s">
        <v>6</v>
      </c>
      <c r="B373" t="s">
        <v>7</v>
      </c>
      <c r="C373" t="s">
        <v>381</v>
      </c>
      <c r="D373" t="s">
        <v>9</v>
      </c>
      <c r="E373" t="s">
        <v>542</v>
      </c>
      <c r="F373" t="str">
        <f>"001600018893"</f>
        <v>001600018893</v>
      </c>
      <c r="G373" t="s">
        <v>3265</v>
      </c>
      <c r="H373" s="4">
        <v>210768.552</v>
      </c>
    </row>
    <row r="374" spans="1:8" x14ac:dyDescent="0.3">
      <c r="A374" t="s">
        <v>6</v>
      </c>
      <c r="B374" t="s">
        <v>7</v>
      </c>
      <c r="C374" t="s">
        <v>381</v>
      </c>
      <c r="D374" t="s">
        <v>9</v>
      </c>
      <c r="E374" t="s">
        <v>573</v>
      </c>
      <c r="F374" t="str">
        <f>"001600046679"</f>
        <v>001600046679</v>
      </c>
      <c r="G374" t="s">
        <v>3302</v>
      </c>
      <c r="H374" s="4">
        <v>210396.67600000001</v>
      </c>
    </row>
    <row r="375" spans="1:8" x14ac:dyDescent="0.3">
      <c r="A375" t="s">
        <v>6</v>
      </c>
      <c r="B375" t="s">
        <v>7</v>
      </c>
      <c r="C375" t="s">
        <v>1940</v>
      </c>
      <c r="D375" t="s">
        <v>9</v>
      </c>
      <c r="E375" t="s">
        <v>1983</v>
      </c>
      <c r="F375" t="str">
        <f>"007047013795"</f>
        <v>007047013795</v>
      </c>
      <c r="G375" t="s">
        <v>2389</v>
      </c>
      <c r="H375" s="4">
        <v>210039.899</v>
      </c>
    </row>
    <row r="376" spans="1:8" x14ac:dyDescent="0.3">
      <c r="A376" s="3" t="s">
        <v>6</v>
      </c>
      <c r="B376" t="s">
        <v>7</v>
      </c>
      <c r="C376" t="s">
        <v>1122</v>
      </c>
      <c r="D376" t="s">
        <v>9</v>
      </c>
      <c r="E376" t="s">
        <v>1264</v>
      </c>
      <c r="F376" t="str">
        <f>"001600049434"</f>
        <v>001600049434</v>
      </c>
      <c r="G376" t="s">
        <v>2834</v>
      </c>
      <c r="H376" s="4">
        <v>209343.52799999999</v>
      </c>
    </row>
    <row r="377" spans="1:8" x14ac:dyDescent="0.3">
      <c r="A377" t="s">
        <v>6</v>
      </c>
      <c r="B377" t="s">
        <v>7</v>
      </c>
      <c r="C377" t="s">
        <v>1338</v>
      </c>
      <c r="D377" t="s">
        <v>9</v>
      </c>
      <c r="E377" t="s">
        <v>1396</v>
      </c>
      <c r="F377" t="str">
        <f>"004280012531"</f>
        <v>004280012531</v>
      </c>
      <c r="G377" t="s">
        <v>2951</v>
      </c>
      <c r="H377" s="4">
        <v>208314.076</v>
      </c>
    </row>
    <row r="378" spans="1:8" x14ac:dyDescent="0.3">
      <c r="A378" t="s">
        <v>6</v>
      </c>
      <c r="B378" t="s">
        <v>7</v>
      </c>
      <c r="C378" t="s">
        <v>1397</v>
      </c>
      <c r="D378" t="s">
        <v>9</v>
      </c>
      <c r="E378" t="s">
        <v>1525</v>
      </c>
      <c r="F378" t="str">
        <f>"004119689107"</f>
        <v>004119689107</v>
      </c>
      <c r="G378" t="s">
        <v>3069</v>
      </c>
      <c r="H378" s="4">
        <v>208282.986</v>
      </c>
    </row>
    <row r="379" spans="1:8" x14ac:dyDescent="0.3">
      <c r="A379" t="s">
        <v>6</v>
      </c>
      <c r="B379" t="s">
        <v>7</v>
      </c>
      <c r="C379" t="s">
        <v>1397</v>
      </c>
      <c r="D379" t="s">
        <v>9</v>
      </c>
      <c r="E379" t="s">
        <v>1403</v>
      </c>
      <c r="F379" t="str">
        <f>"001356200180"</f>
        <v>001356200180</v>
      </c>
      <c r="G379" t="s">
        <v>2956</v>
      </c>
      <c r="H379" s="4">
        <v>208018.986</v>
      </c>
    </row>
    <row r="380" spans="1:8" x14ac:dyDescent="0.3">
      <c r="A380" t="s">
        <v>6</v>
      </c>
      <c r="B380" t="s">
        <v>7</v>
      </c>
      <c r="C380" t="s">
        <v>1577</v>
      </c>
      <c r="D380" t="s">
        <v>9</v>
      </c>
      <c r="E380" t="s">
        <v>1655</v>
      </c>
      <c r="F380" t="str">
        <f>"004600081181"</f>
        <v>004600081181</v>
      </c>
      <c r="G380" t="s">
        <v>3424</v>
      </c>
      <c r="H380" s="4">
        <v>207573.81099999999</v>
      </c>
    </row>
    <row r="381" spans="1:8" x14ac:dyDescent="0.3">
      <c r="A381" t="s">
        <v>6</v>
      </c>
      <c r="B381" t="s">
        <v>7</v>
      </c>
      <c r="C381" t="s">
        <v>1577</v>
      </c>
      <c r="D381" t="s">
        <v>9</v>
      </c>
      <c r="E381" t="s">
        <v>1664</v>
      </c>
      <c r="F381" t="str">
        <f>"004600029549"</f>
        <v>004600029549</v>
      </c>
      <c r="G381" t="s">
        <v>3433</v>
      </c>
      <c r="H381" s="4">
        <v>207346.75599999999</v>
      </c>
    </row>
    <row r="382" spans="1:8" x14ac:dyDescent="0.3">
      <c r="A382" t="s">
        <v>6</v>
      </c>
      <c r="B382" t="s">
        <v>7</v>
      </c>
      <c r="C382" t="s">
        <v>797</v>
      </c>
      <c r="D382" t="s">
        <v>9</v>
      </c>
      <c r="E382" t="s">
        <v>810</v>
      </c>
      <c r="F382" t="str">
        <f>"001600044030"</f>
        <v>001600044030</v>
      </c>
      <c r="G382" t="s">
        <v>2407</v>
      </c>
      <c r="H382" s="4">
        <v>207208.829</v>
      </c>
    </row>
    <row r="383" spans="1:8" x14ac:dyDescent="0.3">
      <c r="A383" t="s">
        <v>6</v>
      </c>
      <c r="B383" t="s">
        <v>7</v>
      </c>
      <c r="C383" t="s">
        <v>1940</v>
      </c>
      <c r="D383" t="s">
        <v>9</v>
      </c>
      <c r="E383" t="s">
        <v>2027</v>
      </c>
      <c r="F383" t="str">
        <f>"007047018495"</f>
        <v>007047018495</v>
      </c>
      <c r="G383" t="s">
        <v>3918</v>
      </c>
      <c r="H383" s="4">
        <v>206963.57800000001</v>
      </c>
    </row>
    <row r="384" spans="1:8" x14ac:dyDescent="0.3">
      <c r="A384" t="s">
        <v>6</v>
      </c>
      <c r="B384" t="s">
        <v>7</v>
      </c>
      <c r="C384" t="s">
        <v>2113</v>
      </c>
      <c r="D384" t="s">
        <v>9</v>
      </c>
      <c r="E384" t="s">
        <v>2183</v>
      </c>
      <c r="F384" t="str">
        <f>"001600049448"</f>
        <v>001600049448</v>
      </c>
      <c r="G384" t="s">
        <v>4389</v>
      </c>
      <c r="H384" s="4">
        <v>206320.89</v>
      </c>
    </row>
    <row r="385" spans="1:8" x14ac:dyDescent="0.3">
      <c r="A385" t="s">
        <v>6</v>
      </c>
      <c r="B385" t="s">
        <v>7</v>
      </c>
      <c r="C385" t="s">
        <v>1940</v>
      </c>
      <c r="D385" t="s">
        <v>9</v>
      </c>
      <c r="E385" t="s">
        <v>1953</v>
      </c>
      <c r="F385" t="str">
        <f>"007047016473"</f>
        <v>007047016473</v>
      </c>
      <c r="G385" t="s">
        <v>3836</v>
      </c>
      <c r="H385" s="4">
        <v>205793.823</v>
      </c>
    </row>
    <row r="386" spans="1:8" ht="28.8" x14ac:dyDescent="0.3">
      <c r="A386" t="s">
        <v>6</v>
      </c>
      <c r="B386" s="1" t="s">
        <v>7</v>
      </c>
      <c r="C386" s="1" t="s">
        <v>797</v>
      </c>
      <c r="D386" s="1" t="s">
        <v>9</v>
      </c>
      <c r="E386" s="3" t="s">
        <v>943</v>
      </c>
      <c r="F386" t="str">
        <f>"001600020761"</f>
        <v>001600020761</v>
      </c>
      <c r="G386" t="s">
        <v>2540</v>
      </c>
      <c r="H386" s="3" t="s">
        <v>944</v>
      </c>
    </row>
    <row r="387" spans="1:8" x14ac:dyDescent="0.3">
      <c r="A387" t="s">
        <v>6</v>
      </c>
      <c r="B387" t="s">
        <v>7</v>
      </c>
      <c r="C387" t="s">
        <v>985</v>
      </c>
      <c r="D387" t="s">
        <v>9</v>
      </c>
      <c r="E387" t="s">
        <v>1007</v>
      </c>
      <c r="F387" t="str">
        <f>"001356200137"</f>
        <v>001356200137</v>
      </c>
      <c r="G387" t="s">
        <v>2606</v>
      </c>
      <c r="H387" s="4">
        <v>204373.33499999999</v>
      </c>
    </row>
    <row r="388" spans="1:8" x14ac:dyDescent="0.3">
      <c r="A388" t="s">
        <v>6</v>
      </c>
      <c r="B388" t="s">
        <v>7</v>
      </c>
      <c r="C388" t="s">
        <v>2231</v>
      </c>
      <c r="D388" t="s">
        <v>9</v>
      </c>
      <c r="E388" t="s">
        <v>2360</v>
      </c>
      <c r="F388" t="str">
        <f>"004119691068"</f>
        <v>004119691068</v>
      </c>
      <c r="G388" t="s">
        <v>4551</v>
      </c>
      <c r="H388" s="4">
        <v>204221.035</v>
      </c>
    </row>
    <row r="389" spans="1:8" x14ac:dyDescent="0.3">
      <c r="A389" t="s">
        <v>6</v>
      </c>
      <c r="B389" t="s">
        <v>7</v>
      </c>
      <c r="C389" t="s">
        <v>1940</v>
      </c>
      <c r="D389" t="s">
        <v>9</v>
      </c>
      <c r="E389" t="s">
        <v>2106</v>
      </c>
      <c r="F389" t="str">
        <f>"007047046115"</f>
        <v>007047046115</v>
      </c>
      <c r="G389" t="s">
        <v>3994</v>
      </c>
      <c r="H389" s="4">
        <v>203705.89799999999</v>
      </c>
    </row>
    <row r="390" spans="1:8" x14ac:dyDescent="0.3">
      <c r="A390" t="s">
        <v>6</v>
      </c>
      <c r="B390" t="s">
        <v>7</v>
      </c>
      <c r="C390" t="s">
        <v>1805</v>
      </c>
      <c r="D390" t="s">
        <v>9</v>
      </c>
      <c r="E390" t="s">
        <v>1875</v>
      </c>
      <c r="F390" t="str">
        <f>"001800000235"</f>
        <v>001800000235</v>
      </c>
      <c r="G390" t="s">
        <v>2389</v>
      </c>
      <c r="H390" s="4">
        <v>203453.13</v>
      </c>
    </row>
    <row r="391" spans="1:8" x14ac:dyDescent="0.3">
      <c r="A391" t="s">
        <v>6</v>
      </c>
      <c r="B391" t="s">
        <v>7</v>
      </c>
      <c r="C391" t="s">
        <v>381</v>
      </c>
      <c r="D391" t="s">
        <v>9</v>
      </c>
      <c r="E391" t="s">
        <v>603</v>
      </c>
      <c r="F391" t="str">
        <f>"001600016052"</f>
        <v>001600016052</v>
      </c>
      <c r="G391" t="s">
        <v>3332</v>
      </c>
      <c r="H391" s="4">
        <v>202697.67</v>
      </c>
    </row>
    <row r="392" spans="1:8" x14ac:dyDescent="0.3">
      <c r="A392" t="s">
        <v>6</v>
      </c>
      <c r="B392" t="s">
        <v>7</v>
      </c>
      <c r="C392" t="s">
        <v>8</v>
      </c>
      <c r="D392" t="s">
        <v>9</v>
      </c>
      <c r="E392" t="s">
        <v>150</v>
      </c>
      <c r="F392" t="str">
        <f>"001600017099"</f>
        <v>001600017099</v>
      </c>
      <c r="G392" t="s">
        <v>4112</v>
      </c>
      <c r="H392" s="4">
        <v>202505.16699999999</v>
      </c>
    </row>
    <row r="393" spans="1:8" x14ac:dyDescent="0.3">
      <c r="A393" t="s">
        <v>6</v>
      </c>
      <c r="B393" t="s">
        <v>7</v>
      </c>
      <c r="C393" t="s">
        <v>1805</v>
      </c>
      <c r="D393" t="s">
        <v>9</v>
      </c>
      <c r="E393" t="s">
        <v>1822</v>
      </c>
      <c r="F393" t="str">
        <f>"001800013428"</f>
        <v>001800013428</v>
      </c>
      <c r="G393" t="s">
        <v>3755</v>
      </c>
      <c r="H393" s="4">
        <v>201887.78599999999</v>
      </c>
    </row>
    <row r="394" spans="1:8" x14ac:dyDescent="0.3">
      <c r="A394" t="s">
        <v>6</v>
      </c>
      <c r="B394" t="s">
        <v>7</v>
      </c>
      <c r="C394" t="s">
        <v>8</v>
      </c>
      <c r="D394" t="s">
        <v>9</v>
      </c>
      <c r="E394" t="s">
        <v>238</v>
      </c>
      <c r="F394" t="str">
        <f>"001600014155"</f>
        <v>001600014155</v>
      </c>
      <c r="G394" t="s">
        <v>4195</v>
      </c>
      <c r="H394" s="4">
        <v>200810.37899999999</v>
      </c>
    </row>
    <row r="395" spans="1:8" x14ac:dyDescent="0.3">
      <c r="A395" t="s">
        <v>6</v>
      </c>
      <c r="B395" t="s">
        <v>7</v>
      </c>
      <c r="C395" t="s">
        <v>8</v>
      </c>
      <c r="D395" t="s">
        <v>9</v>
      </c>
      <c r="E395" t="s">
        <v>54</v>
      </c>
      <c r="F395" t="str">
        <f>"002190813321"</f>
        <v>002190813321</v>
      </c>
      <c r="G395" t="s">
        <v>4031</v>
      </c>
      <c r="H395" s="4">
        <v>200110.61600000001</v>
      </c>
    </row>
    <row r="396" spans="1:8" x14ac:dyDescent="0.3">
      <c r="A396" t="s">
        <v>6</v>
      </c>
      <c r="B396" t="s">
        <v>7</v>
      </c>
      <c r="C396" t="s">
        <v>797</v>
      </c>
      <c r="D396" t="s">
        <v>9</v>
      </c>
      <c r="E396" t="s">
        <v>940</v>
      </c>
      <c r="F396" t="str">
        <f>"001600045840"</f>
        <v>001600045840</v>
      </c>
      <c r="G396" t="s">
        <v>2533</v>
      </c>
      <c r="H396" s="4">
        <v>200041.47700000001</v>
      </c>
    </row>
    <row r="397" spans="1:8" x14ac:dyDescent="0.3">
      <c r="A397" t="s">
        <v>6</v>
      </c>
      <c r="B397" s="3" t="s">
        <v>7</v>
      </c>
      <c r="C397" s="3" t="s">
        <v>1122</v>
      </c>
      <c r="D397" s="3" t="s">
        <v>9</v>
      </c>
      <c r="E397" s="3" t="s">
        <v>1189</v>
      </c>
      <c r="F397" t="str">
        <f>"001600018995"</f>
        <v>001600018995</v>
      </c>
      <c r="G397" t="s">
        <v>2777</v>
      </c>
      <c r="H397" s="3" t="s">
        <v>1190</v>
      </c>
    </row>
    <row r="398" spans="1:8" x14ac:dyDescent="0.3">
      <c r="A398" s="1" t="s">
        <v>6</v>
      </c>
      <c r="B398" t="s">
        <v>7</v>
      </c>
      <c r="C398" t="s">
        <v>8</v>
      </c>
      <c r="D398" t="s">
        <v>9</v>
      </c>
      <c r="E398" t="s">
        <v>198</v>
      </c>
      <c r="F398" t="str">
        <f>"001600047322"</f>
        <v>001600047322</v>
      </c>
      <c r="G398" t="s">
        <v>4157</v>
      </c>
      <c r="H398" s="4">
        <v>199111.435</v>
      </c>
    </row>
    <row r="399" spans="1:8" x14ac:dyDescent="0.3">
      <c r="A399" t="s">
        <v>6</v>
      </c>
      <c r="B399" t="s">
        <v>7</v>
      </c>
      <c r="C399" t="s">
        <v>1940</v>
      </c>
      <c r="D399" t="s">
        <v>9</v>
      </c>
      <c r="E399" t="s">
        <v>2083</v>
      </c>
      <c r="F399" t="str">
        <f>"007047000301"</f>
        <v>007047000301</v>
      </c>
      <c r="G399" t="s">
        <v>3969</v>
      </c>
      <c r="H399" s="4">
        <v>198390.777</v>
      </c>
    </row>
    <row r="400" spans="1:8" x14ac:dyDescent="0.3">
      <c r="A400" t="s">
        <v>6</v>
      </c>
      <c r="B400" t="s">
        <v>7</v>
      </c>
      <c r="C400" t="s">
        <v>1321</v>
      </c>
      <c r="D400" t="s">
        <v>9</v>
      </c>
      <c r="E400" t="s">
        <v>1337</v>
      </c>
      <c r="F400" t="str">
        <f>"004280047506"</f>
        <v>004280047506</v>
      </c>
      <c r="G400" t="s">
        <v>2899</v>
      </c>
      <c r="H400" s="4">
        <v>196577.84</v>
      </c>
    </row>
    <row r="401" spans="1:8" x14ac:dyDescent="0.3">
      <c r="A401" t="s">
        <v>6</v>
      </c>
      <c r="B401" t="s">
        <v>7</v>
      </c>
      <c r="C401" t="s">
        <v>1577</v>
      </c>
      <c r="D401" t="s">
        <v>9</v>
      </c>
      <c r="E401" t="s">
        <v>1590</v>
      </c>
      <c r="F401" t="str">
        <f>"004600082361"</f>
        <v>004600082361</v>
      </c>
      <c r="G401" t="s">
        <v>3354</v>
      </c>
      <c r="H401" s="4">
        <v>196462.06700000001</v>
      </c>
    </row>
    <row r="402" spans="1:8" x14ac:dyDescent="0.3">
      <c r="A402" t="s">
        <v>6</v>
      </c>
      <c r="B402" t="s">
        <v>7</v>
      </c>
      <c r="C402" t="s">
        <v>1338</v>
      </c>
      <c r="D402" t="s">
        <v>9</v>
      </c>
      <c r="E402" t="s">
        <v>1360</v>
      </c>
      <c r="F402" t="str">
        <f>"004280000583"</f>
        <v>004280000583</v>
      </c>
      <c r="G402" t="s">
        <v>2917</v>
      </c>
      <c r="H402" s="4">
        <v>196381.07800000001</v>
      </c>
    </row>
    <row r="403" spans="1:8" x14ac:dyDescent="0.3">
      <c r="A403" t="s">
        <v>6</v>
      </c>
      <c r="B403" t="s">
        <v>7</v>
      </c>
      <c r="C403" t="s">
        <v>797</v>
      </c>
      <c r="D403" t="s">
        <v>9</v>
      </c>
      <c r="E403" t="s">
        <v>976</v>
      </c>
      <c r="F403" t="str">
        <f>"001600032990"</f>
        <v>001600032990</v>
      </c>
      <c r="G403" t="s">
        <v>2567</v>
      </c>
      <c r="H403" s="4">
        <v>193783.26199999999</v>
      </c>
    </row>
    <row r="404" spans="1:8" x14ac:dyDescent="0.3">
      <c r="A404" t="s">
        <v>6</v>
      </c>
      <c r="B404" t="s">
        <v>7</v>
      </c>
      <c r="C404" t="s">
        <v>2113</v>
      </c>
      <c r="D404" t="s">
        <v>9</v>
      </c>
      <c r="E404" t="s">
        <v>2157</v>
      </c>
      <c r="F404" t="str">
        <f>"001600049447"</f>
        <v>001600049447</v>
      </c>
      <c r="G404" t="s">
        <v>4365</v>
      </c>
      <c r="H404" s="4">
        <v>192699.14</v>
      </c>
    </row>
    <row r="405" spans="1:8" x14ac:dyDescent="0.3">
      <c r="A405" t="s">
        <v>6</v>
      </c>
      <c r="B405" t="s">
        <v>7</v>
      </c>
      <c r="C405" t="s">
        <v>797</v>
      </c>
      <c r="D405" t="s">
        <v>9</v>
      </c>
      <c r="E405" t="s">
        <v>908</v>
      </c>
      <c r="F405" t="str">
        <f>"001600019726"</f>
        <v>001600019726</v>
      </c>
      <c r="G405" t="s">
        <v>2499</v>
      </c>
      <c r="H405" s="4">
        <v>192076.21100000001</v>
      </c>
    </row>
    <row r="406" spans="1:8" x14ac:dyDescent="0.3">
      <c r="A406" t="s">
        <v>6</v>
      </c>
      <c r="B406" t="s">
        <v>7</v>
      </c>
      <c r="C406" t="s">
        <v>8</v>
      </c>
      <c r="D406" t="s">
        <v>9</v>
      </c>
      <c r="E406" t="s">
        <v>80</v>
      </c>
      <c r="F406" t="str">
        <f>"001600015764"</f>
        <v>001600015764</v>
      </c>
      <c r="G406" t="s">
        <v>4054</v>
      </c>
      <c r="H406" s="4">
        <v>190740.712</v>
      </c>
    </row>
    <row r="407" spans="1:8" x14ac:dyDescent="0.3">
      <c r="A407" t="s">
        <v>6</v>
      </c>
      <c r="B407" t="s">
        <v>7</v>
      </c>
      <c r="C407" t="s">
        <v>1577</v>
      </c>
      <c r="D407" t="s">
        <v>9</v>
      </c>
      <c r="E407" t="s">
        <v>1648</v>
      </c>
      <c r="F407" t="str">
        <f>"004600029548"</f>
        <v>004600029548</v>
      </c>
      <c r="G407" t="s">
        <v>3417</v>
      </c>
      <c r="H407" s="4">
        <v>190567.98800000001</v>
      </c>
    </row>
    <row r="408" spans="1:8" x14ac:dyDescent="0.3">
      <c r="A408" t="s">
        <v>6</v>
      </c>
      <c r="B408" t="s">
        <v>7</v>
      </c>
      <c r="C408" t="s">
        <v>1805</v>
      </c>
      <c r="D408" t="s">
        <v>9</v>
      </c>
      <c r="E408" t="s">
        <v>1871</v>
      </c>
      <c r="F408" t="str">
        <f>"001800000158"</f>
        <v>001800000158</v>
      </c>
      <c r="G408" t="s">
        <v>2389</v>
      </c>
      <c r="H408" s="4">
        <v>190487.65700000001</v>
      </c>
    </row>
    <row r="409" spans="1:8" x14ac:dyDescent="0.3">
      <c r="A409" t="s">
        <v>6</v>
      </c>
      <c r="B409" t="s">
        <v>7</v>
      </c>
      <c r="C409" t="s">
        <v>381</v>
      </c>
      <c r="D409" t="s">
        <v>9</v>
      </c>
      <c r="E409" t="s">
        <v>510</v>
      </c>
      <c r="F409" t="str">
        <f>"001600041314"</f>
        <v>001600041314</v>
      </c>
      <c r="G409" t="s">
        <v>3236</v>
      </c>
      <c r="H409" s="4">
        <v>190118.59899999999</v>
      </c>
    </row>
    <row r="410" spans="1:8" x14ac:dyDescent="0.3">
      <c r="A410" t="s">
        <v>6</v>
      </c>
      <c r="B410" t="s">
        <v>7</v>
      </c>
      <c r="C410" t="s">
        <v>1940</v>
      </c>
      <c r="D410" t="s">
        <v>9</v>
      </c>
      <c r="E410" t="s">
        <v>2112</v>
      </c>
      <c r="F410" t="str">
        <f>"007047044128"</f>
        <v>007047044128</v>
      </c>
      <c r="G410" t="s">
        <v>2389</v>
      </c>
      <c r="H410" s="4">
        <v>190065.37</v>
      </c>
    </row>
    <row r="411" spans="1:8" x14ac:dyDescent="0.3">
      <c r="A411" t="s">
        <v>6</v>
      </c>
      <c r="B411" t="s">
        <v>7</v>
      </c>
      <c r="C411" t="s">
        <v>985</v>
      </c>
      <c r="D411" t="s">
        <v>9</v>
      </c>
      <c r="E411" t="s">
        <v>995</v>
      </c>
      <c r="F411" t="str">
        <f>"001356200138"</f>
        <v>001356200138</v>
      </c>
      <c r="G411" t="s">
        <v>2590</v>
      </c>
      <c r="H411" s="4">
        <v>189695.29300000001</v>
      </c>
    </row>
    <row r="412" spans="1:8" x14ac:dyDescent="0.3">
      <c r="A412" t="s">
        <v>6</v>
      </c>
      <c r="B412" t="s">
        <v>7</v>
      </c>
      <c r="C412" t="s">
        <v>1286</v>
      </c>
      <c r="D412" t="s">
        <v>9</v>
      </c>
      <c r="E412" t="s">
        <v>1298</v>
      </c>
      <c r="F412" t="str">
        <f>"001800047742"</f>
        <v>001800047742</v>
      </c>
      <c r="G412" t="s">
        <v>2862</v>
      </c>
      <c r="H412" s="4">
        <v>189331.36199999999</v>
      </c>
    </row>
    <row r="413" spans="1:8" x14ac:dyDescent="0.3">
      <c r="A413" s="3" t="s">
        <v>6</v>
      </c>
      <c r="B413" t="s">
        <v>7</v>
      </c>
      <c r="C413" t="s">
        <v>381</v>
      </c>
      <c r="D413" t="s">
        <v>9</v>
      </c>
      <c r="E413" t="s">
        <v>591</v>
      </c>
      <c r="F413" t="str">
        <f>"001600016053"</f>
        <v>001600016053</v>
      </c>
      <c r="G413" t="s">
        <v>3319</v>
      </c>
      <c r="H413" s="4">
        <v>189229.29</v>
      </c>
    </row>
    <row r="414" spans="1:8" x14ac:dyDescent="0.3">
      <c r="A414" t="s">
        <v>6</v>
      </c>
      <c r="B414" t="s">
        <v>7</v>
      </c>
      <c r="C414" t="s">
        <v>2231</v>
      </c>
      <c r="D414" t="s">
        <v>9</v>
      </c>
      <c r="E414" t="s">
        <v>2257</v>
      </c>
      <c r="F414" t="str">
        <f>"004119645384"</f>
        <v>004119645384</v>
      </c>
      <c r="G414" t="s">
        <v>4456</v>
      </c>
      <c r="H414" s="4">
        <v>189204.492</v>
      </c>
    </row>
    <row r="415" spans="1:8" x14ac:dyDescent="0.3">
      <c r="A415" t="s">
        <v>6</v>
      </c>
      <c r="B415" t="s">
        <v>7</v>
      </c>
      <c r="C415" t="s">
        <v>1286</v>
      </c>
      <c r="D415" t="s">
        <v>9</v>
      </c>
      <c r="E415" t="s">
        <v>1312</v>
      </c>
      <c r="F415" t="str">
        <f>"001800042689"</f>
        <v>001800042689</v>
      </c>
      <c r="G415" t="s">
        <v>2876</v>
      </c>
      <c r="H415" s="4">
        <v>188302.29699999999</v>
      </c>
    </row>
    <row r="416" spans="1:8" x14ac:dyDescent="0.3">
      <c r="A416" t="s">
        <v>6</v>
      </c>
      <c r="B416" t="s">
        <v>7</v>
      </c>
      <c r="C416" t="s">
        <v>2231</v>
      </c>
      <c r="D416" t="s">
        <v>9</v>
      </c>
      <c r="E416" t="s">
        <v>2279</v>
      </c>
      <c r="F416" t="str">
        <f>"004119610162"</f>
        <v>004119610162</v>
      </c>
      <c r="G416" t="s">
        <v>4476</v>
      </c>
      <c r="H416" s="4">
        <v>187741.92800000001</v>
      </c>
    </row>
    <row r="417" spans="1:8" x14ac:dyDescent="0.3">
      <c r="A417" s="3" t="s">
        <v>6</v>
      </c>
      <c r="B417" t="s">
        <v>7</v>
      </c>
      <c r="C417" t="s">
        <v>985</v>
      </c>
      <c r="D417" t="s">
        <v>9</v>
      </c>
      <c r="E417" t="s">
        <v>1016</v>
      </c>
      <c r="F417" t="str">
        <f>"001356230210"</f>
        <v>001356230210</v>
      </c>
      <c r="G417" t="s">
        <v>2615</v>
      </c>
      <c r="H417" s="4">
        <v>187504.53700000001</v>
      </c>
    </row>
    <row r="418" spans="1:8" x14ac:dyDescent="0.3">
      <c r="A418" t="s">
        <v>6</v>
      </c>
      <c r="B418" t="s">
        <v>7</v>
      </c>
      <c r="C418" t="s">
        <v>381</v>
      </c>
      <c r="D418" t="s">
        <v>9</v>
      </c>
      <c r="E418" t="s">
        <v>539</v>
      </c>
      <c r="F418" t="str">
        <f>"001600018059"</f>
        <v>001600018059</v>
      </c>
      <c r="G418" t="s">
        <v>3262</v>
      </c>
      <c r="H418" s="4">
        <v>185608.64</v>
      </c>
    </row>
    <row r="419" spans="1:8" x14ac:dyDescent="0.3">
      <c r="A419" t="s">
        <v>6</v>
      </c>
      <c r="B419" t="s">
        <v>7</v>
      </c>
      <c r="C419" t="s">
        <v>1940</v>
      </c>
      <c r="D419" t="s">
        <v>9</v>
      </c>
      <c r="E419" t="s">
        <v>1942</v>
      </c>
      <c r="F419" t="str">
        <f>"007047016487"</f>
        <v>007047016487</v>
      </c>
      <c r="G419" t="s">
        <v>3821</v>
      </c>
      <c r="H419" s="4">
        <v>185104.97500000001</v>
      </c>
    </row>
    <row r="420" spans="1:8" x14ac:dyDescent="0.3">
      <c r="A420" t="s">
        <v>6</v>
      </c>
      <c r="B420" t="s">
        <v>7</v>
      </c>
      <c r="C420" t="s">
        <v>2231</v>
      </c>
      <c r="D420" t="s">
        <v>9</v>
      </c>
      <c r="E420" t="s">
        <v>2259</v>
      </c>
      <c r="F420" t="str">
        <f>"004119611064"</f>
        <v>004119611064</v>
      </c>
      <c r="G420" t="s">
        <v>4458</v>
      </c>
      <c r="H420" s="4">
        <v>184681.39600000001</v>
      </c>
    </row>
    <row r="421" spans="1:8" x14ac:dyDescent="0.3">
      <c r="A421" t="s">
        <v>6</v>
      </c>
      <c r="B421" t="s">
        <v>7</v>
      </c>
      <c r="C421" t="s">
        <v>381</v>
      </c>
      <c r="D421" t="s">
        <v>9</v>
      </c>
      <c r="E421" t="s">
        <v>497</v>
      </c>
      <c r="F421" t="str">
        <f>"001600029860"</f>
        <v>001600029860</v>
      </c>
      <c r="G421" t="s">
        <v>3225</v>
      </c>
      <c r="H421" s="4">
        <v>184489.54800000001</v>
      </c>
    </row>
    <row r="422" spans="1:8" x14ac:dyDescent="0.3">
      <c r="A422" t="s">
        <v>6</v>
      </c>
      <c r="B422" t="s">
        <v>7</v>
      </c>
      <c r="C422" t="s">
        <v>1940</v>
      </c>
      <c r="D422" t="s">
        <v>9</v>
      </c>
      <c r="E422" t="s">
        <v>1977</v>
      </c>
      <c r="F422" t="str">
        <f>"007047013768"</f>
        <v>007047013768</v>
      </c>
      <c r="G422" t="s">
        <v>3866</v>
      </c>
      <c r="H422" s="4">
        <v>184084.96400000001</v>
      </c>
    </row>
    <row r="423" spans="1:8" x14ac:dyDescent="0.3">
      <c r="A423" s="3" t="s">
        <v>6</v>
      </c>
      <c r="B423" t="s">
        <v>7</v>
      </c>
      <c r="C423" t="s">
        <v>8</v>
      </c>
      <c r="D423" t="s">
        <v>9</v>
      </c>
      <c r="E423" t="s">
        <v>249</v>
      </c>
      <c r="F423" t="str">
        <f>"001600040106"</f>
        <v>001600040106</v>
      </c>
      <c r="G423" t="s">
        <v>4204</v>
      </c>
      <c r="H423" s="4">
        <v>183759.64</v>
      </c>
    </row>
    <row r="424" spans="1:8" x14ac:dyDescent="0.3">
      <c r="A424" t="s">
        <v>6</v>
      </c>
      <c r="B424" t="s">
        <v>7</v>
      </c>
      <c r="C424" t="s">
        <v>381</v>
      </c>
      <c r="D424" t="s">
        <v>9</v>
      </c>
      <c r="E424" t="s">
        <v>1574</v>
      </c>
      <c r="F424" t="str">
        <f>"001600014481"</f>
        <v>001600014481</v>
      </c>
      <c r="G424" t="s">
        <v>3199</v>
      </c>
      <c r="H424" s="4">
        <v>183575.55900000001</v>
      </c>
    </row>
    <row r="425" spans="1:8" x14ac:dyDescent="0.3">
      <c r="A425" t="s">
        <v>6</v>
      </c>
      <c r="B425" t="s">
        <v>7</v>
      </c>
      <c r="C425" t="s">
        <v>2231</v>
      </c>
      <c r="D425" t="s">
        <v>9</v>
      </c>
      <c r="E425" t="s">
        <v>2345</v>
      </c>
      <c r="F425" t="str">
        <f>"004119646055"</f>
        <v>004119646055</v>
      </c>
      <c r="G425" t="s">
        <v>4537</v>
      </c>
      <c r="H425" s="4">
        <v>183239.405</v>
      </c>
    </row>
    <row r="426" spans="1:8" x14ac:dyDescent="0.3">
      <c r="A426" t="s">
        <v>6</v>
      </c>
      <c r="B426" t="s">
        <v>7</v>
      </c>
      <c r="C426" t="s">
        <v>1577</v>
      </c>
      <c r="D426" t="s">
        <v>9</v>
      </c>
      <c r="E426" t="s">
        <v>1633</v>
      </c>
      <c r="F426" t="str">
        <f>"004600082131"</f>
        <v>004600082131</v>
      </c>
      <c r="G426" t="s">
        <v>3402</v>
      </c>
      <c r="H426" s="4">
        <v>182744.66899999999</v>
      </c>
    </row>
    <row r="427" spans="1:8" x14ac:dyDescent="0.3">
      <c r="A427" t="s">
        <v>6</v>
      </c>
      <c r="B427" t="s">
        <v>7</v>
      </c>
      <c r="C427" t="s">
        <v>381</v>
      </c>
      <c r="D427" t="s">
        <v>9</v>
      </c>
      <c r="E427" t="s">
        <v>493</v>
      </c>
      <c r="F427" t="str">
        <f>"001600041727"</f>
        <v>001600041727</v>
      </c>
      <c r="G427" t="s">
        <v>3220</v>
      </c>
      <c r="H427" s="4">
        <v>181162.701</v>
      </c>
    </row>
    <row r="428" spans="1:8" x14ac:dyDescent="0.3">
      <c r="A428" t="s">
        <v>6</v>
      </c>
      <c r="B428" t="s">
        <v>7</v>
      </c>
      <c r="C428" t="s">
        <v>8</v>
      </c>
      <c r="D428" t="s">
        <v>9</v>
      </c>
      <c r="E428" t="s">
        <v>335</v>
      </c>
      <c r="F428" t="str">
        <f>"001600018517"</f>
        <v>001600018517</v>
      </c>
      <c r="G428" t="s">
        <v>4285</v>
      </c>
      <c r="H428" s="4">
        <v>180389.016</v>
      </c>
    </row>
    <row r="429" spans="1:8" x14ac:dyDescent="0.3">
      <c r="A429" t="s">
        <v>6</v>
      </c>
      <c r="B429" t="s">
        <v>7</v>
      </c>
      <c r="C429" t="s">
        <v>2113</v>
      </c>
      <c r="D429" t="s">
        <v>9</v>
      </c>
      <c r="E429" t="s">
        <v>2173</v>
      </c>
      <c r="F429" t="str">
        <f>"001600046813"</f>
        <v>001600046813</v>
      </c>
      <c r="G429" t="s">
        <v>4380</v>
      </c>
      <c r="H429" s="4">
        <v>180015.91200000001</v>
      </c>
    </row>
    <row r="430" spans="1:8" x14ac:dyDescent="0.3">
      <c r="A430" t="s">
        <v>6</v>
      </c>
      <c r="B430" t="s">
        <v>7</v>
      </c>
      <c r="C430" t="s">
        <v>1286</v>
      </c>
      <c r="D430" t="s">
        <v>9</v>
      </c>
      <c r="E430" t="s">
        <v>1296</v>
      </c>
      <c r="F430" t="str">
        <f>"001800047748"</f>
        <v>001800047748</v>
      </c>
      <c r="G430" t="s">
        <v>2860</v>
      </c>
      <c r="H430" s="5">
        <v>179343.73800000001</v>
      </c>
    </row>
    <row r="431" spans="1:8" x14ac:dyDescent="0.3">
      <c r="A431" t="s">
        <v>6</v>
      </c>
      <c r="B431" t="s">
        <v>7</v>
      </c>
      <c r="C431" t="s">
        <v>770</v>
      </c>
      <c r="D431" t="s">
        <v>9</v>
      </c>
      <c r="E431" t="s">
        <v>785</v>
      </c>
      <c r="F431" t="str">
        <f>"001600043059"</f>
        <v>001600043059</v>
      </c>
      <c r="G431" t="s">
        <v>2385</v>
      </c>
      <c r="H431" s="4">
        <v>178798.087</v>
      </c>
    </row>
    <row r="432" spans="1:8" x14ac:dyDescent="0.3">
      <c r="A432" t="s">
        <v>6</v>
      </c>
      <c r="B432" t="s">
        <v>7</v>
      </c>
      <c r="C432" t="s">
        <v>381</v>
      </c>
      <c r="D432" t="s">
        <v>9</v>
      </c>
      <c r="E432" t="s">
        <v>595</v>
      </c>
      <c r="F432" t="str">
        <f>"001600016059"</f>
        <v>001600016059</v>
      </c>
      <c r="G432" t="s">
        <v>3323</v>
      </c>
      <c r="H432" s="4">
        <v>178558.22</v>
      </c>
    </row>
    <row r="433" spans="1:8" x14ac:dyDescent="0.3">
      <c r="A433" t="s">
        <v>6</v>
      </c>
      <c r="B433" t="s">
        <v>7</v>
      </c>
      <c r="C433" t="s">
        <v>1270</v>
      </c>
      <c r="D433" t="s">
        <v>9</v>
      </c>
      <c r="E433" t="s">
        <v>1280</v>
      </c>
      <c r="F433" t="str">
        <f>"001800085517"</f>
        <v>001800085517</v>
      </c>
      <c r="G433" t="s">
        <v>2848</v>
      </c>
      <c r="H433" s="4">
        <v>178029.87700000001</v>
      </c>
    </row>
    <row r="434" spans="1:8" x14ac:dyDescent="0.3">
      <c r="A434" t="s">
        <v>6</v>
      </c>
      <c r="B434" t="s">
        <v>7</v>
      </c>
      <c r="C434" t="s">
        <v>797</v>
      </c>
      <c r="D434" t="s">
        <v>9</v>
      </c>
      <c r="E434" t="s">
        <v>856</v>
      </c>
      <c r="F434" t="str">
        <f>"001600030790"</f>
        <v>001600030790</v>
      </c>
      <c r="G434" t="s">
        <v>2451</v>
      </c>
      <c r="H434" s="4">
        <v>178004.17</v>
      </c>
    </row>
    <row r="435" spans="1:8" x14ac:dyDescent="0.3">
      <c r="A435" t="s">
        <v>6</v>
      </c>
      <c r="B435" t="s">
        <v>7</v>
      </c>
      <c r="C435" t="s">
        <v>1095</v>
      </c>
      <c r="D435" t="s">
        <v>9</v>
      </c>
      <c r="E435" t="s">
        <v>1098</v>
      </c>
      <c r="F435" t="str">
        <f>"001600010640"</f>
        <v>001600010640</v>
      </c>
      <c r="G435" t="s">
        <v>2700</v>
      </c>
      <c r="H435" s="4">
        <v>177753.48</v>
      </c>
    </row>
    <row r="436" spans="1:8" x14ac:dyDescent="0.3">
      <c r="A436" t="s">
        <v>6</v>
      </c>
      <c r="B436" t="s">
        <v>7</v>
      </c>
      <c r="C436" t="s">
        <v>1122</v>
      </c>
      <c r="D436" t="s">
        <v>9</v>
      </c>
      <c r="E436" t="s">
        <v>1173</v>
      </c>
      <c r="F436" t="str">
        <f>"001600042419"</f>
        <v>001600042419</v>
      </c>
      <c r="G436" t="s">
        <v>2761</v>
      </c>
      <c r="H436" s="4">
        <v>177447.35</v>
      </c>
    </row>
    <row r="437" spans="1:8" x14ac:dyDescent="0.3">
      <c r="A437" t="s">
        <v>6</v>
      </c>
      <c r="B437" t="s">
        <v>7</v>
      </c>
      <c r="C437" t="s">
        <v>8</v>
      </c>
      <c r="D437" t="s">
        <v>9</v>
      </c>
      <c r="E437" t="s">
        <v>179</v>
      </c>
      <c r="F437" t="str">
        <f>"001600014154"</f>
        <v>001600014154</v>
      </c>
      <c r="G437" t="s">
        <v>4138</v>
      </c>
      <c r="H437" s="4">
        <v>177423.443</v>
      </c>
    </row>
    <row r="438" spans="1:8" x14ac:dyDescent="0.3">
      <c r="A438" t="s">
        <v>6</v>
      </c>
      <c r="B438" t="s">
        <v>7</v>
      </c>
      <c r="C438" t="s">
        <v>2231</v>
      </c>
      <c r="D438" t="s">
        <v>9</v>
      </c>
      <c r="E438" t="s">
        <v>2355</v>
      </c>
      <c r="F438" t="str">
        <f>"004119691157"</f>
        <v>004119691157</v>
      </c>
      <c r="G438" t="s">
        <v>4547</v>
      </c>
      <c r="H438" s="4">
        <v>177247.389</v>
      </c>
    </row>
    <row r="439" spans="1:8" x14ac:dyDescent="0.3">
      <c r="A439" t="s">
        <v>6</v>
      </c>
      <c r="B439" t="s">
        <v>7</v>
      </c>
      <c r="C439" t="s">
        <v>1321</v>
      </c>
      <c r="D439" t="s">
        <v>9</v>
      </c>
      <c r="E439" t="s">
        <v>1326</v>
      </c>
      <c r="F439" t="str">
        <f>"004280011300"</f>
        <v>004280011300</v>
      </c>
      <c r="G439" t="s">
        <v>2888</v>
      </c>
      <c r="H439" s="4">
        <v>176826.21299999999</v>
      </c>
    </row>
    <row r="440" spans="1:8" x14ac:dyDescent="0.3">
      <c r="A440" t="s">
        <v>6</v>
      </c>
      <c r="B440" t="s">
        <v>7</v>
      </c>
      <c r="C440" t="s">
        <v>2231</v>
      </c>
      <c r="D440" t="s">
        <v>9</v>
      </c>
      <c r="E440" t="s">
        <v>2263</v>
      </c>
      <c r="F440" t="str">
        <f>"004119691408"</f>
        <v>004119691408</v>
      </c>
      <c r="G440" t="s">
        <v>4462</v>
      </c>
      <c r="H440" s="4">
        <v>176033.48</v>
      </c>
    </row>
    <row r="441" spans="1:8" x14ac:dyDescent="0.3">
      <c r="A441" t="s">
        <v>6</v>
      </c>
      <c r="B441" t="s">
        <v>7</v>
      </c>
      <c r="C441" t="s">
        <v>2231</v>
      </c>
      <c r="D441" t="s">
        <v>9</v>
      </c>
      <c r="E441" t="s">
        <v>2332</v>
      </c>
      <c r="F441" t="str">
        <f>"004119691075"</f>
        <v>004119691075</v>
      </c>
      <c r="G441" t="s">
        <v>4523</v>
      </c>
      <c r="H441" s="4">
        <v>175656.67199999999</v>
      </c>
    </row>
    <row r="442" spans="1:8" x14ac:dyDescent="0.3">
      <c r="A442" s="3" t="s">
        <v>6</v>
      </c>
      <c r="B442" t="s">
        <v>7</v>
      </c>
      <c r="C442" t="s">
        <v>381</v>
      </c>
      <c r="D442" t="s">
        <v>9</v>
      </c>
      <c r="E442" t="s">
        <v>444</v>
      </c>
      <c r="F442" t="str">
        <f>"001600028166"</f>
        <v>001600028166</v>
      </c>
      <c r="G442" t="s">
        <v>3170</v>
      </c>
      <c r="H442" s="4">
        <v>175024.20499999999</v>
      </c>
    </row>
    <row r="443" spans="1:8" x14ac:dyDescent="0.3">
      <c r="A443" t="s">
        <v>6</v>
      </c>
      <c r="B443" t="s">
        <v>7</v>
      </c>
      <c r="C443" t="s">
        <v>381</v>
      </c>
      <c r="D443" t="s">
        <v>9</v>
      </c>
      <c r="E443" t="s">
        <v>435</v>
      </c>
      <c r="F443" t="str">
        <f>"001600042365"</f>
        <v>001600042365</v>
      </c>
      <c r="G443" t="s">
        <v>3161</v>
      </c>
      <c r="H443" s="4">
        <v>173072.40400000001</v>
      </c>
    </row>
    <row r="444" spans="1:8" x14ac:dyDescent="0.3">
      <c r="A444" t="s">
        <v>6</v>
      </c>
      <c r="B444" t="s">
        <v>7</v>
      </c>
      <c r="C444" t="s">
        <v>381</v>
      </c>
      <c r="D444" t="s">
        <v>9</v>
      </c>
      <c r="E444" t="s">
        <v>599</v>
      </c>
      <c r="F444" t="str">
        <f>"001600016056"</f>
        <v>001600016056</v>
      </c>
      <c r="G444" t="s">
        <v>3328</v>
      </c>
      <c r="H444" s="4">
        <v>172707.52900000001</v>
      </c>
    </row>
    <row r="445" spans="1:8" x14ac:dyDescent="0.3">
      <c r="A445" t="s">
        <v>6</v>
      </c>
      <c r="B445" t="s">
        <v>7</v>
      </c>
      <c r="C445" t="s">
        <v>1577</v>
      </c>
      <c r="D445" t="s">
        <v>9</v>
      </c>
      <c r="E445" t="s">
        <v>1649</v>
      </c>
      <c r="F445" t="str">
        <f>"004600013061"</f>
        <v>004600013061</v>
      </c>
      <c r="G445" t="s">
        <v>3418</v>
      </c>
      <c r="H445" s="4">
        <v>171904.682</v>
      </c>
    </row>
    <row r="446" spans="1:8" x14ac:dyDescent="0.3">
      <c r="A446" t="s">
        <v>6</v>
      </c>
      <c r="B446" t="s">
        <v>7</v>
      </c>
      <c r="C446" t="s">
        <v>1940</v>
      </c>
      <c r="D446" t="s">
        <v>9</v>
      </c>
      <c r="E446" t="s">
        <v>2008</v>
      </c>
      <c r="F446" t="str">
        <f>"007047049652"</f>
        <v>007047049652</v>
      </c>
      <c r="G446" t="s">
        <v>3900</v>
      </c>
      <c r="H446" s="4">
        <v>171806.62</v>
      </c>
    </row>
    <row r="447" spans="1:8" x14ac:dyDescent="0.3">
      <c r="A447" t="s">
        <v>6</v>
      </c>
      <c r="B447" t="s">
        <v>7</v>
      </c>
      <c r="C447" t="s">
        <v>1940</v>
      </c>
      <c r="D447" t="s">
        <v>9</v>
      </c>
      <c r="E447" t="s">
        <v>2029</v>
      </c>
      <c r="F447" t="str">
        <f>"007047049661"</f>
        <v>007047049661</v>
      </c>
      <c r="G447" t="s">
        <v>3920</v>
      </c>
      <c r="H447" s="4">
        <v>170033.087</v>
      </c>
    </row>
    <row r="448" spans="1:8" x14ac:dyDescent="0.3">
      <c r="A448" t="s">
        <v>6</v>
      </c>
      <c r="B448" t="s">
        <v>7</v>
      </c>
      <c r="C448" t="s">
        <v>8</v>
      </c>
      <c r="D448" t="s">
        <v>9</v>
      </c>
      <c r="E448" t="s">
        <v>226</v>
      </c>
      <c r="F448" t="str">
        <f>"001600012024"</f>
        <v>001600012024</v>
      </c>
      <c r="G448" t="s">
        <v>4184</v>
      </c>
      <c r="H448" s="4">
        <v>169415.21100000001</v>
      </c>
    </row>
    <row r="449" spans="1:8" x14ac:dyDescent="0.3">
      <c r="A449" t="s">
        <v>6</v>
      </c>
      <c r="B449" t="s">
        <v>7</v>
      </c>
      <c r="C449" t="s">
        <v>381</v>
      </c>
      <c r="D449" t="s">
        <v>9</v>
      </c>
      <c r="E449" t="s">
        <v>427</v>
      </c>
      <c r="F449" t="str">
        <f>"001600036447"</f>
        <v>001600036447</v>
      </c>
      <c r="G449" t="s">
        <v>3153</v>
      </c>
      <c r="H449" s="4">
        <v>168690.53</v>
      </c>
    </row>
    <row r="450" spans="1:8" x14ac:dyDescent="0.3">
      <c r="A450" t="s">
        <v>6</v>
      </c>
      <c r="B450" t="s">
        <v>7</v>
      </c>
      <c r="C450" t="s">
        <v>1805</v>
      </c>
      <c r="D450" t="s">
        <v>9</v>
      </c>
      <c r="E450" t="s">
        <v>1900</v>
      </c>
      <c r="F450" t="str">
        <f>"001800048461"</f>
        <v>001800048461</v>
      </c>
      <c r="G450" t="s">
        <v>3787</v>
      </c>
      <c r="H450" s="5">
        <v>168540</v>
      </c>
    </row>
    <row r="451" spans="1:8" x14ac:dyDescent="0.3">
      <c r="A451" t="s">
        <v>6</v>
      </c>
      <c r="B451" t="s">
        <v>7</v>
      </c>
      <c r="C451" t="s">
        <v>1805</v>
      </c>
      <c r="D451" t="s">
        <v>9</v>
      </c>
      <c r="E451" t="s">
        <v>1855</v>
      </c>
      <c r="F451" t="str">
        <f>"001800000420"</f>
        <v>001800000420</v>
      </c>
      <c r="G451" t="s">
        <v>2389</v>
      </c>
      <c r="H451" s="4">
        <v>168146.81</v>
      </c>
    </row>
    <row r="452" spans="1:8" x14ac:dyDescent="0.3">
      <c r="A452" t="s">
        <v>6</v>
      </c>
      <c r="B452" t="s">
        <v>7</v>
      </c>
      <c r="C452" t="s">
        <v>381</v>
      </c>
      <c r="D452" t="s">
        <v>9</v>
      </c>
      <c r="E452" t="s">
        <v>566</v>
      </c>
      <c r="F452" t="str">
        <f>"001600041269"</f>
        <v>001600041269</v>
      </c>
      <c r="G452" t="s">
        <v>3288</v>
      </c>
      <c r="H452" s="4">
        <v>167923.12700000001</v>
      </c>
    </row>
    <row r="453" spans="1:8" x14ac:dyDescent="0.3">
      <c r="A453" t="s">
        <v>6</v>
      </c>
      <c r="B453" t="s">
        <v>7</v>
      </c>
      <c r="C453" t="s">
        <v>1286</v>
      </c>
      <c r="D453" t="s">
        <v>9</v>
      </c>
      <c r="E453" t="s">
        <v>1308</v>
      </c>
      <c r="F453" t="str">
        <f>"001800042692"</f>
        <v>001800042692</v>
      </c>
      <c r="G453" t="s">
        <v>2872</v>
      </c>
      <c r="H453" s="4">
        <v>167735.823</v>
      </c>
    </row>
    <row r="454" spans="1:8" x14ac:dyDescent="0.3">
      <c r="A454" t="s">
        <v>6</v>
      </c>
      <c r="B454" t="s">
        <v>7</v>
      </c>
      <c r="C454" t="s">
        <v>8</v>
      </c>
      <c r="D454" t="s">
        <v>9</v>
      </c>
      <c r="E454" t="s">
        <v>236</v>
      </c>
      <c r="F454" t="str">
        <f>"001600017106"</f>
        <v>001600017106</v>
      </c>
      <c r="G454" t="s">
        <v>4193</v>
      </c>
      <c r="H454" s="4">
        <v>167510.48000000001</v>
      </c>
    </row>
    <row r="455" spans="1:8" x14ac:dyDescent="0.3">
      <c r="A455" t="s">
        <v>6</v>
      </c>
      <c r="B455" t="s">
        <v>7</v>
      </c>
      <c r="C455" t="s">
        <v>2231</v>
      </c>
      <c r="D455" t="s">
        <v>9</v>
      </c>
      <c r="E455" t="s">
        <v>2267</v>
      </c>
      <c r="F455" t="str">
        <f>"004119640481"</f>
        <v>004119640481</v>
      </c>
      <c r="G455" t="s">
        <v>4466</v>
      </c>
      <c r="H455" s="4">
        <v>165934.49100000001</v>
      </c>
    </row>
    <row r="456" spans="1:8" x14ac:dyDescent="0.3">
      <c r="A456" t="s">
        <v>6</v>
      </c>
      <c r="B456" t="s">
        <v>7</v>
      </c>
      <c r="C456" t="s">
        <v>8</v>
      </c>
      <c r="D456" t="s">
        <v>9</v>
      </c>
      <c r="E456" t="s">
        <v>320</v>
      </c>
      <c r="F456" t="str">
        <f>"001600016398"</f>
        <v>001600016398</v>
      </c>
      <c r="G456" t="s">
        <v>4270</v>
      </c>
      <c r="H456" s="4">
        <v>165805.26</v>
      </c>
    </row>
    <row r="457" spans="1:8" x14ac:dyDescent="0.3">
      <c r="A457" t="s">
        <v>6</v>
      </c>
      <c r="B457" t="s">
        <v>7</v>
      </c>
      <c r="C457" t="s">
        <v>1940</v>
      </c>
      <c r="D457" t="s">
        <v>9</v>
      </c>
      <c r="E457" t="s">
        <v>2035</v>
      </c>
      <c r="F457" t="str">
        <f>"007047013729"</f>
        <v>007047013729</v>
      </c>
      <c r="G457" t="s">
        <v>3925</v>
      </c>
      <c r="H457" s="4">
        <v>165672.93299999999</v>
      </c>
    </row>
    <row r="458" spans="1:8" x14ac:dyDescent="0.3">
      <c r="A458" t="s">
        <v>6</v>
      </c>
      <c r="B458" t="s">
        <v>7</v>
      </c>
      <c r="C458" t="s">
        <v>8</v>
      </c>
      <c r="D458" t="s">
        <v>9</v>
      </c>
      <c r="E458" t="s">
        <v>336</v>
      </c>
      <c r="F458" t="str">
        <f>"001600018516"</f>
        <v>001600018516</v>
      </c>
      <c r="G458" t="s">
        <v>4286</v>
      </c>
      <c r="H458" s="4">
        <v>165419.147</v>
      </c>
    </row>
    <row r="459" spans="1:8" x14ac:dyDescent="0.3">
      <c r="A459" t="s">
        <v>6</v>
      </c>
      <c r="B459" t="s">
        <v>7</v>
      </c>
      <c r="C459" t="s">
        <v>1122</v>
      </c>
      <c r="D459" t="s">
        <v>9</v>
      </c>
      <c r="E459" t="s">
        <v>1239</v>
      </c>
      <c r="F459" t="str">
        <f>"001600039700"</f>
        <v>001600039700</v>
      </c>
      <c r="G459" t="s">
        <v>2811</v>
      </c>
      <c r="H459" s="4">
        <v>164809.008</v>
      </c>
    </row>
    <row r="460" spans="1:8" x14ac:dyDescent="0.3">
      <c r="A460" t="s">
        <v>6</v>
      </c>
      <c r="B460" t="s">
        <v>7</v>
      </c>
      <c r="C460" t="s">
        <v>381</v>
      </c>
      <c r="D460" t="s">
        <v>9</v>
      </c>
      <c r="E460" t="s">
        <v>559</v>
      </c>
      <c r="F460" t="str">
        <f>"001600045724"</f>
        <v>001600045724</v>
      </c>
      <c r="G460" t="s">
        <v>3282</v>
      </c>
      <c r="H460" s="4">
        <v>163667.07999999999</v>
      </c>
    </row>
    <row r="461" spans="1:8" x14ac:dyDescent="0.3">
      <c r="A461" t="s">
        <v>6</v>
      </c>
      <c r="B461" t="s">
        <v>7</v>
      </c>
      <c r="C461" t="s">
        <v>797</v>
      </c>
      <c r="D461" t="s">
        <v>9</v>
      </c>
      <c r="E461" t="s">
        <v>896</v>
      </c>
      <c r="F461" t="str">
        <f>"001600020777"</f>
        <v>001600020777</v>
      </c>
      <c r="G461" t="s">
        <v>2487</v>
      </c>
      <c r="H461" s="4">
        <v>163403.41399999999</v>
      </c>
    </row>
    <row r="462" spans="1:8" x14ac:dyDescent="0.3">
      <c r="A462" t="s">
        <v>6</v>
      </c>
      <c r="B462" t="s">
        <v>7</v>
      </c>
      <c r="C462" t="s">
        <v>8</v>
      </c>
      <c r="D462" t="s">
        <v>9</v>
      </c>
      <c r="E462" t="s">
        <v>369</v>
      </c>
      <c r="F462" t="str">
        <f>"001600043778"</f>
        <v>001600043778</v>
      </c>
      <c r="G462" t="s">
        <v>4313</v>
      </c>
      <c r="H462" s="4">
        <v>162898.81599999999</v>
      </c>
    </row>
    <row r="463" spans="1:8" x14ac:dyDescent="0.3">
      <c r="A463" t="s">
        <v>6</v>
      </c>
      <c r="B463" t="s">
        <v>7</v>
      </c>
      <c r="C463" t="s">
        <v>1940</v>
      </c>
      <c r="D463" t="s">
        <v>9</v>
      </c>
      <c r="E463" t="s">
        <v>1954</v>
      </c>
      <c r="F463" t="str">
        <f>"007047018137"</f>
        <v>007047018137</v>
      </c>
      <c r="G463" t="s">
        <v>3838</v>
      </c>
      <c r="H463" s="4">
        <v>162662.26199999999</v>
      </c>
    </row>
    <row r="464" spans="1:8" x14ac:dyDescent="0.3">
      <c r="A464" t="s">
        <v>6</v>
      </c>
      <c r="B464" t="s">
        <v>7</v>
      </c>
      <c r="C464" t="s">
        <v>381</v>
      </c>
      <c r="D464" t="s">
        <v>9</v>
      </c>
      <c r="E464" t="s">
        <v>554</v>
      </c>
      <c r="F464" t="str">
        <f>"001600045076"</f>
        <v>001600045076</v>
      </c>
      <c r="G464" t="s">
        <v>3277</v>
      </c>
      <c r="H464" s="4">
        <v>162395.57</v>
      </c>
    </row>
    <row r="465" spans="1:8" x14ac:dyDescent="0.3">
      <c r="A465" t="s">
        <v>6</v>
      </c>
      <c r="B465" t="s">
        <v>7</v>
      </c>
      <c r="C465" t="s">
        <v>1577</v>
      </c>
      <c r="D465" t="s">
        <v>9</v>
      </c>
      <c r="E465" t="s">
        <v>1620</v>
      </c>
      <c r="F465" t="str">
        <f>"004600028875"</f>
        <v>004600028875</v>
      </c>
      <c r="G465" t="s">
        <v>3384</v>
      </c>
      <c r="H465" s="4">
        <v>162256.568</v>
      </c>
    </row>
    <row r="466" spans="1:8" x14ac:dyDescent="0.3">
      <c r="A466" t="s">
        <v>6</v>
      </c>
      <c r="B466" t="s">
        <v>7</v>
      </c>
      <c r="C466" t="s">
        <v>1805</v>
      </c>
      <c r="D466" t="s">
        <v>9</v>
      </c>
      <c r="E466" t="s">
        <v>1835</v>
      </c>
      <c r="F466" t="str">
        <f>"001800081781"</f>
        <v>001800081781</v>
      </c>
      <c r="G466" t="s">
        <v>3765</v>
      </c>
      <c r="H466" s="4">
        <v>162027.79699999999</v>
      </c>
    </row>
    <row r="467" spans="1:8" x14ac:dyDescent="0.3">
      <c r="A467" t="s">
        <v>6</v>
      </c>
      <c r="B467" t="s">
        <v>7</v>
      </c>
      <c r="C467" t="s">
        <v>2231</v>
      </c>
      <c r="D467" t="s">
        <v>9</v>
      </c>
      <c r="E467" t="s">
        <v>2295</v>
      </c>
      <c r="F467" t="str">
        <f>"004119613306"</f>
        <v>004119613306</v>
      </c>
      <c r="G467" t="s">
        <v>4491</v>
      </c>
      <c r="H467" s="4">
        <v>160901.965</v>
      </c>
    </row>
    <row r="468" spans="1:8" x14ac:dyDescent="0.3">
      <c r="A468" t="s">
        <v>6</v>
      </c>
      <c r="B468" t="s">
        <v>7</v>
      </c>
      <c r="C468" t="s">
        <v>1940</v>
      </c>
      <c r="D468" t="s">
        <v>9</v>
      </c>
      <c r="E468" t="s">
        <v>1996</v>
      </c>
      <c r="F468" t="str">
        <f>"007047000650"</f>
        <v>007047000650</v>
      </c>
      <c r="G468" t="s">
        <v>3891</v>
      </c>
      <c r="H468" s="4">
        <v>160845.17600000001</v>
      </c>
    </row>
    <row r="469" spans="1:8" x14ac:dyDescent="0.3">
      <c r="A469" t="s">
        <v>6</v>
      </c>
      <c r="B469" t="s">
        <v>7</v>
      </c>
      <c r="C469" t="s">
        <v>616</v>
      </c>
      <c r="D469" t="s">
        <v>9</v>
      </c>
      <c r="E469" t="s">
        <v>746</v>
      </c>
      <c r="F469" t="str">
        <f>"002190811598"</f>
        <v>002190811598</v>
      </c>
      <c r="G469" t="s">
        <v>3716</v>
      </c>
      <c r="H469" s="4">
        <v>160761.76999999999</v>
      </c>
    </row>
    <row r="470" spans="1:8" x14ac:dyDescent="0.3">
      <c r="A470" t="s">
        <v>6</v>
      </c>
      <c r="B470" t="s">
        <v>7</v>
      </c>
      <c r="C470" t="s">
        <v>1072</v>
      </c>
      <c r="D470" t="s">
        <v>9</v>
      </c>
      <c r="E470" t="s">
        <v>1082</v>
      </c>
      <c r="F470" t="str">
        <f>"001600027489"</f>
        <v>001600027489</v>
      </c>
      <c r="G470" t="s">
        <v>2687</v>
      </c>
      <c r="H470" s="4">
        <v>160624.08900000001</v>
      </c>
    </row>
    <row r="471" spans="1:8" x14ac:dyDescent="0.3">
      <c r="A471" t="s">
        <v>6</v>
      </c>
      <c r="B471" t="s">
        <v>7</v>
      </c>
      <c r="C471" t="s">
        <v>381</v>
      </c>
      <c r="D471" t="s">
        <v>9</v>
      </c>
      <c r="E471" t="s">
        <v>468</v>
      </c>
      <c r="F471" t="str">
        <f>"001600046759"</f>
        <v>001600046759</v>
      </c>
      <c r="G471" t="s">
        <v>3192</v>
      </c>
      <c r="H471" s="4">
        <v>160329.734</v>
      </c>
    </row>
    <row r="472" spans="1:8" x14ac:dyDescent="0.3">
      <c r="A472" t="s">
        <v>6</v>
      </c>
      <c r="B472" t="s">
        <v>7</v>
      </c>
      <c r="C472" t="s">
        <v>2231</v>
      </c>
      <c r="D472" t="s">
        <v>9</v>
      </c>
      <c r="E472" t="s">
        <v>2273</v>
      </c>
      <c r="F472" t="str">
        <f>"004119644082"</f>
        <v>004119644082</v>
      </c>
      <c r="G472" t="s">
        <v>4471</v>
      </c>
      <c r="H472" s="4">
        <v>160004.91</v>
      </c>
    </row>
    <row r="473" spans="1:8" x14ac:dyDescent="0.3">
      <c r="A473" t="s">
        <v>6</v>
      </c>
      <c r="B473" t="s">
        <v>7</v>
      </c>
      <c r="C473" t="s">
        <v>8</v>
      </c>
      <c r="D473" t="s">
        <v>9</v>
      </c>
      <c r="E473" t="s">
        <v>258</v>
      </c>
      <c r="F473" t="str">
        <f>"001600027567"</f>
        <v>001600027567</v>
      </c>
      <c r="G473" t="s">
        <v>4211</v>
      </c>
      <c r="H473" s="4">
        <v>159807.42300000001</v>
      </c>
    </row>
    <row r="474" spans="1:8" x14ac:dyDescent="0.3">
      <c r="A474" s="1" t="s">
        <v>6</v>
      </c>
      <c r="B474" t="s">
        <v>7</v>
      </c>
      <c r="C474" t="s">
        <v>1122</v>
      </c>
      <c r="D474" t="s">
        <v>9</v>
      </c>
      <c r="E474" t="s">
        <v>1250</v>
      </c>
      <c r="F474" t="str">
        <f>"001600018003"</f>
        <v>001600018003</v>
      </c>
      <c r="G474" t="s">
        <v>2823</v>
      </c>
      <c r="H474" s="4">
        <v>159749.209</v>
      </c>
    </row>
    <row r="475" spans="1:8" x14ac:dyDescent="0.3">
      <c r="A475" t="s">
        <v>6</v>
      </c>
      <c r="B475" t="s">
        <v>7</v>
      </c>
      <c r="C475" t="s">
        <v>381</v>
      </c>
      <c r="D475" t="s">
        <v>9</v>
      </c>
      <c r="E475" t="s">
        <v>540</v>
      </c>
      <c r="F475" t="str">
        <f>"001600017944"</f>
        <v>001600017944</v>
      </c>
      <c r="G475" t="s">
        <v>3263</v>
      </c>
      <c r="H475" s="4">
        <v>159537.18100000001</v>
      </c>
    </row>
    <row r="476" spans="1:8" x14ac:dyDescent="0.3">
      <c r="A476" t="s">
        <v>6</v>
      </c>
      <c r="B476" t="s">
        <v>7</v>
      </c>
      <c r="C476" t="s">
        <v>1805</v>
      </c>
      <c r="D476" t="s">
        <v>9</v>
      </c>
      <c r="E476" t="s">
        <v>1894</v>
      </c>
      <c r="F476" t="str">
        <f>"001800000061"</f>
        <v>001800000061</v>
      </c>
      <c r="G476" t="s">
        <v>2389</v>
      </c>
      <c r="H476" s="4">
        <v>159461.46299999999</v>
      </c>
    </row>
    <row r="477" spans="1:8" x14ac:dyDescent="0.3">
      <c r="A477" t="s">
        <v>6</v>
      </c>
      <c r="B477" t="s">
        <v>7</v>
      </c>
      <c r="C477" t="s">
        <v>797</v>
      </c>
      <c r="D477" t="s">
        <v>9</v>
      </c>
      <c r="E477" t="s">
        <v>920</v>
      </c>
      <c r="F477" t="str">
        <f>"001600044804"</f>
        <v>001600044804</v>
      </c>
      <c r="G477" t="s">
        <v>2509</v>
      </c>
      <c r="H477" s="4">
        <v>159067.35699999999</v>
      </c>
    </row>
    <row r="478" spans="1:8" x14ac:dyDescent="0.3">
      <c r="A478" t="s">
        <v>6</v>
      </c>
      <c r="B478" t="s">
        <v>7</v>
      </c>
      <c r="C478" t="s">
        <v>2231</v>
      </c>
      <c r="D478" t="s">
        <v>9</v>
      </c>
      <c r="E478" t="s">
        <v>2301</v>
      </c>
      <c r="F478" t="str">
        <f>"004119645281"</f>
        <v>004119645281</v>
      </c>
      <c r="G478" t="s">
        <v>4497</v>
      </c>
      <c r="H478" s="4">
        <v>158898.014</v>
      </c>
    </row>
    <row r="479" spans="1:8" x14ac:dyDescent="0.3">
      <c r="A479" t="s">
        <v>6</v>
      </c>
      <c r="B479" t="s">
        <v>7</v>
      </c>
      <c r="C479" t="s">
        <v>381</v>
      </c>
      <c r="D479" t="s">
        <v>9</v>
      </c>
      <c r="E479" t="s">
        <v>463</v>
      </c>
      <c r="F479" t="str">
        <f>"001600044216"</f>
        <v>001600044216</v>
      </c>
      <c r="G479" t="s">
        <v>3188</v>
      </c>
      <c r="H479" s="4">
        <v>158683.55100000001</v>
      </c>
    </row>
    <row r="480" spans="1:8" x14ac:dyDescent="0.3">
      <c r="A480" t="s">
        <v>6</v>
      </c>
      <c r="B480" t="s">
        <v>7</v>
      </c>
      <c r="C480" t="s">
        <v>1940</v>
      </c>
      <c r="D480" t="s">
        <v>9</v>
      </c>
      <c r="E480" t="s">
        <v>2112</v>
      </c>
      <c r="F480" t="str">
        <f>"007047044110"</f>
        <v>007047044110</v>
      </c>
      <c r="G480" t="s">
        <v>2389</v>
      </c>
      <c r="H480" s="4">
        <v>157712.82999999999</v>
      </c>
    </row>
    <row r="481" spans="1:8" x14ac:dyDescent="0.3">
      <c r="A481" t="s">
        <v>6</v>
      </c>
      <c r="B481" t="s">
        <v>7</v>
      </c>
      <c r="C481" t="s">
        <v>8</v>
      </c>
      <c r="D481" t="s">
        <v>9</v>
      </c>
      <c r="E481" t="s">
        <v>206</v>
      </c>
      <c r="F481" t="str">
        <f>"001600027583"</f>
        <v>001600027583</v>
      </c>
      <c r="G481" t="s">
        <v>4165</v>
      </c>
      <c r="H481" s="4">
        <v>157690.54300000001</v>
      </c>
    </row>
    <row r="482" spans="1:8" x14ac:dyDescent="0.3">
      <c r="A482" s="3" t="s">
        <v>6</v>
      </c>
      <c r="B482" t="s">
        <v>7</v>
      </c>
      <c r="C482" t="s">
        <v>2231</v>
      </c>
      <c r="D482" t="s">
        <v>9</v>
      </c>
      <c r="E482" t="s">
        <v>2320</v>
      </c>
      <c r="F482" t="str">
        <f>"004119612615"</f>
        <v>004119612615</v>
      </c>
      <c r="G482" t="s">
        <v>4511</v>
      </c>
      <c r="H482" s="4">
        <v>157534.44</v>
      </c>
    </row>
    <row r="483" spans="1:8" x14ac:dyDescent="0.3">
      <c r="A483" t="s">
        <v>6</v>
      </c>
      <c r="B483" t="s">
        <v>7</v>
      </c>
      <c r="C483" t="s">
        <v>1577</v>
      </c>
      <c r="D483" t="s">
        <v>9</v>
      </c>
      <c r="E483" t="s">
        <v>1652</v>
      </c>
      <c r="F483" t="str">
        <f>"004600013524"</f>
        <v>004600013524</v>
      </c>
      <c r="G483" t="s">
        <v>3421</v>
      </c>
      <c r="H483" s="4">
        <v>157389.533</v>
      </c>
    </row>
    <row r="484" spans="1:8" x14ac:dyDescent="0.3">
      <c r="A484" t="s">
        <v>6</v>
      </c>
      <c r="B484" t="s">
        <v>7</v>
      </c>
      <c r="C484" t="s">
        <v>1940</v>
      </c>
      <c r="D484" t="s">
        <v>9</v>
      </c>
      <c r="E484" t="s">
        <v>1991</v>
      </c>
      <c r="F484" t="str">
        <f>"007047000655"</f>
        <v>007047000655</v>
      </c>
      <c r="G484" t="s">
        <v>3886</v>
      </c>
      <c r="H484" s="4">
        <v>157023.88200000001</v>
      </c>
    </row>
    <row r="485" spans="1:8" x14ac:dyDescent="0.3">
      <c r="A485" t="s">
        <v>6</v>
      </c>
      <c r="B485" t="s">
        <v>7</v>
      </c>
      <c r="C485" t="s">
        <v>8</v>
      </c>
      <c r="D485" t="s">
        <v>9</v>
      </c>
      <c r="E485" t="s">
        <v>197</v>
      </c>
      <c r="F485" t="str">
        <f>"001600015129"</f>
        <v>001600015129</v>
      </c>
      <c r="G485" t="s">
        <v>4156</v>
      </c>
      <c r="H485" s="4">
        <v>155667.6</v>
      </c>
    </row>
    <row r="486" spans="1:8" x14ac:dyDescent="0.3">
      <c r="A486" t="s">
        <v>6</v>
      </c>
      <c r="B486" t="s">
        <v>7</v>
      </c>
      <c r="C486" t="s">
        <v>616</v>
      </c>
      <c r="D486" t="s">
        <v>9</v>
      </c>
      <c r="E486" t="s">
        <v>695</v>
      </c>
      <c r="F486" t="str">
        <f>"002190811532"</f>
        <v>002190811532</v>
      </c>
      <c r="G486" t="s">
        <v>3665</v>
      </c>
      <c r="H486" s="4">
        <v>154713.58300000001</v>
      </c>
    </row>
    <row r="487" spans="1:8" x14ac:dyDescent="0.3">
      <c r="A487" t="s">
        <v>6</v>
      </c>
      <c r="B487" t="s">
        <v>7</v>
      </c>
      <c r="C487" t="s">
        <v>381</v>
      </c>
      <c r="D487" t="s">
        <v>9</v>
      </c>
      <c r="E487" t="s">
        <v>499</v>
      </c>
      <c r="F487" t="str">
        <f>"001600017835"</f>
        <v>001600017835</v>
      </c>
      <c r="G487" t="s">
        <v>3227</v>
      </c>
      <c r="H487" s="4">
        <v>154709.791</v>
      </c>
    </row>
    <row r="488" spans="1:8" x14ac:dyDescent="0.3">
      <c r="A488" t="s">
        <v>6</v>
      </c>
      <c r="B488" t="s">
        <v>7</v>
      </c>
      <c r="C488" t="s">
        <v>1270</v>
      </c>
      <c r="D488" t="s">
        <v>9</v>
      </c>
      <c r="E488" t="s">
        <v>1273</v>
      </c>
      <c r="F488" t="str">
        <f>"001800046661"</f>
        <v>001800046661</v>
      </c>
      <c r="G488" t="s">
        <v>2842</v>
      </c>
      <c r="H488" s="4">
        <v>153625.663</v>
      </c>
    </row>
    <row r="489" spans="1:8" x14ac:dyDescent="0.3">
      <c r="A489" t="s">
        <v>6</v>
      </c>
      <c r="B489" t="s">
        <v>7</v>
      </c>
      <c r="C489" t="s">
        <v>1940</v>
      </c>
      <c r="D489" t="s">
        <v>9</v>
      </c>
      <c r="E489" t="s">
        <v>2016</v>
      </c>
      <c r="F489" t="str">
        <f>"007047018502"</f>
        <v>007047018502</v>
      </c>
      <c r="G489" t="s">
        <v>3907</v>
      </c>
      <c r="H489" s="4">
        <v>153331.402</v>
      </c>
    </row>
    <row r="490" spans="1:8" x14ac:dyDescent="0.3">
      <c r="A490" t="s">
        <v>6</v>
      </c>
      <c r="B490" t="s">
        <v>7</v>
      </c>
      <c r="C490" t="s">
        <v>1940</v>
      </c>
      <c r="D490" t="s">
        <v>9</v>
      </c>
      <c r="E490" t="s">
        <v>1982</v>
      </c>
      <c r="F490" t="str">
        <f>"007047018743"</f>
        <v>007047018743</v>
      </c>
      <c r="G490" t="s">
        <v>2389</v>
      </c>
      <c r="H490" s="4">
        <v>153153.965</v>
      </c>
    </row>
    <row r="491" spans="1:8" x14ac:dyDescent="0.3">
      <c r="A491" t="s">
        <v>6</v>
      </c>
      <c r="B491" t="s">
        <v>7</v>
      </c>
      <c r="C491" t="s">
        <v>1577</v>
      </c>
      <c r="D491" t="s">
        <v>9</v>
      </c>
      <c r="E491" t="s">
        <v>1607</v>
      </c>
      <c r="F491" t="str">
        <f>"004600011633"</f>
        <v>004600011633</v>
      </c>
      <c r="G491" t="s">
        <v>3371</v>
      </c>
      <c r="H491" s="4">
        <v>152438.07999999999</v>
      </c>
    </row>
    <row r="492" spans="1:8" x14ac:dyDescent="0.3">
      <c r="A492" t="s">
        <v>6</v>
      </c>
      <c r="B492" t="s">
        <v>7</v>
      </c>
      <c r="C492" t="s">
        <v>381</v>
      </c>
      <c r="D492" t="s">
        <v>9</v>
      </c>
      <c r="E492" t="s">
        <v>583</v>
      </c>
      <c r="F492" t="str">
        <f>"001600018697"</f>
        <v>001600018697</v>
      </c>
      <c r="G492" t="s">
        <v>3311</v>
      </c>
      <c r="H492" s="4">
        <v>152378.93</v>
      </c>
    </row>
    <row r="493" spans="1:8" x14ac:dyDescent="0.3">
      <c r="A493" t="s">
        <v>6</v>
      </c>
      <c r="B493" t="s">
        <v>7</v>
      </c>
      <c r="C493" t="s">
        <v>1122</v>
      </c>
      <c r="D493" t="s">
        <v>9</v>
      </c>
      <c r="E493" t="s">
        <v>1124</v>
      </c>
      <c r="F493" t="str">
        <f>"001356212765"</f>
        <v>001356212765</v>
      </c>
      <c r="G493" t="s">
        <v>4561</v>
      </c>
      <c r="H493" s="4">
        <v>151912.43599999999</v>
      </c>
    </row>
    <row r="494" spans="1:8" x14ac:dyDescent="0.3">
      <c r="A494" t="s">
        <v>6</v>
      </c>
      <c r="B494" t="s">
        <v>7</v>
      </c>
      <c r="C494" t="s">
        <v>8</v>
      </c>
      <c r="D494" t="s">
        <v>9</v>
      </c>
      <c r="E494" t="s">
        <v>108</v>
      </c>
      <c r="F494" t="str">
        <f>"001600016851"</f>
        <v>001600016851</v>
      </c>
      <c r="G494" t="s">
        <v>4076</v>
      </c>
      <c r="H494" s="4">
        <v>151827.731</v>
      </c>
    </row>
    <row r="495" spans="1:8" x14ac:dyDescent="0.3">
      <c r="A495" t="s">
        <v>6</v>
      </c>
      <c r="B495" t="s">
        <v>7</v>
      </c>
      <c r="C495" t="s">
        <v>381</v>
      </c>
      <c r="D495" t="s">
        <v>9</v>
      </c>
      <c r="E495" t="s">
        <v>1572</v>
      </c>
      <c r="F495" t="str">
        <f>"001600014641"</f>
        <v>001600014641</v>
      </c>
      <c r="G495" t="s">
        <v>3196</v>
      </c>
      <c r="H495" s="4">
        <v>149776.45199999999</v>
      </c>
    </row>
    <row r="496" spans="1:8" x14ac:dyDescent="0.3">
      <c r="A496" t="s">
        <v>6</v>
      </c>
      <c r="B496" t="s">
        <v>7</v>
      </c>
      <c r="C496" t="s">
        <v>1805</v>
      </c>
      <c r="D496" t="s">
        <v>9</v>
      </c>
      <c r="E496" t="s">
        <v>1884</v>
      </c>
      <c r="F496" t="str">
        <f>"001800000261"</f>
        <v>001800000261</v>
      </c>
      <c r="G496" t="s">
        <v>2389</v>
      </c>
      <c r="H496" s="4">
        <v>149663.64600000001</v>
      </c>
    </row>
    <row r="497" spans="1:8" x14ac:dyDescent="0.3">
      <c r="A497" t="s">
        <v>6</v>
      </c>
      <c r="B497" t="s">
        <v>7</v>
      </c>
      <c r="C497" t="s">
        <v>381</v>
      </c>
      <c r="D497" t="s">
        <v>9</v>
      </c>
      <c r="E497" t="s">
        <v>497</v>
      </c>
      <c r="F497" t="str">
        <f>"001600017394"</f>
        <v>001600017394</v>
      </c>
      <c r="G497" t="s">
        <v>3224</v>
      </c>
      <c r="H497" s="4">
        <v>149365.73300000001</v>
      </c>
    </row>
    <row r="498" spans="1:8" x14ac:dyDescent="0.3">
      <c r="A498" t="s">
        <v>6</v>
      </c>
      <c r="B498" t="s">
        <v>7</v>
      </c>
      <c r="C498" t="s">
        <v>616</v>
      </c>
      <c r="D498" t="s">
        <v>9</v>
      </c>
      <c r="E498" t="s">
        <v>694</v>
      </c>
      <c r="F498" t="str">
        <f>"002190812285"</f>
        <v>002190812285</v>
      </c>
      <c r="G498" t="s">
        <v>3664</v>
      </c>
      <c r="H498" s="4">
        <v>149295.44</v>
      </c>
    </row>
    <row r="499" spans="1:8" x14ac:dyDescent="0.3">
      <c r="A499" t="s">
        <v>6</v>
      </c>
      <c r="B499" t="s">
        <v>7</v>
      </c>
      <c r="C499" t="s">
        <v>8</v>
      </c>
      <c r="D499" t="s">
        <v>9</v>
      </c>
      <c r="E499" t="s">
        <v>360</v>
      </c>
      <c r="F499" t="str">
        <f>"001600042724"</f>
        <v>001600042724</v>
      </c>
      <c r="G499" t="s">
        <v>4304</v>
      </c>
      <c r="H499" s="4">
        <v>149021.171</v>
      </c>
    </row>
    <row r="500" spans="1:8" x14ac:dyDescent="0.3">
      <c r="A500" t="s">
        <v>6</v>
      </c>
      <c r="B500" t="s">
        <v>7</v>
      </c>
      <c r="C500" t="s">
        <v>381</v>
      </c>
      <c r="D500" t="s">
        <v>9</v>
      </c>
      <c r="E500" t="s">
        <v>477</v>
      </c>
      <c r="F500" t="str">
        <f>"001600014643"</f>
        <v>001600014643</v>
      </c>
      <c r="G500" t="s">
        <v>3205</v>
      </c>
      <c r="H500" s="4">
        <v>148435.56200000001</v>
      </c>
    </row>
    <row r="501" spans="1:8" x14ac:dyDescent="0.3">
      <c r="A501" t="s">
        <v>6</v>
      </c>
      <c r="B501" t="s">
        <v>7</v>
      </c>
      <c r="C501" t="s">
        <v>381</v>
      </c>
      <c r="D501" t="s">
        <v>9</v>
      </c>
      <c r="E501" t="s">
        <v>578</v>
      </c>
      <c r="F501" t="str">
        <f>"001600020085"</f>
        <v>001600020085</v>
      </c>
      <c r="G501" t="s">
        <v>3306</v>
      </c>
      <c r="H501" s="4">
        <v>147704.65</v>
      </c>
    </row>
    <row r="502" spans="1:8" x14ac:dyDescent="0.3">
      <c r="A502" t="s">
        <v>6</v>
      </c>
      <c r="B502" t="s">
        <v>7</v>
      </c>
      <c r="C502" t="s">
        <v>1940</v>
      </c>
      <c r="D502" t="s">
        <v>9</v>
      </c>
      <c r="E502" t="s">
        <v>1999</v>
      </c>
      <c r="F502" t="str">
        <f>"007047041942"</f>
        <v>007047041942</v>
      </c>
      <c r="G502" t="s">
        <v>3894</v>
      </c>
      <c r="H502" s="4">
        <v>147525.59400000001</v>
      </c>
    </row>
    <row r="503" spans="1:8" x14ac:dyDescent="0.3">
      <c r="A503" t="s">
        <v>6</v>
      </c>
      <c r="B503" t="s">
        <v>7</v>
      </c>
      <c r="C503" t="s">
        <v>1940</v>
      </c>
      <c r="D503" t="s">
        <v>9</v>
      </c>
      <c r="E503" t="s">
        <v>2068</v>
      </c>
      <c r="F503" t="str">
        <f>"007047029061"</f>
        <v>007047029061</v>
      </c>
      <c r="G503" t="s">
        <v>3955</v>
      </c>
      <c r="H503" s="4">
        <v>147494.64799999999</v>
      </c>
    </row>
    <row r="504" spans="1:8" x14ac:dyDescent="0.3">
      <c r="A504" t="s">
        <v>6</v>
      </c>
      <c r="B504" t="s">
        <v>7</v>
      </c>
      <c r="C504" t="s">
        <v>8</v>
      </c>
      <c r="D504" t="s">
        <v>9</v>
      </c>
      <c r="E504" t="s">
        <v>159</v>
      </c>
      <c r="F504" t="str">
        <f>"001600036245"</f>
        <v>001600036245</v>
      </c>
      <c r="G504" t="s">
        <v>4120</v>
      </c>
      <c r="H504" s="4">
        <v>147115.93299999999</v>
      </c>
    </row>
    <row r="505" spans="1:8" x14ac:dyDescent="0.3">
      <c r="A505" t="s">
        <v>6</v>
      </c>
      <c r="B505" t="s">
        <v>7</v>
      </c>
      <c r="C505" t="s">
        <v>1122</v>
      </c>
      <c r="D505" t="s">
        <v>9</v>
      </c>
      <c r="E505" t="s">
        <v>1233</v>
      </c>
      <c r="F505" t="str">
        <f>"001600035540"</f>
        <v>001600035540</v>
      </c>
      <c r="G505" t="s">
        <v>2806</v>
      </c>
      <c r="H505" s="4">
        <v>147057.234</v>
      </c>
    </row>
    <row r="506" spans="1:8" x14ac:dyDescent="0.3">
      <c r="A506" t="s">
        <v>6</v>
      </c>
      <c r="B506" t="s">
        <v>7</v>
      </c>
      <c r="C506" t="s">
        <v>381</v>
      </c>
      <c r="D506" t="s">
        <v>9</v>
      </c>
      <c r="E506" t="s">
        <v>467</v>
      </c>
      <c r="F506" t="str">
        <f>"001600014644"</f>
        <v>001600014644</v>
      </c>
      <c r="G506" t="s">
        <v>3191</v>
      </c>
      <c r="H506" s="4">
        <v>146889.22</v>
      </c>
    </row>
    <row r="507" spans="1:8" x14ac:dyDescent="0.3">
      <c r="A507" t="s">
        <v>6</v>
      </c>
      <c r="B507" t="s">
        <v>7</v>
      </c>
      <c r="C507" t="s">
        <v>1940</v>
      </c>
      <c r="D507" t="s">
        <v>9</v>
      </c>
      <c r="E507" t="s">
        <v>2071</v>
      </c>
      <c r="F507" t="str">
        <f>"007047000321"</f>
        <v>007047000321</v>
      </c>
      <c r="G507" t="s">
        <v>3957</v>
      </c>
      <c r="H507" s="4">
        <v>146567.046</v>
      </c>
    </row>
    <row r="508" spans="1:8" x14ac:dyDescent="0.3">
      <c r="A508" t="s">
        <v>6</v>
      </c>
      <c r="B508" t="s">
        <v>7</v>
      </c>
      <c r="C508" t="s">
        <v>1122</v>
      </c>
      <c r="D508" t="s">
        <v>9</v>
      </c>
      <c r="E508" t="s">
        <v>1160</v>
      </c>
      <c r="F508" t="str">
        <f>"001600020101"</f>
        <v>001600020101</v>
      </c>
      <c r="G508" t="s">
        <v>2750</v>
      </c>
      <c r="H508" s="4">
        <v>146294.435</v>
      </c>
    </row>
    <row r="509" spans="1:8" x14ac:dyDescent="0.3">
      <c r="A509" t="s">
        <v>6</v>
      </c>
      <c r="B509" t="s">
        <v>7</v>
      </c>
      <c r="C509" t="s">
        <v>2231</v>
      </c>
      <c r="D509" t="s">
        <v>9</v>
      </c>
      <c r="E509" t="s">
        <v>2279</v>
      </c>
      <c r="F509" t="str">
        <f>"004119610163"</f>
        <v>004119610163</v>
      </c>
      <c r="G509" t="s">
        <v>4477</v>
      </c>
      <c r="H509" s="4">
        <v>146224.777</v>
      </c>
    </row>
    <row r="510" spans="1:8" x14ac:dyDescent="0.3">
      <c r="A510" t="s">
        <v>6</v>
      </c>
      <c r="B510" t="s">
        <v>7</v>
      </c>
      <c r="C510" t="s">
        <v>381</v>
      </c>
      <c r="D510" t="s">
        <v>9</v>
      </c>
      <c r="E510" t="s">
        <v>579</v>
      </c>
      <c r="F510" t="str">
        <f>"001600045897"</f>
        <v>001600045897</v>
      </c>
      <c r="G510" t="s">
        <v>3307</v>
      </c>
      <c r="H510" s="4">
        <v>146215.5</v>
      </c>
    </row>
    <row r="511" spans="1:8" x14ac:dyDescent="0.3">
      <c r="A511" t="s">
        <v>6</v>
      </c>
      <c r="B511" t="s">
        <v>7</v>
      </c>
      <c r="C511" t="s">
        <v>797</v>
      </c>
      <c r="D511" t="s">
        <v>9</v>
      </c>
      <c r="E511" t="s">
        <v>804</v>
      </c>
      <c r="F511" t="str">
        <f>"001600045603"</f>
        <v>001600045603</v>
      </c>
      <c r="G511" t="s">
        <v>2401</v>
      </c>
      <c r="H511" s="4">
        <v>145585.652</v>
      </c>
    </row>
    <row r="512" spans="1:8" x14ac:dyDescent="0.3">
      <c r="A512" t="s">
        <v>6</v>
      </c>
      <c r="B512" t="s">
        <v>7</v>
      </c>
      <c r="C512" t="s">
        <v>2231</v>
      </c>
      <c r="D512" t="s">
        <v>9</v>
      </c>
      <c r="E512" t="s">
        <v>2362</v>
      </c>
      <c r="F512" t="str">
        <f>"004119691181"</f>
        <v>004119691181</v>
      </c>
      <c r="G512" t="s">
        <v>4553</v>
      </c>
      <c r="H512" s="4">
        <v>145056.851</v>
      </c>
    </row>
    <row r="513" spans="1:8" x14ac:dyDescent="0.3">
      <c r="A513" t="s">
        <v>6</v>
      </c>
      <c r="B513" t="s">
        <v>7</v>
      </c>
      <c r="C513" t="s">
        <v>8</v>
      </c>
      <c r="D513" t="s">
        <v>9</v>
      </c>
      <c r="E513" t="s">
        <v>195</v>
      </c>
      <c r="F513" t="str">
        <f>"001600015154"</f>
        <v>001600015154</v>
      </c>
      <c r="G513" t="s">
        <v>4154</v>
      </c>
      <c r="H513" s="4">
        <v>144026.45499999999</v>
      </c>
    </row>
    <row r="514" spans="1:8" x14ac:dyDescent="0.3">
      <c r="A514" t="s">
        <v>6</v>
      </c>
      <c r="B514" t="s">
        <v>7</v>
      </c>
      <c r="C514" t="s">
        <v>797</v>
      </c>
      <c r="D514" t="s">
        <v>9</v>
      </c>
      <c r="E514" t="s">
        <v>880</v>
      </c>
      <c r="F514" t="str">
        <f>"001600081331"</f>
        <v>001600081331</v>
      </c>
      <c r="G514" t="s">
        <v>2473</v>
      </c>
      <c r="H514" s="4">
        <v>144017.07699999999</v>
      </c>
    </row>
    <row r="515" spans="1:8" x14ac:dyDescent="0.3">
      <c r="A515" t="s">
        <v>6</v>
      </c>
      <c r="B515" t="s">
        <v>7</v>
      </c>
      <c r="C515" t="s">
        <v>1122</v>
      </c>
      <c r="D515" t="s">
        <v>9</v>
      </c>
      <c r="E515" t="s">
        <v>1208</v>
      </c>
      <c r="F515" t="str">
        <f>"001600016212"</f>
        <v>001600016212</v>
      </c>
      <c r="G515" t="s">
        <v>2790</v>
      </c>
      <c r="H515" s="4">
        <v>143655.07</v>
      </c>
    </row>
    <row r="516" spans="1:8" x14ac:dyDescent="0.3">
      <c r="A516" t="s">
        <v>6</v>
      </c>
      <c r="B516" t="s">
        <v>7</v>
      </c>
      <c r="C516" t="s">
        <v>2113</v>
      </c>
      <c r="D516" t="s">
        <v>9</v>
      </c>
      <c r="E516" t="s">
        <v>2153</v>
      </c>
      <c r="F516" t="str">
        <f>"001600012560"</f>
        <v>001600012560</v>
      </c>
      <c r="G516" t="s">
        <v>4361</v>
      </c>
      <c r="H516" s="4">
        <v>143555.35800000001</v>
      </c>
    </row>
    <row r="517" spans="1:8" x14ac:dyDescent="0.3">
      <c r="A517" t="s">
        <v>6</v>
      </c>
      <c r="B517" t="s">
        <v>7</v>
      </c>
      <c r="C517" t="s">
        <v>381</v>
      </c>
      <c r="D517" t="s">
        <v>9</v>
      </c>
      <c r="E517" t="s">
        <v>504</v>
      </c>
      <c r="F517" t="str">
        <f>"001600018794"</f>
        <v>001600018794</v>
      </c>
      <c r="G517" t="s">
        <v>3230</v>
      </c>
      <c r="H517" s="4">
        <v>143291.59</v>
      </c>
    </row>
    <row r="518" spans="1:8" x14ac:dyDescent="0.3">
      <c r="A518" t="s">
        <v>6</v>
      </c>
      <c r="B518" t="s">
        <v>7</v>
      </c>
      <c r="C518" t="s">
        <v>1577</v>
      </c>
      <c r="D518" t="s">
        <v>9</v>
      </c>
      <c r="E518" t="s">
        <v>1672</v>
      </c>
      <c r="F518" t="str">
        <f>"004600081215"</f>
        <v>004600081215</v>
      </c>
      <c r="G518" t="s">
        <v>3440</v>
      </c>
      <c r="H518" s="4">
        <v>142975.033</v>
      </c>
    </row>
    <row r="519" spans="1:8" x14ac:dyDescent="0.3">
      <c r="A519" t="s">
        <v>6</v>
      </c>
      <c r="B519" t="s">
        <v>7</v>
      </c>
      <c r="C519" t="s">
        <v>2231</v>
      </c>
      <c r="D519" t="s">
        <v>9</v>
      </c>
      <c r="E519" t="s">
        <v>2356</v>
      </c>
      <c r="F519" t="str">
        <f>"004119691093"</f>
        <v>004119691093</v>
      </c>
      <c r="G519" t="s">
        <v>4548</v>
      </c>
      <c r="H519" s="4">
        <v>142863.95199999999</v>
      </c>
    </row>
    <row r="520" spans="1:8" x14ac:dyDescent="0.3">
      <c r="A520" t="s">
        <v>6</v>
      </c>
      <c r="B520" t="s">
        <v>7</v>
      </c>
      <c r="C520" t="s">
        <v>2113</v>
      </c>
      <c r="D520" t="s">
        <v>9</v>
      </c>
      <c r="E520" t="s">
        <v>2164</v>
      </c>
      <c r="F520" t="str">
        <f>"001600042531"</f>
        <v>001600042531</v>
      </c>
      <c r="G520" t="s">
        <v>4372</v>
      </c>
      <c r="H520" s="4">
        <v>142482.19</v>
      </c>
    </row>
    <row r="521" spans="1:8" x14ac:dyDescent="0.3">
      <c r="A521" t="s">
        <v>6</v>
      </c>
      <c r="B521" t="s">
        <v>7</v>
      </c>
      <c r="C521" t="s">
        <v>985</v>
      </c>
      <c r="D521" t="s">
        <v>9</v>
      </c>
      <c r="E521" t="s">
        <v>1060</v>
      </c>
      <c r="F521" t="str">
        <f>"001356261001"</f>
        <v>001356261001</v>
      </c>
      <c r="G521" t="s">
        <v>2654</v>
      </c>
      <c r="H521" s="4">
        <v>142017.12400000001</v>
      </c>
    </row>
    <row r="522" spans="1:8" x14ac:dyDescent="0.3">
      <c r="A522" t="s">
        <v>6</v>
      </c>
      <c r="B522" t="s">
        <v>7</v>
      </c>
      <c r="C522" t="s">
        <v>797</v>
      </c>
      <c r="D522" t="s">
        <v>9</v>
      </c>
      <c r="E522" t="s">
        <v>879</v>
      </c>
      <c r="F522" t="str">
        <f>"001600047736"</f>
        <v>001600047736</v>
      </c>
      <c r="G522" t="s">
        <v>2472</v>
      </c>
      <c r="H522" s="4">
        <v>141986.76999999999</v>
      </c>
    </row>
    <row r="523" spans="1:8" x14ac:dyDescent="0.3">
      <c r="A523" t="s">
        <v>6</v>
      </c>
      <c r="B523" t="s">
        <v>7</v>
      </c>
      <c r="C523" t="s">
        <v>381</v>
      </c>
      <c r="D523" t="s">
        <v>9</v>
      </c>
      <c r="E523" t="s">
        <v>496</v>
      </c>
      <c r="F523" t="str">
        <f>"001600016054"</f>
        <v>001600016054</v>
      </c>
      <c r="G523" t="s">
        <v>2389</v>
      </c>
      <c r="H523" s="4">
        <v>141684.617</v>
      </c>
    </row>
    <row r="524" spans="1:8" x14ac:dyDescent="0.3">
      <c r="A524" t="s">
        <v>6</v>
      </c>
      <c r="B524" t="s">
        <v>7</v>
      </c>
      <c r="C524" t="s">
        <v>1397</v>
      </c>
      <c r="D524" t="s">
        <v>9</v>
      </c>
      <c r="E524" t="s">
        <v>1421</v>
      </c>
      <c r="F524" t="str">
        <f>"001600012928"</f>
        <v>001600012928</v>
      </c>
      <c r="G524" t="s">
        <v>2973</v>
      </c>
      <c r="H524" s="4">
        <v>141533.87400000001</v>
      </c>
    </row>
    <row r="525" spans="1:8" x14ac:dyDescent="0.3">
      <c r="A525" t="s">
        <v>6</v>
      </c>
      <c r="B525" t="s">
        <v>7</v>
      </c>
      <c r="C525" t="s">
        <v>1940</v>
      </c>
      <c r="D525" t="s">
        <v>9</v>
      </c>
      <c r="E525" t="s">
        <v>1950</v>
      </c>
      <c r="F525" t="str">
        <f>"007047016592"</f>
        <v>007047016592</v>
      </c>
      <c r="G525" t="s">
        <v>3832</v>
      </c>
      <c r="H525" s="4">
        <v>141222.62</v>
      </c>
    </row>
    <row r="526" spans="1:8" x14ac:dyDescent="0.3">
      <c r="A526" t="s">
        <v>6</v>
      </c>
      <c r="B526" t="s">
        <v>7</v>
      </c>
      <c r="C526" t="s">
        <v>1805</v>
      </c>
      <c r="D526" t="s">
        <v>9</v>
      </c>
      <c r="E526" t="s">
        <v>1866</v>
      </c>
      <c r="F526" t="str">
        <f>"001800000112"</f>
        <v>001800000112</v>
      </c>
      <c r="G526" t="s">
        <v>2389</v>
      </c>
      <c r="H526" s="4">
        <v>140167.66899999999</v>
      </c>
    </row>
    <row r="527" spans="1:8" x14ac:dyDescent="0.3">
      <c r="A527" t="s">
        <v>6</v>
      </c>
      <c r="B527" t="s">
        <v>7</v>
      </c>
      <c r="C527" t="s">
        <v>2231</v>
      </c>
      <c r="D527" t="s">
        <v>9</v>
      </c>
      <c r="E527" t="s">
        <v>2292</v>
      </c>
      <c r="F527" t="str">
        <f>"004119610164"</f>
        <v>004119610164</v>
      </c>
      <c r="G527" t="s">
        <v>4490</v>
      </c>
      <c r="H527" s="4">
        <v>139741.098</v>
      </c>
    </row>
    <row r="528" spans="1:8" x14ac:dyDescent="0.3">
      <c r="A528" t="s">
        <v>6</v>
      </c>
      <c r="B528" t="s">
        <v>7</v>
      </c>
      <c r="C528" t="s">
        <v>1940</v>
      </c>
      <c r="D528" t="s">
        <v>9</v>
      </c>
      <c r="E528" t="s">
        <v>1981</v>
      </c>
      <c r="F528" t="str">
        <f>"007047013776"</f>
        <v>007047013776</v>
      </c>
      <c r="G528" t="s">
        <v>3873</v>
      </c>
      <c r="H528" s="4">
        <v>139161.413</v>
      </c>
    </row>
    <row r="529" spans="1:8" x14ac:dyDescent="0.3">
      <c r="A529" t="s">
        <v>6</v>
      </c>
      <c r="B529" t="s">
        <v>7</v>
      </c>
      <c r="C529" t="s">
        <v>1397</v>
      </c>
      <c r="D529" t="s">
        <v>9</v>
      </c>
      <c r="E529" t="s">
        <v>1493</v>
      </c>
      <c r="F529" t="str">
        <f>"001800012225"</f>
        <v>001800012225</v>
      </c>
      <c r="G529" t="s">
        <v>3040</v>
      </c>
      <c r="H529" s="4">
        <v>139061.55100000001</v>
      </c>
    </row>
    <row r="530" spans="1:8" x14ac:dyDescent="0.3">
      <c r="A530" t="s">
        <v>6</v>
      </c>
      <c r="B530" t="s">
        <v>7</v>
      </c>
      <c r="C530" t="s">
        <v>1397</v>
      </c>
      <c r="D530" t="s">
        <v>9</v>
      </c>
      <c r="E530" t="s">
        <v>1414</v>
      </c>
      <c r="F530" t="str">
        <f>"001600018691"</f>
        <v>001600018691</v>
      </c>
      <c r="G530" t="s">
        <v>2965</v>
      </c>
      <c r="H530" s="4">
        <v>138731.18</v>
      </c>
    </row>
    <row r="531" spans="1:8" x14ac:dyDescent="0.3">
      <c r="A531" t="s">
        <v>6</v>
      </c>
      <c r="B531" t="s">
        <v>7</v>
      </c>
      <c r="C531" t="s">
        <v>2231</v>
      </c>
      <c r="D531" t="s">
        <v>9</v>
      </c>
      <c r="E531" t="s">
        <v>2350</v>
      </c>
      <c r="F531" t="str">
        <f>"004119601111"</f>
        <v>004119601111</v>
      </c>
      <c r="G531" t="s">
        <v>4542</v>
      </c>
      <c r="H531" s="4">
        <v>138360.46</v>
      </c>
    </row>
    <row r="532" spans="1:8" x14ac:dyDescent="0.3">
      <c r="A532" t="s">
        <v>6</v>
      </c>
      <c r="B532" t="s">
        <v>7</v>
      </c>
      <c r="C532" t="s">
        <v>1940</v>
      </c>
      <c r="D532" t="s">
        <v>9</v>
      </c>
      <c r="E532" t="s">
        <v>1951</v>
      </c>
      <c r="F532" t="str">
        <f>"007047018136"</f>
        <v>007047018136</v>
      </c>
      <c r="G532" t="s">
        <v>3833</v>
      </c>
      <c r="H532" s="4">
        <v>137626.02600000001</v>
      </c>
    </row>
    <row r="533" spans="1:8" x14ac:dyDescent="0.3">
      <c r="A533" t="s">
        <v>6</v>
      </c>
      <c r="B533" t="s">
        <v>7</v>
      </c>
      <c r="C533" t="s">
        <v>2231</v>
      </c>
      <c r="D533" t="s">
        <v>9</v>
      </c>
      <c r="E533" t="s">
        <v>2308</v>
      </c>
      <c r="F533" t="str">
        <f>"004119613301"</f>
        <v>004119613301</v>
      </c>
      <c r="G533" t="s">
        <v>4502</v>
      </c>
      <c r="H533" s="4">
        <v>137419.28200000001</v>
      </c>
    </row>
    <row r="534" spans="1:8" x14ac:dyDescent="0.3">
      <c r="A534" t="s">
        <v>6</v>
      </c>
      <c r="B534" t="s">
        <v>7</v>
      </c>
      <c r="C534" t="s">
        <v>1397</v>
      </c>
      <c r="D534" t="s">
        <v>9</v>
      </c>
      <c r="E534" t="s">
        <v>1494</v>
      </c>
      <c r="F534" t="str">
        <f>"001800012925"</f>
        <v>001800012925</v>
      </c>
      <c r="G534" t="s">
        <v>3041</v>
      </c>
      <c r="H534" s="4">
        <v>137343.74799999999</v>
      </c>
    </row>
    <row r="535" spans="1:8" x14ac:dyDescent="0.3">
      <c r="A535" t="s">
        <v>6</v>
      </c>
      <c r="B535" t="s">
        <v>7</v>
      </c>
      <c r="C535" t="s">
        <v>1338</v>
      </c>
      <c r="D535" t="s">
        <v>9</v>
      </c>
      <c r="E535" t="s">
        <v>1395</v>
      </c>
      <c r="F535" t="str">
        <f>"004280010904"</f>
        <v>004280010904</v>
      </c>
      <c r="G535" t="s">
        <v>2950</v>
      </c>
      <c r="H535" s="4">
        <v>137267.98499999999</v>
      </c>
    </row>
    <row r="536" spans="1:8" x14ac:dyDescent="0.3">
      <c r="A536" t="s">
        <v>6</v>
      </c>
      <c r="B536" t="s">
        <v>7</v>
      </c>
      <c r="C536" t="s">
        <v>8</v>
      </c>
      <c r="D536" t="s">
        <v>9</v>
      </c>
      <c r="E536" t="s">
        <v>312</v>
      </c>
      <c r="F536" t="str">
        <f>"001600019705"</f>
        <v>001600019705</v>
      </c>
      <c r="G536" t="s">
        <v>4260</v>
      </c>
      <c r="H536" s="4">
        <v>137234.07199999999</v>
      </c>
    </row>
    <row r="537" spans="1:8" x14ac:dyDescent="0.3">
      <c r="A537" t="s">
        <v>6</v>
      </c>
      <c r="B537" t="s">
        <v>7</v>
      </c>
      <c r="C537" t="s">
        <v>8</v>
      </c>
      <c r="D537" t="s">
        <v>9</v>
      </c>
      <c r="E537" t="s">
        <v>196</v>
      </c>
      <c r="F537" t="str">
        <f>"001600020221"</f>
        <v>001600020221</v>
      </c>
      <c r="G537" t="s">
        <v>4155</v>
      </c>
      <c r="H537" s="4">
        <v>137139.08100000001</v>
      </c>
    </row>
    <row r="538" spans="1:8" x14ac:dyDescent="0.3">
      <c r="A538" t="s">
        <v>6</v>
      </c>
      <c r="B538" t="s">
        <v>7</v>
      </c>
      <c r="C538" t="s">
        <v>8</v>
      </c>
      <c r="D538" t="s">
        <v>9</v>
      </c>
      <c r="E538" t="s">
        <v>131</v>
      </c>
      <c r="F538" t="str">
        <f>"001600017098"</f>
        <v>001600017098</v>
      </c>
      <c r="G538" t="s">
        <v>4097</v>
      </c>
      <c r="H538" s="4">
        <v>136791.087</v>
      </c>
    </row>
    <row r="539" spans="1:8" x14ac:dyDescent="0.3">
      <c r="A539" t="s">
        <v>6</v>
      </c>
      <c r="B539" t="s">
        <v>7</v>
      </c>
      <c r="C539" t="s">
        <v>1786</v>
      </c>
      <c r="D539" t="s">
        <v>9</v>
      </c>
      <c r="E539" t="s">
        <v>1795</v>
      </c>
      <c r="F539" t="str">
        <f>"072534229121"</f>
        <v>072534229121</v>
      </c>
      <c r="G539" t="s">
        <v>3564</v>
      </c>
      <c r="H539" s="4">
        <v>136362.448</v>
      </c>
    </row>
    <row r="540" spans="1:8" x14ac:dyDescent="0.3">
      <c r="A540" t="s">
        <v>6</v>
      </c>
      <c r="B540" t="s">
        <v>7</v>
      </c>
      <c r="C540" t="s">
        <v>1940</v>
      </c>
      <c r="D540" t="s">
        <v>9</v>
      </c>
      <c r="E540" t="s">
        <v>2106</v>
      </c>
      <c r="F540" t="str">
        <f>"007047046116"</f>
        <v>007047046116</v>
      </c>
      <c r="G540" t="s">
        <v>2389</v>
      </c>
      <c r="H540" s="4">
        <v>136224.54800000001</v>
      </c>
    </row>
    <row r="541" spans="1:8" x14ac:dyDescent="0.3">
      <c r="A541" t="s">
        <v>6</v>
      </c>
      <c r="B541" t="s">
        <v>7</v>
      </c>
      <c r="C541" t="s">
        <v>1122</v>
      </c>
      <c r="D541" t="s">
        <v>9</v>
      </c>
      <c r="E541" t="s">
        <v>1123</v>
      </c>
      <c r="F541" t="str">
        <f>"001356212767"</f>
        <v>001356212767</v>
      </c>
      <c r="G541" t="s">
        <v>2719</v>
      </c>
      <c r="H541" s="4">
        <v>135940.01999999999</v>
      </c>
    </row>
    <row r="542" spans="1:8" x14ac:dyDescent="0.3">
      <c r="A542" t="s">
        <v>6</v>
      </c>
      <c r="B542" t="s">
        <v>7</v>
      </c>
      <c r="C542" t="s">
        <v>770</v>
      </c>
      <c r="D542" t="s">
        <v>9</v>
      </c>
      <c r="E542" t="s">
        <v>784</v>
      </c>
      <c r="F542" t="str">
        <f>"001600027746"</f>
        <v>001600027746</v>
      </c>
      <c r="G542" t="s">
        <v>2384</v>
      </c>
      <c r="H542" s="4">
        <v>135400.731</v>
      </c>
    </row>
    <row r="543" spans="1:8" x14ac:dyDescent="0.3">
      <c r="A543" t="s">
        <v>6</v>
      </c>
      <c r="B543" t="s">
        <v>7</v>
      </c>
      <c r="C543" t="s">
        <v>1805</v>
      </c>
      <c r="D543" t="s">
        <v>9</v>
      </c>
      <c r="E543" t="s">
        <v>1901</v>
      </c>
      <c r="F543" t="str">
        <f>"001800013133"</f>
        <v>001800013133</v>
      </c>
      <c r="G543" t="s">
        <v>3788</v>
      </c>
      <c r="H543" s="4">
        <v>134454.78599999999</v>
      </c>
    </row>
    <row r="544" spans="1:8" x14ac:dyDescent="0.3">
      <c r="A544" t="s">
        <v>6</v>
      </c>
      <c r="B544" t="s">
        <v>7</v>
      </c>
      <c r="C544" t="s">
        <v>1940</v>
      </c>
      <c r="D544" t="s">
        <v>9</v>
      </c>
      <c r="E544" t="s">
        <v>1982</v>
      </c>
      <c r="F544" t="str">
        <f>"007047018741"</f>
        <v>007047018741</v>
      </c>
      <c r="G544" t="s">
        <v>3877</v>
      </c>
      <c r="H544" s="4">
        <v>133687.28400000001</v>
      </c>
    </row>
    <row r="545" spans="1:8" x14ac:dyDescent="0.3">
      <c r="A545" s="3" t="s">
        <v>6</v>
      </c>
      <c r="B545" t="s">
        <v>7</v>
      </c>
      <c r="C545" t="s">
        <v>797</v>
      </c>
      <c r="D545" t="s">
        <v>9</v>
      </c>
      <c r="E545" t="s">
        <v>892</v>
      </c>
      <c r="F545" t="str">
        <f>"001600020773"</f>
        <v>001600020773</v>
      </c>
      <c r="G545" t="s">
        <v>2484</v>
      </c>
      <c r="H545" s="4">
        <v>133417.568</v>
      </c>
    </row>
    <row r="546" spans="1:8" x14ac:dyDescent="0.3">
      <c r="A546" t="s">
        <v>6</v>
      </c>
      <c r="B546" t="s">
        <v>7</v>
      </c>
      <c r="C546" t="s">
        <v>1940</v>
      </c>
      <c r="D546" t="s">
        <v>9</v>
      </c>
      <c r="E546" t="s">
        <v>1965</v>
      </c>
      <c r="F546" t="str">
        <f>"007047020015"</f>
        <v>007047020015</v>
      </c>
      <c r="G546" t="s">
        <v>3851</v>
      </c>
      <c r="H546" s="4">
        <v>132968.57</v>
      </c>
    </row>
    <row r="547" spans="1:8" x14ac:dyDescent="0.3">
      <c r="A547" t="s">
        <v>6</v>
      </c>
      <c r="B547" t="s">
        <v>7</v>
      </c>
      <c r="C547" t="s">
        <v>1940</v>
      </c>
      <c r="D547" t="s">
        <v>9</v>
      </c>
      <c r="E547" t="s">
        <v>2048</v>
      </c>
      <c r="F547" t="str">
        <f>"007047000129"</f>
        <v>007047000129</v>
      </c>
      <c r="G547" t="s">
        <v>3935</v>
      </c>
      <c r="H547" s="4">
        <v>132758.427</v>
      </c>
    </row>
    <row r="548" spans="1:8" x14ac:dyDescent="0.3">
      <c r="A548" t="s">
        <v>6</v>
      </c>
      <c r="B548" t="s">
        <v>7</v>
      </c>
      <c r="C548" t="s">
        <v>1940</v>
      </c>
      <c r="D548" t="s">
        <v>9</v>
      </c>
      <c r="E548" t="s">
        <v>2022</v>
      </c>
      <c r="F548" t="str">
        <f>"007047010375"</f>
        <v>007047010375</v>
      </c>
      <c r="G548" t="s">
        <v>3913</v>
      </c>
      <c r="H548" s="4">
        <v>132457.35399999999</v>
      </c>
    </row>
    <row r="549" spans="1:8" x14ac:dyDescent="0.3">
      <c r="A549" t="s">
        <v>6</v>
      </c>
      <c r="B549" s="3" t="s">
        <v>7</v>
      </c>
      <c r="C549" s="3" t="s">
        <v>1095</v>
      </c>
      <c r="D549" s="3" t="s">
        <v>9</v>
      </c>
      <c r="E549" s="3" t="s">
        <v>1118</v>
      </c>
      <c r="F549" t="str">
        <f>"001600010810"</f>
        <v>001600010810</v>
      </c>
      <c r="G549" t="s">
        <v>2717</v>
      </c>
      <c r="H549" s="3" t="s">
        <v>1119</v>
      </c>
    </row>
    <row r="550" spans="1:8" x14ac:dyDescent="0.3">
      <c r="A550" t="s">
        <v>6</v>
      </c>
      <c r="B550" t="s">
        <v>7</v>
      </c>
      <c r="C550" t="s">
        <v>2231</v>
      </c>
      <c r="D550" t="s">
        <v>9</v>
      </c>
      <c r="E550" t="s">
        <v>2256</v>
      </c>
      <c r="F550" t="str">
        <f>"004119645385"</f>
        <v>004119645385</v>
      </c>
      <c r="G550" t="s">
        <v>4455</v>
      </c>
      <c r="H550" s="4">
        <v>131696.41</v>
      </c>
    </row>
    <row r="551" spans="1:8" x14ac:dyDescent="0.3">
      <c r="A551" t="s">
        <v>6</v>
      </c>
      <c r="B551" t="s">
        <v>7</v>
      </c>
      <c r="C551" t="s">
        <v>1122</v>
      </c>
      <c r="D551" t="s">
        <v>9</v>
      </c>
      <c r="E551" t="s">
        <v>1248</v>
      </c>
      <c r="F551" t="str">
        <f>"001600020086"</f>
        <v>001600020086</v>
      </c>
      <c r="G551" t="s">
        <v>2822</v>
      </c>
      <c r="H551" s="4">
        <v>131418.14000000001</v>
      </c>
    </row>
    <row r="552" spans="1:8" x14ac:dyDescent="0.3">
      <c r="A552" t="s">
        <v>6</v>
      </c>
      <c r="B552" t="s">
        <v>7</v>
      </c>
      <c r="C552" t="s">
        <v>1122</v>
      </c>
      <c r="D552" t="s">
        <v>9</v>
      </c>
      <c r="E552" t="s">
        <v>1235</v>
      </c>
      <c r="F552" t="str">
        <f>"001600016589"</f>
        <v>001600016589</v>
      </c>
      <c r="G552" t="s">
        <v>2808</v>
      </c>
      <c r="H552" s="4">
        <v>131394.82999999999</v>
      </c>
    </row>
    <row r="553" spans="1:8" x14ac:dyDescent="0.3">
      <c r="A553" t="s">
        <v>6</v>
      </c>
      <c r="B553" t="s">
        <v>7</v>
      </c>
      <c r="C553" t="s">
        <v>2113</v>
      </c>
      <c r="D553" t="s">
        <v>9</v>
      </c>
      <c r="E553" t="s">
        <v>2141</v>
      </c>
      <c r="F553" t="str">
        <f>"001600047675"</f>
        <v>001600047675</v>
      </c>
      <c r="G553" t="s">
        <v>4349</v>
      </c>
      <c r="H553" s="4">
        <v>130462.402</v>
      </c>
    </row>
    <row r="554" spans="1:8" x14ac:dyDescent="0.3">
      <c r="A554" t="s">
        <v>6</v>
      </c>
      <c r="B554" t="s">
        <v>7</v>
      </c>
      <c r="C554" t="s">
        <v>2113</v>
      </c>
      <c r="D554" t="s">
        <v>9</v>
      </c>
      <c r="E554" t="s">
        <v>2159</v>
      </c>
      <c r="F554" t="str">
        <f>"001600046812"</f>
        <v>001600046812</v>
      </c>
      <c r="G554" t="s">
        <v>4367</v>
      </c>
      <c r="H554" s="4">
        <v>130145.68399999999</v>
      </c>
    </row>
    <row r="555" spans="1:8" x14ac:dyDescent="0.3">
      <c r="A555" t="s">
        <v>6</v>
      </c>
      <c r="B555" t="s">
        <v>7</v>
      </c>
      <c r="C555" t="s">
        <v>1940</v>
      </c>
      <c r="D555" t="s">
        <v>9</v>
      </c>
      <c r="E555" t="s">
        <v>1990</v>
      </c>
      <c r="F555" t="str">
        <f>"007047000653"</f>
        <v>007047000653</v>
      </c>
      <c r="G555" t="s">
        <v>3885</v>
      </c>
      <c r="H555" s="4">
        <v>130044.151</v>
      </c>
    </row>
    <row r="556" spans="1:8" x14ac:dyDescent="0.3">
      <c r="A556" t="s">
        <v>6</v>
      </c>
      <c r="B556" t="s">
        <v>7</v>
      </c>
      <c r="C556" t="s">
        <v>1940</v>
      </c>
      <c r="D556" t="s">
        <v>9</v>
      </c>
      <c r="E556" t="s">
        <v>1988</v>
      </c>
      <c r="F556" t="str">
        <f>"007047000652"</f>
        <v>007047000652</v>
      </c>
      <c r="G556" t="s">
        <v>3883</v>
      </c>
      <c r="H556" s="4">
        <v>129810.573</v>
      </c>
    </row>
    <row r="557" spans="1:8" x14ac:dyDescent="0.3">
      <c r="A557" t="s">
        <v>6</v>
      </c>
      <c r="B557" t="s">
        <v>7</v>
      </c>
      <c r="C557" t="s">
        <v>381</v>
      </c>
      <c r="D557" t="s">
        <v>9</v>
      </c>
      <c r="E557" t="s">
        <v>495</v>
      </c>
      <c r="F557" t="str">
        <f>"001600043102"</f>
        <v>001600043102</v>
      </c>
      <c r="G557" t="s">
        <v>3223</v>
      </c>
      <c r="H557" s="4">
        <v>129667.076</v>
      </c>
    </row>
    <row r="558" spans="1:8" x14ac:dyDescent="0.3">
      <c r="A558" t="s">
        <v>6</v>
      </c>
      <c r="B558" t="s">
        <v>7</v>
      </c>
      <c r="C558" t="s">
        <v>8</v>
      </c>
      <c r="D558" t="s">
        <v>9</v>
      </c>
      <c r="E558" t="s">
        <v>153</v>
      </c>
      <c r="F558" t="str">
        <f>"001600019707"</f>
        <v>001600019707</v>
      </c>
      <c r="G558" t="s">
        <v>4115</v>
      </c>
      <c r="H558" s="4">
        <v>129632.675</v>
      </c>
    </row>
    <row r="559" spans="1:8" x14ac:dyDescent="0.3">
      <c r="A559" t="s">
        <v>6</v>
      </c>
      <c r="B559" t="s">
        <v>7</v>
      </c>
      <c r="C559" t="s">
        <v>2113</v>
      </c>
      <c r="D559" t="s">
        <v>9</v>
      </c>
      <c r="E559" t="s">
        <v>2160</v>
      </c>
      <c r="F559" t="str">
        <f>"001600015136"</f>
        <v>001600015136</v>
      </c>
      <c r="G559" t="s">
        <v>4368</v>
      </c>
      <c r="H559" s="4">
        <v>129612.334</v>
      </c>
    </row>
    <row r="560" spans="1:8" x14ac:dyDescent="0.3">
      <c r="A560" t="s">
        <v>6</v>
      </c>
      <c r="B560" t="s">
        <v>7</v>
      </c>
      <c r="C560" t="s">
        <v>1786</v>
      </c>
      <c r="D560" t="s">
        <v>9</v>
      </c>
      <c r="E560" t="s">
        <v>1794</v>
      </c>
      <c r="F560" t="str">
        <f>"072534229043"</f>
        <v>072534229043</v>
      </c>
      <c r="G560" t="s">
        <v>3557</v>
      </c>
      <c r="H560" s="4">
        <v>129117.473</v>
      </c>
    </row>
    <row r="561" spans="1:8" x14ac:dyDescent="0.3">
      <c r="A561" t="s">
        <v>6</v>
      </c>
      <c r="B561" t="s">
        <v>7</v>
      </c>
      <c r="C561" t="s">
        <v>2113</v>
      </c>
      <c r="D561" t="s">
        <v>9</v>
      </c>
      <c r="E561" t="s">
        <v>2182</v>
      </c>
      <c r="F561" t="str">
        <f>"001600049701"</f>
        <v>001600049701</v>
      </c>
      <c r="G561" t="s">
        <v>4388</v>
      </c>
      <c r="H561" s="4">
        <v>128497.65399999999</v>
      </c>
    </row>
    <row r="562" spans="1:8" x14ac:dyDescent="0.3">
      <c r="A562" t="s">
        <v>6</v>
      </c>
      <c r="B562" t="s">
        <v>7</v>
      </c>
      <c r="C562" t="s">
        <v>1805</v>
      </c>
      <c r="D562" t="s">
        <v>9</v>
      </c>
      <c r="E562" t="s">
        <v>1824</v>
      </c>
      <c r="F562" t="str">
        <f>"001800000079"</f>
        <v>001800000079</v>
      </c>
      <c r="G562" t="s">
        <v>3757</v>
      </c>
      <c r="H562" s="4">
        <v>127909.86199999999</v>
      </c>
    </row>
    <row r="563" spans="1:8" x14ac:dyDescent="0.3">
      <c r="A563" t="s">
        <v>6</v>
      </c>
      <c r="B563" t="s">
        <v>7</v>
      </c>
      <c r="C563" t="s">
        <v>797</v>
      </c>
      <c r="D563" t="s">
        <v>9</v>
      </c>
      <c r="E563" t="s">
        <v>867</v>
      </c>
      <c r="F563" t="str">
        <f>"001600047435"</f>
        <v>001600047435</v>
      </c>
      <c r="G563" t="s">
        <v>2460</v>
      </c>
      <c r="H563" s="4">
        <v>127762.58500000001</v>
      </c>
    </row>
    <row r="564" spans="1:8" x14ac:dyDescent="0.3">
      <c r="A564" t="s">
        <v>6</v>
      </c>
      <c r="B564" t="s">
        <v>7</v>
      </c>
      <c r="C564" t="s">
        <v>381</v>
      </c>
      <c r="D564" t="s">
        <v>9</v>
      </c>
      <c r="E564" t="s">
        <v>1569</v>
      </c>
      <c r="F564" t="str">
        <f>"001600016761"</f>
        <v>001600016761</v>
      </c>
      <c r="G564" t="s">
        <v>3187</v>
      </c>
      <c r="H564" s="4">
        <v>127545.427</v>
      </c>
    </row>
    <row r="565" spans="1:8" x14ac:dyDescent="0.3">
      <c r="A565" t="s">
        <v>6</v>
      </c>
      <c r="B565" t="s">
        <v>7</v>
      </c>
      <c r="C565" t="s">
        <v>1940</v>
      </c>
      <c r="D565" t="s">
        <v>9</v>
      </c>
      <c r="E565" t="s">
        <v>2064</v>
      </c>
      <c r="F565" t="str">
        <f>"007047018388"</f>
        <v>007047018388</v>
      </c>
      <c r="G565" t="s">
        <v>3951</v>
      </c>
      <c r="H565" s="4">
        <v>127052.598</v>
      </c>
    </row>
    <row r="566" spans="1:8" x14ac:dyDescent="0.3">
      <c r="A566" t="s">
        <v>6</v>
      </c>
      <c r="B566" t="s">
        <v>7</v>
      </c>
      <c r="C566" t="s">
        <v>1286</v>
      </c>
      <c r="D566" t="s">
        <v>9</v>
      </c>
      <c r="E566" t="s">
        <v>1307</v>
      </c>
      <c r="F566" t="str">
        <f>"001800042688"</f>
        <v>001800042688</v>
      </c>
      <c r="G566" t="s">
        <v>2871</v>
      </c>
      <c r="H566" s="4">
        <v>126931.905</v>
      </c>
    </row>
    <row r="567" spans="1:8" x14ac:dyDescent="0.3">
      <c r="A567" t="s">
        <v>6</v>
      </c>
      <c r="B567" t="s">
        <v>7</v>
      </c>
      <c r="C567" t="s">
        <v>1286</v>
      </c>
      <c r="D567" t="s">
        <v>9</v>
      </c>
      <c r="E567" t="s">
        <v>1301</v>
      </c>
      <c r="F567" t="str">
        <f>"001800044762"</f>
        <v>001800044762</v>
      </c>
      <c r="G567" t="s">
        <v>2865</v>
      </c>
      <c r="H567" s="4">
        <v>126295.44</v>
      </c>
    </row>
    <row r="568" spans="1:8" x14ac:dyDescent="0.3">
      <c r="A568" t="s">
        <v>6</v>
      </c>
      <c r="B568" t="s">
        <v>7</v>
      </c>
      <c r="C568" t="s">
        <v>8</v>
      </c>
      <c r="D568" t="s">
        <v>9</v>
      </c>
      <c r="E568" t="s">
        <v>300</v>
      </c>
      <c r="F568" t="str">
        <f>"001600015233"</f>
        <v>001600015233</v>
      </c>
      <c r="G568" t="s">
        <v>4252</v>
      </c>
      <c r="H568" s="4">
        <v>126215.96400000001</v>
      </c>
    </row>
    <row r="569" spans="1:8" x14ac:dyDescent="0.3">
      <c r="A569" t="s">
        <v>6</v>
      </c>
      <c r="B569" t="s">
        <v>7</v>
      </c>
      <c r="C569" t="s">
        <v>1122</v>
      </c>
      <c r="D569" t="s">
        <v>9</v>
      </c>
      <c r="E569" t="s">
        <v>1244</v>
      </c>
      <c r="F569" t="str">
        <f>"001600020089"</f>
        <v>001600020089</v>
      </c>
      <c r="G569" t="s">
        <v>2389</v>
      </c>
      <c r="H569" s="4">
        <v>126187.01</v>
      </c>
    </row>
    <row r="570" spans="1:8" x14ac:dyDescent="0.3">
      <c r="A570" s="3" t="s">
        <v>6</v>
      </c>
      <c r="B570" t="s">
        <v>7</v>
      </c>
      <c r="C570" t="s">
        <v>797</v>
      </c>
      <c r="D570" t="s">
        <v>9</v>
      </c>
      <c r="E570" t="s">
        <v>953</v>
      </c>
      <c r="F570" t="str">
        <f>"001600020755"</f>
        <v>001600020755</v>
      </c>
      <c r="G570" t="s">
        <v>2549</v>
      </c>
      <c r="H570" s="4">
        <v>126033.234</v>
      </c>
    </row>
    <row r="571" spans="1:8" x14ac:dyDescent="0.3">
      <c r="A571" t="s">
        <v>6</v>
      </c>
      <c r="B571" t="s">
        <v>7</v>
      </c>
      <c r="C571" t="s">
        <v>381</v>
      </c>
      <c r="D571" t="s">
        <v>9</v>
      </c>
      <c r="E571" t="s">
        <v>453</v>
      </c>
      <c r="F571" t="str">
        <f>"001600018148"</f>
        <v>001600018148</v>
      </c>
      <c r="G571" t="s">
        <v>3178</v>
      </c>
      <c r="H571" s="4">
        <v>125987.63800000001</v>
      </c>
    </row>
    <row r="572" spans="1:8" x14ac:dyDescent="0.3">
      <c r="A572" t="s">
        <v>6</v>
      </c>
      <c r="B572" t="s">
        <v>7</v>
      </c>
      <c r="C572" t="s">
        <v>1940</v>
      </c>
      <c r="D572" t="s">
        <v>9</v>
      </c>
      <c r="E572" t="s">
        <v>2026</v>
      </c>
      <c r="F572" t="str">
        <f>"007047049662"</f>
        <v>007047049662</v>
      </c>
      <c r="G572" t="s">
        <v>3917</v>
      </c>
      <c r="H572" s="4">
        <v>125787.842</v>
      </c>
    </row>
    <row r="573" spans="1:8" x14ac:dyDescent="0.3">
      <c r="A573" t="s">
        <v>6</v>
      </c>
      <c r="B573" t="s">
        <v>7</v>
      </c>
      <c r="C573" t="s">
        <v>381</v>
      </c>
      <c r="D573" t="s">
        <v>9</v>
      </c>
      <c r="E573" t="s">
        <v>543</v>
      </c>
      <c r="F573" t="str">
        <f>"001600018892"</f>
        <v>001600018892</v>
      </c>
      <c r="G573" t="s">
        <v>3266</v>
      </c>
      <c r="H573" s="4">
        <v>125757.936</v>
      </c>
    </row>
    <row r="574" spans="1:8" x14ac:dyDescent="0.3">
      <c r="A574" t="s">
        <v>6</v>
      </c>
      <c r="B574" t="s">
        <v>7</v>
      </c>
      <c r="C574" t="s">
        <v>2231</v>
      </c>
      <c r="D574" t="s">
        <v>9</v>
      </c>
      <c r="E574" t="s">
        <v>2363</v>
      </c>
      <c r="F574" t="str">
        <f>"004119601061"</f>
        <v>004119601061</v>
      </c>
      <c r="G574" t="s">
        <v>4554</v>
      </c>
      <c r="H574" s="4">
        <v>125059.37300000001</v>
      </c>
    </row>
    <row r="575" spans="1:8" x14ac:dyDescent="0.3">
      <c r="A575" t="s">
        <v>6</v>
      </c>
      <c r="B575" t="s">
        <v>7</v>
      </c>
      <c r="C575" t="s">
        <v>8</v>
      </c>
      <c r="D575" t="s">
        <v>9</v>
      </c>
      <c r="E575" t="s">
        <v>98</v>
      </c>
      <c r="F575" t="str">
        <f>"001600020818"</f>
        <v>001600020818</v>
      </c>
      <c r="G575" t="s">
        <v>4068</v>
      </c>
      <c r="H575" s="4">
        <v>124794.29</v>
      </c>
    </row>
    <row r="576" spans="1:8" x14ac:dyDescent="0.3">
      <c r="A576" t="s">
        <v>6</v>
      </c>
      <c r="B576" t="s">
        <v>7</v>
      </c>
      <c r="C576" t="s">
        <v>1095</v>
      </c>
      <c r="D576" t="s">
        <v>9</v>
      </c>
      <c r="E576" t="s">
        <v>1106</v>
      </c>
      <c r="F576" t="str">
        <f>"001600011610"</f>
        <v>001600011610</v>
      </c>
      <c r="G576" t="s">
        <v>2706</v>
      </c>
      <c r="H576" s="4">
        <v>124767.758</v>
      </c>
    </row>
    <row r="577" spans="1:8" x14ac:dyDescent="0.3">
      <c r="A577" t="s">
        <v>6</v>
      </c>
      <c r="B577" t="s">
        <v>7</v>
      </c>
      <c r="C577" t="s">
        <v>8</v>
      </c>
      <c r="D577" t="s">
        <v>9</v>
      </c>
      <c r="E577" t="s">
        <v>192</v>
      </c>
      <c r="F577" t="str">
        <f>"001600016399"</f>
        <v>001600016399</v>
      </c>
      <c r="G577" t="s">
        <v>4151</v>
      </c>
      <c r="H577" s="4">
        <v>124446.1</v>
      </c>
    </row>
    <row r="578" spans="1:8" x14ac:dyDescent="0.3">
      <c r="A578" t="s">
        <v>6</v>
      </c>
      <c r="B578" t="s">
        <v>7</v>
      </c>
      <c r="C578" t="s">
        <v>1397</v>
      </c>
      <c r="D578" t="s">
        <v>9</v>
      </c>
      <c r="E578" t="s">
        <v>1484</v>
      </c>
      <c r="F578" t="str">
        <f>"001600020524"</f>
        <v>001600020524</v>
      </c>
      <c r="G578" t="s">
        <v>3032</v>
      </c>
      <c r="H578" s="4">
        <v>124423.08</v>
      </c>
    </row>
    <row r="579" spans="1:8" x14ac:dyDescent="0.3">
      <c r="A579" t="s">
        <v>6</v>
      </c>
      <c r="B579" t="s">
        <v>7</v>
      </c>
      <c r="C579" t="s">
        <v>985</v>
      </c>
      <c r="D579" t="s">
        <v>9</v>
      </c>
      <c r="E579" t="s">
        <v>1015</v>
      </c>
      <c r="F579" t="str">
        <f>"001356230063"</f>
        <v>001356230063</v>
      </c>
      <c r="G579" t="s">
        <v>2614</v>
      </c>
      <c r="H579" s="4">
        <v>124315.825</v>
      </c>
    </row>
    <row r="580" spans="1:8" x14ac:dyDescent="0.3">
      <c r="A580" t="s">
        <v>6</v>
      </c>
      <c r="B580" t="s">
        <v>7</v>
      </c>
      <c r="C580" t="s">
        <v>797</v>
      </c>
      <c r="D580" t="s">
        <v>9</v>
      </c>
      <c r="E580" t="s">
        <v>805</v>
      </c>
      <c r="F580" t="str">
        <f>"001600045604"</f>
        <v>001600045604</v>
      </c>
      <c r="G580" t="s">
        <v>2402</v>
      </c>
      <c r="H580" s="4">
        <v>124203.50900000001</v>
      </c>
    </row>
    <row r="581" spans="1:8" x14ac:dyDescent="0.3">
      <c r="A581" t="s">
        <v>6</v>
      </c>
      <c r="B581" t="s">
        <v>7</v>
      </c>
      <c r="C581" t="s">
        <v>2231</v>
      </c>
      <c r="D581" t="s">
        <v>9</v>
      </c>
      <c r="E581" t="s">
        <v>2344</v>
      </c>
      <c r="F581" t="str">
        <f>"004119647603"</f>
        <v>004119647603</v>
      </c>
      <c r="G581" t="s">
        <v>4536</v>
      </c>
      <c r="H581" s="4">
        <v>124192.78599999999</v>
      </c>
    </row>
    <row r="582" spans="1:8" x14ac:dyDescent="0.3">
      <c r="A582" t="s">
        <v>6</v>
      </c>
      <c r="B582" t="s">
        <v>7</v>
      </c>
      <c r="C582" t="s">
        <v>2231</v>
      </c>
      <c r="D582" t="s">
        <v>9</v>
      </c>
      <c r="E582" t="s">
        <v>2369</v>
      </c>
      <c r="F582" t="str">
        <f>"004119691074"</f>
        <v>004119691074</v>
      </c>
      <c r="G582" t="s">
        <v>4560</v>
      </c>
      <c r="H582" s="4">
        <v>123061.531</v>
      </c>
    </row>
    <row r="583" spans="1:8" x14ac:dyDescent="0.3">
      <c r="A583" t="s">
        <v>6</v>
      </c>
      <c r="B583" t="s">
        <v>7</v>
      </c>
      <c r="C583" t="s">
        <v>8</v>
      </c>
      <c r="D583" t="s">
        <v>9</v>
      </c>
      <c r="E583" t="s">
        <v>358</v>
      </c>
      <c r="F583" t="str">
        <f>"001600016931"</f>
        <v>001600016931</v>
      </c>
      <c r="G583" t="s">
        <v>4302</v>
      </c>
      <c r="H583" s="4">
        <v>123022.98</v>
      </c>
    </row>
    <row r="584" spans="1:8" x14ac:dyDescent="0.3">
      <c r="A584" t="s">
        <v>6</v>
      </c>
      <c r="B584" t="s">
        <v>7</v>
      </c>
      <c r="C584" t="s">
        <v>2231</v>
      </c>
      <c r="D584" t="s">
        <v>9</v>
      </c>
      <c r="E584" t="s">
        <v>2258</v>
      </c>
      <c r="F584" t="str">
        <f>"004119612993"</f>
        <v>004119612993</v>
      </c>
      <c r="G584" t="s">
        <v>4457</v>
      </c>
      <c r="H584" s="4">
        <v>122610.776</v>
      </c>
    </row>
    <row r="585" spans="1:8" x14ac:dyDescent="0.3">
      <c r="A585" t="s">
        <v>6</v>
      </c>
      <c r="B585" t="s">
        <v>7</v>
      </c>
      <c r="C585" t="s">
        <v>8</v>
      </c>
      <c r="D585" t="s">
        <v>9</v>
      </c>
      <c r="E585" t="s">
        <v>311</v>
      </c>
      <c r="F585" t="str">
        <f>"001600019746"</f>
        <v>001600019746</v>
      </c>
      <c r="G585" t="s">
        <v>4259</v>
      </c>
      <c r="H585" s="4">
        <v>122390.773</v>
      </c>
    </row>
    <row r="586" spans="1:8" x14ac:dyDescent="0.3">
      <c r="A586" t="s">
        <v>6</v>
      </c>
      <c r="B586" t="s">
        <v>7</v>
      </c>
      <c r="C586" t="s">
        <v>8</v>
      </c>
      <c r="D586" t="s">
        <v>9</v>
      </c>
      <c r="E586" t="s">
        <v>86</v>
      </c>
      <c r="F586" t="str">
        <f>"001600027581"</f>
        <v>001600027581</v>
      </c>
      <c r="G586" t="s">
        <v>4061</v>
      </c>
      <c r="H586" s="4">
        <v>122262.382</v>
      </c>
    </row>
    <row r="587" spans="1:8" x14ac:dyDescent="0.3">
      <c r="A587" t="s">
        <v>6</v>
      </c>
      <c r="B587" t="s">
        <v>7</v>
      </c>
      <c r="C587" t="s">
        <v>1577</v>
      </c>
      <c r="D587" t="s">
        <v>9</v>
      </c>
      <c r="E587" t="s">
        <v>1631</v>
      </c>
      <c r="F587" t="str">
        <f>"004600082011"</f>
        <v>004600082011</v>
      </c>
      <c r="G587" t="s">
        <v>3396</v>
      </c>
      <c r="H587" s="4">
        <v>122147.518</v>
      </c>
    </row>
    <row r="588" spans="1:8" x14ac:dyDescent="0.3">
      <c r="A588" t="s">
        <v>6</v>
      </c>
      <c r="B588" t="s">
        <v>7</v>
      </c>
      <c r="C588" t="s">
        <v>1940</v>
      </c>
      <c r="D588" t="s">
        <v>9</v>
      </c>
      <c r="E588" t="s">
        <v>1964</v>
      </c>
      <c r="F588" t="str">
        <f>"007047020016"</f>
        <v>007047020016</v>
      </c>
      <c r="G588" t="s">
        <v>3850</v>
      </c>
      <c r="H588" s="4">
        <v>122068.683</v>
      </c>
    </row>
    <row r="589" spans="1:8" x14ac:dyDescent="0.3">
      <c r="A589" t="s">
        <v>6</v>
      </c>
      <c r="B589" t="s">
        <v>7</v>
      </c>
      <c r="C589" t="s">
        <v>1940</v>
      </c>
      <c r="D589" t="s">
        <v>9</v>
      </c>
      <c r="E589" t="s">
        <v>2087</v>
      </c>
      <c r="F589" t="str">
        <f>"007047000325"</f>
        <v>007047000325</v>
      </c>
      <c r="G589" t="s">
        <v>3973</v>
      </c>
      <c r="H589" s="4">
        <v>122042.819</v>
      </c>
    </row>
    <row r="590" spans="1:8" x14ac:dyDescent="0.3">
      <c r="A590" t="s">
        <v>6</v>
      </c>
      <c r="B590" t="s">
        <v>7</v>
      </c>
      <c r="C590" t="s">
        <v>2231</v>
      </c>
      <c r="D590" t="s">
        <v>9</v>
      </c>
      <c r="E590" t="s">
        <v>2287</v>
      </c>
      <c r="F590" t="str">
        <f>"004119613307"</f>
        <v>004119613307</v>
      </c>
      <c r="G590" t="s">
        <v>4485</v>
      </c>
      <c r="H590" s="4">
        <v>121062.226</v>
      </c>
    </row>
    <row r="591" spans="1:8" x14ac:dyDescent="0.3">
      <c r="A591" t="s">
        <v>6</v>
      </c>
      <c r="B591" t="s">
        <v>7</v>
      </c>
      <c r="C591" t="s">
        <v>8</v>
      </c>
      <c r="D591" t="s">
        <v>9</v>
      </c>
      <c r="E591" t="s">
        <v>85</v>
      </c>
      <c r="F591" t="str">
        <f>"001600049234"</f>
        <v>001600049234</v>
      </c>
      <c r="G591" t="s">
        <v>4060</v>
      </c>
      <c r="H591" s="4">
        <v>120723.628</v>
      </c>
    </row>
    <row r="592" spans="1:8" x14ac:dyDescent="0.3">
      <c r="A592" t="s">
        <v>6</v>
      </c>
      <c r="B592" t="s">
        <v>7</v>
      </c>
      <c r="C592" t="s">
        <v>8</v>
      </c>
      <c r="D592" t="s">
        <v>9</v>
      </c>
      <c r="E592" t="s">
        <v>12</v>
      </c>
      <c r="F592" t="str">
        <f>"001600018621"</f>
        <v>001600018621</v>
      </c>
      <c r="G592" t="s">
        <v>4003</v>
      </c>
      <c r="H592" s="4">
        <v>120603.07399999999</v>
      </c>
    </row>
    <row r="593" spans="1:8" x14ac:dyDescent="0.3">
      <c r="A593" t="s">
        <v>6</v>
      </c>
      <c r="B593" t="s">
        <v>7</v>
      </c>
      <c r="C593" t="s">
        <v>381</v>
      </c>
      <c r="D593" t="s">
        <v>9</v>
      </c>
      <c r="E593" t="s">
        <v>388</v>
      </c>
      <c r="F593" t="str">
        <f>"001356246050"</f>
        <v>001356246050</v>
      </c>
      <c r="G593" t="s">
        <v>3116</v>
      </c>
      <c r="H593" s="4">
        <v>120447.568</v>
      </c>
    </row>
    <row r="594" spans="1:8" x14ac:dyDescent="0.3">
      <c r="A594" t="s">
        <v>6</v>
      </c>
      <c r="B594" t="s">
        <v>7</v>
      </c>
      <c r="C594" t="s">
        <v>2231</v>
      </c>
      <c r="D594" t="s">
        <v>9</v>
      </c>
      <c r="E594" t="s">
        <v>2322</v>
      </c>
      <c r="F594" t="str">
        <f>"004119640483"</f>
        <v>004119640483</v>
      </c>
      <c r="G594" t="s">
        <v>4513</v>
      </c>
      <c r="H594" s="4">
        <v>120220.019</v>
      </c>
    </row>
    <row r="595" spans="1:8" x14ac:dyDescent="0.3">
      <c r="A595" t="s">
        <v>6</v>
      </c>
      <c r="B595" t="s">
        <v>7</v>
      </c>
      <c r="C595" t="s">
        <v>985</v>
      </c>
      <c r="D595" t="s">
        <v>9</v>
      </c>
      <c r="E595" t="s">
        <v>997</v>
      </c>
      <c r="F595" t="str">
        <f>"001356230039"</f>
        <v>001356230039</v>
      </c>
      <c r="G595" t="s">
        <v>2593</v>
      </c>
      <c r="H595" s="4">
        <v>120145.99800000001</v>
      </c>
    </row>
    <row r="596" spans="1:8" x14ac:dyDescent="0.3">
      <c r="A596" t="s">
        <v>6</v>
      </c>
      <c r="B596" t="s">
        <v>7</v>
      </c>
      <c r="C596" t="s">
        <v>8</v>
      </c>
      <c r="D596" t="s">
        <v>9</v>
      </c>
      <c r="E596" t="s">
        <v>215</v>
      </c>
      <c r="F596" t="str">
        <f>"001600016367"</f>
        <v>001600016367</v>
      </c>
      <c r="G596" t="s">
        <v>4174</v>
      </c>
      <c r="H596" s="4">
        <v>119513.48</v>
      </c>
    </row>
    <row r="597" spans="1:8" x14ac:dyDescent="0.3">
      <c r="A597" t="s">
        <v>6</v>
      </c>
      <c r="B597" t="s">
        <v>7</v>
      </c>
      <c r="C597" t="s">
        <v>8</v>
      </c>
      <c r="D597" t="s">
        <v>9</v>
      </c>
      <c r="E597" t="s">
        <v>133</v>
      </c>
      <c r="F597" t="str">
        <f>"001600016347"</f>
        <v>001600016347</v>
      </c>
      <c r="G597" t="s">
        <v>4099</v>
      </c>
      <c r="H597" s="4">
        <v>119486.36199999999</v>
      </c>
    </row>
    <row r="598" spans="1:8" x14ac:dyDescent="0.3">
      <c r="A598" t="s">
        <v>6</v>
      </c>
      <c r="B598" t="s">
        <v>7</v>
      </c>
      <c r="C598" t="s">
        <v>1940</v>
      </c>
      <c r="D598" t="s">
        <v>9</v>
      </c>
      <c r="E598" t="s">
        <v>1981</v>
      </c>
      <c r="F598" t="str">
        <f>"007047013773"</f>
        <v>007047013773</v>
      </c>
      <c r="G598" t="s">
        <v>2389</v>
      </c>
      <c r="H598" s="4">
        <v>119161.257</v>
      </c>
    </row>
    <row r="599" spans="1:8" x14ac:dyDescent="0.3">
      <c r="A599" t="s">
        <v>6</v>
      </c>
      <c r="B599" s="3" t="s">
        <v>7</v>
      </c>
      <c r="C599" s="3" t="s">
        <v>1122</v>
      </c>
      <c r="D599" s="3" t="s">
        <v>9</v>
      </c>
      <c r="E599" s="3" t="s">
        <v>1158</v>
      </c>
      <c r="F599" t="str">
        <f>"001600020098"</f>
        <v>001600020098</v>
      </c>
      <c r="G599" t="s">
        <v>2749</v>
      </c>
      <c r="H599" s="3" t="s">
        <v>1159</v>
      </c>
    </row>
    <row r="600" spans="1:8" x14ac:dyDescent="0.3">
      <c r="A600" t="s">
        <v>6</v>
      </c>
      <c r="B600" t="s">
        <v>7</v>
      </c>
      <c r="C600" t="s">
        <v>381</v>
      </c>
      <c r="D600" t="s">
        <v>9</v>
      </c>
      <c r="E600" t="s">
        <v>488</v>
      </c>
      <c r="F600" t="str">
        <f>"001600016057"</f>
        <v>001600016057</v>
      </c>
      <c r="G600" t="s">
        <v>3215</v>
      </c>
      <c r="H600" s="4">
        <v>118935.359</v>
      </c>
    </row>
    <row r="601" spans="1:8" x14ac:dyDescent="0.3">
      <c r="A601" t="s">
        <v>6</v>
      </c>
      <c r="B601" t="s">
        <v>7</v>
      </c>
      <c r="C601" t="s">
        <v>8</v>
      </c>
      <c r="D601" t="s">
        <v>9</v>
      </c>
      <c r="E601" t="s">
        <v>211</v>
      </c>
      <c r="F601" t="str">
        <f>"001600027582"</f>
        <v>001600027582</v>
      </c>
      <c r="G601" t="s">
        <v>4170</v>
      </c>
      <c r="H601" s="4">
        <v>118033.71</v>
      </c>
    </row>
    <row r="602" spans="1:8" x14ac:dyDescent="0.3">
      <c r="A602" t="s">
        <v>6</v>
      </c>
      <c r="B602" t="s">
        <v>7</v>
      </c>
      <c r="C602" t="s">
        <v>381</v>
      </c>
      <c r="D602" t="s">
        <v>9</v>
      </c>
      <c r="E602" t="s">
        <v>588</v>
      </c>
      <c r="F602" t="str">
        <f>"001600016879"</f>
        <v>001600016879</v>
      </c>
      <c r="G602" t="s">
        <v>3316</v>
      </c>
      <c r="H602" s="4">
        <v>117707.10799999999</v>
      </c>
    </row>
    <row r="603" spans="1:8" x14ac:dyDescent="0.3">
      <c r="A603" t="s">
        <v>6</v>
      </c>
      <c r="B603" t="s">
        <v>7</v>
      </c>
      <c r="C603" t="s">
        <v>8</v>
      </c>
      <c r="D603" t="s">
        <v>9</v>
      </c>
      <c r="E603" t="s">
        <v>291</v>
      </c>
      <c r="F603" t="str">
        <f>"001600018954"</f>
        <v>001600018954</v>
      </c>
      <c r="G603" t="s">
        <v>4243</v>
      </c>
      <c r="H603" s="4">
        <v>117359.69</v>
      </c>
    </row>
    <row r="604" spans="1:8" x14ac:dyDescent="0.3">
      <c r="A604" t="s">
        <v>6</v>
      </c>
      <c r="B604" t="s">
        <v>7</v>
      </c>
      <c r="C604" t="s">
        <v>381</v>
      </c>
      <c r="D604" t="s">
        <v>9</v>
      </c>
      <c r="E604" t="s">
        <v>494</v>
      </c>
      <c r="F604" t="str">
        <f>"001600015483"</f>
        <v>001600015483</v>
      </c>
      <c r="G604" t="s">
        <v>3221</v>
      </c>
      <c r="H604" s="4">
        <v>117208.31299999999</v>
      </c>
    </row>
    <row r="605" spans="1:8" x14ac:dyDescent="0.3">
      <c r="A605" t="s">
        <v>6</v>
      </c>
      <c r="B605" t="s">
        <v>7</v>
      </c>
      <c r="C605" t="s">
        <v>616</v>
      </c>
      <c r="D605" t="s">
        <v>9</v>
      </c>
      <c r="E605" t="s">
        <v>671</v>
      </c>
      <c r="F605" t="str">
        <f>"002190811536"</f>
        <v>002190811536</v>
      </c>
      <c r="G605" t="s">
        <v>3641</v>
      </c>
      <c r="H605" s="4">
        <v>116871.34699999999</v>
      </c>
    </row>
    <row r="606" spans="1:8" x14ac:dyDescent="0.3">
      <c r="A606" s="3" t="s">
        <v>6</v>
      </c>
      <c r="B606" t="s">
        <v>7</v>
      </c>
      <c r="C606" t="s">
        <v>8</v>
      </c>
      <c r="D606" t="s">
        <v>9</v>
      </c>
      <c r="E606" t="s">
        <v>148</v>
      </c>
      <c r="F606" t="str">
        <f>"001600016254"</f>
        <v>001600016254</v>
      </c>
      <c r="G606" t="s">
        <v>4110</v>
      </c>
      <c r="H606" s="4">
        <v>116526.95699999999</v>
      </c>
    </row>
    <row r="607" spans="1:8" x14ac:dyDescent="0.3">
      <c r="A607" t="s">
        <v>6</v>
      </c>
      <c r="B607" t="s">
        <v>7</v>
      </c>
      <c r="C607" t="s">
        <v>1940</v>
      </c>
      <c r="D607" t="s">
        <v>9</v>
      </c>
      <c r="E607" t="s">
        <v>2110</v>
      </c>
      <c r="F607" t="str">
        <f>"007047043826"</f>
        <v>007047043826</v>
      </c>
      <c r="G607" t="s">
        <v>3998</v>
      </c>
      <c r="H607" s="4">
        <v>116520.122</v>
      </c>
    </row>
    <row r="608" spans="1:8" x14ac:dyDescent="0.3">
      <c r="A608" t="s">
        <v>6</v>
      </c>
      <c r="B608" t="s">
        <v>7</v>
      </c>
      <c r="C608" t="s">
        <v>797</v>
      </c>
      <c r="D608" t="s">
        <v>9</v>
      </c>
      <c r="E608" t="s">
        <v>921</v>
      </c>
      <c r="F608" t="str">
        <f>"001600043776"</f>
        <v>001600043776</v>
      </c>
      <c r="G608" t="s">
        <v>2510</v>
      </c>
      <c r="H608" s="4">
        <v>116351.41800000001</v>
      </c>
    </row>
    <row r="609" spans="1:8" x14ac:dyDescent="0.3">
      <c r="A609" t="s">
        <v>6</v>
      </c>
      <c r="B609" t="s">
        <v>7</v>
      </c>
      <c r="C609" t="s">
        <v>2231</v>
      </c>
      <c r="D609" t="s">
        <v>9</v>
      </c>
      <c r="E609" t="s">
        <v>2253</v>
      </c>
      <c r="F609" t="str">
        <f>"004119611185"</f>
        <v>004119611185</v>
      </c>
      <c r="G609" t="s">
        <v>4452</v>
      </c>
      <c r="H609" s="4">
        <v>116257.705</v>
      </c>
    </row>
    <row r="610" spans="1:8" x14ac:dyDescent="0.3">
      <c r="A610" t="s">
        <v>6</v>
      </c>
      <c r="B610" t="s">
        <v>7</v>
      </c>
      <c r="C610" t="s">
        <v>2231</v>
      </c>
      <c r="D610" t="s">
        <v>9</v>
      </c>
      <c r="E610" t="s">
        <v>2285</v>
      </c>
      <c r="F610" t="str">
        <f>"004119612363"</f>
        <v>004119612363</v>
      </c>
      <c r="G610" t="s">
        <v>4483</v>
      </c>
      <c r="H610" s="4">
        <v>116154.82</v>
      </c>
    </row>
    <row r="611" spans="1:8" x14ac:dyDescent="0.3">
      <c r="A611" t="s">
        <v>6</v>
      </c>
      <c r="B611" t="s">
        <v>7</v>
      </c>
      <c r="C611" t="s">
        <v>1805</v>
      </c>
      <c r="D611" t="s">
        <v>9</v>
      </c>
      <c r="E611" t="s">
        <v>1809</v>
      </c>
      <c r="F611" t="str">
        <f>"001356247294"</f>
        <v>001356247294</v>
      </c>
      <c r="G611" t="s">
        <v>3741</v>
      </c>
      <c r="H611" s="4">
        <v>116101.29399999999</v>
      </c>
    </row>
    <row r="612" spans="1:8" x14ac:dyDescent="0.3">
      <c r="A612" t="s">
        <v>6</v>
      </c>
      <c r="B612" t="s">
        <v>7</v>
      </c>
      <c r="C612" t="s">
        <v>1122</v>
      </c>
      <c r="D612" t="s">
        <v>9</v>
      </c>
      <c r="E612" t="s">
        <v>1240</v>
      </c>
      <c r="F612" t="str">
        <f>"001600015242"</f>
        <v>001600015242</v>
      </c>
      <c r="G612" t="s">
        <v>2812</v>
      </c>
      <c r="H612" s="4">
        <v>115505.04</v>
      </c>
    </row>
    <row r="613" spans="1:8" x14ac:dyDescent="0.3">
      <c r="A613" t="s">
        <v>6</v>
      </c>
      <c r="B613" t="s">
        <v>7</v>
      </c>
      <c r="C613" t="s">
        <v>8</v>
      </c>
      <c r="D613" t="s">
        <v>9</v>
      </c>
      <c r="E613" t="s">
        <v>134</v>
      </c>
      <c r="F613" t="str">
        <f>"001600016868"</f>
        <v>001600016868</v>
      </c>
      <c r="G613" t="s">
        <v>4100</v>
      </c>
      <c r="H613" s="4">
        <v>115048.151</v>
      </c>
    </row>
    <row r="614" spans="1:8" x14ac:dyDescent="0.3">
      <c r="A614" t="s">
        <v>6</v>
      </c>
      <c r="B614" t="s">
        <v>7</v>
      </c>
      <c r="C614" t="s">
        <v>1940</v>
      </c>
      <c r="D614" t="s">
        <v>9</v>
      </c>
      <c r="E614" t="s">
        <v>1982</v>
      </c>
      <c r="F614" t="str">
        <f>"007047018739"</f>
        <v>007047018739</v>
      </c>
      <c r="G614" t="s">
        <v>2389</v>
      </c>
      <c r="H614" s="4">
        <v>114988.28</v>
      </c>
    </row>
    <row r="615" spans="1:8" x14ac:dyDescent="0.3">
      <c r="A615" t="s">
        <v>6</v>
      </c>
      <c r="B615" t="s">
        <v>7</v>
      </c>
      <c r="C615" t="s">
        <v>1286</v>
      </c>
      <c r="D615" t="s">
        <v>9</v>
      </c>
      <c r="E615" t="s">
        <v>1303</v>
      </c>
      <c r="F615" t="str">
        <f>"001800044763"</f>
        <v>001800044763</v>
      </c>
      <c r="G615" t="s">
        <v>2867</v>
      </c>
      <c r="H615" s="4">
        <v>114659.466</v>
      </c>
    </row>
    <row r="616" spans="1:8" x14ac:dyDescent="0.3">
      <c r="A616" t="s">
        <v>6</v>
      </c>
      <c r="B616" t="s">
        <v>7</v>
      </c>
      <c r="C616" t="s">
        <v>381</v>
      </c>
      <c r="D616" t="s">
        <v>9</v>
      </c>
      <c r="E616" t="s">
        <v>1573</v>
      </c>
      <c r="F616" t="str">
        <f>"001600014646"</f>
        <v>001600014646</v>
      </c>
      <c r="G616" t="s">
        <v>3198</v>
      </c>
      <c r="H616" s="4">
        <v>114590.1</v>
      </c>
    </row>
    <row r="617" spans="1:8" x14ac:dyDescent="0.3">
      <c r="A617" t="s">
        <v>6</v>
      </c>
      <c r="B617" t="s">
        <v>7</v>
      </c>
      <c r="C617" t="s">
        <v>8</v>
      </c>
      <c r="D617" t="s">
        <v>9</v>
      </c>
      <c r="E617" t="s">
        <v>18</v>
      </c>
      <c r="F617" t="str">
        <f>"001600018864"</f>
        <v>001600018864</v>
      </c>
      <c r="G617" t="s">
        <v>4006</v>
      </c>
      <c r="H617" s="4">
        <v>114527.893</v>
      </c>
    </row>
    <row r="618" spans="1:8" x14ac:dyDescent="0.3">
      <c r="A618" t="s">
        <v>6</v>
      </c>
      <c r="B618" s="3" t="s">
        <v>7</v>
      </c>
      <c r="C618" s="3" t="s">
        <v>1122</v>
      </c>
      <c r="D618" s="3" t="s">
        <v>9</v>
      </c>
      <c r="E618" s="3" t="s">
        <v>1169</v>
      </c>
      <c r="F618" t="str">
        <f>"001600018145"</f>
        <v>001600018145</v>
      </c>
      <c r="G618" t="s">
        <v>2758</v>
      </c>
      <c r="H618" s="3" t="s">
        <v>1170</v>
      </c>
    </row>
    <row r="619" spans="1:8" x14ac:dyDescent="0.3">
      <c r="A619" t="s">
        <v>6</v>
      </c>
      <c r="B619" t="s">
        <v>7</v>
      </c>
      <c r="C619" t="s">
        <v>616</v>
      </c>
      <c r="D619" t="s">
        <v>9</v>
      </c>
      <c r="E619" t="s">
        <v>670</v>
      </c>
      <c r="F619" t="str">
        <f>"002190812276"</f>
        <v>002190812276</v>
      </c>
      <c r="G619" t="s">
        <v>3640</v>
      </c>
      <c r="H619" s="4">
        <v>113696.22</v>
      </c>
    </row>
    <row r="620" spans="1:8" x14ac:dyDescent="0.3">
      <c r="A620" t="s">
        <v>6</v>
      </c>
      <c r="B620" t="s">
        <v>7</v>
      </c>
      <c r="C620" t="s">
        <v>8</v>
      </c>
      <c r="D620" t="s">
        <v>9</v>
      </c>
      <c r="E620" t="s">
        <v>161</v>
      </c>
      <c r="F620" t="str">
        <f>"001600015159"</f>
        <v>001600015159</v>
      </c>
      <c r="G620" t="s">
        <v>4122</v>
      </c>
      <c r="H620" s="4">
        <v>112492.77899999999</v>
      </c>
    </row>
    <row r="621" spans="1:8" x14ac:dyDescent="0.3">
      <c r="A621" t="s">
        <v>6</v>
      </c>
      <c r="B621" t="s">
        <v>7</v>
      </c>
      <c r="C621" t="s">
        <v>8</v>
      </c>
      <c r="D621" t="s">
        <v>9</v>
      </c>
      <c r="E621" t="s">
        <v>146</v>
      </c>
      <c r="F621" t="str">
        <f>"001600018486"</f>
        <v>001600018486</v>
      </c>
      <c r="G621" t="s">
        <v>4109</v>
      </c>
      <c r="H621" s="4">
        <v>112319.572</v>
      </c>
    </row>
    <row r="622" spans="1:8" x14ac:dyDescent="0.3">
      <c r="A622" t="s">
        <v>6</v>
      </c>
      <c r="B622" t="s">
        <v>7</v>
      </c>
      <c r="C622" t="s">
        <v>381</v>
      </c>
      <c r="D622" t="s">
        <v>9</v>
      </c>
      <c r="E622" t="s">
        <v>570</v>
      </c>
      <c r="F622" t="str">
        <f>"001600014941"</f>
        <v>001600014941</v>
      </c>
      <c r="G622" t="s">
        <v>3293</v>
      </c>
      <c r="H622" s="4">
        <v>112216.11</v>
      </c>
    </row>
    <row r="623" spans="1:8" x14ac:dyDescent="0.3">
      <c r="A623" t="s">
        <v>6</v>
      </c>
      <c r="B623" t="s">
        <v>7</v>
      </c>
      <c r="C623" t="s">
        <v>1577</v>
      </c>
      <c r="D623" t="s">
        <v>9</v>
      </c>
      <c r="E623" t="s">
        <v>1615</v>
      </c>
      <c r="F623" t="str">
        <f>"004600028873"</f>
        <v>004600028873</v>
      </c>
      <c r="G623" t="s">
        <v>3379</v>
      </c>
      <c r="H623" s="4">
        <v>112035.747</v>
      </c>
    </row>
    <row r="624" spans="1:8" x14ac:dyDescent="0.3">
      <c r="A624" t="s">
        <v>6</v>
      </c>
      <c r="B624" t="s">
        <v>7</v>
      </c>
      <c r="C624" t="s">
        <v>1940</v>
      </c>
      <c r="D624" t="s">
        <v>9</v>
      </c>
      <c r="E624" t="s">
        <v>1944</v>
      </c>
      <c r="F624" t="str">
        <f>"007047016593"</f>
        <v>007047016593</v>
      </c>
      <c r="G624" t="s">
        <v>3825</v>
      </c>
      <c r="H624" s="4">
        <v>112032.826</v>
      </c>
    </row>
    <row r="625" spans="1:8" x14ac:dyDescent="0.3">
      <c r="A625" t="s">
        <v>6</v>
      </c>
      <c r="B625" t="s">
        <v>7</v>
      </c>
      <c r="C625" t="s">
        <v>1940</v>
      </c>
      <c r="D625" t="s">
        <v>9</v>
      </c>
      <c r="E625" t="s">
        <v>1968</v>
      </c>
      <c r="F625" t="str">
        <f>"007527000191"</f>
        <v>007527000191</v>
      </c>
      <c r="G625" t="s">
        <v>3856</v>
      </c>
      <c r="H625" s="4">
        <v>111761.09600000001</v>
      </c>
    </row>
    <row r="626" spans="1:8" x14ac:dyDescent="0.3">
      <c r="A626" t="s">
        <v>6</v>
      </c>
      <c r="B626" t="s">
        <v>7</v>
      </c>
      <c r="C626" t="s">
        <v>1940</v>
      </c>
      <c r="D626" t="s">
        <v>9</v>
      </c>
      <c r="E626" t="s">
        <v>1967</v>
      </c>
      <c r="F626" t="str">
        <f>"007527041052"</f>
        <v>007527041052</v>
      </c>
      <c r="G626" t="s">
        <v>3853</v>
      </c>
      <c r="H626" s="4">
        <v>110942.97</v>
      </c>
    </row>
    <row r="627" spans="1:8" x14ac:dyDescent="0.3">
      <c r="A627" t="s">
        <v>6</v>
      </c>
      <c r="B627" t="s">
        <v>7</v>
      </c>
      <c r="C627" t="s">
        <v>8</v>
      </c>
      <c r="D627" t="s">
        <v>9</v>
      </c>
      <c r="E627" t="s">
        <v>88</v>
      </c>
      <c r="F627" t="str">
        <f>"001600020613"</f>
        <v>001600020613</v>
      </c>
      <c r="G627" t="s">
        <v>2389</v>
      </c>
      <c r="H627" s="4">
        <v>110932.44</v>
      </c>
    </row>
    <row r="628" spans="1:8" x14ac:dyDescent="0.3">
      <c r="A628" t="s">
        <v>6</v>
      </c>
      <c r="B628" t="s">
        <v>7</v>
      </c>
      <c r="C628" t="s">
        <v>8</v>
      </c>
      <c r="D628" t="s">
        <v>9</v>
      </c>
      <c r="E628" t="s">
        <v>347</v>
      </c>
      <c r="F628" t="str">
        <f>"001600019709"</f>
        <v>001600019709</v>
      </c>
      <c r="G628" t="s">
        <v>4293</v>
      </c>
      <c r="H628" s="4">
        <v>110766.685</v>
      </c>
    </row>
    <row r="629" spans="1:8" x14ac:dyDescent="0.3">
      <c r="A629" t="s">
        <v>6</v>
      </c>
      <c r="B629" t="s">
        <v>7</v>
      </c>
      <c r="C629" t="s">
        <v>2231</v>
      </c>
      <c r="D629" t="s">
        <v>9</v>
      </c>
      <c r="E629" t="s">
        <v>2280</v>
      </c>
      <c r="F629" t="str">
        <f>"004119641201"</f>
        <v>004119641201</v>
      </c>
      <c r="G629" t="s">
        <v>4478</v>
      </c>
      <c r="H629" s="4">
        <v>110619.63099999999</v>
      </c>
    </row>
    <row r="630" spans="1:8" x14ac:dyDescent="0.3">
      <c r="A630" t="s">
        <v>6</v>
      </c>
      <c r="B630" t="s">
        <v>7</v>
      </c>
      <c r="C630" t="s">
        <v>616</v>
      </c>
      <c r="D630" t="s">
        <v>9</v>
      </c>
      <c r="E630" t="s">
        <v>696</v>
      </c>
      <c r="F630" t="str">
        <f>"002190811596"</f>
        <v>002190811596</v>
      </c>
      <c r="G630" t="s">
        <v>3666</v>
      </c>
      <c r="H630" s="4">
        <v>110481.702</v>
      </c>
    </row>
    <row r="631" spans="1:8" x14ac:dyDescent="0.3">
      <c r="A631" t="s">
        <v>6</v>
      </c>
      <c r="B631" t="s">
        <v>7</v>
      </c>
      <c r="C631" t="s">
        <v>1397</v>
      </c>
      <c r="D631" t="s">
        <v>9</v>
      </c>
      <c r="E631" t="s">
        <v>1515</v>
      </c>
      <c r="F631" t="str">
        <f>"004119689123"</f>
        <v>004119689123</v>
      </c>
      <c r="G631" t="s">
        <v>3059</v>
      </c>
      <c r="H631" s="4">
        <v>110015.732</v>
      </c>
    </row>
    <row r="632" spans="1:8" x14ac:dyDescent="0.3">
      <c r="A632" t="s">
        <v>6</v>
      </c>
      <c r="B632" t="s">
        <v>7</v>
      </c>
      <c r="C632" t="s">
        <v>381</v>
      </c>
      <c r="D632" t="s">
        <v>9</v>
      </c>
      <c r="E632" t="s">
        <v>386</v>
      </c>
      <c r="F632" t="str">
        <f>"001356200260"</f>
        <v>001356200260</v>
      </c>
      <c r="G632" t="s">
        <v>3115</v>
      </c>
      <c r="H632" s="4">
        <v>110004.958</v>
      </c>
    </row>
    <row r="633" spans="1:8" x14ac:dyDescent="0.3">
      <c r="A633" t="s">
        <v>6</v>
      </c>
      <c r="B633" t="s">
        <v>7</v>
      </c>
      <c r="C633" t="s">
        <v>8</v>
      </c>
      <c r="D633" t="s">
        <v>9</v>
      </c>
      <c r="E633" t="s">
        <v>14</v>
      </c>
      <c r="F633" t="str">
        <f>"001600017155"</f>
        <v>001600017155</v>
      </c>
      <c r="G633" t="s">
        <v>4004</v>
      </c>
      <c r="H633" s="4">
        <v>109576.321</v>
      </c>
    </row>
    <row r="634" spans="1:8" x14ac:dyDescent="0.3">
      <c r="A634" t="s">
        <v>6</v>
      </c>
      <c r="B634" t="s">
        <v>7</v>
      </c>
      <c r="C634" t="s">
        <v>797</v>
      </c>
      <c r="D634" t="s">
        <v>9</v>
      </c>
      <c r="E634" t="s">
        <v>921</v>
      </c>
      <c r="F634" t="str">
        <f>"001600046070"</f>
        <v>001600046070</v>
      </c>
      <c r="G634" t="s">
        <v>2512</v>
      </c>
      <c r="H634" s="4">
        <v>108671.152</v>
      </c>
    </row>
    <row r="635" spans="1:8" x14ac:dyDescent="0.3">
      <c r="A635" t="s">
        <v>6</v>
      </c>
      <c r="B635" t="s">
        <v>7</v>
      </c>
      <c r="C635" t="s">
        <v>770</v>
      </c>
      <c r="D635" t="s">
        <v>9</v>
      </c>
      <c r="E635" t="s">
        <v>773</v>
      </c>
      <c r="F635" t="str">
        <f>"001600042170"</f>
        <v>001600042170</v>
      </c>
      <c r="G635" t="s">
        <v>2373</v>
      </c>
      <c r="H635" s="4">
        <v>108496.88099999999</v>
      </c>
    </row>
    <row r="636" spans="1:8" x14ac:dyDescent="0.3">
      <c r="A636" t="s">
        <v>6</v>
      </c>
      <c r="B636" t="s">
        <v>7</v>
      </c>
      <c r="C636" t="s">
        <v>2113</v>
      </c>
      <c r="D636" t="s">
        <v>9</v>
      </c>
      <c r="E636" t="s">
        <v>2155</v>
      </c>
      <c r="F636" t="str">
        <f>"001600016490"</f>
        <v>001600016490</v>
      </c>
      <c r="G636" t="s">
        <v>4363</v>
      </c>
      <c r="H636" s="4">
        <v>108333.327</v>
      </c>
    </row>
    <row r="637" spans="1:8" x14ac:dyDescent="0.3">
      <c r="A637" t="s">
        <v>6</v>
      </c>
      <c r="B637" t="s">
        <v>7</v>
      </c>
      <c r="C637" t="s">
        <v>1095</v>
      </c>
      <c r="D637" t="s">
        <v>9</v>
      </c>
      <c r="E637" t="s">
        <v>1120</v>
      </c>
      <c r="F637" t="str">
        <f>"001600018980"</f>
        <v>001600018980</v>
      </c>
      <c r="G637" t="s">
        <v>2718</v>
      </c>
      <c r="H637" s="4">
        <v>108110.336</v>
      </c>
    </row>
    <row r="638" spans="1:8" x14ac:dyDescent="0.3">
      <c r="A638" t="s">
        <v>6</v>
      </c>
      <c r="B638" t="s">
        <v>7</v>
      </c>
      <c r="C638" t="s">
        <v>1940</v>
      </c>
      <c r="D638" t="s">
        <v>9</v>
      </c>
      <c r="E638" t="s">
        <v>1952</v>
      </c>
      <c r="F638" t="str">
        <f>"007047018508"</f>
        <v>007047018508</v>
      </c>
      <c r="G638" t="s">
        <v>3835</v>
      </c>
      <c r="H638" s="4">
        <v>107668.67</v>
      </c>
    </row>
    <row r="639" spans="1:8" x14ac:dyDescent="0.3">
      <c r="A639" s="1" t="s">
        <v>6</v>
      </c>
      <c r="B639" t="s">
        <v>7</v>
      </c>
      <c r="C639" t="s">
        <v>8</v>
      </c>
      <c r="D639" t="s">
        <v>9</v>
      </c>
      <c r="E639" t="s">
        <v>83</v>
      </c>
      <c r="F639" t="str">
        <f>"001600016348"</f>
        <v>001600016348</v>
      </c>
      <c r="G639" t="s">
        <v>4058</v>
      </c>
      <c r="H639" s="4">
        <v>107190.713</v>
      </c>
    </row>
    <row r="640" spans="1:8" x14ac:dyDescent="0.3">
      <c r="A640" t="s">
        <v>6</v>
      </c>
      <c r="B640" t="s">
        <v>7</v>
      </c>
      <c r="C640" t="s">
        <v>797</v>
      </c>
      <c r="D640" t="s">
        <v>9</v>
      </c>
      <c r="E640" t="s">
        <v>865</v>
      </c>
      <c r="F640" t="str">
        <f>"001600029851"</f>
        <v>001600029851</v>
      </c>
      <c r="G640" t="s">
        <v>2458</v>
      </c>
      <c r="H640" s="4">
        <v>106770.425</v>
      </c>
    </row>
    <row r="641" spans="1:8" x14ac:dyDescent="0.3">
      <c r="A641" t="s">
        <v>6</v>
      </c>
      <c r="B641" t="s">
        <v>7</v>
      </c>
      <c r="C641" t="s">
        <v>381</v>
      </c>
      <c r="D641" t="s">
        <v>9</v>
      </c>
      <c r="E641" t="s">
        <v>454</v>
      </c>
      <c r="F641" t="str">
        <f>"001600045701"</f>
        <v>001600045701</v>
      </c>
      <c r="G641" t="s">
        <v>3179</v>
      </c>
      <c r="H641" s="4">
        <v>106476.058</v>
      </c>
    </row>
    <row r="642" spans="1:8" x14ac:dyDescent="0.3">
      <c r="A642" t="s">
        <v>6</v>
      </c>
      <c r="B642" t="s">
        <v>7</v>
      </c>
      <c r="C642" t="s">
        <v>8</v>
      </c>
      <c r="D642" t="s">
        <v>9</v>
      </c>
      <c r="E642" t="s">
        <v>372</v>
      </c>
      <c r="F642" t="str">
        <f>"001600016345"</f>
        <v>001600016345</v>
      </c>
      <c r="G642" t="s">
        <v>4315</v>
      </c>
      <c r="H642" s="4">
        <v>106268.242</v>
      </c>
    </row>
    <row r="643" spans="1:8" x14ac:dyDescent="0.3">
      <c r="A643" t="s">
        <v>6</v>
      </c>
      <c r="B643" t="s">
        <v>7</v>
      </c>
      <c r="C643" t="s">
        <v>985</v>
      </c>
      <c r="D643" t="s">
        <v>9</v>
      </c>
      <c r="E643" t="s">
        <v>1036</v>
      </c>
      <c r="F643" t="str">
        <f>"001356261002"</f>
        <v>001356261002</v>
      </c>
      <c r="G643" t="s">
        <v>2633</v>
      </c>
      <c r="H643" s="4">
        <v>105981.111</v>
      </c>
    </row>
    <row r="644" spans="1:8" x14ac:dyDescent="0.3">
      <c r="A644" t="s">
        <v>6</v>
      </c>
      <c r="B644" t="s">
        <v>7</v>
      </c>
      <c r="C644" t="s">
        <v>1122</v>
      </c>
      <c r="D644" t="s">
        <v>9</v>
      </c>
      <c r="E644" t="s">
        <v>1246</v>
      </c>
      <c r="F644" t="str">
        <f>"001600015243"</f>
        <v>001600015243</v>
      </c>
      <c r="G644" t="s">
        <v>2818</v>
      </c>
      <c r="H644" s="4">
        <v>105756.38800000001</v>
      </c>
    </row>
    <row r="645" spans="1:8" x14ac:dyDescent="0.3">
      <c r="A645" t="s">
        <v>6</v>
      </c>
      <c r="B645" t="s">
        <v>7</v>
      </c>
      <c r="C645" t="s">
        <v>2231</v>
      </c>
      <c r="D645" t="s">
        <v>9</v>
      </c>
      <c r="E645" t="s">
        <v>2349</v>
      </c>
      <c r="F645" t="str">
        <f>"004119642377"</f>
        <v>004119642377</v>
      </c>
      <c r="G645" t="s">
        <v>4541</v>
      </c>
      <c r="H645" s="4">
        <v>105459.389</v>
      </c>
    </row>
    <row r="646" spans="1:8" x14ac:dyDescent="0.3">
      <c r="A646" t="s">
        <v>6</v>
      </c>
      <c r="B646" t="s">
        <v>7</v>
      </c>
      <c r="C646" t="s">
        <v>797</v>
      </c>
      <c r="D646" t="s">
        <v>9</v>
      </c>
      <c r="E646" t="s">
        <v>857</v>
      </c>
      <c r="F646" t="str">
        <f>"001600019758"</f>
        <v>001600019758</v>
      </c>
      <c r="G646" t="s">
        <v>2452</v>
      </c>
      <c r="H646" s="4">
        <v>105018.746</v>
      </c>
    </row>
    <row r="647" spans="1:8" x14ac:dyDescent="0.3">
      <c r="A647" t="s">
        <v>6</v>
      </c>
      <c r="B647" t="s">
        <v>7</v>
      </c>
      <c r="C647" t="s">
        <v>1940</v>
      </c>
      <c r="D647" t="s">
        <v>9</v>
      </c>
      <c r="E647" t="s">
        <v>1978</v>
      </c>
      <c r="F647" t="str">
        <f>"007047017404"</f>
        <v>007047017404</v>
      </c>
      <c r="G647" t="s">
        <v>3867</v>
      </c>
      <c r="H647" s="4">
        <v>104632.292</v>
      </c>
    </row>
    <row r="648" spans="1:8" x14ac:dyDescent="0.3">
      <c r="A648" t="s">
        <v>6</v>
      </c>
      <c r="B648" t="s">
        <v>7</v>
      </c>
      <c r="C648" t="s">
        <v>1338</v>
      </c>
      <c r="D648" t="s">
        <v>9</v>
      </c>
      <c r="E648" t="s">
        <v>1358</v>
      </c>
      <c r="F648" t="str">
        <f>"004280000586"</f>
        <v>004280000586</v>
      </c>
      <c r="G648" t="s">
        <v>2915</v>
      </c>
      <c r="H648" s="4">
        <v>104390.628</v>
      </c>
    </row>
    <row r="649" spans="1:8" x14ac:dyDescent="0.3">
      <c r="A649" t="s">
        <v>6</v>
      </c>
      <c r="B649" t="s">
        <v>7</v>
      </c>
      <c r="C649" t="s">
        <v>1122</v>
      </c>
      <c r="D649" t="s">
        <v>9</v>
      </c>
      <c r="E649" t="s">
        <v>1194</v>
      </c>
      <c r="F649" t="str">
        <f>"001600018096"</f>
        <v>001600018096</v>
      </c>
      <c r="G649" t="s">
        <v>2781</v>
      </c>
      <c r="H649" s="4">
        <v>104338.54700000001</v>
      </c>
    </row>
    <row r="650" spans="1:8" x14ac:dyDescent="0.3">
      <c r="A650" t="s">
        <v>6</v>
      </c>
      <c r="B650" t="s">
        <v>7</v>
      </c>
      <c r="C650" t="s">
        <v>1805</v>
      </c>
      <c r="D650" t="s">
        <v>9</v>
      </c>
      <c r="E650" t="s">
        <v>1929</v>
      </c>
      <c r="F650" t="str">
        <f>"001800049516"</f>
        <v>001800049516</v>
      </c>
      <c r="G650" t="s">
        <v>3814</v>
      </c>
      <c r="H650" s="4">
        <v>104099.22100000001</v>
      </c>
    </row>
    <row r="651" spans="1:8" x14ac:dyDescent="0.3">
      <c r="A651" t="s">
        <v>6</v>
      </c>
      <c r="B651" t="s">
        <v>7</v>
      </c>
      <c r="C651" t="s">
        <v>8</v>
      </c>
      <c r="D651" t="s">
        <v>9</v>
      </c>
      <c r="E651" t="s">
        <v>279</v>
      </c>
      <c r="F651" t="str">
        <f>"001600014156"</f>
        <v>001600014156</v>
      </c>
      <c r="G651" t="s">
        <v>4231</v>
      </c>
      <c r="H651" s="4">
        <v>103879.205</v>
      </c>
    </row>
    <row r="652" spans="1:8" x14ac:dyDescent="0.3">
      <c r="A652" t="s">
        <v>6</v>
      </c>
      <c r="B652" t="s">
        <v>7</v>
      </c>
      <c r="C652" t="s">
        <v>1577</v>
      </c>
      <c r="D652" t="s">
        <v>9</v>
      </c>
      <c r="E652" t="s">
        <v>1675</v>
      </c>
      <c r="F652" t="str">
        <f>"004600013006"</f>
        <v>004600013006</v>
      </c>
      <c r="G652" t="s">
        <v>3443</v>
      </c>
      <c r="H652" s="4">
        <v>103641.954</v>
      </c>
    </row>
    <row r="653" spans="1:8" x14ac:dyDescent="0.3">
      <c r="A653" t="s">
        <v>6</v>
      </c>
      <c r="B653" t="s">
        <v>7</v>
      </c>
      <c r="C653" t="s">
        <v>381</v>
      </c>
      <c r="D653" t="s">
        <v>9</v>
      </c>
      <c r="E653" t="s">
        <v>581</v>
      </c>
      <c r="F653" t="str">
        <f>"001600018976"</f>
        <v>001600018976</v>
      </c>
      <c r="G653" t="s">
        <v>3309</v>
      </c>
      <c r="H653" s="4">
        <v>103451.711</v>
      </c>
    </row>
    <row r="654" spans="1:8" x14ac:dyDescent="0.3">
      <c r="A654" t="s">
        <v>6</v>
      </c>
      <c r="B654" t="s">
        <v>7</v>
      </c>
      <c r="C654" t="s">
        <v>616</v>
      </c>
      <c r="D654" t="s">
        <v>9</v>
      </c>
      <c r="E654" t="s">
        <v>756</v>
      </c>
      <c r="F654" t="str">
        <f>"002190813075"</f>
        <v>002190813075</v>
      </c>
      <c r="G654" t="s">
        <v>3726</v>
      </c>
      <c r="H654" s="4">
        <v>103403.25</v>
      </c>
    </row>
    <row r="655" spans="1:8" x14ac:dyDescent="0.3">
      <c r="A655" s="2" t="s">
        <v>6</v>
      </c>
      <c r="B655" t="s">
        <v>7</v>
      </c>
      <c r="C655" t="s">
        <v>8</v>
      </c>
      <c r="D655" t="s">
        <v>9</v>
      </c>
      <c r="E655" t="s">
        <v>295</v>
      </c>
      <c r="F655" t="str">
        <f>"001600043269"</f>
        <v>001600043269</v>
      </c>
      <c r="G655" t="s">
        <v>4247</v>
      </c>
      <c r="H655" s="4">
        <v>103249.734</v>
      </c>
    </row>
    <row r="656" spans="1:8" x14ac:dyDescent="0.3">
      <c r="A656" s="3" t="s">
        <v>6</v>
      </c>
      <c r="B656" t="s">
        <v>7</v>
      </c>
      <c r="C656" t="s">
        <v>1940</v>
      </c>
      <c r="D656" t="s">
        <v>9</v>
      </c>
      <c r="E656" t="s">
        <v>1952</v>
      </c>
      <c r="F656" t="str">
        <f>"007047018138"</f>
        <v>007047018138</v>
      </c>
      <c r="G656" t="s">
        <v>3834</v>
      </c>
      <c r="H656" s="4">
        <v>103214.376</v>
      </c>
    </row>
    <row r="657" spans="1:8" x14ac:dyDescent="0.3">
      <c r="A657" t="s">
        <v>6</v>
      </c>
      <c r="B657" t="s">
        <v>7</v>
      </c>
      <c r="C657" t="s">
        <v>8</v>
      </c>
      <c r="D657" t="s">
        <v>9</v>
      </c>
      <c r="E657" t="s">
        <v>256</v>
      </c>
      <c r="F657" t="str">
        <f>"001600020104"</f>
        <v>001600020104</v>
      </c>
      <c r="G657" t="s">
        <v>4209</v>
      </c>
      <c r="H657" s="4">
        <v>102764.462</v>
      </c>
    </row>
    <row r="658" spans="1:8" x14ac:dyDescent="0.3">
      <c r="A658" t="s">
        <v>6</v>
      </c>
      <c r="B658" t="s">
        <v>7</v>
      </c>
      <c r="C658" t="s">
        <v>8</v>
      </c>
      <c r="D658" t="s">
        <v>9</v>
      </c>
      <c r="E658" t="s">
        <v>328</v>
      </c>
      <c r="F658" t="str">
        <f>"001600036246"</f>
        <v>001600036246</v>
      </c>
      <c r="G658" t="s">
        <v>4277</v>
      </c>
      <c r="H658" s="4">
        <v>102221.439</v>
      </c>
    </row>
    <row r="659" spans="1:8" x14ac:dyDescent="0.3">
      <c r="A659" t="s">
        <v>6</v>
      </c>
      <c r="B659" t="s">
        <v>7</v>
      </c>
      <c r="C659" t="s">
        <v>2231</v>
      </c>
      <c r="D659" t="s">
        <v>9</v>
      </c>
      <c r="E659" t="s">
        <v>2270</v>
      </c>
      <c r="F659" t="str">
        <f>"004119641933"</f>
        <v>004119641933</v>
      </c>
      <c r="G659" t="s">
        <v>4469</v>
      </c>
      <c r="H659" s="4">
        <v>102186.796</v>
      </c>
    </row>
    <row r="660" spans="1:8" x14ac:dyDescent="0.3">
      <c r="A660" t="s">
        <v>6</v>
      </c>
      <c r="B660" t="s">
        <v>7</v>
      </c>
      <c r="C660" t="s">
        <v>1773</v>
      </c>
      <c r="D660" t="s">
        <v>9</v>
      </c>
      <c r="E660" t="s">
        <v>1778</v>
      </c>
      <c r="F660" t="str">
        <f>"001356249403"</f>
        <v>001356249403</v>
      </c>
      <c r="G660" t="s">
        <v>3540</v>
      </c>
      <c r="H660" s="4">
        <v>101686.80100000001</v>
      </c>
    </row>
    <row r="661" spans="1:8" x14ac:dyDescent="0.3">
      <c r="A661" t="s">
        <v>6</v>
      </c>
      <c r="B661" t="s">
        <v>7</v>
      </c>
      <c r="C661" t="s">
        <v>985</v>
      </c>
      <c r="D661" t="s">
        <v>9</v>
      </c>
      <c r="E661" t="s">
        <v>1066</v>
      </c>
      <c r="F661" t="str">
        <f>"001356236342"</f>
        <v>001356236342</v>
      </c>
      <c r="G661" t="s">
        <v>2659</v>
      </c>
      <c r="H661" s="4">
        <v>101461.421</v>
      </c>
    </row>
    <row r="662" spans="1:8" x14ac:dyDescent="0.3">
      <c r="A662" t="s">
        <v>6</v>
      </c>
      <c r="B662" t="s">
        <v>7</v>
      </c>
      <c r="C662" t="s">
        <v>1940</v>
      </c>
      <c r="D662" t="s">
        <v>9</v>
      </c>
      <c r="E662" t="s">
        <v>2105</v>
      </c>
      <c r="F662" t="str">
        <f>"007047016208"</f>
        <v>007047016208</v>
      </c>
      <c r="G662" t="s">
        <v>2389</v>
      </c>
      <c r="H662" s="4">
        <v>101245.93</v>
      </c>
    </row>
    <row r="663" spans="1:8" x14ac:dyDescent="0.3">
      <c r="A663" t="s">
        <v>6</v>
      </c>
      <c r="B663" t="s">
        <v>7</v>
      </c>
      <c r="C663" t="s">
        <v>381</v>
      </c>
      <c r="D663" t="s">
        <v>9</v>
      </c>
      <c r="E663" t="s">
        <v>565</v>
      </c>
      <c r="F663" t="str">
        <f>"001600014996"</f>
        <v>001600014996</v>
      </c>
      <c r="G663" t="s">
        <v>3287</v>
      </c>
      <c r="H663" s="4">
        <v>101222.175</v>
      </c>
    </row>
    <row r="664" spans="1:8" x14ac:dyDescent="0.3">
      <c r="A664" t="s">
        <v>6</v>
      </c>
      <c r="B664" t="s">
        <v>7</v>
      </c>
      <c r="C664" t="s">
        <v>1122</v>
      </c>
      <c r="D664" t="s">
        <v>9</v>
      </c>
      <c r="E664" t="s">
        <v>1188</v>
      </c>
      <c r="F664" t="str">
        <f>"001600018997"</f>
        <v>001600018997</v>
      </c>
      <c r="G664" t="s">
        <v>2776</v>
      </c>
      <c r="H664" s="4">
        <v>101207.675</v>
      </c>
    </row>
    <row r="665" spans="1:8" x14ac:dyDescent="0.3">
      <c r="A665" t="s">
        <v>6</v>
      </c>
      <c r="B665" t="s">
        <v>7</v>
      </c>
      <c r="C665" t="s">
        <v>1940</v>
      </c>
      <c r="D665" t="s">
        <v>9</v>
      </c>
      <c r="E665" t="s">
        <v>2037</v>
      </c>
      <c r="F665" t="str">
        <f>"007047018748"</f>
        <v>007047018748</v>
      </c>
      <c r="G665" t="s">
        <v>2389</v>
      </c>
      <c r="H665" s="4">
        <v>101178.27800000001</v>
      </c>
    </row>
    <row r="666" spans="1:8" x14ac:dyDescent="0.3">
      <c r="A666" t="s">
        <v>6</v>
      </c>
      <c r="B666" t="s">
        <v>7</v>
      </c>
      <c r="C666" t="s">
        <v>2231</v>
      </c>
      <c r="D666" t="s">
        <v>9</v>
      </c>
      <c r="E666" t="s">
        <v>2255</v>
      </c>
      <c r="F666" t="str">
        <f>"004119612991"</f>
        <v>004119612991</v>
      </c>
      <c r="G666" t="s">
        <v>4454</v>
      </c>
      <c r="H666" s="4">
        <v>101126.66099999999</v>
      </c>
    </row>
    <row r="667" spans="1:8" x14ac:dyDescent="0.3">
      <c r="A667" t="s">
        <v>6</v>
      </c>
      <c r="B667" t="s">
        <v>7</v>
      </c>
      <c r="C667" t="s">
        <v>1321</v>
      </c>
      <c r="D667" t="s">
        <v>9</v>
      </c>
      <c r="E667" t="s">
        <v>1330</v>
      </c>
      <c r="F667" t="str">
        <f>"004280011100"</f>
        <v>004280011100</v>
      </c>
      <c r="G667" t="s">
        <v>2892</v>
      </c>
      <c r="H667" s="4">
        <v>101053.783</v>
      </c>
    </row>
    <row r="668" spans="1:8" x14ac:dyDescent="0.3">
      <c r="A668" t="s">
        <v>6</v>
      </c>
      <c r="B668" t="s">
        <v>7</v>
      </c>
      <c r="C668" t="s">
        <v>8</v>
      </c>
      <c r="D668" t="s">
        <v>9</v>
      </c>
      <c r="E668" t="s">
        <v>94</v>
      </c>
      <c r="F668" t="str">
        <f>"001600020832"</f>
        <v>001600020832</v>
      </c>
      <c r="G668" t="s">
        <v>2389</v>
      </c>
      <c r="H668" s="4">
        <v>100611.84</v>
      </c>
    </row>
    <row r="669" spans="1:8" x14ac:dyDescent="0.3">
      <c r="A669" t="s">
        <v>6</v>
      </c>
      <c r="B669" t="s">
        <v>7</v>
      </c>
      <c r="C669" t="s">
        <v>1805</v>
      </c>
      <c r="D669" t="s">
        <v>9</v>
      </c>
      <c r="E669" t="s">
        <v>1867</v>
      </c>
      <c r="F669" t="str">
        <f>"001800000031"</f>
        <v>001800000031</v>
      </c>
      <c r="G669" t="s">
        <v>2389</v>
      </c>
      <c r="H669" s="4">
        <v>100605.23</v>
      </c>
    </row>
    <row r="670" spans="1:8" x14ac:dyDescent="0.3">
      <c r="A670" t="s">
        <v>6</v>
      </c>
      <c r="B670" t="s">
        <v>7</v>
      </c>
      <c r="C670" t="s">
        <v>797</v>
      </c>
      <c r="D670" t="s">
        <v>9</v>
      </c>
      <c r="E670" t="s">
        <v>893</v>
      </c>
      <c r="F670" t="str">
        <f>"001600020766"</f>
        <v>001600020766</v>
      </c>
      <c r="G670" t="s">
        <v>2485</v>
      </c>
      <c r="H670" s="4">
        <v>100290.693</v>
      </c>
    </row>
    <row r="671" spans="1:8" x14ac:dyDescent="0.3">
      <c r="A671" t="s">
        <v>6</v>
      </c>
      <c r="B671" t="s">
        <v>7</v>
      </c>
      <c r="C671" t="s">
        <v>381</v>
      </c>
      <c r="D671" t="s">
        <v>9</v>
      </c>
      <c r="E671" t="s">
        <v>425</v>
      </c>
      <c r="F671" t="str">
        <f>"001600042641"</f>
        <v>001600042641</v>
      </c>
      <c r="G671" t="s">
        <v>3151</v>
      </c>
      <c r="H671" s="4">
        <v>100234.946</v>
      </c>
    </row>
    <row r="672" spans="1:8" x14ac:dyDescent="0.3">
      <c r="A672" t="s">
        <v>6</v>
      </c>
      <c r="B672" t="s">
        <v>7</v>
      </c>
      <c r="C672" t="s">
        <v>1577</v>
      </c>
      <c r="D672" t="s">
        <v>9</v>
      </c>
      <c r="E672" t="s">
        <v>1623</v>
      </c>
      <c r="F672" t="str">
        <f>"004600011896"</f>
        <v>004600011896</v>
      </c>
      <c r="G672" t="s">
        <v>3387</v>
      </c>
      <c r="H672" s="4">
        <v>100086.22</v>
      </c>
    </row>
    <row r="673" spans="1:8" x14ac:dyDescent="0.3">
      <c r="A673" t="s">
        <v>6</v>
      </c>
      <c r="B673" t="s">
        <v>7</v>
      </c>
      <c r="C673" t="s">
        <v>1805</v>
      </c>
      <c r="D673" t="s">
        <v>9</v>
      </c>
      <c r="E673" t="s">
        <v>1821</v>
      </c>
      <c r="F673" t="str">
        <f>"001800036293"</f>
        <v>001800036293</v>
      </c>
      <c r="G673" t="s">
        <v>3754</v>
      </c>
      <c r="H673" s="4">
        <v>99718.081000000006</v>
      </c>
    </row>
    <row r="674" spans="1:8" x14ac:dyDescent="0.3">
      <c r="A674" t="s">
        <v>6</v>
      </c>
      <c r="B674" t="s">
        <v>7</v>
      </c>
      <c r="C674" t="s">
        <v>1122</v>
      </c>
      <c r="D674" t="s">
        <v>9</v>
      </c>
      <c r="E674" t="s">
        <v>1171</v>
      </c>
      <c r="F674" t="str">
        <f>"001600042414"</f>
        <v>001600042414</v>
      </c>
      <c r="G674" t="s">
        <v>2759</v>
      </c>
      <c r="H674" s="4">
        <v>99187.695999999996</v>
      </c>
    </row>
    <row r="675" spans="1:8" x14ac:dyDescent="0.3">
      <c r="A675" t="s">
        <v>6</v>
      </c>
      <c r="B675" t="s">
        <v>7</v>
      </c>
      <c r="C675" t="s">
        <v>797</v>
      </c>
      <c r="D675" t="s">
        <v>9</v>
      </c>
      <c r="E675" t="s">
        <v>855</v>
      </c>
      <c r="F675" t="str">
        <f>"001600030140"</f>
        <v>001600030140</v>
      </c>
      <c r="G675" t="s">
        <v>2389</v>
      </c>
      <c r="H675" s="4">
        <v>99032.274999999994</v>
      </c>
    </row>
    <row r="676" spans="1:8" x14ac:dyDescent="0.3">
      <c r="A676" t="s">
        <v>6</v>
      </c>
      <c r="B676" t="s">
        <v>7</v>
      </c>
      <c r="C676" t="s">
        <v>381</v>
      </c>
      <c r="D676" t="s">
        <v>9</v>
      </c>
      <c r="E676" t="s">
        <v>439</v>
      </c>
      <c r="F676" t="str">
        <f>"001600014344"</f>
        <v>001600014344</v>
      </c>
      <c r="G676" t="s">
        <v>3165</v>
      </c>
      <c r="H676" s="4">
        <v>98822.577999999994</v>
      </c>
    </row>
    <row r="677" spans="1:8" x14ac:dyDescent="0.3">
      <c r="A677" t="s">
        <v>6</v>
      </c>
      <c r="B677" t="s">
        <v>7</v>
      </c>
      <c r="C677" t="s">
        <v>1786</v>
      </c>
      <c r="D677" t="s">
        <v>9</v>
      </c>
      <c r="E677" t="s">
        <v>1788</v>
      </c>
      <c r="F677" t="str">
        <f>"072534228071"</f>
        <v>072534228071</v>
      </c>
      <c r="G677" t="s">
        <v>3548</v>
      </c>
      <c r="H677" s="4">
        <v>98773.483999999997</v>
      </c>
    </row>
    <row r="678" spans="1:8" x14ac:dyDescent="0.3">
      <c r="A678" t="s">
        <v>6</v>
      </c>
      <c r="B678" t="s">
        <v>7</v>
      </c>
      <c r="C678" t="s">
        <v>2113</v>
      </c>
      <c r="D678" t="s">
        <v>9</v>
      </c>
      <c r="E678" t="s">
        <v>2117</v>
      </c>
      <c r="F678" t="str">
        <f>"001356230057"</f>
        <v>001356230057</v>
      </c>
      <c r="G678" t="s">
        <v>4326</v>
      </c>
      <c r="H678" s="4">
        <v>98663.748999999996</v>
      </c>
    </row>
    <row r="679" spans="1:8" x14ac:dyDescent="0.3">
      <c r="A679" t="s">
        <v>6</v>
      </c>
      <c r="B679" t="s">
        <v>7</v>
      </c>
      <c r="C679" t="s">
        <v>8</v>
      </c>
      <c r="D679" t="s">
        <v>9</v>
      </c>
      <c r="E679" t="s">
        <v>357</v>
      </c>
      <c r="F679" t="str">
        <f>"001600016349"</f>
        <v>001600016349</v>
      </c>
      <c r="G679" t="s">
        <v>4301</v>
      </c>
      <c r="H679" s="4">
        <v>97998.612999999998</v>
      </c>
    </row>
    <row r="680" spans="1:8" x14ac:dyDescent="0.3">
      <c r="A680" t="s">
        <v>6</v>
      </c>
      <c r="B680" t="s">
        <v>7</v>
      </c>
      <c r="C680" t="s">
        <v>2113</v>
      </c>
      <c r="D680" t="s">
        <v>9</v>
      </c>
      <c r="E680" t="s">
        <v>2156</v>
      </c>
      <c r="F680" t="str">
        <f>"001600016060"</f>
        <v>001600016060</v>
      </c>
      <c r="G680" t="s">
        <v>4364</v>
      </c>
      <c r="H680" s="4">
        <v>97882.955000000002</v>
      </c>
    </row>
    <row r="681" spans="1:8" x14ac:dyDescent="0.3">
      <c r="A681" t="s">
        <v>6</v>
      </c>
      <c r="B681" t="s">
        <v>7</v>
      </c>
      <c r="C681" t="s">
        <v>1940</v>
      </c>
      <c r="D681" t="s">
        <v>9</v>
      </c>
      <c r="E681" t="s">
        <v>2044</v>
      </c>
      <c r="F681" t="str">
        <f>"007047044337"</f>
        <v>007047044337</v>
      </c>
      <c r="G681" t="s">
        <v>3931</v>
      </c>
      <c r="H681" s="4">
        <v>97727.096000000005</v>
      </c>
    </row>
    <row r="682" spans="1:8" x14ac:dyDescent="0.3">
      <c r="A682" t="s">
        <v>6</v>
      </c>
      <c r="B682" t="s">
        <v>7</v>
      </c>
      <c r="C682" t="s">
        <v>8</v>
      </c>
      <c r="D682" t="s">
        <v>9</v>
      </c>
      <c r="E682" t="s">
        <v>299</v>
      </c>
      <c r="F682" t="str">
        <f>"001600015777"</f>
        <v>001600015777</v>
      </c>
      <c r="G682" t="s">
        <v>4251</v>
      </c>
      <c r="H682" s="4">
        <v>97700.519</v>
      </c>
    </row>
    <row r="683" spans="1:8" x14ac:dyDescent="0.3">
      <c r="A683" t="s">
        <v>6</v>
      </c>
      <c r="B683" t="s">
        <v>7</v>
      </c>
      <c r="C683" t="s">
        <v>2113</v>
      </c>
      <c r="D683" t="s">
        <v>9</v>
      </c>
      <c r="E683" t="s">
        <v>2175</v>
      </c>
      <c r="F683" t="str">
        <f>"001600019333"</f>
        <v>001600019333</v>
      </c>
      <c r="G683" t="s">
        <v>4381</v>
      </c>
      <c r="H683" s="4">
        <v>97627.843999999997</v>
      </c>
    </row>
    <row r="684" spans="1:8" x14ac:dyDescent="0.3">
      <c r="A684" t="s">
        <v>6</v>
      </c>
      <c r="B684" t="s">
        <v>7</v>
      </c>
      <c r="C684" t="s">
        <v>381</v>
      </c>
      <c r="D684" t="s">
        <v>9</v>
      </c>
      <c r="E684" t="s">
        <v>574</v>
      </c>
      <c r="F684" t="str">
        <f>"001600020084"</f>
        <v>001600020084</v>
      </c>
      <c r="G684" t="s">
        <v>3303</v>
      </c>
      <c r="H684" s="4">
        <v>97567.65</v>
      </c>
    </row>
    <row r="685" spans="1:8" x14ac:dyDescent="0.3">
      <c r="A685" t="s">
        <v>6</v>
      </c>
      <c r="B685" t="s">
        <v>7</v>
      </c>
      <c r="C685" t="s">
        <v>8</v>
      </c>
      <c r="D685" t="s">
        <v>9</v>
      </c>
      <c r="E685" t="s">
        <v>321</v>
      </c>
      <c r="F685" t="str">
        <f>"001600016371"</f>
        <v>001600016371</v>
      </c>
      <c r="G685" t="s">
        <v>4271</v>
      </c>
      <c r="H685" s="4">
        <v>96605.18</v>
      </c>
    </row>
    <row r="686" spans="1:8" x14ac:dyDescent="0.3">
      <c r="A686" t="s">
        <v>6</v>
      </c>
      <c r="B686" t="s">
        <v>7</v>
      </c>
      <c r="C686" t="s">
        <v>1940</v>
      </c>
      <c r="D686" t="s">
        <v>9</v>
      </c>
      <c r="E686" t="s">
        <v>1981</v>
      </c>
      <c r="F686" t="str">
        <f>"007047013797"</f>
        <v>007047013797</v>
      </c>
      <c r="G686" t="s">
        <v>3875</v>
      </c>
      <c r="H686" s="4">
        <v>96443.513000000006</v>
      </c>
    </row>
    <row r="687" spans="1:8" x14ac:dyDescent="0.3">
      <c r="A687" t="s">
        <v>6</v>
      </c>
      <c r="B687" t="s">
        <v>7</v>
      </c>
      <c r="C687" t="s">
        <v>381</v>
      </c>
      <c r="D687" t="s">
        <v>9</v>
      </c>
      <c r="E687" t="s">
        <v>570</v>
      </c>
      <c r="F687" t="str">
        <f>"001600015875"</f>
        <v>001600015875</v>
      </c>
      <c r="G687" t="s">
        <v>3294</v>
      </c>
      <c r="H687" s="4">
        <v>96365.304000000004</v>
      </c>
    </row>
    <row r="688" spans="1:8" x14ac:dyDescent="0.3">
      <c r="A688" t="s">
        <v>6</v>
      </c>
      <c r="B688" t="s">
        <v>7</v>
      </c>
      <c r="C688" t="s">
        <v>2231</v>
      </c>
      <c r="D688" t="s">
        <v>9</v>
      </c>
      <c r="E688" t="s">
        <v>2275</v>
      </c>
      <c r="F688" t="str">
        <f>"004119613305"</f>
        <v>004119613305</v>
      </c>
      <c r="G688" t="s">
        <v>4472</v>
      </c>
      <c r="H688" s="4">
        <v>96234.763000000006</v>
      </c>
    </row>
    <row r="689" spans="1:8" x14ac:dyDescent="0.3">
      <c r="A689" t="s">
        <v>6</v>
      </c>
      <c r="B689" t="s">
        <v>7</v>
      </c>
      <c r="C689" t="s">
        <v>8</v>
      </c>
      <c r="D689" t="s">
        <v>9</v>
      </c>
      <c r="E689" t="s">
        <v>227</v>
      </c>
      <c r="F689" t="str">
        <f>"001600012224"</f>
        <v>001600012224</v>
      </c>
      <c r="G689" t="s">
        <v>4185</v>
      </c>
      <c r="H689" s="4">
        <v>95763.510999999999</v>
      </c>
    </row>
    <row r="690" spans="1:8" x14ac:dyDescent="0.3">
      <c r="A690" t="s">
        <v>6</v>
      </c>
      <c r="B690" t="s">
        <v>7</v>
      </c>
      <c r="C690" t="s">
        <v>1940</v>
      </c>
      <c r="D690" t="s">
        <v>9</v>
      </c>
      <c r="E690" t="s">
        <v>1970</v>
      </c>
      <c r="F690" t="str">
        <f>"007527000161"</f>
        <v>007527000161</v>
      </c>
      <c r="G690" t="s">
        <v>3858</v>
      </c>
      <c r="H690" s="4">
        <v>95058.430999999997</v>
      </c>
    </row>
    <row r="691" spans="1:8" x14ac:dyDescent="0.3">
      <c r="A691" t="s">
        <v>6</v>
      </c>
      <c r="B691" t="s">
        <v>7</v>
      </c>
      <c r="C691" t="s">
        <v>616</v>
      </c>
      <c r="D691" t="s">
        <v>9</v>
      </c>
      <c r="E691" t="s">
        <v>659</v>
      </c>
      <c r="F691" t="str">
        <f>"002190812283"</f>
        <v>002190812283</v>
      </c>
      <c r="G691" t="s">
        <v>3629</v>
      </c>
      <c r="H691" s="4">
        <v>94786.89</v>
      </c>
    </row>
    <row r="692" spans="1:8" x14ac:dyDescent="0.3">
      <c r="A692" t="s">
        <v>6</v>
      </c>
      <c r="B692" t="s">
        <v>7</v>
      </c>
      <c r="C692" t="s">
        <v>1940</v>
      </c>
      <c r="D692" t="s">
        <v>9</v>
      </c>
      <c r="E692" t="s">
        <v>2001</v>
      </c>
      <c r="F692" t="str">
        <f>"007047040396"</f>
        <v>007047040396</v>
      </c>
      <c r="G692" t="s">
        <v>3895</v>
      </c>
      <c r="H692" s="4">
        <v>94428.660999999993</v>
      </c>
    </row>
    <row r="693" spans="1:8" x14ac:dyDescent="0.3">
      <c r="A693" t="s">
        <v>6</v>
      </c>
      <c r="B693" t="s">
        <v>7</v>
      </c>
      <c r="C693" t="s">
        <v>8</v>
      </c>
      <c r="D693" t="s">
        <v>9</v>
      </c>
      <c r="E693" t="s">
        <v>106</v>
      </c>
      <c r="F693" t="str">
        <f>"001600018915"</f>
        <v>001600018915</v>
      </c>
      <c r="G693" t="s">
        <v>4074</v>
      </c>
      <c r="H693" s="4">
        <v>94301.706000000006</v>
      </c>
    </row>
    <row r="694" spans="1:8" x14ac:dyDescent="0.3">
      <c r="A694" t="s">
        <v>6</v>
      </c>
      <c r="B694" t="s">
        <v>7</v>
      </c>
      <c r="C694" t="s">
        <v>797</v>
      </c>
      <c r="D694" t="s">
        <v>9</v>
      </c>
      <c r="E694" t="s">
        <v>874</v>
      </c>
      <c r="F694" t="str">
        <f>"001600015031"</f>
        <v>001600015031</v>
      </c>
      <c r="G694" t="s">
        <v>2467</v>
      </c>
      <c r="H694" s="4">
        <v>94154.03</v>
      </c>
    </row>
    <row r="695" spans="1:8" x14ac:dyDescent="0.3">
      <c r="A695" t="s">
        <v>6</v>
      </c>
      <c r="B695" t="s">
        <v>7</v>
      </c>
      <c r="C695" t="s">
        <v>770</v>
      </c>
      <c r="D695" t="s">
        <v>9</v>
      </c>
      <c r="E695" t="s">
        <v>788</v>
      </c>
      <c r="F695" t="str">
        <f>"001600019426"</f>
        <v>001600019426</v>
      </c>
      <c r="G695" t="s">
        <v>2388</v>
      </c>
      <c r="H695" s="4">
        <v>93833.289000000004</v>
      </c>
    </row>
    <row r="696" spans="1:8" x14ac:dyDescent="0.3">
      <c r="A696" t="s">
        <v>6</v>
      </c>
      <c r="B696" t="s">
        <v>7</v>
      </c>
      <c r="C696" t="s">
        <v>1940</v>
      </c>
      <c r="D696" t="s">
        <v>9</v>
      </c>
      <c r="E696" t="s">
        <v>2028</v>
      </c>
      <c r="F696" t="str">
        <f>"007047015965"</f>
        <v>007047015965</v>
      </c>
      <c r="G696" t="s">
        <v>3919</v>
      </c>
      <c r="H696" s="4">
        <v>93692.687999999995</v>
      </c>
    </row>
    <row r="697" spans="1:8" x14ac:dyDescent="0.3">
      <c r="A697" t="s">
        <v>6</v>
      </c>
      <c r="B697" t="s">
        <v>7</v>
      </c>
      <c r="C697" t="s">
        <v>1122</v>
      </c>
      <c r="D697" t="s">
        <v>9</v>
      </c>
      <c r="E697" t="s">
        <v>1125</v>
      </c>
      <c r="F697" t="str">
        <f>"001356212755"</f>
        <v>001356212755</v>
      </c>
      <c r="G697" t="s">
        <v>2720</v>
      </c>
      <c r="H697" s="4">
        <v>93470.945999999996</v>
      </c>
    </row>
    <row r="698" spans="1:8" x14ac:dyDescent="0.3">
      <c r="A698" t="s">
        <v>6</v>
      </c>
      <c r="B698" t="s">
        <v>7</v>
      </c>
      <c r="C698" t="s">
        <v>2231</v>
      </c>
      <c r="D698" t="s">
        <v>9</v>
      </c>
      <c r="E698" t="s">
        <v>2269</v>
      </c>
      <c r="F698" t="str">
        <f>"004119691513"</f>
        <v>004119691513</v>
      </c>
      <c r="G698" t="s">
        <v>4468</v>
      </c>
      <c r="H698" s="4">
        <v>93170.21</v>
      </c>
    </row>
    <row r="699" spans="1:8" x14ac:dyDescent="0.3">
      <c r="A699" t="s">
        <v>6</v>
      </c>
      <c r="B699" t="s">
        <v>7</v>
      </c>
      <c r="C699" t="s">
        <v>616</v>
      </c>
      <c r="D699" t="s">
        <v>9</v>
      </c>
      <c r="E699" t="s">
        <v>759</v>
      </c>
      <c r="F699" t="str">
        <f>"002190810932"</f>
        <v>002190810932</v>
      </c>
      <c r="G699" t="s">
        <v>3728</v>
      </c>
      <c r="H699" s="4">
        <v>92983.141000000003</v>
      </c>
    </row>
    <row r="700" spans="1:8" x14ac:dyDescent="0.3">
      <c r="A700" t="s">
        <v>6</v>
      </c>
      <c r="B700" t="s">
        <v>7</v>
      </c>
      <c r="C700" t="s">
        <v>2231</v>
      </c>
      <c r="D700" t="s">
        <v>9</v>
      </c>
      <c r="E700" t="s">
        <v>2335</v>
      </c>
      <c r="F700" t="str">
        <f>"004119610187"</f>
        <v>004119610187</v>
      </c>
      <c r="G700" t="s">
        <v>4526</v>
      </c>
      <c r="H700" s="4">
        <v>92971.357000000004</v>
      </c>
    </row>
    <row r="701" spans="1:8" x14ac:dyDescent="0.3">
      <c r="A701" t="s">
        <v>6</v>
      </c>
      <c r="B701" t="s">
        <v>7</v>
      </c>
      <c r="C701" t="s">
        <v>985</v>
      </c>
      <c r="D701" t="s">
        <v>9</v>
      </c>
      <c r="E701" t="s">
        <v>1013</v>
      </c>
      <c r="F701" t="str">
        <f>"001356230098"</f>
        <v>001356230098</v>
      </c>
      <c r="G701" t="s">
        <v>2612</v>
      </c>
      <c r="H701" s="4">
        <v>92743.497000000003</v>
      </c>
    </row>
    <row r="702" spans="1:8" x14ac:dyDescent="0.3">
      <c r="A702" t="s">
        <v>6</v>
      </c>
      <c r="B702" t="s">
        <v>7</v>
      </c>
      <c r="C702" t="s">
        <v>381</v>
      </c>
      <c r="D702" t="s">
        <v>9</v>
      </c>
      <c r="E702" t="s">
        <v>532</v>
      </c>
      <c r="F702" t="str">
        <f>"001600045798"</f>
        <v>001600045798</v>
      </c>
      <c r="G702" t="s">
        <v>3256</v>
      </c>
      <c r="H702" s="4">
        <v>92672.426000000007</v>
      </c>
    </row>
    <row r="703" spans="1:8" x14ac:dyDescent="0.3">
      <c r="A703" t="s">
        <v>6</v>
      </c>
      <c r="B703" t="s">
        <v>7</v>
      </c>
      <c r="C703" t="s">
        <v>381</v>
      </c>
      <c r="D703" t="s">
        <v>9</v>
      </c>
      <c r="E703" t="s">
        <v>564</v>
      </c>
      <c r="F703" t="str">
        <f>"001600047779"</f>
        <v>001600047779</v>
      </c>
      <c r="G703" t="s">
        <v>3286</v>
      </c>
      <c r="H703" s="4">
        <v>92663.17</v>
      </c>
    </row>
    <row r="704" spans="1:8" x14ac:dyDescent="0.3">
      <c r="A704" t="s">
        <v>6</v>
      </c>
      <c r="B704" t="s">
        <v>7</v>
      </c>
      <c r="C704" t="s">
        <v>1552</v>
      </c>
      <c r="D704" t="s">
        <v>9</v>
      </c>
      <c r="E704" t="s">
        <v>1557</v>
      </c>
      <c r="F704" t="str">
        <f>"001356230261"</f>
        <v>001356230261</v>
      </c>
      <c r="G704" t="s">
        <v>3099</v>
      </c>
      <c r="H704" s="4">
        <v>92617.947</v>
      </c>
    </row>
    <row r="705" spans="1:8" x14ac:dyDescent="0.3">
      <c r="A705" t="s">
        <v>6</v>
      </c>
      <c r="B705" t="s">
        <v>7</v>
      </c>
      <c r="C705" t="s">
        <v>1805</v>
      </c>
      <c r="D705" t="s">
        <v>9</v>
      </c>
      <c r="E705" t="s">
        <v>1864</v>
      </c>
      <c r="F705" t="str">
        <f>"001800000099"</f>
        <v>001800000099</v>
      </c>
      <c r="G705" t="s">
        <v>2389</v>
      </c>
      <c r="H705" s="4">
        <v>91976.887000000002</v>
      </c>
    </row>
    <row r="706" spans="1:8" x14ac:dyDescent="0.3">
      <c r="A706" t="s">
        <v>6</v>
      </c>
      <c r="B706" t="s">
        <v>7</v>
      </c>
      <c r="C706" t="s">
        <v>8</v>
      </c>
      <c r="D706" t="s">
        <v>9</v>
      </c>
      <c r="E706" t="s">
        <v>282</v>
      </c>
      <c r="F706" t="str">
        <f>"001600019519"</f>
        <v>001600019519</v>
      </c>
      <c r="G706" t="s">
        <v>4234</v>
      </c>
      <c r="H706" s="4">
        <v>91690.233999999997</v>
      </c>
    </row>
    <row r="707" spans="1:8" x14ac:dyDescent="0.3">
      <c r="A707" t="s">
        <v>6</v>
      </c>
      <c r="B707" t="s">
        <v>7</v>
      </c>
      <c r="C707" t="s">
        <v>8</v>
      </c>
      <c r="D707" t="s">
        <v>9</v>
      </c>
      <c r="E707" t="s">
        <v>216</v>
      </c>
      <c r="F707" t="str">
        <f>"001600016914"</f>
        <v>001600016914</v>
      </c>
      <c r="G707" t="s">
        <v>4175</v>
      </c>
      <c r="H707" s="4">
        <v>91481.33</v>
      </c>
    </row>
    <row r="708" spans="1:8" x14ac:dyDescent="0.3">
      <c r="A708" t="s">
        <v>6</v>
      </c>
      <c r="B708" t="s">
        <v>7</v>
      </c>
      <c r="C708" t="s">
        <v>797</v>
      </c>
      <c r="D708" t="s">
        <v>9</v>
      </c>
      <c r="E708" t="s">
        <v>887</v>
      </c>
      <c r="F708" t="str">
        <f>"001600020754"</f>
        <v>001600020754</v>
      </c>
      <c r="G708" t="s">
        <v>2480</v>
      </c>
      <c r="H708" s="4">
        <v>91467.61</v>
      </c>
    </row>
    <row r="709" spans="1:8" x14ac:dyDescent="0.3">
      <c r="A709" t="s">
        <v>6</v>
      </c>
      <c r="B709" t="s">
        <v>7</v>
      </c>
      <c r="C709" t="s">
        <v>8</v>
      </c>
      <c r="D709" t="s">
        <v>9</v>
      </c>
      <c r="E709" t="s">
        <v>182</v>
      </c>
      <c r="F709" t="str">
        <f>"001600018676"</f>
        <v>001600018676</v>
      </c>
      <c r="G709" t="s">
        <v>4141</v>
      </c>
      <c r="H709" s="4">
        <v>91322.921000000002</v>
      </c>
    </row>
    <row r="710" spans="1:8" x14ac:dyDescent="0.3">
      <c r="A710" t="s">
        <v>6</v>
      </c>
      <c r="B710" t="s">
        <v>7</v>
      </c>
      <c r="C710" t="s">
        <v>797</v>
      </c>
      <c r="D710" t="s">
        <v>9</v>
      </c>
      <c r="E710" t="s">
        <v>976</v>
      </c>
      <c r="F710" t="str">
        <f>"001600037420"</f>
        <v>001600037420</v>
      </c>
      <c r="G710" t="s">
        <v>2570</v>
      </c>
      <c r="H710" s="4">
        <v>90604.027000000002</v>
      </c>
    </row>
    <row r="711" spans="1:8" x14ac:dyDescent="0.3">
      <c r="A711" t="s">
        <v>6</v>
      </c>
      <c r="B711" t="s">
        <v>7</v>
      </c>
      <c r="C711" t="s">
        <v>8</v>
      </c>
      <c r="D711" t="s">
        <v>9</v>
      </c>
      <c r="E711" t="s">
        <v>214</v>
      </c>
      <c r="F711" t="str">
        <f>"001600016964"</f>
        <v>001600016964</v>
      </c>
      <c r="G711" t="s">
        <v>4173</v>
      </c>
      <c r="H711" s="4">
        <v>90543.49</v>
      </c>
    </row>
    <row r="712" spans="1:8" x14ac:dyDescent="0.3">
      <c r="A712" t="s">
        <v>6</v>
      </c>
      <c r="B712" t="s">
        <v>7</v>
      </c>
      <c r="C712" t="s">
        <v>1940</v>
      </c>
      <c r="D712" t="s">
        <v>9</v>
      </c>
      <c r="E712" t="s">
        <v>1962</v>
      </c>
      <c r="F712" t="str">
        <f>"007047020014"</f>
        <v>007047020014</v>
      </c>
      <c r="G712" t="s">
        <v>3848</v>
      </c>
      <c r="H712" s="4">
        <v>90158.214999999997</v>
      </c>
    </row>
    <row r="713" spans="1:8" x14ac:dyDescent="0.3">
      <c r="A713" s="3" t="s">
        <v>6</v>
      </c>
      <c r="B713" t="s">
        <v>7</v>
      </c>
      <c r="C713" t="s">
        <v>1940</v>
      </c>
      <c r="D713" t="s">
        <v>9</v>
      </c>
      <c r="E713" t="s">
        <v>2043</v>
      </c>
      <c r="F713" t="str">
        <f>"007047040741"</f>
        <v>007047040741</v>
      </c>
      <c r="G713" t="s">
        <v>3930</v>
      </c>
      <c r="H713" s="4">
        <v>90066.843999999997</v>
      </c>
    </row>
    <row r="714" spans="1:8" x14ac:dyDescent="0.3">
      <c r="A714" t="s">
        <v>6</v>
      </c>
      <c r="B714" t="s">
        <v>7</v>
      </c>
      <c r="C714" t="s">
        <v>1940</v>
      </c>
      <c r="D714" t="s">
        <v>9</v>
      </c>
      <c r="E714" t="s">
        <v>2001</v>
      </c>
      <c r="F714" t="str">
        <f>"007047040395"</f>
        <v>007047040395</v>
      </c>
      <c r="G714" t="s">
        <v>2389</v>
      </c>
      <c r="H714" s="4">
        <v>90062.728000000003</v>
      </c>
    </row>
    <row r="715" spans="1:8" x14ac:dyDescent="0.3">
      <c r="A715" t="s">
        <v>6</v>
      </c>
      <c r="B715" t="s">
        <v>7</v>
      </c>
      <c r="C715" t="s">
        <v>1577</v>
      </c>
      <c r="D715" t="s">
        <v>9</v>
      </c>
      <c r="E715" t="s">
        <v>1646</v>
      </c>
      <c r="F715" t="str">
        <f>"004600045062"</f>
        <v>004600045062</v>
      </c>
      <c r="G715" t="s">
        <v>3415</v>
      </c>
      <c r="H715" s="4">
        <v>89933.453999999998</v>
      </c>
    </row>
    <row r="716" spans="1:8" x14ac:dyDescent="0.3">
      <c r="A716" t="s">
        <v>6</v>
      </c>
      <c r="B716" t="s">
        <v>7</v>
      </c>
      <c r="C716" t="s">
        <v>616</v>
      </c>
      <c r="D716" t="s">
        <v>9</v>
      </c>
      <c r="E716" t="s">
        <v>729</v>
      </c>
      <c r="F716" t="str">
        <f>"002190811599"</f>
        <v>002190811599</v>
      </c>
      <c r="G716" t="s">
        <v>3699</v>
      </c>
      <c r="H716" s="4">
        <v>89760.14</v>
      </c>
    </row>
    <row r="717" spans="1:8" x14ac:dyDescent="0.3">
      <c r="A717" t="s">
        <v>6</v>
      </c>
      <c r="B717" t="s">
        <v>7</v>
      </c>
      <c r="C717" t="s">
        <v>381</v>
      </c>
      <c r="D717" t="s">
        <v>9</v>
      </c>
      <c r="E717" t="s">
        <v>1568</v>
      </c>
      <c r="F717" t="str">
        <f>"001600017421"</f>
        <v>001600017421</v>
      </c>
      <c r="G717" t="s">
        <v>3181</v>
      </c>
      <c r="H717" s="4">
        <v>89645.698999999993</v>
      </c>
    </row>
    <row r="718" spans="1:8" x14ac:dyDescent="0.3">
      <c r="A718" t="s">
        <v>6</v>
      </c>
      <c r="B718" t="s">
        <v>7</v>
      </c>
      <c r="C718" t="s">
        <v>1072</v>
      </c>
      <c r="D718" t="s">
        <v>9</v>
      </c>
      <c r="E718" t="s">
        <v>1091</v>
      </c>
      <c r="F718" t="str">
        <f>"001600040670"</f>
        <v>001600040670</v>
      </c>
      <c r="G718" t="s">
        <v>2389</v>
      </c>
      <c r="H718" s="4">
        <v>89521.448000000004</v>
      </c>
    </row>
    <row r="719" spans="1:8" x14ac:dyDescent="0.3">
      <c r="A719" t="s">
        <v>6</v>
      </c>
      <c r="B719" t="s">
        <v>7</v>
      </c>
      <c r="C719" t="s">
        <v>381</v>
      </c>
      <c r="D719" t="s">
        <v>9</v>
      </c>
      <c r="E719" t="s">
        <v>584</v>
      </c>
      <c r="F719" t="str">
        <f>"001600018695"</f>
        <v>001600018695</v>
      </c>
      <c r="G719" t="s">
        <v>3312</v>
      </c>
      <c r="H719" s="4">
        <v>89504.639999999999</v>
      </c>
    </row>
    <row r="720" spans="1:8" x14ac:dyDescent="0.3">
      <c r="A720" t="s">
        <v>6</v>
      </c>
      <c r="B720" t="s">
        <v>7</v>
      </c>
      <c r="C720" t="s">
        <v>381</v>
      </c>
      <c r="D720" t="s">
        <v>9</v>
      </c>
      <c r="E720" t="s">
        <v>593</v>
      </c>
      <c r="F720" t="str">
        <f>"001600018978"</f>
        <v>001600018978</v>
      </c>
      <c r="G720" t="s">
        <v>3321</v>
      </c>
      <c r="H720" s="4">
        <v>89385.012000000002</v>
      </c>
    </row>
    <row r="721" spans="1:8" x14ac:dyDescent="0.3">
      <c r="A721" t="s">
        <v>6</v>
      </c>
      <c r="B721" t="s">
        <v>7</v>
      </c>
      <c r="C721" t="s">
        <v>797</v>
      </c>
      <c r="D721" t="s">
        <v>9</v>
      </c>
      <c r="E721" t="s">
        <v>888</v>
      </c>
      <c r="F721" t="str">
        <f>"001600020763"</f>
        <v>001600020763</v>
      </c>
      <c r="G721" t="s">
        <v>2481</v>
      </c>
      <c r="H721" s="4">
        <v>89338.471000000005</v>
      </c>
    </row>
    <row r="722" spans="1:8" x14ac:dyDescent="0.3">
      <c r="A722" t="s">
        <v>6</v>
      </c>
      <c r="B722" t="s">
        <v>7</v>
      </c>
      <c r="C722" t="s">
        <v>381</v>
      </c>
      <c r="D722" t="s">
        <v>9</v>
      </c>
      <c r="E722" t="s">
        <v>600</v>
      </c>
      <c r="F722" t="str">
        <f>"001600015894"</f>
        <v>001600015894</v>
      </c>
      <c r="G722" t="s">
        <v>3329</v>
      </c>
      <c r="H722" s="4">
        <v>89210.941999999995</v>
      </c>
    </row>
    <row r="723" spans="1:8" x14ac:dyDescent="0.3">
      <c r="A723" t="s">
        <v>6</v>
      </c>
      <c r="B723" t="s">
        <v>7</v>
      </c>
      <c r="C723" t="s">
        <v>2113</v>
      </c>
      <c r="D723" t="s">
        <v>9</v>
      </c>
      <c r="E723" t="s">
        <v>2192</v>
      </c>
      <c r="F723" t="str">
        <f>"001600046294"</f>
        <v>001600046294</v>
      </c>
      <c r="G723" t="s">
        <v>4397</v>
      </c>
      <c r="H723" s="4">
        <v>88939.47</v>
      </c>
    </row>
    <row r="724" spans="1:8" x14ac:dyDescent="0.3">
      <c r="A724" t="s">
        <v>6</v>
      </c>
      <c r="B724" t="s">
        <v>7</v>
      </c>
      <c r="C724" t="s">
        <v>1577</v>
      </c>
      <c r="D724" t="s">
        <v>9</v>
      </c>
      <c r="E724" t="s">
        <v>1674</v>
      </c>
      <c r="F724" t="str">
        <f>"004600043165"</f>
        <v>004600043165</v>
      </c>
      <c r="G724" t="s">
        <v>3442</v>
      </c>
      <c r="H724" s="4">
        <v>88769.519</v>
      </c>
    </row>
    <row r="725" spans="1:8" x14ac:dyDescent="0.3">
      <c r="A725" t="s">
        <v>6</v>
      </c>
      <c r="B725" t="s">
        <v>7</v>
      </c>
      <c r="C725" t="s">
        <v>381</v>
      </c>
      <c r="D725" t="s">
        <v>9</v>
      </c>
      <c r="E725" t="s">
        <v>580</v>
      </c>
      <c r="F725" t="str">
        <f>"001600018974"</f>
        <v>001600018974</v>
      </c>
      <c r="G725" t="s">
        <v>3308</v>
      </c>
      <c r="H725" s="4">
        <v>88668.692999999999</v>
      </c>
    </row>
    <row r="726" spans="1:8" x14ac:dyDescent="0.3">
      <c r="A726" t="s">
        <v>6</v>
      </c>
      <c r="B726" t="s">
        <v>7</v>
      </c>
      <c r="C726" t="s">
        <v>2113</v>
      </c>
      <c r="D726" t="s">
        <v>9</v>
      </c>
      <c r="E726" t="s">
        <v>2196</v>
      </c>
      <c r="F726" t="str">
        <f>"001600028320"</f>
        <v>001600028320</v>
      </c>
      <c r="G726" t="s">
        <v>4400</v>
      </c>
      <c r="H726" s="4">
        <v>88647.956000000006</v>
      </c>
    </row>
    <row r="727" spans="1:8" x14ac:dyDescent="0.3">
      <c r="A727" t="s">
        <v>6</v>
      </c>
      <c r="B727" t="s">
        <v>7</v>
      </c>
      <c r="C727" t="s">
        <v>1321</v>
      </c>
      <c r="D727" t="s">
        <v>9</v>
      </c>
      <c r="E727" t="s">
        <v>1334</v>
      </c>
      <c r="F727" t="str">
        <f>"004280072157"</f>
        <v>004280072157</v>
      </c>
      <c r="G727" t="s">
        <v>2896</v>
      </c>
      <c r="H727" s="4">
        <v>88533.915999999997</v>
      </c>
    </row>
    <row r="728" spans="1:8" x14ac:dyDescent="0.3">
      <c r="A728" t="s">
        <v>6</v>
      </c>
      <c r="B728" t="s">
        <v>7</v>
      </c>
      <c r="C728" t="s">
        <v>1805</v>
      </c>
      <c r="D728" t="s">
        <v>9</v>
      </c>
      <c r="E728" t="s">
        <v>1856</v>
      </c>
      <c r="F728" t="str">
        <f>"001800000735"</f>
        <v>001800000735</v>
      </c>
      <c r="G728" t="s">
        <v>2389</v>
      </c>
      <c r="H728" s="4">
        <v>88095.043999999994</v>
      </c>
    </row>
    <row r="729" spans="1:8" x14ac:dyDescent="0.3">
      <c r="A729" t="s">
        <v>6</v>
      </c>
      <c r="B729" t="s">
        <v>7</v>
      </c>
      <c r="C729" t="s">
        <v>1072</v>
      </c>
      <c r="D729" t="s">
        <v>9</v>
      </c>
      <c r="E729" t="s">
        <v>1090</v>
      </c>
      <c r="F729" t="str">
        <f>"001600028881"</f>
        <v>001600028881</v>
      </c>
      <c r="G729" t="s">
        <v>2695</v>
      </c>
      <c r="H729" s="4">
        <v>88073.66</v>
      </c>
    </row>
    <row r="730" spans="1:8" x14ac:dyDescent="0.3">
      <c r="A730" t="s">
        <v>6</v>
      </c>
      <c r="B730" t="s">
        <v>7</v>
      </c>
      <c r="C730" t="s">
        <v>797</v>
      </c>
      <c r="D730" t="s">
        <v>9</v>
      </c>
      <c r="E730" t="s">
        <v>951</v>
      </c>
      <c r="F730" t="str">
        <f>"001600020759"</f>
        <v>001600020759</v>
      </c>
      <c r="G730" t="s">
        <v>2547</v>
      </c>
      <c r="H730" s="4">
        <v>88013.349000000002</v>
      </c>
    </row>
    <row r="731" spans="1:8" x14ac:dyDescent="0.3">
      <c r="A731" t="s">
        <v>6</v>
      </c>
      <c r="B731" t="s">
        <v>7</v>
      </c>
      <c r="C731" t="s">
        <v>8</v>
      </c>
      <c r="D731" t="s">
        <v>9</v>
      </c>
      <c r="E731" t="s">
        <v>62</v>
      </c>
      <c r="F731" t="str">
        <f>"002190845988"</f>
        <v>002190845988</v>
      </c>
      <c r="G731" t="s">
        <v>4039</v>
      </c>
      <c r="H731" s="4">
        <v>87792.827000000005</v>
      </c>
    </row>
    <row r="732" spans="1:8" x14ac:dyDescent="0.3">
      <c r="A732" t="s">
        <v>6</v>
      </c>
      <c r="B732" t="s">
        <v>7</v>
      </c>
      <c r="C732" t="s">
        <v>797</v>
      </c>
      <c r="D732" t="s">
        <v>9</v>
      </c>
      <c r="E732" t="s">
        <v>815</v>
      </c>
      <c r="F732" t="str">
        <f>"001600044530"</f>
        <v>001600044530</v>
      </c>
      <c r="G732" t="s">
        <v>2412</v>
      </c>
      <c r="H732" s="4">
        <v>87766.88</v>
      </c>
    </row>
    <row r="733" spans="1:8" x14ac:dyDescent="0.3">
      <c r="A733" t="s">
        <v>6</v>
      </c>
      <c r="B733" t="s">
        <v>7</v>
      </c>
      <c r="C733" t="s">
        <v>2113</v>
      </c>
      <c r="D733" t="s">
        <v>9</v>
      </c>
      <c r="E733" t="s">
        <v>2115</v>
      </c>
      <c r="F733" t="str">
        <f>"001356249658"</f>
        <v>001356249658</v>
      </c>
      <c r="G733" t="s">
        <v>4324</v>
      </c>
      <c r="H733" s="4">
        <v>87478.913</v>
      </c>
    </row>
    <row r="734" spans="1:8" x14ac:dyDescent="0.3">
      <c r="A734" t="s">
        <v>6</v>
      </c>
      <c r="B734" t="s">
        <v>7</v>
      </c>
      <c r="C734" t="s">
        <v>1805</v>
      </c>
      <c r="D734" t="s">
        <v>9</v>
      </c>
      <c r="E734" t="s">
        <v>1919</v>
      </c>
      <c r="F734" t="str">
        <f>"001800011925"</f>
        <v>001800011925</v>
      </c>
      <c r="G734" t="s">
        <v>3804</v>
      </c>
      <c r="H734" s="4">
        <v>87407.222999999998</v>
      </c>
    </row>
    <row r="735" spans="1:8" x14ac:dyDescent="0.3">
      <c r="A735" t="s">
        <v>6</v>
      </c>
      <c r="B735" t="s">
        <v>7</v>
      </c>
      <c r="C735" t="s">
        <v>8</v>
      </c>
      <c r="D735" t="s">
        <v>9</v>
      </c>
      <c r="E735" t="s">
        <v>139</v>
      </c>
      <c r="F735" t="str">
        <f>"001600016366"</f>
        <v>001600016366</v>
      </c>
      <c r="G735" t="s">
        <v>4103</v>
      </c>
      <c r="H735" s="4">
        <v>87202.342999999993</v>
      </c>
    </row>
    <row r="736" spans="1:8" x14ac:dyDescent="0.3">
      <c r="A736" t="s">
        <v>6</v>
      </c>
      <c r="B736" t="s">
        <v>7</v>
      </c>
      <c r="C736" t="s">
        <v>1577</v>
      </c>
      <c r="D736" t="s">
        <v>9</v>
      </c>
      <c r="E736" t="s">
        <v>1631</v>
      </c>
      <c r="F736" t="str">
        <f>"004600084351"</f>
        <v>004600084351</v>
      </c>
      <c r="G736" t="s">
        <v>3400</v>
      </c>
      <c r="H736" s="4">
        <v>86996.660999999993</v>
      </c>
    </row>
    <row r="737" spans="1:8" x14ac:dyDescent="0.3">
      <c r="A737" t="s">
        <v>6</v>
      </c>
      <c r="B737" t="s">
        <v>7</v>
      </c>
      <c r="C737" t="s">
        <v>1397</v>
      </c>
      <c r="D737" t="s">
        <v>9</v>
      </c>
      <c r="E737" t="s">
        <v>1507</v>
      </c>
      <c r="F737" t="str">
        <f>"001800012228"</f>
        <v>001800012228</v>
      </c>
      <c r="G737" t="s">
        <v>3052</v>
      </c>
      <c r="H737" s="4">
        <v>86921.858999999997</v>
      </c>
    </row>
    <row r="738" spans="1:8" x14ac:dyDescent="0.3">
      <c r="A738" t="s">
        <v>6</v>
      </c>
      <c r="B738" t="s">
        <v>7</v>
      </c>
      <c r="C738" t="s">
        <v>8</v>
      </c>
      <c r="D738" t="s">
        <v>9</v>
      </c>
      <c r="E738" t="s">
        <v>348</v>
      </c>
      <c r="F738" t="str">
        <f>"001600019736"</f>
        <v>001600019736</v>
      </c>
      <c r="G738" t="s">
        <v>4294</v>
      </c>
      <c r="H738" s="4">
        <v>86661.197</v>
      </c>
    </row>
    <row r="739" spans="1:8" x14ac:dyDescent="0.3">
      <c r="A739" t="s">
        <v>6</v>
      </c>
      <c r="B739" t="s">
        <v>7</v>
      </c>
      <c r="C739" t="s">
        <v>1286</v>
      </c>
      <c r="D739" t="s">
        <v>9</v>
      </c>
      <c r="E739" t="s">
        <v>1309</v>
      </c>
      <c r="F739" t="str">
        <f>"001800042792"</f>
        <v>001800042792</v>
      </c>
      <c r="G739" t="s">
        <v>2873</v>
      </c>
      <c r="H739" s="4">
        <v>86443.351999999999</v>
      </c>
    </row>
    <row r="740" spans="1:8" x14ac:dyDescent="0.3">
      <c r="A740" t="s">
        <v>6</v>
      </c>
      <c r="B740" t="s">
        <v>7</v>
      </c>
      <c r="C740" t="s">
        <v>1805</v>
      </c>
      <c r="D740" t="s">
        <v>9</v>
      </c>
      <c r="E740" t="s">
        <v>1813</v>
      </c>
      <c r="F740" t="str">
        <f>"066559601301"</f>
        <v>066559601301</v>
      </c>
      <c r="G740" t="s">
        <v>3746</v>
      </c>
      <c r="H740" s="4">
        <v>86316.471000000005</v>
      </c>
    </row>
    <row r="741" spans="1:8" x14ac:dyDescent="0.3">
      <c r="A741" t="s">
        <v>6</v>
      </c>
      <c r="B741" t="s">
        <v>7</v>
      </c>
      <c r="C741" t="s">
        <v>8</v>
      </c>
      <c r="D741" t="s">
        <v>9</v>
      </c>
      <c r="E741" t="s">
        <v>69</v>
      </c>
      <c r="F741" t="str">
        <f>"002190812405"</f>
        <v>002190812405</v>
      </c>
      <c r="G741" t="s">
        <v>4046</v>
      </c>
      <c r="H741" s="4">
        <v>86185.712</v>
      </c>
    </row>
    <row r="742" spans="1:8" x14ac:dyDescent="0.3">
      <c r="A742" t="s">
        <v>6</v>
      </c>
      <c r="B742" t="s">
        <v>7</v>
      </c>
      <c r="C742" t="s">
        <v>770</v>
      </c>
      <c r="D742" t="s">
        <v>9</v>
      </c>
      <c r="E742" t="s">
        <v>783</v>
      </c>
      <c r="F742" t="str">
        <f>"001600042200"</f>
        <v>001600042200</v>
      </c>
      <c r="G742" t="s">
        <v>2383</v>
      </c>
      <c r="H742" s="4">
        <v>86039.188999999998</v>
      </c>
    </row>
    <row r="743" spans="1:8" x14ac:dyDescent="0.3">
      <c r="A743" t="s">
        <v>6</v>
      </c>
      <c r="B743" t="s">
        <v>7</v>
      </c>
      <c r="C743" t="s">
        <v>8</v>
      </c>
      <c r="D743" t="s">
        <v>9</v>
      </c>
      <c r="E743" t="s">
        <v>61</v>
      </c>
      <c r="F743" t="str">
        <f>"002190845559"</f>
        <v>002190845559</v>
      </c>
      <c r="G743" t="s">
        <v>4038</v>
      </c>
      <c r="H743" s="4">
        <v>85956.356</v>
      </c>
    </row>
    <row r="744" spans="1:8" x14ac:dyDescent="0.3">
      <c r="A744" t="s">
        <v>6</v>
      </c>
      <c r="B744" t="s">
        <v>7</v>
      </c>
      <c r="C744" t="s">
        <v>797</v>
      </c>
      <c r="D744" t="s">
        <v>9</v>
      </c>
      <c r="E744" t="s">
        <v>859</v>
      </c>
      <c r="F744" t="str">
        <f>"001600021253"</f>
        <v>001600021253</v>
      </c>
      <c r="G744" t="s">
        <v>2454</v>
      </c>
      <c r="H744" s="4">
        <v>85795.199999999997</v>
      </c>
    </row>
    <row r="745" spans="1:8" x14ac:dyDescent="0.3">
      <c r="A745" t="s">
        <v>6</v>
      </c>
      <c r="B745" t="s">
        <v>7</v>
      </c>
      <c r="C745" t="s">
        <v>1577</v>
      </c>
      <c r="D745" t="s">
        <v>9</v>
      </c>
      <c r="E745" t="s">
        <v>1592</v>
      </c>
      <c r="F745" t="str">
        <f>"004600082341"</f>
        <v>004600082341</v>
      </c>
      <c r="G745" t="s">
        <v>3356</v>
      </c>
      <c r="H745" s="4">
        <v>85665.335999999996</v>
      </c>
    </row>
    <row r="746" spans="1:8" x14ac:dyDescent="0.3">
      <c r="A746" t="s">
        <v>6</v>
      </c>
      <c r="B746" t="s">
        <v>7</v>
      </c>
      <c r="C746" t="s">
        <v>1940</v>
      </c>
      <c r="D746" t="s">
        <v>9</v>
      </c>
      <c r="E746" t="s">
        <v>2024</v>
      </c>
      <c r="F746" t="str">
        <f>"007047015832"</f>
        <v>007047015832</v>
      </c>
      <c r="G746" t="s">
        <v>3915</v>
      </c>
      <c r="H746" s="4">
        <v>85638.864000000001</v>
      </c>
    </row>
    <row r="747" spans="1:8" x14ac:dyDescent="0.3">
      <c r="A747" t="s">
        <v>6</v>
      </c>
      <c r="B747" t="s">
        <v>7</v>
      </c>
      <c r="C747" t="s">
        <v>8</v>
      </c>
      <c r="D747" t="s">
        <v>9</v>
      </c>
      <c r="E747" t="s">
        <v>92</v>
      </c>
      <c r="F747" t="str">
        <f>"001600018394"</f>
        <v>001600018394</v>
      </c>
      <c r="G747" t="s">
        <v>2389</v>
      </c>
      <c r="H747" s="4">
        <v>85638.21</v>
      </c>
    </row>
    <row r="748" spans="1:8" x14ac:dyDescent="0.3">
      <c r="A748" t="s">
        <v>6</v>
      </c>
      <c r="B748" t="s">
        <v>7</v>
      </c>
      <c r="C748" t="s">
        <v>1338</v>
      </c>
      <c r="D748" t="s">
        <v>9</v>
      </c>
      <c r="E748" t="s">
        <v>1374</v>
      </c>
      <c r="F748" t="str">
        <f>"004280010954"</f>
        <v>004280010954</v>
      </c>
      <c r="G748" t="s">
        <v>2930</v>
      </c>
      <c r="H748" s="4">
        <v>85510.755999999994</v>
      </c>
    </row>
    <row r="749" spans="1:8" x14ac:dyDescent="0.3">
      <c r="A749" t="s">
        <v>6</v>
      </c>
      <c r="B749" t="s">
        <v>7</v>
      </c>
      <c r="C749" t="s">
        <v>381</v>
      </c>
      <c r="D749" t="s">
        <v>9</v>
      </c>
      <c r="E749" t="s">
        <v>485</v>
      </c>
      <c r="F749" t="str">
        <f>"001600014945"</f>
        <v>001600014945</v>
      </c>
      <c r="G749" t="s">
        <v>3212</v>
      </c>
      <c r="H749" s="4">
        <v>85498.581999999995</v>
      </c>
    </row>
    <row r="750" spans="1:8" x14ac:dyDescent="0.3">
      <c r="A750" t="s">
        <v>6</v>
      </c>
      <c r="B750" t="s">
        <v>7</v>
      </c>
      <c r="C750" t="s">
        <v>8</v>
      </c>
      <c r="D750" t="s">
        <v>9</v>
      </c>
      <c r="E750" t="s">
        <v>109</v>
      </c>
      <c r="F750" t="str">
        <f>"001600020081"</f>
        <v>001600020081</v>
      </c>
      <c r="G750" t="s">
        <v>4078</v>
      </c>
      <c r="H750" s="4">
        <v>85055.229000000007</v>
      </c>
    </row>
    <row r="751" spans="1:8" x14ac:dyDescent="0.3">
      <c r="A751" t="s">
        <v>6</v>
      </c>
      <c r="B751" t="s">
        <v>7</v>
      </c>
      <c r="C751" t="s">
        <v>8</v>
      </c>
      <c r="D751" t="s">
        <v>9</v>
      </c>
      <c r="E751" t="s">
        <v>140</v>
      </c>
      <c r="F751" t="str">
        <f>"001600016874"</f>
        <v>001600016874</v>
      </c>
      <c r="G751" t="s">
        <v>4104</v>
      </c>
      <c r="H751" s="4">
        <v>84737.936000000002</v>
      </c>
    </row>
    <row r="752" spans="1:8" x14ac:dyDescent="0.3">
      <c r="A752" t="s">
        <v>6</v>
      </c>
      <c r="B752" t="s">
        <v>7</v>
      </c>
      <c r="C752" t="s">
        <v>1940</v>
      </c>
      <c r="D752" t="s">
        <v>9</v>
      </c>
      <c r="E752" t="s">
        <v>1945</v>
      </c>
      <c r="F752" t="str">
        <f>"007047016496"</f>
        <v>007047016496</v>
      </c>
      <c r="G752" t="s">
        <v>3826</v>
      </c>
      <c r="H752" s="4">
        <v>84225.933999999994</v>
      </c>
    </row>
    <row r="753" spans="1:8" x14ac:dyDescent="0.3">
      <c r="A753" t="s">
        <v>6</v>
      </c>
      <c r="B753" t="s">
        <v>7</v>
      </c>
      <c r="C753" t="s">
        <v>1940</v>
      </c>
      <c r="D753" t="s">
        <v>9</v>
      </c>
      <c r="E753" t="s">
        <v>2108</v>
      </c>
      <c r="F753" t="str">
        <f>"007047014714"</f>
        <v>007047014714</v>
      </c>
      <c r="G753" t="s">
        <v>2389</v>
      </c>
      <c r="H753" s="4">
        <v>83784.092000000004</v>
      </c>
    </row>
    <row r="754" spans="1:8" x14ac:dyDescent="0.3">
      <c r="A754" t="s">
        <v>6</v>
      </c>
      <c r="B754" t="s">
        <v>7</v>
      </c>
      <c r="C754" t="s">
        <v>8</v>
      </c>
      <c r="D754" t="s">
        <v>9</v>
      </c>
      <c r="E754" t="s">
        <v>113</v>
      </c>
      <c r="F754" t="str">
        <f>"001600018884"</f>
        <v>001600018884</v>
      </c>
      <c r="G754" t="s">
        <v>4081</v>
      </c>
      <c r="H754" s="4">
        <v>83735.620999999999</v>
      </c>
    </row>
    <row r="755" spans="1:8" x14ac:dyDescent="0.3">
      <c r="A755" t="s">
        <v>6</v>
      </c>
      <c r="B755" t="s">
        <v>7</v>
      </c>
      <c r="C755" t="s">
        <v>2231</v>
      </c>
      <c r="D755" t="s">
        <v>9</v>
      </c>
      <c r="E755" t="s">
        <v>2339</v>
      </c>
      <c r="F755" t="str">
        <f>"004119691064"</f>
        <v>004119691064</v>
      </c>
      <c r="G755" t="s">
        <v>4530</v>
      </c>
      <c r="H755" s="4">
        <v>83506.353000000003</v>
      </c>
    </row>
    <row r="756" spans="1:8" x14ac:dyDescent="0.3">
      <c r="A756" t="s">
        <v>6</v>
      </c>
      <c r="B756" t="s">
        <v>7</v>
      </c>
      <c r="C756" t="s">
        <v>1940</v>
      </c>
      <c r="D756" t="s">
        <v>9</v>
      </c>
      <c r="E756" t="s">
        <v>2045</v>
      </c>
      <c r="F756" t="str">
        <f>"007047028447"</f>
        <v>007047028447</v>
      </c>
      <c r="G756" t="s">
        <v>3932</v>
      </c>
      <c r="H756" s="4">
        <v>83441.354000000007</v>
      </c>
    </row>
    <row r="757" spans="1:8" x14ac:dyDescent="0.3">
      <c r="A757" t="s">
        <v>6</v>
      </c>
      <c r="B757" t="s">
        <v>7</v>
      </c>
      <c r="C757" t="s">
        <v>381</v>
      </c>
      <c r="D757" t="s">
        <v>9</v>
      </c>
      <c r="E757" t="s">
        <v>556</v>
      </c>
      <c r="F757" t="str">
        <f>"001600015898"</f>
        <v>001600015898</v>
      </c>
      <c r="G757" t="s">
        <v>3279</v>
      </c>
      <c r="H757" s="4">
        <v>83371.986000000004</v>
      </c>
    </row>
    <row r="758" spans="1:8" x14ac:dyDescent="0.3">
      <c r="A758" t="s">
        <v>6</v>
      </c>
      <c r="B758" t="s">
        <v>7</v>
      </c>
      <c r="C758" t="s">
        <v>8</v>
      </c>
      <c r="D758" t="s">
        <v>9</v>
      </c>
      <c r="E758" t="s">
        <v>191</v>
      </c>
      <c r="F758" t="str">
        <f>"001600016395"</f>
        <v>001600016395</v>
      </c>
      <c r="G758" t="s">
        <v>4150</v>
      </c>
      <c r="H758" s="4">
        <v>83240.89</v>
      </c>
    </row>
    <row r="759" spans="1:8" x14ac:dyDescent="0.3">
      <c r="A759" t="s">
        <v>6</v>
      </c>
      <c r="B759" t="s">
        <v>7</v>
      </c>
      <c r="C759" t="s">
        <v>8</v>
      </c>
      <c r="D759" t="s">
        <v>9</v>
      </c>
      <c r="E759" t="s">
        <v>108</v>
      </c>
      <c r="F759" t="str">
        <f>"001600018914"</f>
        <v>001600018914</v>
      </c>
      <c r="G759" t="s">
        <v>4077</v>
      </c>
      <c r="H759" s="4">
        <v>83175.266000000003</v>
      </c>
    </row>
    <row r="760" spans="1:8" x14ac:dyDescent="0.3">
      <c r="A760" t="s">
        <v>6</v>
      </c>
      <c r="B760" t="s">
        <v>7</v>
      </c>
      <c r="C760" t="s">
        <v>1122</v>
      </c>
      <c r="D760" t="s">
        <v>9</v>
      </c>
      <c r="E760" t="s">
        <v>1166</v>
      </c>
      <c r="F760" t="str">
        <f>"001600018146"</f>
        <v>001600018146</v>
      </c>
      <c r="G760" t="s">
        <v>2755</v>
      </c>
      <c r="H760" s="4">
        <v>83110.301999999996</v>
      </c>
    </row>
    <row r="761" spans="1:8" x14ac:dyDescent="0.3">
      <c r="A761" t="s">
        <v>6</v>
      </c>
      <c r="B761" t="s">
        <v>7</v>
      </c>
      <c r="C761" t="s">
        <v>1940</v>
      </c>
      <c r="D761" t="s">
        <v>9</v>
      </c>
      <c r="E761" t="s">
        <v>1981</v>
      </c>
      <c r="F761" t="str">
        <f>"007047019112"</f>
        <v>007047019112</v>
      </c>
      <c r="G761" t="s">
        <v>2389</v>
      </c>
      <c r="H761" s="4">
        <v>82796.09</v>
      </c>
    </row>
    <row r="762" spans="1:8" x14ac:dyDescent="0.3">
      <c r="A762" t="s">
        <v>6</v>
      </c>
      <c r="B762" t="s">
        <v>7</v>
      </c>
      <c r="C762" t="s">
        <v>985</v>
      </c>
      <c r="D762" t="s">
        <v>9</v>
      </c>
      <c r="E762" t="s">
        <v>1038</v>
      </c>
      <c r="F762" t="str">
        <f>"001356249901"</f>
        <v>001356249901</v>
      </c>
      <c r="G762" t="s">
        <v>2635</v>
      </c>
      <c r="H762" s="4">
        <v>82743.557000000001</v>
      </c>
    </row>
    <row r="763" spans="1:8" x14ac:dyDescent="0.3">
      <c r="A763" t="s">
        <v>6</v>
      </c>
      <c r="B763" t="s">
        <v>7</v>
      </c>
      <c r="C763" t="s">
        <v>381</v>
      </c>
      <c r="D763" t="s">
        <v>9</v>
      </c>
      <c r="E763" t="s">
        <v>537</v>
      </c>
      <c r="F763" t="str">
        <f>"001600017943"</f>
        <v>001600017943</v>
      </c>
      <c r="G763" t="s">
        <v>3260</v>
      </c>
      <c r="H763" s="4">
        <v>82610.09</v>
      </c>
    </row>
    <row r="764" spans="1:8" x14ac:dyDescent="0.3">
      <c r="A764" t="s">
        <v>6</v>
      </c>
      <c r="B764" t="s">
        <v>7</v>
      </c>
      <c r="C764" t="s">
        <v>1940</v>
      </c>
      <c r="D764" t="s">
        <v>9</v>
      </c>
      <c r="E764" t="s">
        <v>2047</v>
      </c>
      <c r="F764" t="str">
        <f>"007047000128"</f>
        <v>007047000128</v>
      </c>
      <c r="G764" t="s">
        <v>3934</v>
      </c>
      <c r="H764" s="4">
        <v>82364.144</v>
      </c>
    </row>
    <row r="765" spans="1:8" x14ac:dyDescent="0.3">
      <c r="A765" t="s">
        <v>6</v>
      </c>
      <c r="B765" t="s">
        <v>7</v>
      </c>
      <c r="C765" t="s">
        <v>616</v>
      </c>
      <c r="D765" t="s">
        <v>9</v>
      </c>
      <c r="E765" t="s">
        <v>747</v>
      </c>
      <c r="F765" t="str">
        <f>"002190850935"</f>
        <v>002190850935</v>
      </c>
      <c r="G765" t="s">
        <v>3717</v>
      </c>
      <c r="H765" s="4">
        <v>81641.442999999999</v>
      </c>
    </row>
    <row r="766" spans="1:8" x14ac:dyDescent="0.3">
      <c r="A766" t="s">
        <v>6</v>
      </c>
      <c r="B766" t="s">
        <v>7</v>
      </c>
      <c r="C766" t="s">
        <v>797</v>
      </c>
      <c r="D766" t="s">
        <v>9</v>
      </c>
      <c r="E766" t="s">
        <v>976</v>
      </c>
      <c r="F766" t="str">
        <f>"001600037460"</f>
        <v>001600037460</v>
      </c>
      <c r="G766" t="s">
        <v>2572</v>
      </c>
      <c r="H766" s="4">
        <v>81632.902000000002</v>
      </c>
    </row>
    <row r="767" spans="1:8" x14ac:dyDescent="0.3">
      <c r="A767" t="s">
        <v>6</v>
      </c>
      <c r="B767" t="s">
        <v>7</v>
      </c>
      <c r="C767" t="s">
        <v>1552</v>
      </c>
      <c r="D767" t="s">
        <v>9</v>
      </c>
      <c r="E767" t="s">
        <v>1566</v>
      </c>
      <c r="F767" t="str">
        <f>"001356200052"</f>
        <v>001356200052</v>
      </c>
      <c r="G767" t="s">
        <v>3108</v>
      </c>
      <c r="H767" s="4">
        <v>81562.936000000002</v>
      </c>
    </row>
    <row r="768" spans="1:8" x14ac:dyDescent="0.3">
      <c r="A768" t="s">
        <v>6</v>
      </c>
      <c r="B768" t="s">
        <v>7</v>
      </c>
      <c r="C768" t="s">
        <v>1786</v>
      </c>
      <c r="D768" t="s">
        <v>9</v>
      </c>
      <c r="E768" t="s">
        <v>1792</v>
      </c>
      <c r="F768" t="str">
        <f>"072534238171"</f>
        <v>072534238171</v>
      </c>
      <c r="G768" t="s">
        <v>3554</v>
      </c>
      <c r="H768" s="4">
        <v>81510.063999999998</v>
      </c>
    </row>
    <row r="769" spans="1:8" x14ac:dyDescent="0.3">
      <c r="A769" t="s">
        <v>6</v>
      </c>
      <c r="B769" t="s">
        <v>7</v>
      </c>
      <c r="C769" t="s">
        <v>1577</v>
      </c>
      <c r="D769" t="s">
        <v>9</v>
      </c>
      <c r="E769" t="s">
        <v>1635</v>
      </c>
      <c r="F769" t="str">
        <f>"004600085281"</f>
        <v>004600085281</v>
      </c>
      <c r="G769" t="s">
        <v>3404</v>
      </c>
      <c r="H769" s="4">
        <v>81153.415999999997</v>
      </c>
    </row>
    <row r="770" spans="1:8" x14ac:dyDescent="0.3">
      <c r="A770" t="s">
        <v>6</v>
      </c>
      <c r="B770" t="s">
        <v>7</v>
      </c>
      <c r="C770" t="s">
        <v>8</v>
      </c>
      <c r="D770" t="s">
        <v>9</v>
      </c>
      <c r="E770" t="s">
        <v>181</v>
      </c>
      <c r="F770" t="str">
        <f>"001600018675"</f>
        <v>001600018675</v>
      </c>
      <c r="G770" t="s">
        <v>4140</v>
      </c>
      <c r="H770" s="4">
        <v>80866.112999999998</v>
      </c>
    </row>
    <row r="771" spans="1:8" x14ac:dyDescent="0.3">
      <c r="A771" t="s">
        <v>6</v>
      </c>
      <c r="B771" t="s">
        <v>7</v>
      </c>
      <c r="C771" t="s">
        <v>8</v>
      </c>
      <c r="D771" t="s">
        <v>9</v>
      </c>
      <c r="E771" t="s">
        <v>129</v>
      </c>
      <c r="F771" t="str">
        <f>"001600020025"</f>
        <v>001600020025</v>
      </c>
      <c r="G771" t="s">
        <v>4095</v>
      </c>
      <c r="H771" s="4">
        <v>80619.22</v>
      </c>
    </row>
    <row r="772" spans="1:8" x14ac:dyDescent="0.3">
      <c r="A772" t="s">
        <v>6</v>
      </c>
      <c r="B772" t="s">
        <v>7</v>
      </c>
      <c r="C772" t="s">
        <v>1577</v>
      </c>
      <c r="D772" t="s">
        <v>9</v>
      </c>
      <c r="E772" t="s">
        <v>1606</v>
      </c>
      <c r="F772" t="str">
        <f>"004600072182"</f>
        <v>004600072182</v>
      </c>
      <c r="G772" t="s">
        <v>3370</v>
      </c>
      <c r="H772" s="4">
        <v>80484.442999999999</v>
      </c>
    </row>
    <row r="773" spans="1:8" x14ac:dyDescent="0.3">
      <c r="A773" t="s">
        <v>6</v>
      </c>
      <c r="B773" t="s">
        <v>7</v>
      </c>
      <c r="C773" t="s">
        <v>8</v>
      </c>
      <c r="D773" t="s">
        <v>9</v>
      </c>
      <c r="E773" t="s">
        <v>66</v>
      </c>
      <c r="F773" t="str">
        <f>"002190845551"</f>
        <v>002190845551</v>
      </c>
      <c r="G773" t="s">
        <v>4043</v>
      </c>
      <c r="H773" s="4">
        <v>80393.911999999997</v>
      </c>
    </row>
    <row r="774" spans="1:8" x14ac:dyDescent="0.3">
      <c r="A774" t="s">
        <v>6</v>
      </c>
      <c r="B774" t="s">
        <v>7</v>
      </c>
      <c r="C774" t="s">
        <v>2231</v>
      </c>
      <c r="D774" t="s">
        <v>9</v>
      </c>
      <c r="E774" t="s">
        <v>2246</v>
      </c>
      <c r="F774" t="str">
        <f>"004119646648"</f>
        <v>004119646648</v>
      </c>
      <c r="G774" t="s">
        <v>4444</v>
      </c>
      <c r="H774" s="4">
        <v>80319.486000000004</v>
      </c>
    </row>
    <row r="775" spans="1:8" x14ac:dyDescent="0.3">
      <c r="A775" t="s">
        <v>6</v>
      </c>
      <c r="B775" t="s">
        <v>7</v>
      </c>
      <c r="C775" t="s">
        <v>1338</v>
      </c>
      <c r="D775" t="s">
        <v>9</v>
      </c>
      <c r="E775" t="s">
        <v>1359</v>
      </c>
      <c r="F775" t="str">
        <f>"004280000580"</f>
        <v>004280000580</v>
      </c>
      <c r="G775" t="s">
        <v>2916</v>
      </c>
      <c r="H775" s="4">
        <v>79843.510999999999</v>
      </c>
    </row>
    <row r="776" spans="1:8" x14ac:dyDescent="0.3">
      <c r="A776" t="s">
        <v>6</v>
      </c>
      <c r="B776" t="s">
        <v>7</v>
      </c>
      <c r="C776" t="s">
        <v>8</v>
      </c>
      <c r="D776" t="s">
        <v>9</v>
      </c>
      <c r="E776" t="s">
        <v>257</v>
      </c>
      <c r="F776" t="str">
        <f>"001600020297"</f>
        <v>001600020297</v>
      </c>
      <c r="G776" t="s">
        <v>4210</v>
      </c>
      <c r="H776" s="4">
        <v>79633.047999999995</v>
      </c>
    </row>
    <row r="777" spans="1:8" x14ac:dyDescent="0.3">
      <c r="A777" t="s">
        <v>6</v>
      </c>
      <c r="B777" t="s">
        <v>7</v>
      </c>
      <c r="C777" t="s">
        <v>1397</v>
      </c>
      <c r="D777" t="s">
        <v>9</v>
      </c>
      <c r="E777" t="s">
        <v>1418</v>
      </c>
      <c r="F777" t="str">
        <f>"001600028801"</f>
        <v>001600028801</v>
      </c>
      <c r="G777" t="s">
        <v>2970</v>
      </c>
      <c r="H777" s="4">
        <v>79501.551999999996</v>
      </c>
    </row>
    <row r="778" spans="1:8" x14ac:dyDescent="0.3">
      <c r="A778" t="s">
        <v>6</v>
      </c>
      <c r="B778" t="s">
        <v>7</v>
      </c>
      <c r="C778" t="s">
        <v>8</v>
      </c>
      <c r="D778" t="s">
        <v>9</v>
      </c>
      <c r="E778" t="s">
        <v>351</v>
      </c>
      <c r="F778" t="str">
        <f>"001600016197"</f>
        <v>001600016197</v>
      </c>
      <c r="G778" t="s">
        <v>4296</v>
      </c>
      <c r="H778" s="4">
        <v>79417.099000000002</v>
      </c>
    </row>
    <row r="779" spans="1:8" x14ac:dyDescent="0.3">
      <c r="A779" t="s">
        <v>6</v>
      </c>
      <c r="B779" t="s">
        <v>7</v>
      </c>
      <c r="C779" t="s">
        <v>2231</v>
      </c>
      <c r="D779" t="s">
        <v>9</v>
      </c>
      <c r="E779" t="s">
        <v>2307</v>
      </c>
      <c r="F779" t="str">
        <f>"004119640472"</f>
        <v>004119640472</v>
      </c>
      <c r="G779" t="s">
        <v>4501</v>
      </c>
      <c r="H779" s="4">
        <v>79345.232999999993</v>
      </c>
    </row>
    <row r="780" spans="1:8" x14ac:dyDescent="0.3">
      <c r="A780" t="s">
        <v>6</v>
      </c>
      <c r="B780" t="s">
        <v>7</v>
      </c>
      <c r="C780" t="s">
        <v>616</v>
      </c>
      <c r="D780" t="s">
        <v>9</v>
      </c>
      <c r="E780" t="s">
        <v>619</v>
      </c>
      <c r="F780" t="str">
        <f>"001600017991"</f>
        <v>001600017991</v>
      </c>
      <c r="G780" t="s">
        <v>3591</v>
      </c>
      <c r="H780" s="4">
        <v>79248.701000000001</v>
      </c>
    </row>
    <row r="781" spans="1:8" x14ac:dyDescent="0.3">
      <c r="A781" t="s">
        <v>6</v>
      </c>
      <c r="B781" t="s">
        <v>7</v>
      </c>
      <c r="C781" t="s">
        <v>1805</v>
      </c>
      <c r="D781" t="s">
        <v>9</v>
      </c>
      <c r="E781" t="s">
        <v>1847</v>
      </c>
      <c r="F781" t="str">
        <f>"001800011273"</f>
        <v>001800011273</v>
      </c>
      <c r="G781" t="s">
        <v>3772</v>
      </c>
      <c r="H781" s="4">
        <v>78493.099000000002</v>
      </c>
    </row>
    <row r="782" spans="1:8" x14ac:dyDescent="0.3">
      <c r="A782" t="s">
        <v>6</v>
      </c>
      <c r="B782" t="s">
        <v>7</v>
      </c>
      <c r="C782" t="s">
        <v>1397</v>
      </c>
      <c r="D782" t="s">
        <v>9</v>
      </c>
      <c r="E782" t="s">
        <v>1400</v>
      </c>
      <c r="F782" t="str">
        <f>"001356230065"</f>
        <v>001356230065</v>
      </c>
      <c r="G782" t="s">
        <v>2953</v>
      </c>
      <c r="H782" s="4">
        <v>78335.592000000004</v>
      </c>
    </row>
    <row r="783" spans="1:8" x14ac:dyDescent="0.3">
      <c r="A783" t="s">
        <v>6</v>
      </c>
      <c r="B783" t="s">
        <v>7</v>
      </c>
      <c r="C783" t="s">
        <v>1940</v>
      </c>
      <c r="D783" t="s">
        <v>9</v>
      </c>
      <c r="E783" t="s">
        <v>1970</v>
      </c>
      <c r="F783" t="str">
        <f>"007527000194"</f>
        <v>007527000194</v>
      </c>
      <c r="G783" t="s">
        <v>3860</v>
      </c>
      <c r="H783" s="4">
        <v>78266.214000000007</v>
      </c>
    </row>
    <row r="784" spans="1:8" x14ac:dyDescent="0.3">
      <c r="A784" t="s">
        <v>6</v>
      </c>
      <c r="B784" t="s">
        <v>7</v>
      </c>
      <c r="C784" t="s">
        <v>8</v>
      </c>
      <c r="D784" t="s">
        <v>9</v>
      </c>
      <c r="E784" t="s">
        <v>203</v>
      </c>
      <c r="F784" t="str">
        <f>"001600018958"</f>
        <v>001600018958</v>
      </c>
      <c r="G784" t="s">
        <v>4161</v>
      </c>
      <c r="H784" s="4">
        <v>78078.23</v>
      </c>
    </row>
    <row r="785" spans="1:8" x14ac:dyDescent="0.3">
      <c r="A785" t="s">
        <v>6</v>
      </c>
      <c r="B785" t="s">
        <v>7</v>
      </c>
      <c r="C785" t="s">
        <v>1805</v>
      </c>
      <c r="D785" t="s">
        <v>9</v>
      </c>
      <c r="E785" t="s">
        <v>1860</v>
      </c>
      <c r="F785" t="str">
        <f>"001800000206"</f>
        <v>001800000206</v>
      </c>
      <c r="G785" t="s">
        <v>3778</v>
      </c>
      <c r="H785" s="4">
        <v>77940.876000000004</v>
      </c>
    </row>
    <row r="786" spans="1:8" x14ac:dyDescent="0.3">
      <c r="A786" t="s">
        <v>6</v>
      </c>
      <c r="B786" t="s">
        <v>7</v>
      </c>
      <c r="C786" t="s">
        <v>1397</v>
      </c>
      <c r="D786" t="s">
        <v>9</v>
      </c>
      <c r="E786" t="s">
        <v>1432</v>
      </c>
      <c r="F786" t="str">
        <f>"001600020872"</f>
        <v>001600020872</v>
      </c>
      <c r="G786" t="s">
        <v>2389</v>
      </c>
      <c r="H786" s="4">
        <v>77839.23</v>
      </c>
    </row>
    <row r="787" spans="1:8" x14ac:dyDescent="0.3">
      <c r="A787" t="s">
        <v>6</v>
      </c>
      <c r="B787" t="s">
        <v>7</v>
      </c>
      <c r="C787" t="s">
        <v>2113</v>
      </c>
      <c r="D787" t="s">
        <v>9</v>
      </c>
      <c r="E787" t="s">
        <v>2190</v>
      </c>
      <c r="F787" t="str">
        <f>"001600016619"</f>
        <v>001600016619</v>
      </c>
      <c r="G787" t="s">
        <v>4395</v>
      </c>
      <c r="H787" s="4">
        <v>77726.864000000001</v>
      </c>
    </row>
    <row r="788" spans="1:8" x14ac:dyDescent="0.3">
      <c r="A788" t="s">
        <v>6</v>
      </c>
      <c r="B788" t="s">
        <v>7</v>
      </c>
      <c r="C788" t="s">
        <v>1940</v>
      </c>
      <c r="D788" t="s">
        <v>9</v>
      </c>
      <c r="E788" t="s">
        <v>2004</v>
      </c>
      <c r="F788" t="str">
        <f>"007047049653"</f>
        <v>007047049653</v>
      </c>
      <c r="G788" t="s">
        <v>3898</v>
      </c>
      <c r="H788" s="4">
        <v>77619.762000000002</v>
      </c>
    </row>
    <row r="789" spans="1:8" x14ac:dyDescent="0.3">
      <c r="A789" t="s">
        <v>6</v>
      </c>
      <c r="B789" t="s">
        <v>7</v>
      </c>
      <c r="C789" t="s">
        <v>8</v>
      </c>
      <c r="D789" t="s">
        <v>9</v>
      </c>
      <c r="E789" t="s">
        <v>105</v>
      </c>
      <c r="F789" t="str">
        <f>"001600016071"</f>
        <v>001600016071</v>
      </c>
      <c r="G789" t="s">
        <v>4073</v>
      </c>
      <c r="H789" s="4">
        <v>77558.41</v>
      </c>
    </row>
    <row r="790" spans="1:8" x14ac:dyDescent="0.3">
      <c r="A790" t="s">
        <v>6</v>
      </c>
      <c r="B790" t="s">
        <v>7</v>
      </c>
      <c r="C790" t="s">
        <v>1552</v>
      </c>
      <c r="D790" t="s">
        <v>9</v>
      </c>
      <c r="E790" t="s">
        <v>1559</v>
      </c>
      <c r="F790" t="str">
        <f>"001356210923"</f>
        <v>001356210923</v>
      </c>
      <c r="G790" t="s">
        <v>3101</v>
      </c>
      <c r="H790" s="4">
        <v>77509.092999999993</v>
      </c>
    </row>
    <row r="791" spans="1:8" x14ac:dyDescent="0.3">
      <c r="A791" t="s">
        <v>6</v>
      </c>
      <c r="B791" t="s">
        <v>7</v>
      </c>
      <c r="C791" t="s">
        <v>1122</v>
      </c>
      <c r="D791" t="s">
        <v>9</v>
      </c>
      <c r="E791" t="s">
        <v>1187</v>
      </c>
      <c r="F791" t="str">
        <f>"001600018993"</f>
        <v>001600018993</v>
      </c>
      <c r="G791" t="s">
        <v>2775</v>
      </c>
      <c r="H791" s="4">
        <v>77255.264999999999</v>
      </c>
    </row>
    <row r="792" spans="1:8" x14ac:dyDescent="0.3">
      <c r="A792" t="s">
        <v>6</v>
      </c>
      <c r="B792" t="s">
        <v>7</v>
      </c>
      <c r="C792" t="s">
        <v>8</v>
      </c>
      <c r="D792" t="s">
        <v>9</v>
      </c>
      <c r="E792" t="s">
        <v>154</v>
      </c>
      <c r="F792" t="str">
        <f>"001600019706"</f>
        <v>001600019706</v>
      </c>
      <c r="G792" t="s">
        <v>4116</v>
      </c>
      <c r="H792" s="4">
        <v>77236.114000000001</v>
      </c>
    </row>
    <row r="793" spans="1:8" x14ac:dyDescent="0.3">
      <c r="A793" t="s">
        <v>6</v>
      </c>
      <c r="B793" t="s">
        <v>7</v>
      </c>
      <c r="C793" t="s">
        <v>1940</v>
      </c>
      <c r="D793" t="s">
        <v>9</v>
      </c>
      <c r="E793" t="s">
        <v>1941</v>
      </c>
      <c r="F793" t="str">
        <f>"007047016594"</f>
        <v>007047016594</v>
      </c>
      <c r="G793" t="s">
        <v>2389</v>
      </c>
      <c r="H793" s="4">
        <v>77193.607999999993</v>
      </c>
    </row>
    <row r="794" spans="1:8" x14ac:dyDescent="0.3">
      <c r="A794" t="s">
        <v>6</v>
      </c>
      <c r="B794" t="s">
        <v>7</v>
      </c>
      <c r="C794" t="s">
        <v>1122</v>
      </c>
      <c r="D794" t="s">
        <v>9</v>
      </c>
      <c r="E794" t="s">
        <v>1224</v>
      </c>
      <c r="F794" t="str">
        <f>"001600019404"</f>
        <v>001600019404</v>
      </c>
      <c r="G794" t="s">
        <v>2799</v>
      </c>
      <c r="H794" s="4">
        <v>76563.34</v>
      </c>
    </row>
    <row r="795" spans="1:8" x14ac:dyDescent="0.3">
      <c r="A795" t="s">
        <v>6</v>
      </c>
      <c r="B795" t="s">
        <v>7</v>
      </c>
      <c r="C795" t="s">
        <v>2113</v>
      </c>
      <c r="D795" t="s">
        <v>9</v>
      </c>
      <c r="E795" t="s">
        <v>2220</v>
      </c>
      <c r="F795" t="str">
        <f>"001600019348"</f>
        <v>001600019348</v>
      </c>
      <c r="G795" t="s">
        <v>4420</v>
      </c>
      <c r="H795" s="4">
        <v>76529.195000000007</v>
      </c>
    </row>
    <row r="796" spans="1:8" x14ac:dyDescent="0.3">
      <c r="A796" t="s">
        <v>6</v>
      </c>
      <c r="B796" t="s">
        <v>7</v>
      </c>
      <c r="C796" t="s">
        <v>8</v>
      </c>
      <c r="D796" t="s">
        <v>9</v>
      </c>
      <c r="E796" t="s">
        <v>306</v>
      </c>
      <c r="F796" t="str">
        <f>"001600017895"</f>
        <v>001600017895</v>
      </c>
      <c r="G796" t="s">
        <v>4256</v>
      </c>
      <c r="H796" s="4">
        <v>76398.7</v>
      </c>
    </row>
    <row r="797" spans="1:8" x14ac:dyDescent="0.3">
      <c r="A797" t="s">
        <v>6</v>
      </c>
      <c r="B797" t="s">
        <v>7</v>
      </c>
      <c r="C797" t="s">
        <v>1940</v>
      </c>
      <c r="D797" t="s">
        <v>9</v>
      </c>
      <c r="E797" t="s">
        <v>1944</v>
      </c>
      <c r="F797" t="str">
        <f>"007047016497"</f>
        <v>007047016497</v>
      </c>
      <c r="G797" t="s">
        <v>3824</v>
      </c>
      <c r="H797" s="4">
        <v>76108.777000000002</v>
      </c>
    </row>
    <row r="798" spans="1:8" x14ac:dyDescent="0.3">
      <c r="A798" t="s">
        <v>6</v>
      </c>
      <c r="B798" t="s">
        <v>7</v>
      </c>
      <c r="C798" t="s">
        <v>381</v>
      </c>
      <c r="D798" t="s">
        <v>9</v>
      </c>
      <c r="E798" t="s">
        <v>421</v>
      </c>
      <c r="F798" t="str">
        <f>"001600018465"</f>
        <v>001600018465</v>
      </c>
      <c r="G798" t="s">
        <v>3147</v>
      </c>
      <c r="H798" s="4">
        <v>76071.210000000006</v>
      </c>
    </row>
    <row r="799" spans="1:8" x14ac:dyDescent="0.3">
      <c r="A799" t="s">
        <v>6</v>
      </c>
      <c r="B799" t="s">
        <v>7</v>
      </c>
      <c r="C799" t="s">
        <v>2231</v>
      </c>
      <c r="D799" t="s">
        <v>9</v>
      </c>
      <c r="E799" t="s">
        <v>2278</v>
      </c>
      <c r="F799" t="str">
        <f>"004119611663"</f>
        <v>004119611663</v>
      </c>
      <c r="G799" t="s">
        <v>4475</v>
      </c>
      <c r="H799" s="4">
        <v>75932.327999999994</v>
      </c>
    </row>
    <row r="800" spans="1:8" x14ac:dyDescent="0.3">
      <c r="A800" t="s">
        <v>6</v>
      </c>
      <c r="B800" t="s">
        <v>7</v>
      </c>
      <c r="C800" t="s">
        <v>797</v>
      </c>
      <c r="D800" t="s">
        <v>9</v>
      </c>
      <c r="E800" t="s">
        <v>925</v>
      </c>
      <c r="F800" t="str">
        <f>"001600030230"</f>
        <v>001600030230</v>
      </c>
      <c r="G800" t="s">
        <v>2516</v>
      </c>
      <c r="H800" s="4">
        <v>75927.902000000002</v>
      </c>
    </row>
    <row r="801" spans="1:8" x14ac:dyDescent="0.3">
      <c r="A801" t="s">
        <v>6</v>
      </c>
      <c r="B801" t="s">
        <v>7</v>
      </c>
      <c r="C801" t="s">
        <v>8</v>
      </c>
      <c r="D801" t="s">
        <v>9</v>
      </c>
      <c r="E801" t="s">
        <v>73</v>
      </c>
      <c r="F801" t="str">
        <f>"002190812946"</f>
        <v>002190812946</v>
      </c>
      <c r="G801" t="s">
        <v>2389</v>
      </c>
      <c r="H801" s="4">
        <v>75861.75</v>
      </c>
    </row>
    <row r="802" spans="1:8" x14ac:dyDescent="0.3">
      <c r="A802" t="s">
        <v>6</v>
      </c>
      <c r="B802" t="s">
        <v>7</v>
      </c>
      <c r="C802" t="s">
        <v>8</v>
      </c>
      <c r="D802" t="s">
        <v>9</v>
      </c>
      <c r="E802" t="s">
        <v>110</v>
      </c>
      <c r="F802" t="str">
        <f>"001600020079"</f>
        <v>001600020079</v>
      </c>
      <c r="G802" t="s">
        <v>4079</v>
      </c>
      <c r="H802" s="4">
        <v>75641.19</v>
      </c>
    </row>
    <row r="803" spans="1:8" x14ac:dyDescent="0.3">
      <c r="A803" t="s">
        <v>6</v>
      </c>
      <c r="B803" t="s">
        <v>7</v>
      </c>
      <c r="C803" t="s">
        <v>1805</v>
      </c>
      <c r="D803" t="s">
        <v>9</v>
      </c>
      <c r="E803" t="s">
        <v>1814</v>
      </c>
      <c r="F803" t="str">
        <f>"066559611963"</f>
        <v>066559611963</v>
      </c>
      <c r="G803" t="s">
        <v>3747</v>
      </c>
      <c r="H803" s="4">
        <v>75486.179999999993</v>
      </c>
    </row>
    <row r="804" spans="1:8" x14ac:dyDescent="0.3">
      <c r="A804" t="s">
        <v>6</v>
      </c>
      <c r="B804" t="s">
        <v>7</v>
      </c>
      <c r="C804" t="s">
        <v>1552</v>
      </c>
      <c r="D804" t="s">
        <v>9</v>
      </c>
      <c r="E804" t="s">
        <v>1562</v>
      </c>
      <c r="F804" t="str">
        <f>"001356200015"</f>
        <v>001356200015</v>
      </c>
      <c r="G804" t="s">
        <v>3104</v>
      </c>
      <c r="H804" s="4">
        <v>75351.774999999994</v>
      </c>
    </row>
    <row r="805" spans="1:8" x14ac:dyDescent="0.3">
      <c r="A805" t="s">
        <v>6</v>
      </c>
      <c r="B805" t="s">
        <v>7</v>
      </c>
      <c r="C805" t="s">
        <v>1072</v>
      </c>
      <c r="D805" t="s">
        <v>9</v>
      </c>
      <c r="E805" t="s">
        <v>1089</v>
      </c>
      <c r="F805" t="str">
        <f>"001600028882"</f>
        <v>001600028882</v>
      </c>
      <c r="G805" t="s">
        <v>2694</v>
      </c>
      <c r="H805" s="4">
        <v>75284.296000000002</v>
      </c>
    </row>
    <row r="806" spans="1:8" x14ac:dyDescent="0.3">
      <c r="A806" t="s">
        <v>6</v>
      </c>
      <c r="B806" t="s">
        <v>7</v>
      </c>
      <c r="C806" t="s">
        <v>1577</v>
      </c>
      <c r="D806" t="s">
        <v>9</v>
      </c>
      <c r="E806" t="s">
        <v>1651</v>
      </c>
      <c r="F806" t="str">
        <f>"004600045818"</f>
        <v>004600045818</v>
      </c>
      <c r="G806" t="s">
        <v>3420</v>
      </c>
      <c r="H806" s="4">
        <v>75069.707999999999</v>
      </c>
    </row>
    <row r="807" spans="1:8" x14ac:dyDescent="0.3">
      <c r="A807" t="s">
        <v>6</v>
      </c>
      <c r="B807" t="s">
        <v>7</v>
      </c>
      <c r="C807" t="s">
        <v>381</v>
      </c>
      <c r="D807" t="s">
        <v>9</v>
      </c>
      <c r="E807" t="s">
        <v>614</v>
      </c>
      <c r="F807" t="str">
        <f>"001600014149"</f>
        <v>001600014149</v>
      </c>
      <c r="G807" t="s">
        <v>3342</v>
      </c>
      <c r="H807" s="4">
        <v>74956.838000000003</v>
      </c>
    </row>
    <row r="808" spans="1:8" x14ac:dyDescent="0.3">
      <c r="A808" t="s">
        <v>6</v>
      </c>
      <c r="B808" t="s">
        <v>7</v>
      </c>
      <c r="C808" t="s">
        <v>1122</v>
      </c>
      <c r="D808" t="s">
        <v>9</v>
      </c>
      <c r="E808" t="s">
        <v>1246</v>
      </c>
      <c r="F808" t="str">
        <f>"001600020088"</f>
        <v>001600020088</v>
      </c>
      <c r="G808" t="s">
        <v>2820</v>
      </c>
      <c r="H808" s="4">
        <v>74670.982999999993</v>
      </c>
    </row>
    <row r="809" spans="1:8" x14ac:dyDescent="0.3">
      <c r="A809" t="s">
        <v>6</v>
      </c>
      <c r="B809" t="s">
        <v>7</v>
      </c>
      <c r="C809" t="s">
        <v>381</v>
      </c>
      <c r="D809" t="s">
        <v>9</v>
      </c>
      <c r="E809" t="s">
        <v>452</v>
      </c>
      <c r="F809" t="str">
        <f>"001600044511"</f>
        <v>001600044511</v>
      </c>
      <c r="G809" t="s">
        <v>3177</v>
      </c>
      <c r="H809" s="4">
        <v>74659.963000000003</v>
      </c>
    </row>
    <row r="810" spans="1:8" x14ac:dyDescent="0.3">
      <c r="A810" t="s">
        <v>6</v>
      </c>
      <c r="B810" t="s">
        <v>7</v>
      </c>
      <c r="C810" t="s">
        <v>381</v>
      </c>
      <c r="D810" t="s">
        <v>9</v>
      </c>
      <c r="E810" t="s">
        <v>557</v>
      </c>
      <c r="F810" t="str">
        <f>"001600048542"</f>
        <v>001600048542</v>
      </c>
      <c r="G810" t="s">
        <v>3280</v>
      </c>
      <c r="H810" s="4">
        <v>74476.44</v>
      </c>
    </row>
    <row r="811" spans="1:8" x14ac:dyDescent="0.3">
      <c r="A811" t="s">
        <v>6</v>
      </c>
      <c r="B811" t="s">
        <v>7</v>
      </c>
      <c r="C811" t="s">
        <v>1805</v>
      </c>
      <c r="D811" t="s">
        <v>9</v>
      </c>
      <c r="E811" t="s">
        <v>1830</v>
      </c>
      <c r="F811" t="str">
        <f>"001800013038"</f>
        <v>001800013038</v>
      </c>
      <c r="G811" t="s">
        <v>3762</v>
      </c>
      <c r="H811" s="4">
        <v>74271.17</v>
      </c>
    </row>
    <row r="812" spans="1:8" x14ac:dyDescent="0.3">
      <c r="A812" t="s">
        <v>6</v>
      </c>
      <c r="B812" t="s">
        <v>7</v>
      </c>
      <c r="C812" t="s">
        <v>381</v>
      </c>
      <c r="D812" t="s">
        <v>9</v>
      </c>
      <c r="E812" t="s">
        <v>466</v>
      </c>
      <c r="F812" t="str">
        <f>"001600017424"</f>
        <v>001600017424</v>
      </c>
      <c r="G812" t="s">
        <v>2389</v>
      </c>
      <c r="H812" s="4">
        <v>74228.964000000007</v>
      </c>
    </row>
    <row r="813" spans="1:8" x14ac:dyDescent="0.3">
      <c r="A813" t="s">
        <v>6</v>
      </c>
      <c r="B813" t="s">
        <v>7</v>
      </c>
      <c r="C813" t="s">
        <v>985</v>
      </c>
      <c r="D813" t="s">
        <v>9</v>
      </c>
      <c r="E813" t="s">
        <v>1002</v>
      </c>
      <c r="F813" t="str">
        <f>"001356212891"</f>
        <v>001356212891</v>
      </c>
      <c r="G813" t="s">
        <v>2600</v>
      </c>
      <c r="H813" s="4">
        <v>74199.108999999997</v>
      </c>
    </row>
    <row r="814" spans="1:8" x14ac:dyDescent="0.3">
      <c r="A814" t="s">
        <v>6</v>
      </c>
      <c r="B814" t="s">
        <v>7</v>
      </c>
      <c r="C814" t="s">
        <v>1940</v>
      </c>
      <c r="D814" t="s">
        <v>9</v>
      </c>
      <c r="E814" t="s">
        <v>1943</v>
      </c>
      <c r="F814" t="str">
        <f>"007047019113"</f>
        <v>007047019113</v>
      </c>
      <c r="G814" t="s">
        <v>3823</v>
      </c>
      <c r="H814" s="4">
        <v>73900.599000000002</v>
      </c>
    </row>
    <row r="815" spans="1:8" x14ac:dyDescent="0.3">
      <c r="A815" t="s">
        <v>6</v>
      </c>
      <c r="B815" t="s">
        <v>7</v>
      </c>
      <c r="C815" t="s">
        <v>616</v>
      </c>
      <c r="D815" t="s">
        <v>9</v>
      </c>
      <c r="E815" t="s">
        <v>758</v>
      </c>
      <c r="F815" t="str">
        <f>"002190810604"</f>
        <v>002190810604</v>
      </c>
      <c r="G815" t="s">
        <v>3727</v>
      </c>
      <c r="H815" s="4">
        <v>73351.601999999999</v>
      </c>
    </row>
    <row r="816" spans="1:8" x14ac:dyDescent="0.3">
      <c r="A816" t="s">
        <v>6</v>
      </c>
      <c r="B816" t="s">
        <v>7</v>
      </c>
      <c r="C816" t="s">
        <v>1577</v>
      </c>
      <c r="D816" t="s">
        <v>9</v>
      </c>
      <c r="E816" t="s">
        <v>1624</v>
      </c>
      <c r="F816" t="str">
        <f>"004600011771"</f>
        <v>004600011771</v>
      </c>
      <c r="G816" t="s">
        <v>3388</v>
      </c>
      <c r="H816" s="4">
        <v>73314.11</v>
      </c>
    </row>
    <row r="817" spans="1:8" x14ac:dyDescent="0.3">
      <c r="A817" t="s">
        <v>6</v>
      </c>
      <c r="B817" t="s">
        <v>7</v>
      </c>
      <c r="C817" t="s">
        <v>797</v>
      </c>
      <c r="D817" t="s">
        <v>9</v>
      </c>
      <c r="E817" t="s">
        <v>894</v>
      </c>
      <c r="F817" t="str">
        <f>"001600020757"</f>
        <v>001600020757</v>
      </c>
      <c r="G817" t="s">
        <v>2486</v>
      </c>
      <c r="H817" s="4">
        <v>73281.195999999996</v>
      </c>
    </row>
    <row r="818" spans="1:8" x14ac:dyDescent="0.3">
      <c r="A818" t="s">
        <v>6</v>
      </c>
      <c r="B818" t="s">
        <v>7</v>
      </c>
      <c r="C818" t="s">
        <v>1940</v>
      </c>
      <c r="D818" t="s">
        <v>9</v>
      </c>
      <c r="E818" t="s">
        <v>2072</v>
      </c>
      <c r="F818" t="str">
        <f>"007047000306"</f>
        <v>007047000306</v>
      </c>
      <c r="G818" t="s">
        <v>3958</v>
      </c>
      <c r="H818" s="4">
        <v>73170.858999999997</v>
      </c>
    </row>
    <row r="819" spans="1:8" x14ac:dyDescent="0.3">
      <c r="A819" t="s">
        <v>6</v>
      </c>
      <c r="B819" t="s">
        <v>7</v>
      </c>
      <c r="C819" t="s">
        <v>797</v>
      </c>
      <c r="D819" t="s">
        <v>9</v>
      </c>
      <c r="E819" t="s">
        <v>886</v>
      </c>
      <c r="F819" t="str">
        <f>"001600081335"</f>
        <v>001600081335</v>
      </c>
      <c r="G819" t="s">
        <v>2479</v>
      </c>
      <c r="H819" s="4">
        <v>73076.275999999998</v>
      </c>
    </row>
    <row r="820" spans="1:8" x14ac:dyDescent="0.3">
      <c r="A820" t="s">
        <v>6</v>
      </c>
      <c r="B820" t="s">
        <v>7</v>
      </c>
      <c r="C820" t="s">
        <v>1773</v>
      </c>
      <c r="D820" t="s">
        <v>9</v>
      </c>
      <c r="E820" t="s">
        <v>1783</v>
      </c>
      <c r="F820" t="str">
        <f>"001356200053"</f>
        <v>001356200053</v>
      </c>
      <c r="G820" t="s">
        <v>3544</v>
      </c>
      <c r="H820" s="4">
        <v>72933.835000000006</v>
      </c>
    </row>
    <row r="821" spans="1:8" x14ac:dyDescent="0.3">
      <c r="A821" t="s">
        <v>6</v>
      </c>
      <c r="B821" t="s">
        <v>7</v>
      </c>
      <c r="C821" t="s">
        <v>1122</v>
      </c>
      <c r="D821" t="s">
        <v>9</v>
      </c>
      <c r="E821" t="s">
        <v>1129</v>
      </c>
      <c r="F821" t="str">
        <f>"001356212754"</f>
        <v>001356212754</v>
      </c>
      <c r="G821" t="s">
        <v>2724</v>
      </c>
      <c r="H821" s="4">
        <v>72318.638000000006</v>
      </c>
    </row>
    <row r="822" spans="1:8" x14ac:dyDescent="0.3">
      <c r="A822" t="s">
        <v>6</v>
      </c>
      <c r="B822" t="s">
        <v>7</v>
      </c>
      <c r="C822" t="s">
        <v>381</v>
      </c>
      <c r="D822" t="s">
        <v>9</v>
      </c>
      <c r="E822" t="s">
        <v>460</v>
      </c>
      <c r="F822" t="str">
        <f>"001600020093"</f>
        <v>001600020093</v>
      </c>
      <c r="G822" t="s">
        <v>3185</v>
      </c>
      <c r="H822" s="4">
        <v>72195.835000000006</v>
      </c>
    </row>
    <row r="823" spans="1:8" x14ac:dyDescent="0.3">
      <c r="A823" t="s">
        <v>6</v>
      </c>
      <c r="B823" t="s">
        <v>7</v>
      </c>
      <c r="C823" t="s">
        <v>1577</v>
      </c>
      <c r="D823" t="s">
        <v>9</v>
      </c>
      <c r="E823" t="s">
        <v>1666</v>
      </c>
      <c r="F823" t="str">
        <f>"004600013518"</f>
        <v>004600013518</v>
      </c>
      <c r="G823" t="s">
        <v>2389</v>
      </c>
      <c r="H823" s="4">
        <v>71833.736000000004</v>
      </c>
    </row>
    <row r="824" spans="1:8" x14ac:dyDescent="0.3">
      <c r="A824" t="s">
        <v>6</v>
      </c>
      <c r="B824" t="s">
        <v>7</v>
      </c>
      <c r="C824" t="s">
        <v>1940</v>
      </c>
      <c r="D824" t="s">
        <v>9</v>
      </c>
      <c r="E824" t="s">
        <v>2112</v>
      </c>
      <c r="F824" t="str">
        <f>"007047044109"</f>
        <v>007047044109</v>
      </c>
      <c r="G824" t="s">
        <v>2389</v>
      </c>
      <c r="H824" s="4">
        <v>71776.02</v>
      </c>
    </row>
    <row r="825" spans="1:8" x14ac:dyDescent="0.3">
      <c r="A825" t="s">
        <v>6</v>
      </c>
      <c r="B825" t="s">
        <v>7</v>
      </c>
      <c r="C825" t="s">
        <v>2231</v>
      </c>
      <c r="D825" t="s">
        <v>9</v>
      </c>
      <c r="E825" t="s">
        <v>2268</v>
      </c>
      <c r="F825" t="str">
        <f>"004119610193"</f>
        <v>004119610193</v>
      </c>
      <c r="G825" t="s">
        <v>4467</v>
      </c>
      <c r="H825" s="4">
        <v>71482.64</v>
      </c>
    </row>
    <row r="826" spans="1:8" x14ac:dyDescent="0.3">
      <c r="A826" t="s">
        <v>6</v>
      </c>
      <c r="B826" t="s">
        <v>7</v>
      </c>
      <c r="C826" t="s">
        <v>381</v>
      </c>
      <c r="D826" t="s">
        <v>9</v>
      </c>
      <c r="E826" t="s">
        <v>549</v>
      </c>
      <c r="F826" t="str">
        <f>"001600014599"</f>
        <v>001600014599</v>
      </c>
      <c r="G826" t="s">
        <v>3272</v>
      </c>
      <c r="H826" s="4">
        <v>71395.91</v>
      </c>
    </row>
    <row r="827" spans="1:8" x14ac:dyDescent="0.3">
      <c r="A827" t="s">
        <v>6</v>
      </c>
      <c r="B827" t="s">
        <v>7</v>
      </c>
      <c r="C827" t="s">
        <v>2231</v>
      </c>
      <c r="D827" t="s">
        <v>9</v>
      </c>
      <c r="E827" t="s">
        <v>2309</v>
      </c>
      <c r="F827" t="str">
        <f>"004119645893"</f>
        <v>004119645893</v>
      </c>
      <c r="G827" t="s">
        <v>4503</v>
      </c>
      <c r="H827" s="4">
        <v>71333.513999999996</v>
      </c>
    </row>
    <row r="828" spans="1:8" x14ac:dyDescent="0.3">
      <c r="A828" t="s">
        <v>6</v>
      </c>
      <c r="B828" t="s">
        <v>7</v>
      </c>
      <c r="C828" t="s">
        <v>985</v>
      </c>
      <c r="D828" t="s">
        <v>9</v>
      </c>
      <c r="E828" t="s">
        <v>1005</v>
      </c>
      <c r="F828" t="str">
        <f>"001356230016"</f>
        <v>001356230016</v>
      </c>
      <c r="G828" t="s">
        <v>2604</v>
      </c>
      <c r="H828" s="4">
        <v>71302.233999999997</v>
      </c>
    </row>
    <row r="829" spans="1:8" x14ac:dyDescent="0.3">
      <c r="A829" t="s">
        <v>6</v>
      </c>
      <c r="B829" t="s">
        <v>7</v>
      </c>
      <c r="C829" t="s">
        <v>8</v>
      </c>
      <c r="D829" t="s">
        <v>9</v>
      </c>
      <c r="E829" t="s">
        <v>310</v>
      </c>
      <c r="F829" t="str">
        <f>"001600019975"</f>
        <v>001600019975</v>
      </c>
      <c r="G829" t="s">
        <v>4258</v>
      </c>
      <c r="H829" s="4">
        <v>71260.08</v>
      </c>
    </row>
    <row r="830" spans="1:8" x14ac:dyDescent="0.3">
      <c r="A830" t="s">
        <v>6</v>
      </c>
      <c r="B830" t="s">
        <v>7</v>
      </c>
      <c r="C830" t="s">
        <v>1122</v>
      </c>
      <c r="D830" t="s">
        <v>9</v>
      </c>
      <c r="E830" t="s">
        <v>1191</v>
      </c>
      <c r="F830" t="str">
        <f>"001600018576"</f>
        <v>001600018576</v>
      </c>
      <c r="G830" t="s">
        <v>2778</v>
      </c>
      <c r="H830" s="4">
        <v>71240.070000000007</v>
      </c>
    </row>
    <row r="831" spans="1:8" x14ac:dyDescent="0.3">
      <c r="A831" t="s">
        <v>6</v>
      </c>
      <c r="B831" t="s">
        <v>7</v>
      </c>
      <c r="C831" t="s">
        <v>1122</v>
      </c>
      <c r="D831" t="s">
        <v>9</v>
      </c>
      <c r="E831" t="s">
        <v>1178</v>
      </c>
      <c r="F831" t="str">
        <f>"001600018573"</f>
        <v>001600018573</v>
      </c>
      <c r="G831" t="s">
        <v>2766</v>
      </c>
      <c r="H831" s="4">
        <v>71177.06</v>
      </c>
    </row>
    <row r="832" spans="1:8" x14ac:dyDescent="0.3">
      <c r="A832" t="s">
        <v>6</v>
      </c>
      <c r="B832" t="s">
        <v>7</v>
      </c>
      <c r="C832" t="s">
        <v>1940</v>
      </c>
      <c r="D832" t="s">
        <v>9</v>
      </c>
      <c r="E832" t="s">
        <v>2049</v>
      </c>
      <c r="F832" t="str">
        <f>"007047000127"</f>
        <v>007047000127</v>
      </c>
      <c r="G832" t="s">
        <v>3936</v>
      </c>
      <c r="H832" s="4">
        <v>71015.388999999996</v>
      </c>
    </row>
    <row r="833" spans="1:8" x14ac:dyDescent="0.3">
      <c r="A833" t="s">
        <v>6</v>
      </c>
      <c r="B833" t="s">
        <v>7</v>
      </c>
      <c r="C833" t="s">
        <v>1577</v>
      </c>
      <c r="D833" t="s">
        <v>9</v>
      </c>
      <c r="E833" t="s">
        <v>1599</v>
      </c>
      <c r="F833" t="str">
        <f>"004600086051"</f>
        <v>004600086051</v>
      </c>
      <c r="G833" t="s">
        <v>3363</v>
      </c>
      <c r="H833" s="4">
        <v>70588.979000000007</v>
      </c>
    </row>
    <row r="834" spans="1:8" x14ac:dyDescent="0.3">
      <c r="A834" t="s">
        <v>6</v>
      </c>
      <c r="B834" t="s">
        <v>7</v>
      </c>
      <c r="C834" t="s">
        <v>8</v>
      </c>
      <c r="D834" t="s">
        <v>9</v>
      </c>
      <c r="E834" t="s">
        <v>200</v>
      </c>
      <c r="F834" t="str">
        <f>"001600015164"</f>
        <v>001600015164</v>
      </c>
      <c r="G834" t="s">
        <v>4159</v>
      </c>
      <c r="H834" s="4">
        <v>70351.597999999998</v>
      </c>
    </row>
    <row r="835" spans="1:8" x14ac:dyDescent="0.3">
      <c r="A835" t="s">
        <v>6</v>
      </c>
      <c r="B835" t="s">
        <v>7</v>
      </c>
      <c r="C835" t="s">
        <v>1805</v>
      </c>
      <c r="D835" t="s">
        <v>9</v>
      </c>
      <c r="E835" t="s">
        <v>1817</v>
      </c>
      <c r="F835" t="str">
        <f>"066559601002"</f>
        <v>066559601002</v>
      </c>
      <c r="G835" t="s">
        <v>3750</v>
      </c>
      <c r="H835" s="4">
        <v>69678.804000000004</v>
      </c>
    </row>
    <row r="836" spans="1:8" x14ac:dyDescent="0.3">
      <c r="A836" t="s">
        <v>6</v>
      </c>
      <c r="B836" t="s">
        <v>7</v>
      </c>
      <c r="C836" t="s">
        <v>1805</v>
      </c>
      <c r="D836" t="s">
        <v>9</v>
      </c>
      <c r="E836" t="s">
        <v>1865</v>
      </c>
      <c r="F836" t="str">
        <f>"001800000124"</f>
        <v>001800000124</v>
      </c>
      <c r="G836" t="s">
        <v>2389</v>
      </c>
      <c r="H836" s="4">
        <v>69485.346000000005</v>
      </c>
    </row>
    <row r="837" spans="1:8" x14ac:dyDescent="0.3">
      <c r="A837" t="s">
        <v>6</v>
      </c>
      <c r="B837" t="s">
        <v>7</v>
      </c>
      <c r="C837" t="s">
        <v>1577</v>
      </c>
      <c r="D837" t="s">
        <v>9</v>
      </c>
      <c r="E837" t="s">
        <v>1591</v>
      </c>
      <c r="F837" t="str">
        <f>"004600012397"</f>
        <v>004600012397</v>
      </c>
      <c r="G837" t="s">
        <v>3355</v>
      </c>
      <c r="H837" s="4">
        <v>68672.017999999996</v>
      </c>
    </row>
    <row r="838" spans="1:8" x14ac:dyDescent="0.3">
      <c r="A838" t="s">
        <v>6</v>
      </c>
      <c r="B838" t="s">
        <v>7</v>
      </c>
      <c r="C838" t="s">
        <v>8</v>
      </c>
      <c r="D838" t="s">
        <v>9</v>
      </c>
      <c r="E838" t="s">
        <v>79</v>
      </c>
      <c r="F838" t="str">
        <f>"001600018015"</f>
        <v>001600018015</v>
      </c>
      <c r="G838" t="s">
        <v>2389</v>
      </c>
      <c r="H838" s="4">
        <v>68435.73</v>
      </c>
    </row>
    <row r="839" spans="1:8" x14ac:dyDescent="0.3">
      <c r="A839" t="s">
        <v>6</v>
      </c>
      <c r="B839" t="s">
        <v>7</v>
      </c>
      <c r="C839" t="s">
        <v>1338</v>
      </c>
      <c r="D839" t="s">
        <v>9</v>
      </c>
      <c r="E839" t="s">
        <v>1385</v>
      </c>
      <c r="F839" t="str">
        <f>"004280010301"</f>
        <v>004280010301</v>
      </c>
      <c r="G839" t="s">
        <v>2941</v>
      </c>
      <c r="H839" s="4">
        <v>68204.039999999994</v>
      </c>
    </row>
    <row r="840" spans="1:8" x14ac:dyDescent="0.3">
      <c r="A840" t="s">
        <v>6</v>
      </c>
      <c r="B840" t="s">
        <v>7</v>
      </c>
      <c r="C840" t="s">
        <v>381</v>
      </c>
      <c r="D840" t="s">
        <v>9</v>
      </c>
      <c r="E840" t="s">
        <v>470</v>
      </c>
      <c r="F840" t="str">
        <f>"001600020094"</f>
        <v>001600020094</v>
      </c>
      <c r="G840" t="s">
        <v>3193</v>
      </c>
      <c r="H840" s="4">
        <v>68054.634000000005</v>
      </c>
    </row>
    <row r="841" spans="1:8" x14ac:dyDescent="0.3">
      <c r="A841" t="s">
        <v>6</v>
      </c>
      <c r="B841" t="s">
        <v>7</v>
      </c>
      <c r="C841" t="s">
        <v>985</v>
      </c>
      <c r="D841" t="s">
        <v>9</v>
      </c>
      <c r="E841" t="s">
        <v>1004</v>
      </c>
      <c r="F841" t="str">
        <f>"001356213371"</f>
        <v>001356213371</v>
      </c>
      <c r="G841" t="s">
        <v>2603</v>
      </c>
      <c r="H841" s="4">
        <v>67909.414999999994</v>
      </c>
    </row>
    <row r="842" spans="1:8" x14ac:dyDescent="0.3">
      <c r="A842" t="s">
        <v>6</v>
      </c>
      <c r="B842" t="s">
        <v>7</v>
      </c>
      <c r="C842" t="s">
        <v>381</v>
      </c>
      <c r="D842" t="s">
        <v>9</v>
      </c>
      <c r="E842" t="s">
        <v>456</v>
      </c>
      <c r="F842" t="str">
        <f>"001600015697"</f>
        <v>001600015697</v>
      </c>
      <c r="G842" t="s">
        <v>3182</v>
      </c>
      <c r="H842" s="4">
        <v>67632.631999999998</v>
      </c>
    </row>
    <row r="843" spans="1:8" x14ac:dyDescent="0.3">
      <c r="A843" t="s">
        <v>6</v>
      </c>
      <c r="B843" t="s">
        <v>7</v>
      </c>
      <c r="C843" t="s">
        <v>616</v>
      </c>
      <c r="D843" t="s">
        <v>9</v>
      </c>
      <c r="E843" t="s">
        <v>739</v>
      </c>
      <c r="F843" t="str">
        <f>"002190812284"</f>
        <v>002190812284</v>
      </c>
      <c r="G843" t="s">
        <v>3709</v>
      </c>
      <c r="H843" s="4">
        <v>67565.289999999994</v>
      </c>
    </row>
    <row r="844" spans="1:8" x14ac:dyDescent="0.3">
      <c r="A844" t="s">
        <v>6</v>
      </c>
      <c r="B844" t="s">
        <v>7</v>
      </c>
      <c r="C844" t="s">
        <v>8</v>
      </c>
      <c r="D844" t="s">
        <v>9</v>
      </c>
      <c r="E844" t="s">
        <v>20</v>
      </c>
      <c r="F844" t="str">
        <f>"001600020059"</f>
        <v>001600020059</v>
      </c>
      <c r="G844" t="s">
        <v>4007</v>
      </c>
      <c r="H844" s="4">
        <v>67216.94</v>
      </c>
    </row>
    <row r="845" spans="1:8" x14ac:dyDescent="0.3">
      <c r="A845" t="s">
        <v>6</v>
      </c>
      <c r="B845" t="s">
        <v>7</v>
      </c>
      <c r="C845" t="s">
        <v>8</v>
      </c>
      <c r="D845" t="s">
        <v>9</v>
      </c>
      <c r="E845" t="s">
        <v>70</v>
      </c>
      <c r="F845" t="str">
        <f>"002190813043"</f>
        <v>002190813043</v>
      </c>
      <c r="G845" t="s">
        <v>4047</v>
      </c>
      <c r="H845" s="4">
        <v>67164.630999999994</v>
      </c>
    </row>
    <row r="846" spans="1:8" x14ac:dyDescent="0.3">
      <c r="A846" t="s">
        <v>6</v>
      </c>
      <c r="B846" t="s">
        <v>7</v>
      </c>
      <c r="C846" t="s">
        <v>985</v>
      </c>
      <c r="D846" t="s">
        <v>9</v>
      </c>
      <c r="E846" t="s">
        <v>1032</v>
      </c>
      <c r="F846" t="str">
        <f>"001356230060"</f>
        <v>001356230060</v>
      </c>
      <c r="G846" t="s">
        <v>2631</v>
      </c>
      <c r="H846" s="4">
        <v>67141.782000000007</v>
      </c>
    </row>
    <row r="847" spans="1:8" x14ac:dyDescent="0.3">
      <c r="A847" t="s">
        <v>6</v>
      </c>
      <c r="B847" t="s">
        <v>7</v>
      </c>
      <c r="C847" t="s">
        <v>1397</v>
      </c>
      <c r="D847" t="s">
        <v>9</v>
      </c>
      <c r="E847" t="s">
        <v>1399</v>
      </c>
      <c r="F847" t="str">
        <f>"001356230066"</f>
        <v>001356230066</v>
      </c>
      <c r="G847" t="s">
        <v>2952</v>
      </c>
      <c r="H847" s="4">
        <v>66974.794999999998</v>
      </c>
    </row>
    <row r="848" spans="1:8" x14ac:dyDescent="0.3">
      <c r="A848" t="s">
        <v>6</v>
      </c>
      <c r="B848" t="s">
        <v>7</v>
      </c>
      <c r="C848" t="s">
        <v>1577</v>
      </c>
      <c r="D848" t="s">
        <v>9</v>
      </c>
      <c r="E848" t="s">
        <v>1661</v>
      </c>
      <c r="F848" t="str">
        <f>"004600011116"</f>
        <v>004600011116</v>
      </c>
      <c r="G848" t="s">
        <v>3429</v>
      </c>
      <c r="H848" s="4">
        <v>66714.595000000001</v>
      </c>
    </row>
    <row r="849" spans="1:8" x14ac:dyDescent="0.3">
      <c r="A849" t="s">
        <v>6</v>
      </c>
      <c r="B849" t="s">
        <v>7</v>
      </c>
      <c r="C849" t="s">
        <v>2231</v>
      </c>
      <c r="D849" t="s">
        <v>9</v>
      </c>
      <c r="E849" t="s">
        <v>2297</v>
      </c>
      <c r="F849" t="str">
        <f>"004119612329"</f>
        <v>004119612329</v>
      </c>
      <c r="G849" t="s">
        <v>4493</v>
      </c>
      <c r="H849" s="4">
        <v>66464.142000000007</v>
      </c>
    </row>
    <row r="850" spans="1:8" x14ac:dyDescent="0.3">
      <c r="A850" t="s">
        <v>6</v>
      </c>
      <c r="B850" t="s">
        <v>7</v>
      </c>
      <c r="C850" t="s">
        <v>8</v>
      </c>
      <c r="D850" t="s">
        <v>9</v>
      </c>
      <c r="E850" t="s">
        <v>345</v>
      </c>
      <c r="F850" t="str">
        <f>"001600020281"</f>
        <v>001600020281</v>
      </c>
      <c r="G850" t="s">
        <v>4291</v>
      </c>
      <c r="H850" s="4">
        <v>66348.513000000006</v>
      </c>
    </row>
    <row r="851" spans="1:8" x14ac:dyDescent="0.3">
      <c r="A851" t="s">
        <v>6</v>
      </c>
      <c r="B851" t="s">
        <v>7</v>
      </c>
      <c r="C851" t="s">
        <v>1940</v>
      </c>
      <c r="D851" t="s">
        <v>9</v>
      </c>
      <c r="E851" t="s">
        <v>1980</v>
      </c>
      <c r="F851" t="str">
        <f>"007047019111"</f>
        <v>007047019111</v>
      </c>
      <c r="G851" t="s">
        <v>2389</v>
      </c>
      <c r="H851" s="4">
        <v>66341.539999999994</v>
      </c>
    </row>
    <row r="852" spans="1:8" x14ac:dyDescent="0.3">
      <c r="A852" t="s">
        <v>6</v>
      </c>
      <c r="B852" t="s">
        <v>7</v>
      </c>
      <c r="C852" t="s">
        <v>616</v>
      </c>
      <c r="D852" t="s">
        <v>9</v>
      </c>
      <c r="E852" t="s">
        <v>689</v>
      </c>
      <c r="F852" t="str">
        <f>"002190811527"</f>
        <v>002190811527</v>
      </c>
      <c r="G852" t="s">
        <v>3659</v>
      </c>
      <c r="H852" s="4">
        <v>66098.506999999998</v>
      </c>
    </row>
    <row r="853" spans="1:8" x14ac:dyDescent="0.3">
      <c r="A853" t="s">
        <v>6</v>
      </c>
      <c r="B853" t="s">
        <v>7</v>
      </c>
      <c r="C853" t="s">
        <v>1786</v>
      </c>
      <c r="D853" t="s">
        <v>9</v>
      </c>
      <c r="E853" t="s">
        <v>1797</v>
      </c>
      <c r="F853" t="str">
        <f>"072534226073"</f>
        <v>072534226073</v>
      </c>
      <c r="G853" t="s">
        <v>3570</v>
      </c>
      <c r="H853" s="4">
        <v>66035.331000000006</v>
      </c>
    </row>
    <row r="854" spans="1:8" x14ac:dyDescent="0.3">
      <c r="A854" t="s">
        <v>6</v>
      </c>
      <c r="B854" t="s">
        <v>7</v>
      </c>
      <c r="C854" t="s">
        <v>8</v>
      </c>
      <c r="D854" t="s">
        <v>9</v>
      </c>
      <c r="E854" t="s">
        <v>264</v>
      </c>
      <c r="F854" t="str">
        <f>"001600020197"</f>
        <v>001600020197</v>
      </c>
      <c r="G854" t="s">
        <v>4217</v>
      </c>
      <c r="H854" s="4">
        <v>65449.877999999997</v>
      </c>
    </row>
    <row r="855" spans="1:8" x14ac:dyDescent="0.3">
      <c r="A855" t="s">
        <v>6</v>
      </c>
      <c r="B855" t="s">
        <v>7</v>
      </c>
      <c r="C855" t="s">
        <v>985</v>
      </c>
      <c r="D855" t="s">
        <v>9</v>
      </c>
      <c r="E855" t="s">
        <v>1047</v>
      </c>
      <c r="F855" t="str">
        <f>"001356230087"</f>
        <v>001356230087</v>
      </c>
      <c r="G855" t="s">
        <v>2641</v>
      </c>
      <c r="H855" s="4">
        <v>65261.77</v>
      </c>
    </row>
    <row r="856" spans="1:8" x14ac:dyDescent="0.3">
      <c r="A856" t="s">
        <v>6</v>
      </c>
      <c r="B856" t="s">
        <v>7</v>
      </c>
      <c r="C856" t="s">
        <v>8</v>
      </c>
      <c r="D856" t="s">
        <v>9</v>
      </c>
      <c r="E856" t="s">
        <v>314</v>
      </c>
      <c r="F856" t="str">
        <f>"001600014259"</f>
        <v>001600014259</v>
      </c>
      <c r="G856" t="s">
        <v>4264</v>
      </c>
      <c r="H856" s="4">
        <v>65087.63</v>
      </c>
    </row>
    <row r="857" spans="1:8" x14ac:dyDescent="0.3">
      <c r="A857" t="s">
        <v>6</v>
      </c>
      <c r="B857" t="s">
        <v>7</v>
      </c>
      <c r="C857" t="s">
        <v>8</v>
      </c>
      <c r="D857" t="s">
        <v>9</v>
      </c>
      <c r="E857" t="s">
        <v>366</v>
      </c>
      <c r="F857" t="str">
        <f>"001600017285"</f>
        <v>001600017285</v>
      </c>
      <c r="G857" t="s">
        <v>4310</v>
      </c>
      <c r="H857" s="4">
        <v>64935.756000000001</v>
      </c>
    </row>
    <row r="858" spans="1:8" x14ac:dyDescent="0.3">
      <c r="A858" t="s">
        <v>6</v>
      </c>
      <c r="B858" t="s">
        <v>7</v>
      </c>
      <c r="C858" t="s">
        <v>1122</v>
      </c>
      <c r="D858" t="s">
        <v>9</v>
      </c>
      <c r="E858" t="s">
        <v>1182</v>
      </c>
      <c r="F858" t="str">
        <f>"001600016064"</f>
        <v>001600016064</v>
      </c>
      <c r="G858" t="s">
        <v>2770</v>
      </c>
      <c r="H858" s="4">
        <v>64738.881999999998</v>
      </c>
    </row>
    <row r="859" spans="1:8" x14ac:dyDescent="0.3">
      <c r="A859" t="s">
        <v>6</v>
      </c>
      <c r="B859" t="s">
        <v>7</v>
      </c>
      <c r="C859" t="s">
        <v>797</v>
      </c>
      <c r="D859" t="s">
        <v>9</v>
      </c>
      <c r="E859" t="s">
        <v>835</v>
      </c>
      <c r="F859" t="str">
        <f>"001600045707"</f>
        <v>001600045707</v>
      </c>
      <c r="G859" t="s">
        <v>2431</v>
      </c>
      <c r="H859" s="4">
        <v>64608.108999999997</v>
      </c>
    </row>
    <row r="860" spans="1:8" x14ac:dyDescent="0.3">
      <c r="A860" t="s">
        <v>6</v>
      </c>
      <c r="B860" t="s">
        <v>7</v>
      </c>
      <c r="C860" t="s">
        <v>8</v>
      </c>
      <c r="D860" t="s">
        <v>9</v>
      </c>
      <c r="E860" t="s">
        <v>52</v>
      </c>
      <c r="F860" t="str">
        <f>"002190812979"</f>
        <v>002190812979</v>
      </c>
      <c r="G860" t="s">
        <v>2389</v>
      </c>
      <c r="H860" s="4">
        <v>64415.58</v>
      </c>
    </row>
    <row r="861" spans="1:8" x14ac:dyDescent="0.3">
      <c r="A861" t="s">
        <v>6</v>
      </c>
      <c r="B861" t="s">
        <v>7</v>
      </c>
      <c r="C861" t="s">
        <v>1805</v>
      </c>
      <c r="D861" t="s">
        <v>9</v>
      </c>
      <c r="E861" t="s">
        <v>1848</v>
      </c>
      <c r="F861" t="str">
        <f>"001800011272"</f>
        <v>001800011272</v>
      </c>
      <c r="G861" t="s">
        <v>3773</v>
      </c>
      <c r="H861" s="4">
        <v>64365.758999999998</v>
      </c>
    </row>
    <row r="862" spans="1:8" x14ac:dyDescent="0.3">
      <c r="A862" t="s">
        <v>6</v>
      </c>
      <c r="B862" t="s">
        <v>7</v>
      </c>
      <c r="C862" t="s">
        <v>1940</v>
      </c>
      <c r="D862" t="s">
        <v>9</v>
      </c>
      <c r="E862" t="s">
        <v>1980</v>
      </c>
      <c r="F862" t="str">
        <f>"007047013792"</f>
        <v>007047013792</v>
      </c>
      <c r="G862" t="s">
        <v>3870</v>
      </c>
      <c r="H862" s="4">
        <v>64151.163</v>
      </c>
    </row>
    <row r="863" spans="1:8" x14ac:dyDescent="0.3">
      <c r="A863" t="s">
        <v>6</v>
      </c>
      <c r="B863" t="s">
        <v>7</v>
      </c>
      <c r="C863" t="s">
        <v>8</v>
      </c>
      <c r="D863" t="s">
        <v>9</v>
      </c>
      <c r="E863" t="s">
        <v>122</v>
      </c>
      <c r="F863" t="str">
        <f>"001600014159"</f>
        <v>001600014159</v>
      </c>
      <c r="G863" t="s">
        <v>4089</v>
      </c>
      <c r="H863" s="4">
        <v>63937.156000000003</v>
      </c>
    </row>
    <row r="864" spans="1:8" x14ac:dyDescent="0.3">
      <c r="A864" t="s">
        <v>6</v>
      </c>
      <c r="B864" t="s">
        <v>7</v>
      </c>
      <c r="C864" t="s">
        <v>1940</v>
      </c>
      <c r="D864" t="s">
        <v>9</v>
      </c>
      <c r="E864" t="s">
        <v>2020</v>
      </c>
      <c r="F864" t="str">
        <f>"007047020034"</f>
        <v>007047020034</v>
      </c>
      <c r="G864" t="s">
        <v>2389</v>
      </c>
      <c r="H864" s="4">
        <v>63932.326000000001</v>
      </c>
    </row>
    <row r="865" spans="1:8" x14ac:dyDescent="0.3">
      <c r="A865" t="s">
        <v>6</v>
      </c>
      <c r="B865" t="s">
        <v>7</v>
      </c>
      <c r="C865" t="s">
        <v>8</v>
      </c>
      <c r="D865" t="s">
        <v>9</v>
      </c>
      <c r="E865" t="s">
        <v>251</v>
      </c>
      <c r="F865" t="str">
        <f>"001600019304"</f>
        <v>001600019304</v>
      </c>
      <c r="G865" t="s">
        <v>4206</v>
      </c>
      <c r="H865" s="4">
        <v>63688.959000000003</v>
      </c>
    </row>
    <row r="866" spans="1:8" x14ac:dyDescent="0.3">
      <c r="A866" t="s">
        <v>6</v>
      </c>
      <c r="B866" t="s">
        <v>7</v>
      </c>
      <c r="C866" t="s">
        <v>985</v>
      </c>
      <c r="D866" t="s">
        <v>9</v>
      </c>
      <c r="E866" t="s">
        <v>1054</v>
      </c>
      <c r="F866" t="str">
        <f>"001356261006"</f>
        <v>001356261006</v>
      </c>
      <c r="G866" t="s">
        <v>2648</v>
      </c>
      <c r="H866" s="4">
        <v>63584.694000000003</v>
      </c>
    </row>
    <row r="867" spans="1:8" x14ac:dyDescent="0.3">
      <c r="A867" t="s">
        <v>6</v>
      </c>
      <c r="B867" t="s">
        <v>7</v>
      </c>
      <c r="C867" t="s">
        <v>797</v>
      </c>
      <c r="D867" t="s">
        <v>9</v>
      </c>
      <c r="E867" t="s">
        <v>903</v>
      </c>
      <c r="F867" t="str">
        <f>"001600020767"</f>
        <v>001600020767</v>
      </c>
      <c r="G867" t="s">
        <v>2494</v>
      </c>
      <c r="H867" s="4">
        <v>63407.171000000002</v>
      </c>
    </row>
    <row r="868" spans="1:8" x14ac:dyDescent="0.3">
      <c r="A868" t="s">
        <v>6</v>
      </c>
      <c r="B868" t="s">
        <v>7</v>
      </c>
      <c r="C868" t="s">
        <v>2113</v>
      </c>
      <c r="D868" t="s">
        <v>9</v>
      </c>
      <c r="E868" t="s">
        <v>2205</v>
      </c>
      <c r="F868" t="str">
        <f>"001600036324"</f>
        <v>001600036324</v>
      </c>
      <c r="G868" t="s">
        <v>4408</v>
      </c>
      <c r="H868" s="4">
        <v>63351.546999999999</v>
      </c>
    </row>
    <row r="869" spans="1:8" x14ac:dyDescent="0.3">
      <c r="A869" t="s">
        <v>6</v>
      </c>
      <c r="B869" t="s">
        <v>7</v>
      </c>
      <c r="C869" t="s">
        <v>1805</v>
      </c>
      <c r="D869" t="s">
        <v>9</v>
      </c>
      <c r="E869" t="s">
        <v>1922</v>
      </c>
      <c r="F869" t="str">
        <f>"001800012555"</f>
        <v>001800012555</v>
      </c>
      <c r="G869" t="s">
        <v>3807</v>
      </c>
      <c r="H869" s="4">
        <v>63066.87</v>
      </c>
    </row>
    <row r="870" spans="1:8" x14ac:dyDescent="0.3">
      <c r="A870" t="s">
        <v>6</v>
      </c>
      <c r="B870" t="s">
        <v>7</v>
      </c>
      <c r="C870" t="s">
        <v>8</v>
      </c>
      <c r="D870" t="s">
        <v>9</v>
      </c>
      <c r="E870" t="s">
        <v>346</v>
      </c>
      <c r="F870" t="str">
        <f>"001600020269"</f>
        <v>001600020269</v>
      </c>
      <c r="G870" t="s">
        <v>4292</v>
      </c>
      <c r="H870" s="4">
        <v>62553.02</v>
      </c>
    </row>
    <row r="871" spans="1:8" x14ac:dyDescent="0.3">
      <c r="A871" t="s">
        <v>6</v>
      </c>
      <c r="B871" t="s">
        <v>7</v>
      </c>
      <c r="C871" t="s">
        <v>1940</v>
      </c>
      <c r="D871" t="s">
        <v>9</v>
      </c>
      <c r="E871" t="s">
        <v>1989</v>
      </c>
      <c r="F871" t="str">
        <f>"007047000661"</f>
        <v>007047000661</v>
      </c>
      <c r="G871" t="s">
        <v>3884</v>
      </c>
      <c r="H871" s="4">
        <v>62506.79</v>
      </c>
    </row>
    <row r="872" spans="1:8" x14ac:dyDescent="0.3">
      <c r="A872" t="s">
        <v>6</v>
      </c>
      <c r="B872" t="s">
        <v>7</v>
      </c>
      <c r="C872" t="s">
        <v>1940</v>
      </c>
      <c r="D872" t="s">
        <v>9</v>
      </c>
      <c r="E872" t="s">
        <v>2012</v>
      </c>
      <c r="F872" t="str">
        <f>"007047049651"</f>
        <v>007047049651</v>
      </c>
      <c r="G872" t="s">
        <v>3903</v>
      </c>
      <c r="H872" s="4">
        <v>62442.648999999998</v>
      </c>
    </row>
    <row r="873" spans="1:8" x14ac:dyDescent="0.3">
      <c r="A873" t="s">
        <v>6</v>
      </c>
      <c r="B873" t="s">
        <v>7</v>
      </c>
      <c r="C873" t="s">
        <v>1805</v>
      </c>
      <c r="D873" t="s">
        <v>9</v>
      </c>
      <c r="E873" t="s">
        <v>1885</v>
      </c>
      <c r="F873" t="str">
        <f>"001800048218"</f>
        <v>001800048218</v>
      </c>
      <c r="G873" t="s">
        <v>3780</v>
      </c>
      <c r="H873" s="4">
        <v>62348.55</v>
      </c>
    </row>
    <row r="874" spans="1:8" x14ac:dyDescent="0.3">
      <c r="A874" t="s">
        <v>6</v>
      </c>
      <c r="B874" t="s">
        <v>7</v>
      </c>
      <c r="C874" t="s">
        <v>1940</v>
      </c>
      <c r="D874" t="s">
        <v>9</v>
      </c>
      <c r="E874" t="s">
        <v>2010</v>
      </c>
      <c r="F874" t="str">
        <f>"007047014212"</f>
        <v>007047014212</v>
      </c>
      <c r="G874" t="s">
        <v>3901</v>
      </c>
      <c r="H874" s="4">
        <v>62301.35</v>
      </c>
    </row>
    <row r="875" spans="1:8" x14ac:dyDescent="0.3">
      <c r="A875" t="s">
        <v>6</v>
      </c>
      <c r="B875" t="s">
        <v>7</v>
      </c>
      <c r="C875" t="s">
        <v>381</v>
      </c>
      <c r="D875" t="s">
        <v>9</v>
      </c>
      <c r="E875" t="s">
        <v>545</v>
      </c>
      <c r="F875" t="str">
        <f>"001600020039"</f>
        <v>001600020039</v>
      </c>
      <c r="G875" t="s">
        <v>3268</v>
      </c>
      <c r="H875" s="4">
        <v>62297.025999999998</v>
      </c>
    </row>
    <row r="876" spans="1:8" x14ac:dyDescent="0.3">
      <c r="A876" t="s">
        <v>6</v>
      </c>
      <c r="B876" t="s">
        <v>7</v>
      </c>
      <c r="C876" t="s">
        <v>8</v>
      </c>
      <c r="D876" t="s">
        <v>9</v>
      </c>
      <c r="E876" t="s">
        <v>81</v>
      </c>
      <c r="F876" t="str">
        <f>"001600016966"</f>
        <v>001600016966</v>
      </c>
      <c r="G876" t="s">
        <v>4056</v>
      </c>
      <c r="H876" s="4">
        <v>62200.114000000001</v>
      </c>
    </row>
    <row r="877" spans="1:8" x14ac:dyDescent="0.3">
      <c r="A877" t="s">
        <v>6</v>
      </c>
      <c r="B877" t="s">
        <v>7</v>
      </c>
      <c r="C877" t="s">
        <v>1805</v>
      </c>
      <c r="D877" t="s">
        <v>9</v>
      </c>
      <c r="E877" t="s">
        <v>1908</v>
      </c>
      <c r="F877" t="str">
        <f>"001800012447"</f>
        <v>001800012447</v>
      </c>
      <c r="G877" t="s">
        <v>3792</v>
      </c>
      <c r="H877" s="4">
        <v>62097.724000000002</v>
      </c>
    </row>
    <row r="878" spans="1:8" x14ac:dyDescent="0.3">
      <c r="A878" t="s">
        <v>6</v>
      </c>
      <c r="B878" t="s">
        <v>7</v>
      </c>
      <c r="C878" t="s">
        <v>2231</v>
      </c>
      <c r="D878" t="s">
        <v>9</v>
      </c>
      <c r="E878" t="s">
        <v>2265</v>
      </c>
      <c r="F878" t="str">
        <f>"004119611186"</f>
        <v>004119611186</v>
      </c>
      <c r="G878" t="s">
        <v>4464</v>
      </c>
      <c r="H878" s="4">
        <v>61964.678999999996</v>
      </c>
    </row>
    <row r="879" spans="1:8" x14ac:dyDescent="0.3">
      <c r="A879" t="s">
        <v>6</v>
      </c>
      <c r="B879" t="s">
        <v>7</v>
      </c>
      <c r="C879" t="s">
        <v>1577</v>
      </c>
      <c r="D879" t="s">
        <v>9</v>
      </c>
      <c r="E879" t="s">
        <v>1594</v>
      </c>
      <c r="F879" t="str">
        <f>"004600028738"</f>
        <v>004600028738</v>
      </c>
      <c r="G879" t="s">
        <v>3358</v>
      </c>
      <c r="H879" s="4">
        <v>61935.046000000002</v>
      </c>
    </row>
    <row r="880" spans="1:8" x14ac:dyDescent="0.3">
      <c r="A880" t="s">
        <v>6</v>
      </c>
      <c r="B880" t="s">
        <v>7</v>
      </c>
      <c r="C880" t="s">
        <v>1940</v>
      </c>
      <c r="D880" t="s">
        <v>9</v>
      </c>
      <c r="E880" t="s">
        <v>1992</v>
      </c>
      <c r="F880" t="str">
        <f>"007047000665"</f>
        <v>007047000665</v>
      </c>
      <c r="G880" t="s">
        <v>3887</v>
      </c>
      <c r="H880" s="4">
        <v>61661.964</v>
      </c>
    </row>
    <row r="881" spans="1:8" x14ac:dyDescent="0.3">
      <c r="A881" t="s">
        <v>6</v>
      </c>
      <c r="B881" t="s">
        <v>7</v>
      </c>
      <c r="C881" t="s">
        <v>797</v>
      </c>
      <c r="D881" t="s">
        <v>9</v>
      </c>
      <c r="E881" t="s">
        <v>807</v>
      </c>
      <c r="F881" t="str">
        <f>"001600045605"</f>
        <v>001600045605</v>
      </c>
      <c r="G881" t="s">
        <v>2404</v>
      </c>
      <c r="H881" s="4">
        <v>61571.635000000002</v>
      </c>
    </row>
    <row r="882" spans="1:8" x14ac:dyDescent="0.3">
      <c r="A882" t="s">
        <v>6</v>
      </c>
      <c r="B882" t="s">
        <v>7</v>
      </c>
      <c r="C882" t="s">
        <v>616</v>
      </c>
      <c r="D882" t="s">
        <v>9</v>
      </c>
      <c r="E882" t="s">
        <v>663</v>
      </c>
      <c r="F882" t="str">
        <f>"002190811546"</f>
        <v>002190811546</v>
      </c>
      <c r="G882" t="s">
        <v>3633</v>
      </c>
      <c r="H882" s="4">
        <v>61443.455999999998</v>
      </c>
    </row>
    <row r="883" spans="1:8" x14ac:dyDescent="0.3">
      <c r="A883" t="s">
        <v>6</v>
      </c>
      <c r="B883" t="s">
        <v>7</v>
      </c>
      <c r="C883" t="s">
        <v>381</v>
      </c>
      <c r="D883" t="s">
        <v>9</v>
      </c>
      <c r="E883" t="s">
        <v>474</v>
      </c>
      <c r="F883" t="str">
        <f>"001600017382"</f>
        <v>001600017382</v>
      </c>
      <c r="G883" t="s">
        <v>3201</v>
      </c>
      <c r="H883" s="4">
        <v>61327.15</v>
      </c>
    </row>
    <row r="884" spans="1:8" x14ac:dyDescent="0.3">
      <c r="A884" t="s">
        <v>6</v>
      </c>
      <c r="B884" t="s">
        <v>7</v>
      </c>
      <c r="C884" t="s">
        <v>8</v>
      </c>
      <c r="D884" t="s">
        <v>9</v>
      </c>
      <c r="E884" t="s">
        <v>362</v>
      </c>
      <c r="F884" t="str">
        <f>"001600017283"</f>
        <v>001600017283</v>
      </c>
      <c r="G884" t="s">
        <v>4306</v>
      </c>
      <c r="H884" s="4">
        <v>61234.894</v>
      </c>
    </row>
    <row r="885" spans="1:8" x14ac:dyDescent="0.3">
      <c r="A885" t="s">
        <v>6</v>
      </c>
      <c r="B885" t="s">
        <v>7</v>
      </c>
      <c r="C885" t="s">
        <v>1397</v>
      </c>
      <c r="D885" t="s">
        <v>9</v>
      </c>
      <c r="E885" t="s">
        <v>1499</v>
      </c>
      <c r="F885" t="str">
        <f>"001800012927"</f>
        <v>001800012927</v>
      </c>
      <c r="G885" t="s">
        <v>3045</v>
      </c>
      <c r="H885" s="4">
        <v>60910.786999999997</v>
      </c>
    </row>
    <row r="886" spans="1:8" x14ac:dyDescent="0.3">
      <c r="A886" t="s">
        <v>6</v>
      </c>
      <c r="B886" t="s">
        <v>7</v>
      </c>
      <c r="C886" t="s">
        <v>2231</v>
      </c>
      <c r="D886" t="s">
        <v>9</v>
      </c>
      <c r="E886" t="s">
        <v>2286</v>
      </c>
      <c r="F886" t="str">
        <f>"004119612328"</f>
        <v>004119612328</v>
      </c>
      <c r="G886" t="s">
        <v>4484</v>
      </c>
      <c r="H886" s="4">
        <v>60903.963000000003</v>
      </c>
    </row>
    <row r="887" spans="1:8" x14ac:dyDescent="0.3">
      <c r="A887" t="s">
        <v>6</v>
      </c>
      <c r="B887" t="s">
        <v>7</v>
      </c>
      <c r="C887" t="s">
        <v>1940</v>
      </c>
      <c r="D887" t="s">
        <v>9</v>
      </c>
      <c r="E887" t="s">
        <v>1960</v>
      </c>
      <c r="F887" t="str">
        <f>"007047020558"</f>
        <v>007047020558</v>
      </c>
      <c r="G887" t="s">
        <v>3846</v>
      </c>
      <c r="H887" s="4">
        <v>60685.777999999998</v>
      </c>
    </row>
    <row r="888" spans="1:8" x14ac:dyDescent="0.3">
      <c r="A888" t="s">
        <v>6</v>
      </c>
      <c r="B888" t="s">
        <v>7</v>
      </c>
      <c r="C888" t="s">
        <v>797</v>
      </c>
      <c r="D888" t="s">
        <v>9</v>
      </c>
      <c r="E888" t="s">
        <v>811</v>
      </c>
      <c r="F888" t="str">
        <f>"001600019765"</f>
        <v>001600019765</v>
      </c>
      <c r="G888" t="s">
        <v>2408</v>
      </c>
      <c r="H888" s="4">
        <v>60578.177000000003</v>
      </c>
    </row>
    <row r="889" spans="1:8" x14ac:dyDescent="0.3">
      <c r="A889" t="s">
        <v>6</v>
      </c>
      <c r="B889" t="s">
        <v>7</v>
      </c>
      <c r="C889" t="s">
        <v>381</v>
      </c>
      <c r="D889" t="s">
        <v>9</v>
      </c>
      <c r="E889" t="s">
        <v>610</v>
      </c>
      <c r="F889" t="str">
        <f>"001600014085"</f>
        <v>001600014085</v>
      </c>
      <c r="G889" t="s">
        <v>3338</v>
      </c>
      <c r="H889" s="4">
        <v>60544.68</v>
      </c>
    </row>
    <row r="890" spans="1:8" x14ac:dyDescent="0.3">
      <c r="A890" t="s">
        <v>6</v>
      </c>
      <c r="B890" t="s">
        <v>7</v>
      </c>
      <c r="C890" t="s">
        <v>1270</v>
      </c>
      <c r="D890" t="s">
        <v>9</v>
      </c>
      <c r="E890" t="s">
        <v>1272</v>
      </c>
      <c r="F890" t="str">
        <f>"001800085518"</f>
        <v>001800085518</v>
      </c>
      <c r="G890" t="s">
        <v>2841</v>
      </c>
      <c r="H890" s="4">
        <v>60375.519999999997</v>
      </c>
    </row>
    <row r="891" spans="1:8" x14ac:dyDescent="0.3">
      <c r="A891" t="s">
        <v>6</v>
      </c>
      <c r="B891" t="s">
        <v>7</v>
      </c>
      <c r="C891" t="s">
        <v>1072</v>
      </c>
      <c r="D891" t="s">
        <v>9</v>
      </c>
      <c r="E891" t="s">
        <v>1080</v>
      </c>
      <c r="F891" t="str">
        <f>"001600041820"</f>
        <v>001600041820</v>
      </c>
      <c r="G891" t="s">
        <v>2684</v>
      </c>
      <c r="H891" s="4">
        <v>60342.118000000002</v>
      </c>
    </row>
    <row r="892" spans="1:8" x14ac:dyDescent="0.3">
      <c r="A892" t="s">
        <v>6</v>
      </c>
      <c r="B892" t="s">
        <v>7</v>
      </c>
      <c r="C892" t="s">
        <v>2231</v>
      </c>
      <c r="D892" t="s">
        <v>9</v>
      </c>
      <c r="E892" t="s">
        <v>2290</v>
      </c>
      <c r="F892" t="str">
        <f>"004119674073"</f>
        <v>004119674073</v>
      </c>
      <c r="G892" t="s">
        <v>4488</v>
      </c>
      <c r="H892" s="4">
        <v>60271.212</v>
      </c>
    </row>
    <row r="893" spans="1:8" x14ac:dyDescent="0.3">
      <c r="A893" t="s">
        <v>6</v>
      </c>
      <c r="B893" t="s">
        <v>7</v>
      </c>
      <c r="C893" t="s">
        <v>1577</v>
      </c>
      <c r="D893" t="s">
        <v>9</v>
      </c>
      <c r="E893" t="s">
        <v>1644</v>
      </c>
      <c r="F893" t="str">
        <f>"004600046602"</f>
        <v>004600046602</v>
      </c>
      <c r="G893" t="s">
        <v>3412</v>
      </c>
      <c r="H893" s="4">
        <v>60193.035000000003</v>
      </c>
    </row>
    <row r="894" spans="1:8" x14ac:dyDescent="0.3">
      <c r="A894" t="s">
        <v>6</v>
      </c>
      <c r="B894" t="s">
        <v>7</v>
      </c>
      <c r="C894" t="s">
        <v>2231</v>
      </c>
      <c r="D894" t="s">
        <v>9</v>
      </c>
      <c r="E894" t="s">
        <v>2277</v>
      </c>
      <c r="F894" t="str">
        <f>"004119613308"</f>
        <v>004119613308</v>
      </c>
      <c r="G894" t="s">
        <v>4474</v>
      </c>
      <c r="H894" s="4">
        <v>60056.921999999999</v>
      </c>
    </row>
    <row r="895" spans="1:8" x14ac:dyDescent="0.3">
      <c r="A895" t="s">
        <v>6</v>
      </c>
      <c r="B895" t="s">
        <v>7</v>
      </c>
      <c r="C895" t="s">
        <v>1940</v>
      </c>
      <c r="D895" t="s">
        <v>9</v>
      </c>
      <c r="E895" t="s">
        <v>2005</v>
      </c>
      <c r="F895" t="str">
        <f>"007047020036"</f>
        <v>007047020036</v>
      </c>
      <c r="G895" t="s">
        <v>3899</v>
      </c>
      <c r="H895" s="4">
        <v>59991.525999999998</v>
      </c>
    </row>
    <row r="896" spans="1:8" x14ac:dyDescent="0.3">
      <c r="A896" t="s">
        <v>6</v>
      </c>
      <c r="B896" t="s">
        <v>7</v>
      </c>
      <c r="C896" t="s">
        <v>2231</v>
      </c>
      <c r="D896" t="s">
        <v>9</v>
      </c>
      <c r="E896" t="s">
        <v>2341</v>
      </c>
      <c r="F896" t="str">
        <f>"004119613102"</f>
        <v>004119613102</v>
      </c>
      <c r="G896" t="s">
        <v>4533</v>
      </c>
      <c r="H896" s="4">
        <v>59958.09</v>
      </c>
    </row>
    <row r="897" spans="1:8" x14ac:dyDescent="0.3">
      <c r="A897" t="s">
        <v>6</v>
      </c>
      <c r="B897" t="s">
        <v>7</v>
      </c>
      <c r="C897" t="s">
        <v>8</v>
      </c>
      <c r="D897" t="s">
        <v>9</v>
      </c>
      <c r="E897" t="s">
        <v>265</v>
      </c>
      <c r="F897" t="str">
        <f>"001600020176"</f>
        <v>001600020176</v>
      </c>
      <c r="G897" t="s">
        <v>4218</v>
      </c>
      <c r="H897" s="4">
        <v>59758.44</v>
      </c>
    </row>
    <row r="898" spans="1:8" x14ac:dyDescent="0.3">
      <c r="A898" t="s">
        <v>6</v>
      </c>
      <c r="B898" t="s">
        <v>7</v>
      </c>
      <c r="C898" t="s">
        <v>8</v>
      </c>
      <c r="D898" t="s">
        <v>9</v>
      </c>
      <c r="E898" t="s">
        <v>188</v>
      </c>
      <c r="F898" t="str">
        <f>"001600020223"</f>
        <v>001600020223</v>
      </c>
      <c r="G898" t="s">
        <v>4147</v>
      </c>
      <c r="H898" s="4">
        <v>59744.605000000003</v>
      </c>
    </row>
    <row r="899" spans="1:8" x14ac:dyDescent="0.3">
      <c r="A899" t="s">
        <v>6</v>
      </c>
      <c r="B899" t="s">
        <v>7</v>
      </c>
      <c r="C899" t="s">
        <v>381</v>
      </c>
      <c r="D899" t="s">
        <v>9</v>
      </c>
      <c r="E899" t="s">
        <v>536</v>
      </c>
      <c r="F899" t="str">
        <f>"001600017941"</f>
        <v>001600017941</v>
      </c>
      <c r="G899" t="s">
        <v>3259</v>
      </c>
      <c r="H899" s="4">
        <v>59647.338000000003</v>
      </c>
    </row>
    <row r="900" spans="1:8" x14ac:dyDescent="0.3">
      <c r="A900" t="s">
        <v>6</v>
      </c>
      <c r="B900" t="s">
        <v>7</v>
      </c>
      <c r="C900" t="s">
        <v>2231</v>
      </c>
      <c r="D900" t="s">
        <v>9</v>
      </c>
      <c r="E900" t="s">
        <v>2284</v>
      </c>
      <c r="F900" t="str">
        <f>"004119680546"</f>
        <v>004119680546</v>
      </c>
      <c r="G900" t="s">
        <v>4482</v>
      </c>
      <c r="H900" s="4">
        <v>59503.112999999998</v>
      </c>
    </row>
    <row r="901" spans="1:8" x14ac:dyDescent="0.3">
      <c r="A901" t="s">
        <v>6</v>
      </c>
      <c r="B901" t="s">
        <v>7</v>
      </c>
      <c r="C901" t="s">
        <v>381</v>
      </c>
      <c r="D901" t="s">
        <v>9</v>
      </c>
      <c r="E901" t="s">
        <v>441</v>
      </c>
      <c r="F901" t="str">
        <f>"001600040597"</f>
        <v>001600040597</v>
      </c>
      <c r="G901" t="s">
        <v>3167</v>
      </c>
      <c r="H901" s="4">
        <v>59041.48</v>
      </c>
    </row>
    <row r="902" spans="1:8" x14ac:dyDescent="0.3">
      <c r="A902" t="s">
        <v>6</v>
      </c>
      <c r="B902" t="s">
        <v>7</v>
      </c>
      <c r="C902" t="s">
        <v>616</v>
      </c>
      <c r="D902" t="s">
        <v>9</v>
      </c>
      <c r="E902" t="s">
        <v>672</v>
      </c>
      <c r="F902" t="str">
        <f>"002190811579"</f>
        <v>002190811579</v>
      </c>
      <c r="G902" t="s">
        <v>3642</v>
      </c>
      <c r="H902" s="4">
        <v>58933.247000000003</v>
      </c>
    </row>
    <row r="903" spans="1:8" x14ac:dyDescent="0.3">
      <c r="A903" t="s">
        <v>6</v>
      </c>
      <c r="B903" t="s">
        <v>7</v>
      </c>
      <c r="C903" t="s">
        <v>1805</v>
      </c>
      <c r="D903" t="s">
        <v>9</v>
      </c>
      <c r="E903" t="s">
        <v>1825</v>
      </c>
      <c r="F903" t="str">
        <f>"001800012594"</f>
        <v>001800012594</v>
      </c>
      <c r="G903" t="s">
        <v>3758</v>
      </c>
      <c r="H903" s="4">
        <v>58907.302000000003</v>
      </c>
    </row>
    <row r="904" spans="1:8" x14ac:dyDescent="0.3">
      <c r="A904" t="s">
        <v>6</v>
      </c>
      <c r="B904" t="s">
        <v>7</v>
      </c>
      <c r="C904" t="s">
        <v>1940</v>
      </c>
      <c r="D904" t="s">
        <v>9</v>
      </c>
      <c r="E904" t="s">
        <v>2108</v>
      </c>
      <c r="F904" t="str">
        <f>"007047014716"</f>
        <v>007047014716</v>
      </c>
      <c r="G904" t="s">
        <v>2389</v>
      </c>
      <c r="H904" s="4">
        <v>58754.228999999999</v>
      </c>
    </row>
    <row r="905" spans="1:8" x14ac:dyDescent="0.3">
      <c r="A905" t="s">
        <v>6</v>
      </c>
      <c r="B905" t="s">
        <v>7</v>
      </c>
      <c r="C905" t="s">
        <v>1940</v>
      </c>
      <c r="D905" t="s">
        <v>9</v>
      </c>
      <c r="E905" t="s">
        <v>1982</v>
      </c>
      <c r="F905" t="str">
        <f>"007047018742"</f>
        <v>007047018742</v>
      </c>
      <c r="G905" t="s">
        <v>3878</v>
      </c>
      <c r="H905" s="4">
        <v>58320.118000000002</v>
      </c>
    </row>
    <row r="906" spans="1:8" x14ac:dyDescent="0.3">
      <c r="A906" t="s">
        <v>6</v>
      </c>
      <c r="B906" t="s">
        <v>7</v>
      </c>
      <c r="C906" t="s">
        <v>8</v>
      </c>
      <c r="D906" t="s">
        <v>9</v>
      </c>
      <c r="E906" t="s">
        <v>97</v>
      </c>
      <c r="F906" t="str">
        <f>"001600015125"</f>
        <v>001600015125</v>
      </c>
      <c r="G906" t="s">
        <v>4065</v>
      </c>
      <c r="H906" s="4">
        <v>58306.182999999997</v>
      </c>
    </row>
    <row r="907" spans="1:8" x14ac:dyDescent="0.3">
      <c r="A907" t="s">
        <v>6</v>
      </c>
      <c r="B907" t="s">
        <v>7</v>
      </c>
      <c r="C907" t="s">
        <v>616</v>
      </c>
      <c r="D907" t="s">
        <v>9</v>
      </c>
      <c r="E907" t="s">
        <v>667</v>
      </c>
      <c r="F907" t="str">
        <f>"002190811535"</f>
        <v>002190811535</v>
      </c>
      <c r="G907" t="s">
        <v>3637</v>
      </c>
      <c r="H907" s="4">
        <v>58040.106</v>
      </c>
    </row>
    <row r="908" spans="1:8" x14ac:dyDescent="0.3">
      <c r="A908" t="s">
        <v>6</v>
      </c>
      <c r="B908" t="s">
        <v>7</v>
      </c>
      <c r="C908" t="s">
        <v>2113</v>
      </c>
      <c r="D908" t="s">
        <v>9</v>
      </c>
      <c r="E908" t="s">
        <v>2201</v>
      </c>
      <c r="F908" t="str">
        <f>"001600045127"</f>
        <v>001600045127</v>
      </c>
      <c r="G908" t="s">
        <v>4405</v>
      </c>
      <c r="H908" s="4">
        <v>57954.059000000001</v>
      </c>
    </row>
    <row r="909" spans="1:8" x14ac:dyDescent="0.3">
      <c r="A909" t="s">
        <v>6</v>
      </c>
      <c r="B909" t="s">
        <v>7</v>
      </c>
      <c r="C909" t="s">
        <v>1940</v>
      </c>
      <c r="D909" t="s">
        <v>9</v>
      </c>
      <c r="E909" t="s">
        <v>2054</v>
      </c>
      <c r="F909" t="str">
        <f>"007047000330"</f>
        <v>007047000330</v>
      </c>
      <c r="G909" t="s">
        <v>3941</v>
      </c>
      <c r="H909" s="4">
        <v>57810.326999999997</v>
      </c>
    </row>
    <row r="910" spans="1:8" x14ac:dyDescent="0.3">
      <c r="A910" t="s">
        <v>6</v>
      </c>
      <c r="B910" t="s">
        <v>7</v>
      </c>
      <c r="C910" t="s">
        <v>1786</v>
      </c>
      <c r="D910" t="s">
        <v>9</v>
      </c>
      <c r="E910" t="s">
        <v>1795</v>
      </c>
      <c r="F910" t="str">
        <f>"072534226071"</f>
        <v>072534226071</v>
      </c>
      <c r="G910" t="s">
        <v>3558</v>
      </c>
      <c r="H910" s="4">
        <v>57720.887999999999</v>
      </c>
    </row>
    <row r="911" spans="1:8" x14ac:dyDescent="0.3">
      <c r="A911" t="s">
        <v>6</v>
      </c>
      <c r="B911" t="s">
        <v>7</v>
      </c>
      <c r="C911" t="s">
        <v>1940</v>
      </c>
      <c r="D911" t="s">
        <v>9</v>
      </c>
      <c r="E911" t="s">
        <v>1975</v>
      </c>
      <c r="F911" t="str">
        <f>"007047016309"</f>
        <v>007047016309</v>
      </c>
      <c r="G911" t="s">
        <v>3864</v>
      </c>
      <c r="H911" s="4">
        <v>57659.627</v>
      </c>
    </row>
    <row r="912" spans="1:8" x14ac:dyDescent="0.3">
      <c r="A912" t="s">
        <v>6</v>
      </c>
      <c r="B912" t="s">
        <v>7</v>
      </c>
      <c r="C912" t="s">
        <v>381</v>
      </c>
      <c r="D912" t="s">
        <v>9</v>
      </c>
      <c r="E912" t="s">
        <v>521</v>
      </c>
      <c r="F912" t="str">
        <f>"001600018793"</f>
        <v>001600018793</v>
      </c>
      <c r="G912" t="s">
        <v>3245</v>
      </c>
      <c r="H912" s="4">
        <v>57366.271999999997</v>
      </c>
    </row>
    <row r="913" spans="1:8" x14ac:dyDescent="0.3">
      <c r="A913" t="s">
        <v>6</v>
      </c>
      <c r="B913" t="s">
        <v>7</v>
      </c>
      <c r="C913" t="s">
        <v>1940</v>
      </c>
      <c r="D913" t="s">
        <v>9</v>
      </c>
      <c r="E913" t="s">
        <v>1995</v>
      </c>
      <c r="F913" t="str">
        <f>"007047000654"</f>
        <v>007047000654</v>
      </c>
      <c r="G913" t="s">
        <v>3890</v>
      </c>
      <c r="H913" s="4">
        <v>57265.75</v>
      </c>
    </row>
    <row r="914" spans="1:8" x14ac:dyDescent="0.3">
      <c r="A914" t="s">
        <v>6</v>
      </c>
      <c r="B914" t="s">
        <v>7</v>
      </c>
      <c r="C914" t="s">
        <v>2231</v>
      </c>
      <c r="D914" t="s">
        <v>9</v>
      </c>
      <c r="E914" t="s">
        <v>2359</v>
      </c>
      <c r="F914" t="str">
        <f>"004119691085"</f>
        <v>004119691085</v>
      </c>
      <c r="G914" t="s">
        <v>4550</v>
      </c>
      <c r="H914" s="4">
        <v>57265.207000000002</v>
      </c>
    </row>
    <row r="915" spans="1:8" x14ac:dyDescent="0.3">
      <c r="A915" t="s">
        <v>6</v>
      </c>
      <c r="B915" t="s">
        <v>7</v>
      </c>
      <c r="C915" t="s">
        <v>8</v>
      </c>
      <c r="D915" t="s">
        <v>9</v>
      </c>
      <c r="E915" t="s">
        <v>281</v>
      </c>
      <c r="F915" t="str">
        <f>"001600019457"</f>
        <v>001600019457</v>
      </c>
      <c r="G915" t="s">
        <v>4233</v>
      </c>
      <c r="H915" s="4">
        <v>57217.932999999997</v>
      </c>
    </row>
    <row r="916" spans="1:8" x14ac:dyDescent="0.3">
      <c r="A916" t="s">
        <v>6</v>
      </c>
      <c r="B916" t="s">
        <v>7</v>
      </c>
      <c r="C916" t="s">
        <v>381</v>
      </c>
      <c r="D916" t="s">
        <v>9</v>
      </c>
      <c r="E916" t="s">
        <v>447</v>
      </c>
      <c r="F916" t="str">
        <f>"001600019454"</f>
        <v>001600019454</v>
      </c>
      <c r="G916" t="s">
        <v>3173</v>
      </c>
      <c r="H916" s="4">
        <v>57213.642</v>
      </c>
    </row>
    <row r="917" spans="1:8" x14ac:dyDescent="0.3">
      <c r="A917" t="s">
        <v>6</v>
      </c>
      <c r="B917" t="s">
        <v>7</v>
      </c>
      <c r="C917" t="s">
        <v>1940</v>
      </c>
      <c r="D917" t="s">
        <v>9</v>
      </c>
      <c r="E917" t="s">
        <v>1963</v>
      </c>
      <c r="F917" t="str">
        <f>"007047020557"</f>
        <v>007047020557</v>
      </c>
      <c r="G917" t="s">
        <v>3849</v>
      </c>
      <c r="H917" s="4">
        <v>56985.591999999997</v>
      </c>
    </row>
    <row r="918" spans="1:8" x14ac:dyDescent="0.3">
      <c r="A918" t="s">
        <v>6</v>
      </c>
      <c r="B918" t="s">
        <v>7</v>
      </c>
      <c r="C918" t="s">
        <v>797</v>
      </c>
      <c r="D918" t="s">
        <v>9</v>
      </c>
      <c r="E918" t="s">
        <v>976</v>
      </c>
      <c r="F918" t="str">
        <f>"001600037400"</f>
        <v>001600037400</v>
      </c>
      <c r="G918" t="s">
        <v>2568</v>
      </c>
      <c r="H918" s="4">
        <v>56858.885000000002</v>
      </c>
    </row>
    <row r="919" spans="1:8" x14ac:dyDescent="0.3">
      <c r="A919" t="s">
        <v>6</v>
      </c>
      <c r="B919" t="s">
        <v>7</v>
      </c>
      <c r="C919" t="s">
        <v>1940</v>
      </c>
      <c r="D919" t="s">
        <v>9</v>
      </c>
      <c r="E919" t="s">
        <v>2019</v>
      </c>
      <c r="F919" t="str">
        <f>"007047015553"</f>
        <v>007047015553</v>
      </c>
      <c r="G919" t="s">
        <v>3910</v>
      </c>
      <c r="H919" s="4">
        <v>56837.817000000003</v>
      </c>
    </row>
    <row r="920" spans="1:8" x14ac:dyDescent="0.3">
      <c r="A920" t="s">
        <v>6</v>
      </c>
      <c r="B920" t="s">
        <v>7</v>
      </c>
      <c r="C920" t="s">
        <v>1786</v>
      </c>
      <c r="D920" t="s">
        <v>9</v>
      </c>
      <c r="E920" t="s">
        <v>1795</v>
      </c>
      <c r="F920" t="str">
        <f>"072534228561"</f>
        <v>072534228561</v>
      </c>
      <c r="G920" t="s">
        <v>3561</v>
      </c>
      <c r="H920" s="4">
        <v>56772.913</v>
      </c>
    </row>
    <row r="921" spans="1:8" x14ac:dyDescent="0.3">
      <c r="A921" t="s">
        <v>6</v>
      </c>
      <c r="B921" t="s">
        <v>7</v>
      </c>
      <c r="C921" t="s">
        <v>1338</v>
      </c>
      <c r="D921" t="s">
        <v>9</v>
      </c>
      <c r="E921" t="s">
        <v>1339</v>
      </c>
      <c r="F921" t="str">
        <f>"001356200172"</f>
        <v>001356200172</v>
      </c>
      <c r="G921" t="s">
        <v>2900</v>
      </c>
      <c r="H921" s="4">
        <v>56316.491999999998</v>
      </c>
    </row>
    <row r="922" spans="1:8" x14ac:dyDescent="0.3">
      <c r="A922" t="s">
        <v>6</v>
      </c>
      <c r="B922" t="s">
        <v>7</v>
      </c>
      <c r="C922" t="s">
        <v>8</v>
      </c>
      <c r="D922" t="s">
        <v>9</v>
      </c>
      <c r="E922" t="s">
        <v>16</v>
      </c>
      <c r="F922" t="str">
        <f>"001600018863"</f>
        <v>001600018863</v>
      </c>
      <c r="G922" t="s">
        <v>4005</v>
      </c>
      <c r="H922" s="4">
        <v>55990.197999999997</v>
      </c>
    </row>
    <row r="923" spans="1:8" x14ac:dyDescent="0.3">
      <c r="A923" t="s">
        <v>6</v>
      </c>
      <c r="B923" t="s">
        <v>7</v>
      </c>
      <c r="C923" t="s">
        <v>616</v>
      </c>
      <c r="D923" t="s">
        <v>9</v>
      </c>
      <c r="E923" t="s">
        <v>704</v>
      </c>
      <c r="F923" t="str">
        <f>"002190812291"</f>
        <v>002190812291</v>
      </c>
      <c r="G923" t="s">
        <v>3674</v>
      </c>
      <c r="H923" s="4">
        <v>55965.64</v>
      </c>
    </row>
    <row r="924" spans="1:8" x14ac:dyDescent="0.3">
      <c r="A924" t="s">
        <v>6</v>
      </c>
      <c r="B924" t="s">
        <v>7</v>
      </c>
      <c r="C924" t="s">
        <v>797</v>
      </c>
      <c r="D924" t="s">
        <v>9</v>
      </c>
      <c r="E924" t="s">
        <v>948</v>
      </c>
      <c r="F924" t="str">
        <f>"001600040982"</f>
        <v>001600040982</v>
      </c>
      <c r="G924" t="s">
        <v>2544</v>
      </c>
      <c r="H924" s="4">
        <v>55848.796999999999</v>
      </c>
    </row>
    <row r="925" spans="1:8" x14ac:dyDescent="0.3">
      <c r="A925" t="s">
        <v>6</v>
      </c>
      <c r="B925" t="s">
        <v>7</v>
      </c>
      <c r="C925" t="s">
        <v>381</v>
      </c>
      <c r="D925" t="s">
        <v>9</v>
      </c>
      <c r="E925" t="s">
        <v>419</v>
      </c>
      <c r="F925" t="str">
        <f>"001600018468"</f>
        <v>001600018468</v>
      </c>
      <c r="G925" t="s">
        <v>3145</v>
      </c>
      <c r="H925" s="4">
        <v>55834.523000000001</v>
      </c>
    </row>
    <row r="926" spans="1:8" x14ac:dyDescent="0.3">
      <c r="A926" t="s">
        <v>6</v>
      </c>
      <c r="B926" t="s">
        <v>7</v>
      </c>
      <c r="C926" t="s">
        <v>1122</v>
      </c>
      <c r="D926" t="s">
        <v>9</v>
      </c>
      <c r="E926" t="s">
        <v>1236</v>
      </c>
      <c r="F926" t="str">
        <f>"001600019402"</f>
        <v>001600019402</v>
      </c>
      <c r="G926" t="s">
        <v>2389</v>
      </c>
      <c r="H926" s="4">
        <v>55764.47</v>
      </c>
    </row>
    <row r="927" spans="1:8" x14ac:dyDescent="0.3">
      <c r="A927" t="s">
        <v>6</v>
      </c>
      <c r="B927" t="s">
        <v>7</v>
      </c>
      <c r="C927" t="s">
        <v>1122</v>
      </c>
      <c r="D927" t="s">
        <v>9</v>
      </c>
      <c r="E927" t="s">
        <v>1156</v>
      </c>
      <c r="F927" t="str">
        <f>"001356211999"</f>
        <v>001356211999</v>
      </c>
      <c r="G927" t="s">
        <v>2748</v>
      </c>
      <c r="H927" s="4">
        <v>55603.77</v>
      </c>
    </row>
    <row r="928" spans="1:8" x14ac:dyDescent="0.3">
      <c r="A928" t="s">
        <v>6</v>
      </c>
      <c r="B928" t="s">
        <v>7</v>
      </c>
      <c r="C928" t="s">
        <v>1577</v>
      </c>
      <c r="D928" t="s">
        <v>9</v>
      </c>
      <c r="E928" t="s">
        <v>1656</v>
      </c>
      <c r="F928" t="str">
        <f>"004600028731"</f>
        <v>004600028731</v>
      </c>
      <c r="G928" t="s">
        <v>3425</v>
      </c>
      <c r="H928" s="4">
        <v>55355.832000000002</v>
      </c>
    </row>
    <row r="929" spans="1:8" x14ac:dyDescent="0.3">
      <c r="A929" t="s">
        <v>6</v>
      </c>
      <c r="B929" t="s">
        <v>7</v>
      </c>
      <c r="C929" t="s">
        <v>797</v>
      </c>
      <c r="D929" t="s">
        <v>9</v>
      </c>
      <c r="E929" t="s">
        <v>821</v>
      </c>
      <c r="F929" t="str">
        <f>"001600045410"</f>
        <v>001600045410</v>
      </c>
      <c r="G929" t="s">
        <v>2418</v>
      </c>
      <c r="H929" s="4">
        <v>55156.449000000001</v>
      </c>
    </row>
    <row r="930" spans="1:8" x14ac:dyDescent="0.3">
      <c r="A930" t="s">
        <v>6</v>
      </c>
      <c r="B930" t="s">
        <v>7</v>
      </c>
      <c r="C930" t="s">
        <v>985</v>
      </c>
      <c r="D930" t="s">
        <v>9</v>
      </c>
      <c r="E930" t="s">
        <v>991</v>
      </c>
      <c r="F930" t="str">
        <f>"001356211174"</f>
        <v>001356211174</v>
      </c>
      <c r="G930" t="s">
        <v>2586</v>
      </c>
      <c r="H930" s="4">
        <v>55085.39</v>
      </c>
    </row>
    <row r="931" spans="1:8" x14ac:dyDescent="0.3">
      <c r="A931" t="s">
        <v>6</v>
      </c>
      <c r="B931" t="s">
        <v>7</v>
      </c>
      <c r="C931" t="s">
        <v>1122</v>
      </c>
      <c r="D931" t="s">
        <v>9</v>
      </c>
      <c r="E931" t="s">
        <v>1165</v>
      </c>
      <c r="F931" t="str">
        <f>"001600016452"</f>
        <v>001600016452</v>
      </c>
      <c r="G931" t="s">
        <v>2754</v>
      </c>
      <c r="H931" s="4">
        <v>55061.31</v>
      </c>
    </row>
    <row r="932" spans="1:8" x14ac:dyDescent="0.3">
      <c r="A932" t="s">
        <v>6</v>
      </c>
      <c r="B932" t="s">
        <v>7</v>
      </c>
      <c r="C932" t="s">
        <v>1286</v>
      </c>
      <c r="D932" t="s">
        <v>9</v>
      </c>
      <c r="E932" t="s">
        <v>1316</v>
      </c>
      <c r="F932" t="str">
        <f>"001800042587"</f>
        <v>001800042587</v>
      </c>
      <c r="G932" t="s">
        <v>2880</v>
      </c>
      <c r="H932" s="4">
        <v>54812.85</v>
      </c>
    </row>
    <row r="933" spans="1:8" x14ac:dyDescent="0.3">
      <c r="A933" t="s">
        <v>6</v>
      </c>
      <c r="B933" t="s">
        <v>7</v>
      </c>
      <c r="C933" t="s">
        <v>381</v>
      </c>
      <c r="D933" t="s">
        <v>9</v>
      </c>
      <c r="E933" t="s">
        <v>384</v>
      </c>
      <c r="F933" t="str">
        <f>"001356211612"</f>
        <v>001356211612</v>
      </c>
      <c r="G933" t="s">
        <v>3113</v>
      </c>
      <c r="H933" s="4">
        <v>54792.08</v>
      </c>
    </row>
    <row r="934" spans="1:8" x14ac:dyDescent="0.3">
      <c r="A934" t="s">
        <v>6</v>
      </c>
      <c r="B934" t="s">
        <v>7</v>
      </c>
      <c r="C934" t="s">
        <v>1805</v>
      </c>
      <c r="D934" t="s">
        <v>9</v>
      </c>
      <c r="E934" t="s">
        <v>1877</v>
      </c>
      <c r="F934" t="str">
        <f>"001800000085"</f>
        <v>001800000085</v>
      </c>
      <c r="G934" t="s">
        <v>2389</v>
      </c>
      <c r="H934" s="4">
        <v>54664.95</v>
      </c>
    </row>
    <row r="935" spans="1:8" x14ac:dyDescent="0.3">
      <c r="A935" t="s">
        <v>6</v>
      </c>
      <c r="B935" t="s">
        <v>7</v>
      </c>
      <c r="C935" t="s">
        <v>381</v>
      </c>
      <c r="D935" t="s">
        <v>9</v>
      </c>
      <c r="E935" t="s">
        <v>486</v>
      </c>
      <c r="F935" t="str">
        <f>"001600017079"</f>
        <v>001600017079</v>
      </c>
      <c r="G935" t="s">
        <v>3213</v>
      </c>
      <c r="H935" s="4">
        <v>54663.383999999998</v>
      </c>
    </row>
    <row r="936" spans="1:8" x14ac:dyDescent="0.3">
      <c r="A936" t="s">
        <v>6</v>
      </c>
      <c r="B936" t="s">
        <v>7</v>
      </c>
      <c r="C936" t="s">
        <v>1552</v>
      </c>
      <c r="D936" t="s">
        <v>9</v>
      </c>
      <c r="E936" t="s">
        <v>1563</v>
      </c>
      <c r="F936" t="str">
        <f>"001356200019"</f>
        <v>001356200019</v>
      </c>
      <c r="G936" t="s">
        <v>3105</v>
      </c>
      <c r="H936" s="4">
        <v>54660.656999999999</v>
      </c>
    </row>
    <row r="937" spans="1:8" x14ac:dyDescent="0.3">
      <c r="A937" t="s">
        <v>6</v>
      </c>
      <c r="B937" t="s">
        <v>7</v>
      </c>
      <c r="C937" t="s">
        <v>2231</v>
      </c>
      <c r="D937" t="s">
        <v>9</v>
      </c>
      <c r="E937" t="s">
        <v>2296</v>
      </c>
      <c r="F937" t="str">
        <f>"004119612326"</f>
        <v>004119612326</v>
      </c>
      <c r="G937" t="s">
        <v>4492</v>
      </c>
      <c r="H937" s="4">
        <v>54628.902000000002</v>
      </c>
    </row>
    <row r="938" spans="1:8" x14ac:dyDescent="0.3">
      <c r="A938" t="s">
        <v>6</v>
      </c>
      <c r="B938" t="s">
        <v>7</v>
      </c>
      <c r="C938" t="s">
        <v>8</v>
      </c>
      <c r="D938" t="s">
        <v>9</v>
      </c>
      <c r="E938" t="s">
        <v>166</v>
      </c>
      <c r="F938" t="str">
        <f>"001600021144"</f>
        <v>001600021144</v>
      </c>
      <c r="G938" t="s">
        <v>4127</v>
      </c>
      <c r="H938" s="4">
        <v>54584.73</v>
      </c>
    </row>
    <row r="939" spans="1:8" x14ac:dyDescent="0.3">
      <c r="A939" t="s">
        <v>6</v>
      </c>
      <c r="B939" t="s">
        <v>7</v>
      </c>
      <c r="C939" t="s">
        <v>8</v>
      </c>
      <c r="D939" t="s">
        <v>9</v>
      </c>
      <c r="E939" t="s">
        <v>178</v>
      </c>
      <c r="F939" t="str">
        <f>"001600019305"</f>
        <v>001600019305</v>
      </c>
      <c r="G939" t="s">
        <v>4137</v>
      </c>
      <c r="H939" s="4">
        <v>54490.074999999997</v>
      </c>
    </row>
    <row r="940" spans="1:8" x14ac:dyDescent="0.3">
      <c r="A940" t="s">
        <v>6</v>
      </c>
      <c r="B940" t="s">
        <v>7</v>
      </c>
      <c r="C940" t="s">
        <v>1940</v>
      </c>
      <c r="D940" t="s">
        <v>9</v>
      </c>
      <c r="E940" t="s">
        <v>2032</v>
      </c>
      <c r="F940" t="str">
        <f>"007047017525"</f>
        <v>007047017525</v>
      </c>
      <c r="G940" t="s">
        <v>2389</v>
      </c>
      <c r="H940" s="4">
        <v>54430.84</v>
      </c>
    </row>
    <row r="941" spans="1:8" x14ac:dyDescent="0.3">
      <c r="A941" t="s">
        <v>6</v>
      </c>
      <c r="B941" t="s">
        <v>7</v>
      </c>
      <c r="C941" t="s">
        <v>1072</v>
      </c>
      <c r="D941" t="s">
        <v>9</v>
      </c>
      <c r="E941" t="s">
        <v>1094</v>
      </c>
      <c r="F941" t="str">
        <f>"001600041660"</f>
        <v>001600041660</v>
      </c>
      <c r="G941" t="s">
        <v>2697</v>
      </c>
      <c r="H941" s="4">
        <v>54211.771000000001</v>
      </c>
    </row>
    <row r="942" spans="1:8" x14ac:dyDescent="0.3">
      <c r="A942" t="s">
        <v>6</v>
      </c>
      <c r="B942" t="s">
        <v>7</v>
      </c>
      <c r="C942" t="s">
        <v>1122</v>
      </c>
      <c r="D942" t="s">
        <v>9</v>
      </c>
      <c r="E942" t="s">
        <v>1205</v>
      </c>
      <c r="F942" t="str">
        <f>"001600019405"</f>
        <v>001600019405</v>
      </c>
      <c r="G942" t="s">
        <v>2787</v>
      </c>
      <c r="H942" s="4">
        <v>54027.41</v>
      </c>
    </row>
    <row r="943" spans="1:8" x14ac:dyDescent="0.3">
      <c r="A943" t="s">
        <v>6</v>
      </c>
      <c r="B943" t="s">
        <v>7</v>
      </c>
      <c r="C943" t="s">
        <v>985</v>
      </c>
      <c r="D943" t="s">
        <v>9</v>
      </c>
      <c r="E943" t="s">
        <v>998</v>
      </c>
      <c r="F943" t="str">
        <f>"001356212303"</f>
        <v>001356212303</v>
      </c>
      <c r="G943" t="s">
        <v>2594</v>
      </c>
      <c r="H943" s="4">
        <v>53863.68</v>
      </c>
    </row>
    <row r="944" spans="1:8" x14ac:dyDescent="0.3">
      <c r="A944" t="s">
        <v>6</v>
      </c>
      <c r="B944" t="s">
        <v>7</v>
      </c>
      <c r="C944" t="s">
        <v>797</v>
      </c>
      <c r="D944" t="s">
        <v>9</v>
      </c>
      <c r="E944" t="s">
        <v>962</v>
      </c>
      <c r="F944" t="str">
        <f>"001600043054"</f>
        <v>001600043054</v>
      </c>
      <c r="G944" t="s">
        <v>2557</v>
      </c>
      <c r="H944" s="4">
        <v>53829.857000000004</v>
      </c>
    </row>
    <row r="945" spans="1:8" x14ac:dyDescent="0.3">
      <c r="A945" t="s">
        <v>6</v>
      </c>
      <c r="B945" t="s">
        <v>7</v>
      </c>
      <c r="C945" t="s">
        <v>1122</v>
      </c>
      <c r="D945" t="s">
        <v>9</v>
      </c>
      <c r="E945" t="s">
        <v>1134</v>
      </c>
      <c r="F945" t="str">
        <f>"001356212757"</f>
        <v>001356212757</v>
      </c>
      <c r="G945" t="s">
        <v>2729</v>
      </c>
      <c r="H945" s="4">
        <v>53689.394</v>
      </c>
    </row>
    <row r="946" spans="1:8" x14ac:dyDescent="0.3">
      <c r="A946" t="s">
        <v>6</v>
      </c>
      <c r="B946" t="s">
        <v>7</v>
      </c>
      <c r="C946" t="s">
        <v>1786</v>
      </c>
      <c r="D946" t="s">
        <v>9</v>
      </c>
      <c r="E946" t="s">
        <v>1797</v>
      </c>
      <c r="F946" t="str">
        <f>"072534229053"</f>
        <v>072534229053</v>
      </c>
      <c r="G946" t="s">
        <v>3571</v>
      </c>
      <c r="H946" s="4">
        <v>53286.474000000002</v>
      </c>
    </row>
    <row r="947" spans="1:8" x14ac:dyDescent="0.3">
      <c r="A947" t="s">
        <v>6</v>
      </c>
      <c r="B947" t="s">
        <v>7</v>
      </c>
      <c r="C947" t="s">
        <v>985</v>
      </c>
      <c r="D947" t="s">
        <v>9</v>
      </c>
      <c r="E947" t="s">
        <v>992</v>
      </c>
      <c r="F947" t="str">
        <f>"001356211181"</f>
        <v>001356211181</v>
      </c>
      <c r="G947" t="s">
        <v>2587</v>
      </c>
      <c r="H947" s="4">
        <v>53188.332999999999</v>
      </c>
    </row>
    <row r="948" spans="1:8" x14ac:dyDescent="0.3">
      <c r="A948" t="s">
        <v>6</v>
      </c>
      <c r="B948" t="s">
        <v>7</v>
      </c>
      <c r="C948" t="s">
        <v>985</v>
      </c>
      <c r="D948" t="s">
        <v>9</v>
      </c>
      <c r="E948" t="s">
        <v>994</v>
      </c>
      <c r="F948" t="str">
        <f>"001356211169"</f>
        <v>001356211169</v>
      </c>
      <c r="G948" t="s">
        <v>2589</v>
      </c>
      <c r="H948" s="4">
        <v>53122.953000000001</v>
      </c>
    </row>
    <row r="949" spans="1:8" x14ac:dyDescent="0.3">
      <c r="A949" t="s">
        <v>6</v>
      </c>
      <c r="B949" t="s">
        <v>7</v>
      </c>
      <c r="C949" t="s">
        <v>985</v>
      </c>
      <c r="D949" t="s">
        <v>9</v>
      </c>
      <c r="E949" t="s">
        <v>1071</v>
      </c>
      <c r="F949" t="str">
        <f>"001356200096"</f>
        <v>001356200096</v>
      </c>
      <c r="G949" t="s">
        <v>2389</v>
      </c>
      <c r="H949" s="4">
        <v>52982.57</v>
      </c>
    </row>
    <row r="950" spans="1:8" x14ac:dyDescent="0.3">
      <c r="A950" t="s">
        <v>6</v>
      </c>
      <c r="B950" t="s">
        <v>7</v>
      </c>
      <c r="C950" t="s">
        <v>1577</v>
      </c>
      <c r="D950" t="s">
        <v>9</v>
      </c>
      <c r="E950" t="s">
        <v>1603</v>
      </c>
      <c r="F950" t="str">
        <f>"004600012357"</f>
        <v>004600012357</v>
      </c>
      <c r="G950" t="s">
        <v>3367</v>
      </c>
      <c r="H950" s="4">
        <v>52562.633999999998</v>
      </c>
    </row>
    <row r="951" spans="1:8" x14ac:dyDescent="0.3">
      <c r="A951" t="s">
        <v>6</v>
      </c>
      <c r="B951" t="s">
        <v>7</v>
      </c>
      <c r="C951" t="s">
        <v>1729</v>
      </c>
      <c r="D951" t="s">
        <v>9</v>
      </c>
      <c r="E951" t="s">
        <v>1747</v>
      </c>
      <c r="F951" t="str">
        <f>"004119606056"</f>
        <v>004119606056</v>
      </c>
      <c r="G951" t="s">
        <v>3510</v>
      </c>
      <c r="H951" s="4">
        <v>52432.252</v>
      </c>
    </row>
    <row r="952" spans="1:8" x14ac:dyDescent="0.3">
      <c r="A952" t="s">
        <v>6</v>
      </c>
      <c r="B952" t="s">
        <v>7</v>
      </c>
      <c r="C952" t="s">
        <v>1805</v>
      </c>
      <c r="D952" t="s">
        <v>9</v>
      </c>
      <c r="E952" t="s">
        <v>1815</v>
      </c>
      <c r="F952" t="str">
        <f>"066559601302"</f>
        <v>066559601302</v>
      </c>
      <c r="G952" t="s">
        <v>3748</v>
      </c>
      <c r="H952" s="4">
        <v>52230.775000000001</v>
      </c>
    </row>
    <row r="953" spans="1:8" x14ac:dyDescent="0.3">
      <c r="A953" t="s">
        <v>6</v>
      </c>
      <c r="B953" t="s">
        <v>7</v>
      </c>
      <c r="C953" t="s">
        <v>8</v>
      </c>
      <c r="D953" t="s">
        <v>9</v>
      </c>
      <c r="E953" t="s">
        <v>57</v>
      </c>
      <c r="F953" t="str">
        <f>"002190813317"</f>
        <v>002190813317</v>
      </c>
      <c r="G953" t="s">
        <v>4034</v>
      </c>
      <c r="H953" s="4">
        <v>52207.031000000003</v>
      </c>
    </row>
    <row r="954" spans="1:8" x14ac:dyDescent="0.3">
      <c r="A954" t="s">
        <v>6</v>
      </c>
      <c r="B954" t="s">
        <v>7</v>
      </c>
      <c r="C954" t="s">
        <v>797</v>
      </c>
      <c r="D954" t="s">
        <v>9</v>
      </c>
      <c r="E954" t="s">
        <v>912</v>
      </c>
      <c r="F954" t="str">
        <f>"001600043058"</f>
        <v>001600043058</v>
      </c>
      <c r="G954" t="s">
        <v>2503</v>
      </c>
      <c r="H954" s="4">
        <v>52165.938000000002</v>
      </c>
    </row>
    <row r="955" spans="1:8" x14ac:dyDescent="0.3">
      <c r="A955" t="s">
        <v>6</v>
      </c>
      <c r="B955" t="s">
        <v>7</v>
      </c>
      <c r="C955" t="s">
        <v>8</v>
      </c>
      <c r="D955" t="s">
        <v>9</v>
      </c>
      <c r="E955" t="s">
        <v>50</v>
      </c>
      <c r="F955" t="str">
        <f>"002190813311"</f>
        <v>002190813311</v>
      </c>
      <c r="G955" t="s">
        <v>4028</v>
      </c>
      <c r="H955" s="4">
        <v>52164.584000000003</v>
      </c>
    </row>
    <row r="956" spans="1:8" x14ac:dyDescent="0.3">
      <c r="A956" t="s">
        <v>6</v>
      </c>
      <c r="B956" t="s">
        <v>7</v>
      </c>
      <c r="C956" t="s">
        <v>797</v>
      </c>
      <c r="D956" t="s">
        <v>9</v>
      </c>
      <c r="E956" t="s">
        <v>939</v>
      </c>
      <c r="F956" t="str">
        <f>"001600030200"</f>
        <v>001600030200</v>
      </c>
      <c r="G956" t="s">
        <v>2530</v>
      </c>
      <c r="H956" s="4">
        <v>52109.669000000002</v>
      </c>
    </row>
    <row r="957" spans="1:8" x14ac:dyDescent="0.3">
      <c r="A957" t="s">
        <v>6</v>
      </c>
      <c r="B957" t="s">
        <v>7</v>
      </c>
      <c r="C957" t="s">
        <v>985</v>
      </c>
      <c r="D957" t="s">
        <v>9</v>
      </c>
      <c r="E957" t="s">
        <v>1000</v>
      </c>
      <c r="F957" t="str">
        <f>"001356212887"</f>
        <v>001356212887</v>
      </c>
      <c r="G957" t="s">
        <v>2596</v>
      </c>
      <c r="H957" s="4">
        <v>52072.900999999998</v>
      </c>
    </row>
    <row r="958" spans="1:8" x14ac:dyDescent="0.3">
      <c r="A958" t="s">
        <v>6</v>
      </c>
      <c r="B958" t="s">
        <v>7</v>
      </c>
      <c r="C958" t="s">
        <v>8</v>
      </c>
      <c r="D958" t="s">
        <v>9</v>
      </c>
      <c r="E958" t="s">
        <v>58</v>
      </c>
      <c r="F958" t="str">
        <f>"002190813315"</f>
        <v>002190813315</v>
      </c>
      <c r="G958" t="s">
        <v>4035</v>
      </c>
      <c r="H958" s="4">
        <v>51904.877</v>
      </c>
    </row>
    <row r="959" spans="1:8" x14ac:dyDescent="0.3">
      <c r="A959" t="s">
        <v>6</v>
      </c>
      <c r="B959" t="s">
        <v>7</v>
      </c>
      <c r="C959" t="s">
        <v>2113</v>
      </c>
      <c r="D959" t="s">
        <v>9</v>
      </c>
      <c r="E959" t="s">
        <v>2187</v>
      </c>
      <c r="F959" t="str">
        <f>"001600047636"</f>
        <v>001600047636</v>
      </c>
      <c r="G959" t="s">
        <v>4392</v>
      </c>
      <c r="H959" s="4">
        <v>51684.959999999999</v>
      </c>
    </row>
    <row r="960" spans="1:8" x14ac:dyDescent="0.3">
      <c r="A960" t="s">
        <v>6</v>
      </c>
      <c r="B960" t="s">
        <v>7</v>
      </c>
      <c r="C960" t="s">
        <v>616</v>
      </c>
      <c r="D960" t="s">
        <v>9</v>
      </c>
      <c r="E960" t="s">
        <v>621</v>
      </c>
      <c r="F960" t="str">
        <f>"001600017989"</f>
        <v>001600017989</v>
      </c>
      <c r="G960" t="s">
        <v>3593</v>
      </c>
      <c r="H960" s="4">
        <v>51622.762000000002</v>
      </c>
    </row>
    <row r="961" spans="1:8" x14ac:dyDescent="0.3">
      <c r="A961" t="s">
        <v>6</v>
      </c>
      <c r="B961" t="s">
        <v>7</v>
      </c>
      <c r="C961" t="s">
        <v>2231</v>
      </c>
      <c r="D961" t="s">
        <v>9</v>
      </c>
      <c r="E961" t="s">
        <v>2233</v>
      </c>
      <c r="F961" t="str">
        <f>"001356210126"</f>
        <v>001356210126</v>
      </c>
      <c r="G961" t="s">
        <v>4430</v>
      </c>
      <c r="H961" s="4">
        <v>51378.152999999998</v>
      </c>
    </row>
    <row r="962" spans="1:8" x14ac:dyDescent="0.3">
      <c r="A962" t="s">
        <v>6</v>
      </c>
      <c r="B962" t="s">
        <v>7</v>
      </c>
      <c r="C962" t="s">
        <v>381</v>
      </c>
      <c r="D962" t="s">
        <v>9</v>
      </c>
      <c r="E962" t="s">
        <v>440</v>
      </c>
      <c r="F962" t="str">
        <f>"001600041149"</f>
        <v>001600041149</v>
      </c>
      <c r="G962" t="s">
        <v>3166</v>
      </c>
      <c r="H962" s="4">
        <v>51102.233</v>
      </c>
    </row>
    <row r="963" spans="1:8" x14ac:dyDescent="0.3">
      <c r="A963" t="s">
        <v>6</v>
      </c>
      <c r="B963" t="s">
        <v>7</v>
      </c>
      <c r="C963" t="s">
        <v>1940</v>
      </c>
      <c r="D963" t="s">
        <v>9</v>
      </c>
      <c r="E963" t="s">
        <v>1981</v>
      </c>
      <c r="F963" t="str">
        <f>"007047013774"</f>
        <v>007047013774</v>
      </c>
      <c r="G963" t="s">
        <v>2389</v>
      </c>
      <c r="H963" s="4">
        <v>50880.05</v>
      </c>
    </row>
    <row r="964" spans="1:8" x14ac:dyDescent="0.3">
      <c r="A964" t="s">
        <v>6</v>
      </c>
      <c r="B964" t="s">
        <v>7</v>
      </c>
      <c r="C964" t="s">
        <v>381</v>
      </c>
      <c r="D964" t="s">
        <v>9</v>
      </c>
      <c r="E964" t="s">
        <v>528</v>
      </c>
      <c r="F964" t="str">
        <f>"001600018795"</f>
        <v>001600018795</v>
      </c>
      <c r="G964" t="s">
        <v>3252</v>
      </c>
      <c r="H964" s="4">
        <v>50862.561999999998</v>
      </c>
    </row>
    <row r="965" spans="1:8" x14ac:dyDescent="0.3">
      <c r="A965" t="s">
        <v>6</v>
      </c>
      <c r="B965" t="s">
        <v>7</v>
      </c>
      <c r="C965" t="s">
        <v>616</v>
      </c>
      <c r="D965" t="s">
        <v>9</v>
      </c>
      <c r="E965" t="s">
        <v>717</v>
      </c>
      <c r="F965" t="str">
        <f>"002190811585"</f>
        <v>002190811585</v>
      </c>
      <c r="G965" t="s">
        <v>3687</v>
      </c>
      <c r="H965" s="4">
        <v>50485.3</v>
      </c>
    </row>
    <row r="966" spans="1:8" x14ac:dyDescent="0.3">
      <c r="A966" t="s">
        <v>6</v>
      </c>
      <c r="B966" t="s">
        <v>7</v>
      </c>
      <c r="C966" t="s">
        <v>1122</v>
      </c>
      <c r="D966" t="s">
        <v>9</v>
      </c>
      <c r="E966" t="s">
        <v>1192</v>
      </c>
      <c r="F966" t="str">
        <f>"001600018575"</f>
        <v>001600018575</v>
      </c>
      <c r="G966" t="s">
        <v>2779</v>
      </c>
      <c r="H966" s="4">
        <v>50430.491999999998</v>
      </c>
    </row>
    <row r="967" spans="1:8" x14ac:dyDescent="0.3">
      <c r="A967" t="s">
        <v>6</v>
      </c>
      <c r="B967" t="s">
        <v>7</v>
      </c>
      <c r="C967" t="s">
        <v>8</v>
      </c>
      <c r="D967" t="s">
        <v>9</v>
      </c>
      <c r="E967" t="s">
        <v>187</v>
      </c>
      <c r="F967" t="str">
        <f>"001600020234"</f>
        <v>001600020234</v>
      </c>
      <c r="G967" t="s">
        <v>4146</v>
      </c>
      <c r="H967" s="4">
        <v>50270.775000000001</v>
      </c>
    </row>
    <row r="968" spans="1:8" x14ac:dyDescent="0.3">
      <c r="A968" t="s">
        <v>6</v>
      </c>
      <c r="B968" t="s">
        <v>7</v>
      </c>
      <c r="C968" t="s">
        <v>381</v>
      </c>
      <c r="D968" t="s">
        <v>9</v>
      </c>
      <c r="E968" t="s">
        <v>609</v>
      </c>
      <c r="F968" t="str">
        <f>"001600010528"</f>
        <v>001600010528</v>
      </c>
      <c r="G968" t="s">
        <v>3337</v>
      </c>
      <c r="H968" s="4">
        <v>50206.05</v>
      </c>
    </row>
    <row r="969" spans="1:8" x14ac:dyDescent="0.3">
      <c r="A969" t="s">
        <v>6</v>
      </c>
      <c r="B969" t="s">
        <v>7</v>
      </c>
      <c r="C969" t="s">
        <v>2113</v>
      </c>
      <c r="D969" t="s">
        <v>9</v>
      </c>
      <c r="E969" t="s">
        <v>2197</v>
      </c>
      <c r="F969" t="str">
        <f>"001600028988"</f>
        <v>001600028988</v>
      </c>
      <c r="G969" t="s">
        <v>4401</v>
      </c>
      <c r="H969" s="4">
        <v>50120.51</v>
      </c>
    </row>
    <row r="970" spans="1:8" x14ac:dyDescent="0.3">
      <c r="A970" t="s">
        <v>6</v>
      </c>
      <c r="B970" t="s">
        <v>7</v>
      </c>
      <c r="C970" t="s">
        <v>1805</v>
      </c>
      <c r="D970" t="s">
        <v>9</v>
      </c>
      <c r="E970" t="s">
        <v>1906</v>
      </c>
      <c r="F970" t="str">
        <f>"001800013425"</f>
        <v>001800013425</v>
      </c>
      <c r="G970" t="s">
        <v>3790</v>
      </c>
      <c r="H970" s="4">
        <v>50069.36</v>
      </c>
    </row>
    <row r="971" spans="1:8" x14ac:dyDescent="0.3">
      <c r="A971" t="s">
        <v>6</v>
      </c>
      <c r="B971" t="s">
        <v>7</v>
      </c>
      <c r="C971" t="s">
        <v>797</v>
      </c>
      <c r="D971" t="s">
        <v>9</v>
      </c>
      <c r="E971" t="s">
        <v>906</v>
      </c>
      <c r="F971" t="str">
        <f>"001600030280"</f>
        <v>001600030280</v>
      </c>
      <c r="G971" t="s">
        <v>2497</v>
      </c>
      <c r="H971" s="4">
        <v>49812.857000000004</v>
      </c>
    </row>
    <row r="972" spans="1:8" x14ac:dyDescent="0.3">
      <c r="A972" t="s">
        <v>6</v>
      </c>
      <c r="B972" t="s">
        <v>7</v>
      </c>
      <c r="C972" t="s">
        <v>381</v>
      </c>
      <c r="D972" t="s">
        <v>9</v>
      </c>
      <c r="E972" t="s">
        <v>526</v>
      </c>
      <c r="F972" t="str">
        <f>"001600028415"</f>
        <v>001600028415</v>
      </c>
      <c r="G972" t="s">
        <v>3250</v>
      </c>
      <c r="H972" s="4">
        <v>49718.860999999997</v>
      </c>
    </row>
    <row r="973" spans="1:8" x14ac:dyDescent="0.3">
      <c r="A973" t="s">
        <v>6</v>
      </c>
      <c r="B973" t="s">
        <v>7</v>
      </c>
      <c r="C973" t="s">
        <v>2231</v>
      </c>
      <c r="D973" t="s">
        <v>9</v>
      </c>
      <c r="E973" t="s">
        <v>2330</v>
      </c>
      <c r="F973" t="str">
        <f>"004119611065"</f>
        <v>004119611065</v>
      </c>
      <c r="G973" t="s">
        <v>4521</v>
      </c>
      <c r="H973" s="4">
        <v>49615.084999999999</v>
      </c>
    </row>
    <row r="974" spans="1:8" x14ac:dyDescent="0.3">
      <c r="A974" t="s">
        <v>6</v>
      </c>
      <c r="B974" t="s">
        <v>7</v>
      </c>
      <c r="C974" t="s">
        <v>2113</v>
      </c>
      <c r="D974" t="s">
        <v>9</v>
      </c>
      <c r="E974" t="s">
        <v>2194</v>
      </c>
      <c r="F974" t="str">
        <f>"001600045128"</f>
        <v>001600045128</v>
      </c>
      <c r="G974" t="s">
        <v>4399</v>
      </c>
      <c r="H974" s="4">
        <v>49193.989000000001</v>
      </c>
    </row>
    <row r="975" spans="1:8" x14ac:dyDescent="0.3">
      <c r="A975" t="s">
        <v>6</v>
      </c>
      <c r="B975" t="s">
        <v>7</v>
      </c>
      <c r="C975" t="s">
        <v>616</v>
      </c>
      <c r="D975" t="s">
        <v>9</v>
      </c>
      <c r="E975" t="s">
        <v>626</v>
      </c>
      <c r="F975" t="str">
        <f>"001600016434"</f>
        <v>001600016434</v>
      </c>
      <c r="G975" t="s">
        <v>3598</v>
      </c>
      <c r="H975" s="4">
        <v>49192.39</v>
      </c>
    </row>
    <row r="976" spans="1:8" x14ac:dyDescent="0.3">
      <c r="A976" t="s">
        <v>6</v>
      </c>
      <c r="B976" t="s">
        <v>7</v>
      </c>
      <c r="C976" t="s">
        <v>8</v>
      </c>
      <c r="D976" t="s">
        <v>9</v>
      </c>
      <c r="E976" t="s">
        <v>266</v>
      </c>
      <c r="F976" t="str">
        <f>"001600017934"</f>
        <v>001600017934</v>
      </c>
      <c r="G976" t="s">
        <v>4219</v>
      </c>
      <c r="H976" s="4">
        <v>49180.123</v>
      </c>
    </row>
    <row r="977" spans="1:8" x14ac:dyDescent="0.3">
      <c r="A977" t="s">
        <v>6</v>
      </c>
      <c r="B977" t="s">
        <v>7</v>
      </c>
      <c r="C977" t="s">
        <v>381</v>
      </c>
      <c r="D977" t="s">
        <v>9</v>
      </c>
      <c r="E977" t="s">
        <v>547</v>
      </c>
      <c r="F977" t="str">
        <f>"001600020038"</f>
        <v>001600020038</v>
      </c>
      <c r="G977" t="s">
        <v>3270</v>
      </c>
      <c r="H977" s="4">
        <v>49081.802000000003</v>
      </c>
    </row>
    <row r="978" spans="1:8" x14ac:dyDescent="0.3">
      <c r="A978" t="s">
        <v>6</v>
      </c>
      <c r="B978" t="s">
        <v>7</v>
      </c>
      <c r="C978" t="s">
        <v>616</v>
      </c>
      <c r="D978" t="s">
        <v>9</v>
      </c>
      <c r="E978" t="s">
        <v>718</v>
      </c>
      <c r="F978" t="str">
        <f>"002190850925"</f>
        <v>002190850925</v>
      </c>
      <c r="G978" t="s">
        <v>3688</v>
      </c>
      <c r="H978" s="4">
        <v>48715.472000000002</v>
      </c>
    </row>
    <row r="979" spans="1:8" x14ac:dyDescent="0.3">
      <c r="A979" t="s">
        <v>6</v>
      </c>
      <c r="B979" t="s">
        <v>7</v>
      </c>
      <c r="C979" t="s">
        <v>2113</v>
      </c>
      <c r="D979" t="s">
        <v>9</v>
      </c>
      <c r="E979" t="s">
        <v>2215</v>
      </c>
      <c r="F979" t="str">
        <f>"001600014888"</f>
        <v>001600014888</v>
      </c>
      <c r="G979" t="s">
        <v>4415</v>
      </c>
      <c r="H979" s="4">
        <v>48599.065000000002</v>
      </c>
    </row>
    <row r="980" spans="1:8" x14ac:dyDescent="0.3">
      <c r="A980" t="s">
        <v>6</v>
      </c>
      <c r="B980" t="s">
        <v>7</v>
      </c>
      <c r="C980" t="s">
        <v>8</v>
      </c>
      <c r="D980" t="s">
        <v>9</v>
      </c>
      <c r="E980" t="s">
        <v>342</v>
      </c>
      <c r="F980" t="str">
        <f>"001600020128"</f>
        <v>001600020128</v>
      </c>
      <c r="G980" t="s">
        <v>4288</v>
      </c>
      <c r="H980" s="4">
        <v>48455.839999999997</v>
      </c>
    </row>
    <row r="981" spans="1:8" x14ac:dyDescent="0.3">
      <c r="A981" t="s">
        <v>6</v>
      </c>
      <c r="B981" t="s">
        <v>7</v>
      </c>
      <c r="C981" t="s">
        <v>1805</v>
      </c>
      <c r="D981" t="s">
        <v>9</v>
      </c>
      <c r="E981" t="s">
        <v>1845</v>
      </c>
      <c r="F981" t="str">
        <f>"001800000127"</f>
        <v>001800000127</v>
      </c>
      <c r="G981" t="s">
        <v>2389</v>
      </c>
      <c r="H981" s="4">
        <v>48313.495000000003</v>
      </c>
    </row>
    <row r="982" spans="1:8" x14ac:dyDescent="0.3">
      <c r="A982" t="s">
        <v>6</v>
      </c>
      <c r="B982" t="s">
        <v>7</v>
      </c>
      <c r="C982" t="s">
        <v>797</v>
      </c>
      <c r="D982" t="s">
        <v>9</v>
      </c>
      <c r="E982" t="s">
        <v>946</v>
      </c>
      <c r="F982" t="str">
        <f>"001600040989"</f>
        <v>001600040989</v>
      </c>
      <c r="G982" t="s">
        <v>2542</v>
      </c>
      <c r="H982" s="4">
        <v>48294.851000000002</v>
      </c>
    </row>
    <row r="983" spans="1:8" x14ac:dyDescent="0.3">
      <c r="A983" t="s">
        <v>6</v>
      </c>
      <c r="B983" t="s">
        <v>7</v>
      </c>
      <c r="C983" t="s">
        <v>797</v>
      </c>
      <c r="D983" t="s">
        <v>9</v>
      </c>
      <c r="E983" t="s">
        <v>940</v>
      </c>
      <c r="F983" t="str">
        <f>"001600045850"</f>
        <v>001600045850</v>
      </c>
      <c r="G983" t="s">
        <v>2534</v>
      </c>
      <c r="H983" s="4">
        <v>48227.707000000002</v>
      </c>
    </row>
    <row r="984" spans="1:8" x14ac:dyDescent="0.3">
      <c r="A984" t="s">
        <v>6</v>
      </c>
      <c r="B984" t="s">
        <v>7</v>
      </c>
      <c r="C984" t="s">
        <v>1122</v>
      </c>
      <c r="D984" t="s">
        <v>9</v>
      </c>
      <c r="E984" t="s">
        <v>1255</v>
      </c>
      <c r="F984" t="str">
        <f>"001600018001"</f>
        <v>001600018001</v>
      </c>
      <c r="G984" t="s">
        <v>2828</v>
      </c>
      <c r="H984" s="4">
        <v>48135.817000000003</v>
      </c>
    </row>
    <row r="985" spans="1:8" x14ac:dyDescent="0.3">
      <c r="A985" t="s">
        <v>6</v>
      </c>
      <c r="B985" t="s">
        <v>7</v>
      </c>
      <c r="C985" t="s">
        <v>1940</v>
      </c>
      <c r="D985" t="s">
        <v>9</v>
      </c>
      <c r="E985" t="s">
        <v>2111</v>
      </c>
      <c r="F985" t="str">
        <f>"007047018094"</f>
        <v>007047018094</v>
      </c>
      <c r="G985" t="s">
        <v>2389</v>
      </c>
      <c r="H985" s="4">
        <v>48117.66</v>
      </c>
    </row>
    <row r="986" spans="1:8" x14ac:dyDescent="0.3">
      <c r="A986" t="s">
        <v>6</v>
      </c>
      <c r="B986" t="s">
        <v>7</v>
      </c>
      <c r="C986" t="s">
        <v>381</v>
      </c>
      <c r="D986" t="s">
        <v>9</v>
      </c>
      <c r="E986" t="s">
        <v>402</v>
      </c>
      <c r="F986" t="str">
        <f>"002190829102"</f>
        <v>002190829102</v>
      </c>
      <c r="G986" t="s">
        <v>3129</v>
      </c>
      <c r="H986" s="4">
        <v>47837.686000000002</v>
      </c>
    </row>
    <row r="987" spans="1:8" x14ac:dyDescent="0.3">
      <c r="A987" t="s">
        <v>6</v>
      </c>
      <c r="B987" t="s">
        <v>7</v>
      </c>
      <c r="C987" t="s">
        <v>2113</v>
      </c>
      <c r="D987" t="s">
        <v>9</v>
      </c>
      <c r="E987" t="s">
        <v>2206</v>
      </c>
      <c r="F987" t="str">
        <f>"001600018693"</f>
        <v>001600018693</v>
      </c>
      <c r="G987" t="s">
        <v>4409</v>
      </c>
      <c r="H987" s="4">
        <v>47765.440000000002</v>
      </c>
    </row>
    <row r="988" spans="1:8" x14ac:dyDescent="0.3">
      <c r="A988" t="s">
        <v>6</v>
      </c>
      <c r="B988" t="s">
        <v>7</v>
      </c>
      <c r="C988" t="s">
        <v>1695</v>
      </c>
      <c r="D988" t="s">
        <v>9</v>
      </c>
      <c r="E988" t="s">
        <v>1726</v>
      </c>
      <c r="F988" t="str">
        <f>"002190850340"</f>
        <v>002190850340</v>
      </c>
      <c r="G988" t="s">
        <v>3490</v>
      </c>
      <c r="H988" s="4">
        <v>47692.92</v>
      </c>
    </row>
    <row r="989" spans="1:8" x14ac:dyDescent="0.3">
      <c r="A989" t="s">
        <v>6</v>
      </c>
      <c r="B989" t="s">
        <v>7</v>
      </c>
      <c r="C989" t="s">
        <v>8</v>
      </c>
      <c r="D989" t="s">
        <v>9</v>
      </c>
      <c r="E989" t="s">
        <v>100</v>
      </c>
      <c r="F989" t="str">
        <f>"001600012795"</f>
        <v>001600012795</v>
      </c>
      <c r="G989" t="s">
        <v>4070</v>
      </c>
      <c r="H989" s="4">
        <v>47635.932000000001</v>
      </c>
    </row>
    <row r="990" spans="1:8" x14ac:dyDescent="0.3">
      <c r="A990" t="s">
        <v>6</v>
      </c>
      <c r="B990" t="s">
        <v>7</v>
      </c>
      <c r="C990" t="s">
        <v>381</v>
      </c>
      <c r="D990" t="s">
        <v>9</v>
      </c>
      <c r="E990" t="s">
        <v>604</v>
      </c>
      <c r="F990" t="str">
        <f>"001600015893"</f>
        <v>001600015893</v>
      </c>
      <c r="G990" t="s">
        <v>3333</v>
      </c>
      <c r="H990" s="4">
        <v>47397.65</v>
      </c>
    </row>
    <row r="991" spans="1:8" x14ac:dyDescent="0.3">
      <c r="A991" t="s">
        <v>6</v>
      </c>
      <c r="B991" t="s">
        <v>7</v>
      </c>
      <c r="C991" t="s">
        <v>1805</v>
      </c>
      <c r="D991" t="s">
        <v>9</v>
      </c>
      <c r="E991" t="s">
        <v>1839</v>
      </c>
      <c r="F991" t="str">
        <f>"001800084272"</f>
        <v>001800084272</v>
      </c>
      <c r="G991" t="s">
        <v>3768</v>
      </c>
      <c r="H991" s="4">
        <v>46831.32</v>
      </c>
    </row>
    <row r="992" spans="1:8" x14ac:dyDescent="0.3">
      <c r="A992" t="s">
        <v>6</v>
      </c>
      <c r="B992" t="s">
        <v>7</v>
      </c>
      <c r="C992" t="s">
        <v>8</v>
      </c>
      <c r="D992" t="s">
        <v>9</v>
      </c>
      <c r="E992" t="s">
        <v>42</v>
      </c>
      <c r="F992" t="str">
        <f>"002190845553"</f>
        <v>002190845553</v>
      </c>
      <c r="G992" t="s">
        <v>4021</v>
      </c>
      <c r="H992" s="4">
        <v>46074.271999999997</v>
      </c>
    </row>
    <row r="993" spans="1:8" x14ac:dyDescent="0.3">
      <c r="A993" t="s">
        <v>6</v>
      </c>
      <c r="B993" t="s">
        <v>7</v>
      </c>
      <c r="C993" t="s">
        <v>1577</v>
      </c>
      <c r="D993" t="s">
        <v>9</v>
      </c>
      <c r="E993" t="s">
        <v>1678</v>
      </c>
      <c r="F993" t="str">
        <f>"004600081201"</f>
        <v>004600081201</v>
      </c>
      <c r="G993" t="s">
        <v>3445</v>
      </c>
      <c r="H993" s="4">
        <v>46012.875</v>
      </c>
    </row>
    <row r="994" spans="1:8" x14ac:dyDescent="0.3">
      <c r="A994" t="s">
        <v>6</v>
      </c>
      <c r="B994" t="s">
        <v>7</v>
      </c>
      <c r="C994" t="s">
        <v>2231</v>
      </c>
      <c r="D994" t="s">
        <v>9</v>
      </c>
      <c r="E994" t="s">
        <v>2367</v>
      </c>
      <c r="F994" t="str">
        <f>"004119648674"</f>
        <v>004119648674</v>
      </c>
      <c r="G994" t="s">
        <v>4558</v>
      </c>
      <c r="H994" s="4">
        <v>45977.915999999997</v>
      </c>
    </row>
    <row r="995" spans="1:8" x14ac:dyDescent="0.3">
      <c r="A995" t="s">
        <v>6</v>
      </c>
      <c r="B995" t="s">
        <v>7</v>
      </c>
      <c r="C995" t="s">
        <v>616</v>
      </c>
      <c r="D995" t="s">
        <v>9</v>
      </c>
      <c r="E995" t="s">
        <v>726</v>
      </c>
      <c r="F995" t="str">
        <f>"002190850937"</f>
        <v>002190850937</v>
      </c>
      <c r="G995" t="s">
        <v>3696</v>
      </c>
      <c r="H995" s="4">
        <v>45953.220999999998</v>
      </c>
    </row>
    <row r="996" spans="1:8" x14ac:dyDescent="0.3">
      <c r="A996" t="s">
        <v>6</v>
      </c>
      <c r="B996" t="s">
        <v>7</v>
      </c>
      <c r="C996" t="s">
        <v>616</v>
      </c>
      <c r="D996" t="s">
        <v>9</v>
      </c>
      <c r="E996" t="s">
        <v>756</v>
      </c>
      <c r="F996" t="str">
        <f>"002190813296"</f>
        <v>002190813296</v>
      </c>
      <c r="G996" t="s">
        <v>2389</v>
      </c>
      <c r="H996" s="4">
        <v>45733.94</v>
      </c>
    </row>
    <row r="997" spans="1:8" x14ac:dyDescent="0.3">
      <c r="A997" t="s">
        <v>6</v>
      </c>
      <c r="B997" t="s">
        <v>7</v>
      </c>
      <c r="C997" t="s">
        <v>985</v>
      </c>
      <c r="D997" t="s">
        <v>9</v>
      </c>
      <c r="E997" t="s">
        <v>1000</v>
      </c>
      <c r="F997" t="str">
        <f>"001356213372"</f>
        <v>001356213372</v>
      </c>
      <c r="G997" t="s">
        <v>2598</v>
      </c>
      <c r="H997" s="4">
        <v>45716.732000000004</v>
      </c>
    </row>
    <row r="998" spans="1:8" x14ac:dyDescent="0.3">
      <c r="A998" t="s">
        <v>6</v>
      </c>
      <c r="B998" t="s">
        <v>7</v>
      </c>
      <c r="C998" t="s">
        <v>1122</v>
      </c>
      <c r="D998" t="s">
        <v>9</v>
      </c>
      <c r="E998" t="s">
        <v>1202</v>
      </c>
      <c r="F998" t="str">
        <f>"001600019613"</f>
        <v>001600019613</v>
      </c>
      <c r="G998" t="s">
        <v>2389</v>
      </c>
      <c r="H998" s="4">
        <v>45611.495000000003</v>
      </c>
    </row>
    <row r="999" spans="1:8" x14ac:dyDescent="0.3">
      <c r="A999" t="s">
        <v>6</v>
      </c>
      <c r="B999" t="s">
        <v>7</v>
      </c>
      <c r="C999" t="s">
        <v>1940</v>
      </c>
      <c r="D999" t="s">
        <v>9</v>
      </c>
      <c r="E999" t="s">
        <v>2011</v>
      </c>
      <c r="F999" t="str">
        <f>"007047010376"</f>
        <v>007047010376</v>
      </c>
      <c r="G999" t="s">
        <v>3902</v>
      </c>
      <c r="H999" s="4">
        <v>45572.947</v>
      </c>
    </row>
    <row r="1000" spans="1:8" x14ac:dyDescent="0.3">
      <c r="A1000" t="s">
        <v>6</v>
      </c>
      <c r="B1000" t="s">
        <v>7</v>
      </c>
      <c r="C1000" t="s">
        <v>1095</v>
      </c>
      <c r="D1000" t="s">
        <v>9</v>
      </c>
      <c r="E1000" t="s">
        <v>1112</v>
      </c>
      <c r="F1000" t="str">
        <f>"001600018134"</f>
        <v>001600018134</v>
      </c>
      <c r="G1000" t="s">
        <v>2712</v>
      </c>
      <c r="H1000" s="4">
        <v>45527.184999999998</v>
      </c>
    </row>
    <row r="1001" spans="1:8" x14ac:dyDescent="0.3">
      <c r="A1001" t="s">
        <v>6</v>
      </c>
      <c r="B1001" t="s">
        <v>7</v>
      </c>
      <c r="C1001" t="s">
        <v>1940</v>
      </c>
      <c r="D1001" t="s">
        <v>9</v>
      </c>
      <c r="E1001" t="s">
        <v>1998</v>
      </c>
      <c r="F1001" t="str">
        <f>"007047041945"</f>
        <v>007047041945</v>
      </c>
      <c r="G1001" t="s">
        <v>3893</v>
      </c>
      <c r="H1001" s="4">
        <v>45368.222999999998</v>
      </c>
    </row>
    <row r="1002" spans="1:8" x14ac:dyDescent="0.3">
      <c r="A1002" t="s">
        <v>6</v>
      </c>
      <c r="B1002" t="s">
        <v>7</v>
      </c>
      <c r="C1002" t="s">
        <v>1940</v>
      </c>
      <c r="D1002" t="s">
        <v>9</v>
      </c>
      <c r="E1002" t="s">
        <v>2090</v>
      </c>
      <c r="F1002" t="str">
        <f>"007047000317"</f>
        <v>007047000317</v>
      </c>
      <c r="G1002" t="s">
        <v>3978</v>
      </c>
      <c r="H1002" s="4">
        <v>45180.77</v>
      </c>
    </row>
    <row r="1003" spans="1:8" x14ac:dyDescent="0.3">
      <c r="A1003" t="s">
        <v>6</v>
      </c>
      <c r="B1003" t="s">
        <v>7</v>
      </c>
      <c r="C1003" t="s">
        <v>381</v>
      </c>
      <c r="D1003" t="s">
        <v>9</v>
      </c>
      <c r="E1003" t="s">
        <v>491</v>
      </c>
      <c r="F1003" t="str">
        <f>"001600028372"</f>
        <v>001600028372</v>
      </c>
      <c r="G1003" t="s">
        <v>3218</v>
      </c>
      <c r="H1003" s="4">
        <v>45108.557999999997</v>
      </c>
    </row>
    <row r="1004" spans="1:8" x14ac:dyDescent="0.3">
      <c r="A1004" t="s">
        <v>6</v>
      </c>
      <c r="B1004" t="s">
        <v>7</v>
      </c>
      <c r="C1004" t="s">
        <v>797</v>
      </c>
      <c r="D1004" t="s">
        <v>9</v>
      </c>
      <c r="E1004" t="s">
        <v>834</v>
      </c>
      <c r="F1004" t="str">
        <f>"001600020888"</f>
        <v>001600020888</v>
      </c>
      <c r="G1004" t="s">
        <v>2430</v>
      </c>
      <c r="H1004" s="4">
        <v>44966.61</v>
      </c>
    </row>
    <row r="1005" spans="1:8" x14ac:dyDescent="0.3">
      <c r="A1005" t="s">
        <v>6</v>
      </c>
      <c r="B1005" t="s">
        <v>7</v>
      </c>
      <c r="C1005" t="s">
        <v>2113</v>
      </c>
      <c r="D1005" t="s">
        <v>9</v>
      </c>
      <c r="E1005" t="s">
        <v>2118</v>
      </c>
      <c r="F1005" t="str">
        <f>"001356230055"</f>
        <v>001356230055</v>
      </c>
      <c r="G1005" t="s">
        <v>4327</v>
      </c>
      <c r="H1005" s="4">
        <v>44949.264000000003</v>
      </c>
    </row>
    <row r="1006" spans="1:8" x14ac:dyDescent="0.3">
      <c r="A1006" t="s">
        <v>6</v>
      </c>
      <c r="B1006" t="s">
        <v>7</v>
      </c>
      <c r="C1006" t="s">
        <v>1940</v>
      </c>
      <c r="D1006" t="s">
        <v>9</v>
      </c>
      <c r="E1006" t="s">
        <v>1972</v>
      </c>
      <c r="F1006" t="str">
        <f>"007047020629"</f>
        <v>007047020629</v>
      </c>
      <c r="G1006" t="s">
        <v>3861</v>
      </c>
      <c r="H1006" s="4">
        <v>44874.16</v>
      </c>
    </row>
    <row r="1007" spans="1:8" x14ac:dyDescent="0.3">
      <c r="A1007" t="s">
        <v>6</v>
      </c>
      <c r="B1007" t="s">
        <v>7</v>
      </c>
      <c r="C1007" t="s">
        <v>616</v>
      </c>
      <c r="D1007" t="s">
        <v>9</v>
      </c>
      <c r="E1007" t="s">
        <v>668</v>
      </c>
      <c r="F1007" t="str">
        <f>"002190811584"</f>
        <v>002190811584</v>
      </c>
      <c r="G1007" t="s">
        <v>3638</v>
      </c>
      <c r="H1007" s="4">
        <v>44867.129000000001</v>
      </c>
    </row>
    <row r="1008" spans="1:8" x14ac:dyDescent="0.3">
      <c r="A1008" t="s">
        <v>6</v>
      </c>
      <c r="B1008" t="s">
        <v>7</v>
      </c>
      <c r="C1008" t="s">
        <v>2113</v>
      </c>
      <c r="D1008" t="s">
        <v>9</v>
      </c>
      <c r="E1008" t="s">
        <v>2170</v>
      </c>
      <c r="F1008" t="str">
        <f>"001600049814"</f>
        <v>001600049814</v>
      </c>
      <c r="G1008" t="s">
        <v>2389</v>
      </c>
      <c r="H1008" s="4">
        <v>44690.98</v>
      </c>
    </row>
    <row r="1009" spans="1:8" x14ac:dyDescent="0.3">
      <c r="A1009" t="s">
        <v>6</v>
      </c>
      <c r="B1009" t="s">
        <v>7</v>
      </c>
      <c r="C1009" t="s">
        <v>2231</v>
      </c>
      <c r="D1009" t="s">
        <v>9</v>
      </c>
      <c r="E1009" t="s">
        <v>2366</v>
      </c>
      <c r="F1009" t="str">
        <f>"004119691084"</f>
        <v>004119691084</v>
      </c>
      <c r="G1009" t="s">
        <v>4557</v>
      </c>
      <c r="H1009" s="4">
        <v>44600.150999999998</v>
      </c>
    </row>
    <row r="1010" spans="1:8" x14ac:dyDescent="0.3">
      <c r="A1010" t="s">
        <v>6</v>
      </c>
      <c r="B1010" t="s">
        <v>7</v>
      </c>
      <c r="C1010" t="s">
        <v>1397</v>
      </c>
      <c r="D1010" t="s">
        <v>9</v>
      </c>
      <c r="E1010" t="s">
        <v>1415</v>
      </c>
      <c r="F1010" t="str">
        <f>"001600012929"</f>
        <v>001600012929</v>
      </c>
      <c r="G1010" t="s">
        <v>2966</v>
      </c>
      <c r="H1010" s="4">
        <v>44561.466</v>
      </c>
    </row>
    <row r="1011" spans="1:8" x14ac:dyDescent="0.3">
      <c r="A1011" t="s">
        <v>6</v>
      </c>
      <c r="B1011" t="s">
        <v>7</v>
      </c>
      <c r="C1011" t="s">
        <v>1072</v>
      </c>
      <c r="D1011" t="s">
        <v>9</v>
      </c>
      <c r="E1011" t="s">
        <v>1084</v>
      </c>
      <c r="F1011" t="str">
        <f>"001600041550"</f>
        <v>001600041550</v>
      </c>
      <c r="G1011" t="s">
        <v>2689</v>
      </c>
      <c r="H1011" s="4">
        <v>44239.714</v>
      </c>
    </row>
    <row r="1012" spans="1:8" x14ac:dyDescent="0.3">
      <c r="A1012" t="s">
        <v>6</v>
      </c>
      <c r="B1012" t="s">
        <v>7</v>
      </c>
      <c r="C1012" t="s">
        <v>8</v>
      </c>
      <c r="D1012" t="s">
        <v>9</v>
      </c>
      <c r="E1012" t="s">
        <v>59</v>
      </c>
      <c r="F1012" t="str">
        <f>"002190813318"</f>
        <v>002190813318</v>
      </c>
      <c r="G1012" t="s">
        <v>4036</v>
      </c>
      <c r="H1012" s="4">
        <v>44159.603999999999</v>
      </c>
    </row>
    <row r="1013" spans="1:8" x14ac:dyDescent="0.3">
      <c r="A1013" t="s">
        <v>6</v>
      </c>
      <c r="B1013" t="s">
        <v>7</v>
      </c>
      <c r="C1013" t="s">
        <v>381</v>
      </c>
      <c r="D1013" t="s">
        <v>9</v>
      </c>
      <c r="E1013" t="s">
        <v>572</v>
      </c>
      <c r="F1013" t="str">
        <f>"001600015857"</f>
        <v>001600015857</v>
      </c>
      <c r="G1013" t="s">
        <v>3298</v>
      </c>
      <c r="H1013" s="4">
        <v>44110.305</v>
      </c>
    </row>
    <row r="1014" spans="1:8" x14ac:dyDescent="0.3">
      <c r="A1014" t="s">
        <v>6</v>
      </c>
      <c r="B1014" t="s">
        <v>7</v>
      </c>
      <c r="C1014" t="s">
        <v>1805</v>
      </c>
      <c r="D1014" t="s">
        <v>9</v>
      </c>
      <c r="E1014" t="s">
        <v>1873</v>
      </c>
      <c r="F1014" t="str">
        <f>"001800013426"</f>
        <v>001800013426</v>
      </c>
      <c r="G1014" t="s">
        <v>2389</v>
      </c>
      <c r="H1014" s="4">
        <v>43979.7</v>
      </c>
    </row>
    <row r="1015" spans="1:8" x14ac:dyDescent="0.3">
      <c r="A1015" t="s">
        <v>6</v>
      </c>
      <c r="B1015" t="s">
        <v>7</v>
      </c>
      <c r="C1015" t="s">
        <v>1072</v>
      </c>
      <c r="D1015" t="s">
        <v>9</v>
      </c>
      <c r="E1015" t="s">
        <v>1075</v>
      </c>
      <c r="F1015" t="str">
        <f>"001600020068"</f>
        <v>001600020068</v>
      </c>
      <c r="G1015" t="s">
        <v>2672</v>
      </c>
      <c r="H1015" s="4">
        <v>43917.909</v>
      </c>
    </row>
    <row r="1016" spans="1:8" x14ac:dyDescent="0.3">
      <c r="A1016" t="s">
        <v>6</v>
      </c>
      <c r="B1016" t="s">
        <v>7</v>
      </c>
      <c r="C1016" t="s">
        <v>1122</v>
      </c>
      <c r="D1016" t="s">
        <v>9</v>
      </c>
      <c r="E1016" t="s">
        <v>1172</v>
      </c>
      <c r="F1016" t="str">
        <f>"001600049298"</f>
        <v>001600049298</v>
      </c>
      <c r="G1016" t="s">
        <v>2760</v>
      </c>
      <c r="H1016" s="4">
        <v>43733.703000000001</v>
      </c>
    </row>
    <row r="1017" spans="1:8" x14ac:dyDescent="0.3">
      <c r="A1017" t="s">
        <v>6</v>
      </c>
      <c r="B1017" t="s">
        <v>7</v>
      </c>
      <c r="C1017" t="s">
        <v>985</v>
      </c>
      <c r="D1017" t="s">
        <v>9</v>
      </c>
      <c r="E1017" t="s">
        <v>1018</v>
      </c>
      <c r="F1017" t="str">
        <f>"001356213414"</f>
        <v>001356213414</v>
      </c>
      <c r="G1017" t="s">
        <v>2617</v>
      </c>
      <c r="H1017" s="4">
        <v>43708.7</v>
      </c>
    </row>
    <row r="1018" spans="1:8" x14ac:dyDescent="0.3">
      <c r="A1018" t="s">
        <v>6</v>
      </c>
      <c r="B1018" t="s">
        <v>7</v>
      </c>
      <c r="C1018" t="s">
        <v>797</v>
      </c>
      <c r="D1018" t="s">
        <v>9</v>
      </c>
      <c r="E1018" t="s">
        <v>942</v>
      </c>
      <c r="F1018" t="str">
        <f>"001600040986"</f>
        <v>001600040986</v>
      </c>
      <c r="G1018" t="s">
        <v>2539</v>
      </c>
      <c r="H1018" s="4">
        <v>43670.927000000003</v>
      </c>
    </row>
    <row r="1019" spans="1:8" x14ac:dyDescent="0.3">
      <c r="A1019" t="s">
        <v>6</v>
      </c>
      <c r="B1019" t="s">
        <v>7</v>
      </c>
      <c r="C1019" t="s">
        <v>1397</v>
      </c>
      <c r="D1019" t="s">
        <v>9</v>
      </c>
      <c r="E1019" t="s">
        <v>1520</v>
      </c>
      <c r="F1019" t="str">
        <f>"004119640675"</f>
        <v>004119640675</v>
      </c>
      <c r="G1019" t="s">
        <v>3064</v>
      </c>
      <c r="H1019" s="4">
        <v>43657.470999999998</v>
      </c>
    </row>
    <row r="1020" spans="1:8" x14ac:dyDescent="0.3">
      <c r="A1020" t="s">
        <v>6</v>
      </c>
      <c r="B1020" t="s">
        <v>7</v>
      </c>
      <c r="C1020" t="s">
        <v>1338</v>
      </c>
      <c r="D1020" t="s">
        <v>9</v>
      </c>
      <c r="E1020" t="s">
        <v>1375</v>
      </c>
      <c r="F1020" t="str">
        <f>"004280013433"</f>
        <v>004280013433</v>
      </c>
      <c r="G1020" t="s">
        <v>2931</v>
      </c>
      <c r="H1020" s="4">
        <v>43640.491999999998</v>
      </c>
    </row>
    <row r="1021" spans="1:8" x14ac:dyDescent="0.3">
      <c r="A1021" t="s">
        <v>6</v>
      </c>
      <c r="B1021" t="s">
        <v>7</v>
      </c>
      <c r="C1021" t="s">
        <v>1786</v>
      </c>
      <c r="D1021" t="s">
        <v>9</v>
      </c>
      <c r="E1021" t="s">
        <v>1795</v>
      </c>
      <c r="F1021" t="str">
        <f>"072534229211"</f>
        <v>072534229211</v>
      </c>
      <c r="G1021" t="s">
        <v>3565</v>
      </c>
      <c r="H1021" s="4">
        <v>43585.04</v>
      </c>
    </row>
    <row r="1022" spans="1:8" x14ac:dyDescent="0.3">
      <c r="A1022" t="s">
        <v>6</v>
      </c>
      <c r="B1022" t="s">
        <v>7</v>
      </c>
      <c r="C1022" t="s">
        <v>797</v>
      </c>
      <c r="D1022" t="s">
        <v>9</v>
      </c>
      <c r="E1022" t="s">
        <v>881</v>
      </c>
      <c r="F1022" t="str">
        <f>"001600081333"</f>
        <v>001600081333</v>
      </c>
      <c r="G1022" t="s">
        <v>2474</v>
      </c>
      <c r="H1022" s="4">
        <v>43548.627</v>
      </c>
    </row>
    <row r="1023" spans="1:8" x14ac:dyDescent="0.3">
      <c r="A1023" t="s">
        <v>6</v>
      </c>
      <c r="B1023" t="s">
        <v>7</v>
      </c>
      <c r="C1023" t="s">
        <v>797</v>
      </c>
      <c r="D1023" t="s">
        <v>9</v>
      </c>
      <c r="E1023" t="s">
        <v>927</v>
      </c>
      <c r="F1023" t="str">
        <f>"001600030500"</f>
        <v>001600030500</v>
      </c>
      <c r="G1023" t="s">
        <v>2518</v>
      </c>
      <c r="H1023" s="4">
        <v>43488.934000000001</v>
      </c>
    </row>
    <row r="1024" spans="1:8" x14ac:dyDescent="0.3">
      <c r="A1024" t="s">
        <v>6</v>
      </c>
      <c r="B1024" t="s">
        <v>7</v>
      </c>
      <c r="C1024" t="s">
        <v>1397</v>
      </c>
      <c r="D1024" t="s">
        <v>9</v>
      </c>
      <c r="E1024" t="s">
        <v>1498</v>
      </c>
      <c r="F1024" t="str">
        <f>"001800013257"</f>
        <v>001800013257</v>
      </c>
      <c r="G1024" t="s">
        <v>3044</v>
      </c>
      <c r="H1024" s="4">
        <v>43486.731</v>
      </c>
    </row>
    <row r="1025" spans="1:8" x14ac:dyDescent="0.3">
      <c r="A1025" t="s">
        <v>6</v>
      </c>
      <c r="B1025" t="s">
        <v>7</v>
      </c>
      <c r="C1025" t="s">
        <v>985</v>
      </c>
      <c r="D1025" t="s">
        <v>9</v>
      </c>
      <c r="E1025" t="s">
        <v>1039</v>
      </c>
      <c r="F1025" t="str">
        <f>"001356230011"</f>
        <v>001356230011</v>
      </c>
      <c r="G1025" t="s">
        <v>2636</v>
      </c>
      <c r="H1025" s="4">
        <v>43482.512000000002</v>
      </c>
    </row>
    <row r="1026" spans="1:8" x14ac:dyDescent="0.3">
      <c r="A1026" t="s">
        <v>6</v>
      </c>
      <c r="B1026" t="s">
        <v>7</v>
      </c>
      <c r="C1026" t="s">
        <v>1940</v>
      </c>
      <c r="D1026" t="s">
        <v>9</v>
      </c>
      <c r="E1026" t="s">
        <v>1983</v>
      </c>
      <c r="F1026" t="str">
        <f>"007047013794"</f>
        <v>007047013794</v>
      </c>
      <c r="G1026" t="s">
        <v>2389</v>
      </c>
      <c r="H1026" s="4">
        <v>43422.913999999997</v>
      </c>
    </row>
    <row r="1027" spans="1:8" x14ac:dyDescent="0.3">
      <c r="A1027" t="s">
        <v>6</v>
      </c>
      <c r="B1027" t="s">
        <v>7</v>
      </c>
      <c r="C1027" t="s">
        <v>1577</v>
      </c>
      <c r="D1027" t="s">
        <v>9</v>
      </c>
      <c r="E1027" t="s">
        <v>1654</v>
      </c>
      <c r="F1027" t="str">
        <f>"004600010151"</f>
        <v>004600010151</v>
      </c>
      <c r="G1027" t="s">
        <v>3423</v>
      </c>
      <c r="H1027" s="4">
        <v>43367.125999999997</v>
      </c>
    </row>
    <row r="1028" spans="1:8" x14ac:dyDescent="0.3">
      <c r="A1028" t="s">
        <v>6</v>
      </c>
      <c r="B1028" t="s">
        <v>7</v>
      </c>
      <c r="C1028" t="s">
        <v>616</v>
      </c>
      <c r="D1028" t="s">
        <v>9</v>
      </c>
      <c r="E1028" t="s">
        <v>715</v>
      </c>
      <c r="F1028" t="str">
        <f>"002190850737"</f>
        <v>002190850737</v>
      </c>
      <c r="G1028" t="s">
        <v>3685</v>
      </c>
      <c r="H1028" s="4">
        <v>43292.26</v>
      </c>
    </row>
    <row r="1029" spans="1:8" x14ac:dyDescent="0.3">
      <c r="A1029" t="s">
        <v>6</v>
      </c>
      <c r="B1029" t="s">
        <v>7</v>
      </c>
      <c r="C1029" t="s">
        <v>1786</v>
      </c>
      <c r="D1029" t="s">
        <v>9</v>
      </c>
      <c r="E1029" t="s">
        <v>1795</v>
      </c>
      <c r="F1029" t="str">
        <f>"072534226926"</f>
        <v>072534226926</v>
      </c>
      <c r="G1029" t="s">
        <v>3559</v>
      </c>
      <c r="H1029" s="4">
        <v>43170.605000000003</v>
      </c>
    </row>
    <row r="1030" spans="1:8" x14ac:dyDescent="0.3">
      <c r="A1030" t="s">
        <v>6</v>
      </c>
      <c r="B1030" s="3" t="s">
        <v>7</v>
      </c>
      <c r="C1030" s="3" t="s">
        <v>797</v>
      </c>
      <c r="D1030" s="3" t="s">
        <v>9</v>
      </c>
      <c r="E1030" s="3" t="s">
        <v>862</v>
      </c>
      <c r="F1030" t="str">
        <f>"001600045705"</f>
        <v>001600045705</v>
      </c>
      <c r="G1030" t="s">
        <v>2457</v>
      </c>
      <c r="H1030" s="3" t="s">
        <v>863</v>
      </c>
    </row>
    <row r="1031" spans="1:8" x14ac:dyDescent="0.3">
      <c r="A1031" t="s">
        <v>6</v>
      </c>
      <c r="B1031" t="s">
        <v>7</v>
      </c>
      <c r="C1031" t="s">
        <v>616</v>
      </c>
      <c r="D1031" t="s">
        <v>9</v>
      </c>
      <c r="E1031" t="s">
        <v>741</v>
      </c>
      <c r="F1031" t="str">
        <f>"002190811587"</f>
        <v>002190811587</v>
      </c>
      <c r="G1031" t="s">
        <v>3711</v>
      </c>
      <c r="H1031" s="4">
        <v>43090.21</v>
      </c>
    </row>
    <row r="1032" spans="1:8" x14ac:dyDescent="0.3">
      <c r="A1032" t="s">
        <v>6</v>
      </c>
      <c r="B1032" t="s">
        <v>7</v>
      </c>
      <c r="C1032" t="s">
        <v>797</v>
      </c>
      <c r="D1032" t="s">
        <v>9</v>
      </c>
      <c r="E1032" t="s">
        <v>904</v>
      </c>
      <c r="F1032" t="str">
        <f>"001600042730"</f>
        <v>001600042730</v>
      </c>
      <c r="G1032" t="s">
        <v>2495</v>
      </c>
      <c r="H1032" s="4">
        <v>43075.357000000004</v>
      </c>
    </row>
    <row r="1033" spans="1:8" x14ac:dyDescent="0.3">
      <c r="A1033" t="s">
        <v>6</v>
      </c>
      <c r="B1033" t="s">
        <v>7</v>
      </c>
      <c r="C1033" t="s">
        <v>1695</v>
      </c>
      <c r="D1033" t="s">
        <v>9</v>
      </c>
      <c r="E1033" t="s">
        <v>1712</v>
      </c>
      <c r="F1033" t="str">
        <f>"002190850335"</f>
        <v>002190850335</v>
      </c>
      <c r="G1033" t="s">
        <v>3476</v>
      </c>
      <c r="H1033" s="4">
        <v>43023.381000000001</v>
      </c>
    </row>
    <row r="1034" spans="1:8" x14ac:dyDescent="0.3">
      <c r="A1034" t="s">
        <v>6</v>
      </c>
      <c r="B1034" t="s">
        <v>7</v>
      </c>
      <c r="C1034" t="s">
        <v>1577</v>
      </c>
      <c r="D1034" t="s">
        <v>9</v>
      </c>
      <c r="E1034" t="s">
        <v>1677</v>
      </c>
      <c r="F1034" t="str">
        <f>"004600013008"</f>
        <v>004600013008</v>
      </c>
      <c r="G1034" t="s">
        <v>3444</v>
      </c>
      <c r="H1034" s="4">
        <v>42980.161</v>
      </c>
    </row>
    <row r="1035" spans="1:8" x14ac:dyDescent="0.3">
      <c r="A1035" t="s">
        <v>6</v>
      </c>
      <c r="B1035" t="s">
        <v>7</v>
      </c>
      <c r="C1035" t="s">
        <v>616</v>
      </c>
      <c r="D1035" t="s">
        <v>9</v>
      </c>
      <c r="E1035" t="s">
        <v>750</v>
      </c>
      <c r="F1035" t="str">
        <f>"002190811688"</f>
        <v>002190811688</v>
      </c>
      <c r="G1035" t="s">
        <v>3720</v>
      </c>
      <c r="H1035" s="4">
        <v>42968.6</v>
      </c>
    </row>
    <row r="1036" spans="1:8" x14ac:dyDescent="0.3">
      <c r="A1036" t="s">
        <v>6</v>
      </c>
      <c r="B1036" t="s">
        <v>7</v>
      </c>
      <c r="C1036" t="s">
        <v>1577</v>
      </c>
      <c r="D1036" t="s">
        <v>9</v>
      </c>
      <c r="E1036" t="s">
        <v>1627</v>
      </c>
      <c r="F1036" t="str">
        <f>"004600013581"</f>
        <v>004600013581</v>
      </c>
      <c r="G1036" t="s">
        <v>3393</v>
      </c>
      <c r="H1036" s="4">
        <v>42962.373</v>
      </c>
    </row>
    <row r="1037" spans="1:8" x14ac:dyDescent="0.3">
      <c r="A1037" t="s">
        <v>6</v>
      </c>
      <c r="B1037" t="s">
        <v>7</v>
      </c>
      <c r="C1037" t="s">
        <v>381</v>
      </c>
      <c r="D1037" t="s">
        <v>9</v>
      </c>
      <c r="E1037" t="s">
        <v>572</v>
      </c>
      <c r="F1037" t="str">
        <f>"001600049392"</f>
        <v>001600049392</v>
      </c>
      <c r="G1037" t="s">
        <v>3301</v>
      </c>
      <c r="H1037" s="4">
        <v>42907.599000000002</v>
      </c>
    </row>
    <row r="1038" spans="1:8" x14ac:dyDescent="0.3">
      <c r="A1038" t="s">
        <v>6</v>
      </c>
      <c r="B1038" t="s">
        <v>7</v>
      </c>
      <c r="C1038" t="s">
        <v>985</v>
      </c>
      <c r="D1038" t="s">
        <v>9</v>
      </c>
      <c r="E1038" t="s">
        <v>1052</v>
      </c>
      <c r="F1038" t="str">
        <f>"001356200059"</f>
        <v>001356200059</v>
      </c>
      <c r="G1038" t="s">
        <v>2646</v>
      </c>
      <c r="H1038" s="4">
        <v>42894.995000000003</v>
      </c>
    </row>
    <row r="1039" spans="1:8" x14ac:dyDescent="0.3">
      <c r="A1039" t="s">
        <v>6</v>
      </c>
      <c r="B1039" t="s">
        <v>7</v>
      </c>
      <c r="C1039" t="s">
        <v>381</v>
      </c>
      <c r="D1039" t="s">
        <v>9</v>
      </c>
      <c r="E1039" t="s">
        <v>448</v>
      </c>
      <c r="F1039" t="str">
        <f>"001600019451"</f>
        <v>001600019451</v>
      </c>
      <c r="G1039" t="s">
        <v>3174</v>
      </c>
      <c r="H1039" s="4">
        <v>42693.25</v>
      </c>
    </row>
    <row r="1040" spans="1:8" x14ac:dyDescent="0.3">
      <c r="A1040" t="s">
        <v>6</v>
      </c>
      <c r="B1040" t="s">
        <v>7</v>
      </c>
      <c r="C1040" t="s">
        <v>797</v>
      </c>
      <c r="D1040" t="s">
        <v>9</v>
      </c>
      <c r="E1040" t="s">
        <v>938</v>
      </c>
      <c r="F1040" t="str">
        <f>"001600042940"</f>
        <v>001600042940</v>
      </c>
      <c r="G1040" t="s">
        <v>2529</v>
      </c>
      <c r="H1040" s="4">
        <v>42690.866999999998</v>
      </c>
    </row>
    <row r="1041" spans="1:8" x14ac:dyDescent="0.3">
      <c r="A1041" t="s">
        <v>6</v>
      </c>
      <c r="B1041" t="s">
        <v>7</v>
      </c>
      <c r="C1041" t="s">
        <v>797</v>
      </c>
      <c r="D1041" t="s">
        <v>9</v>
      </c>
      <c r="E1041" t="s">
        <v>984</v>
      </c>
      <c r="F1041" t="str">
        <f>"001600019872"</f>
        <v>001600019872</v>
      </c>
      <c r="G1041" t="s">
        <v>2581</v>
      </c>
      <c r="H1041" s="4">
        <v>42638.631999999998</v>
      </c>
    </row>
    <row r="1042" spans="1:8" x14ac:dyDescent="0.3">
      <c r="A1042" t="s">
        <v>6</v>
      </c>
      <c r="B1042" t="s">
        <v>7</v>
      </c>
      <c r="C1042" t="s">
        <v>381</v>
      </c>
      <c r="D1042" t="s">
        <v>9</v>
      </c>
      <c r="E1042" t="s">
        <v>1575</v>
      </c>
      <c r="F1042" t="str">
        <f>"001600017363"</f>
        <v>001600017363</v>
      </c>
      <c r="G1042" t="s">
        <v>3200</v>
      </c>
      <c r="H1042" s="4">
        <v>42594.798999999999</v>
      </c>
    </row>
    <row r="1043" spans="1:8" x14ac:dyDescent="0.3">
      <c r="A1043" t="s">
        <v>6</v>
      </c>
      <c r="B1043" t="s">
        <v>7</v>
      </c>
      <c r="C1043" t="s">
        <v>381</v>
      </c>
      <c r="D1043" t="s">
        <v>9</v>
      </c>
      <c r="E1043" t="s">
        <v>471</v>
      </c>
      <c r="F1043" t="str">
        <f>"001600018706"</f>
        <v>001600018706</v>
      </c>
      <c r="G1043" t="s">
        <v>2389</v>
      </c>
      <c r="H1043" s="4">
        <v>42588.1</v>
      </c>
    </row>
    <row r="1044" spans="1:8" x14ac:dyDescent="0.3">
      <c r="A1044" t="s">
        <v>6</v>
      </c>
      <c r="B1044" t="s">
        <v>7</v>
      </c>
      <c r="C1044" t="s">
        <v>8</v>
      </c>
      <c r="D1044" t="s">
        <v>9</v>
      </c>
      <c r="E1044" t="s">
        <v>293</v>
      </c>
      <c r="F1044" t="str">
        <f>"001600040105"</f>
        <v>001600040105</v>
      </c>
      <c r="G1044" t="s">
        <v>4245</v>
      </c>
      <c r="H1044" s="4">
        <v>42549.04</v>
      </c>
    </row>
    <row r="1045" spans="1:8" x14ac:dyDescent="0.3">
      <c r="A1045" t="s">
        <v>6</v>
      </c>
      <c r="B1045" t="s">
        <v>7</v>
      </c>
      <c r="C1045" t="s">
        <v>797</v>
      </c>
      <c r="D1045" t="s">
        <v>9</v>
      </c>
      <c r="E1045" t="s">
        <v>983</v>
      </c>
      <c r="F1045" t="str">
        <f>"001600019865"</f>
        <v>001600019865</v>
      </c>
      <c r="G1045" t="s">
        <v>2580</v>
      </c>
      <c r="H1045" s="4">
        <v>42508.313000000002</v>
      </c>
    </row>
    <row r="1046" spans="1:8" x14ac:dyDescent="0.3">
      <c r="A1046" t="s">
        <v>6</v>
      </c>
      <c r="B1046" t="s">
        <v>7</v>
      </c>
      <c r="C1046" t="s">
        <v>797</v>
      </c>
      <c r="D1046" t="s">
        <v>9</v>
      </c>
      <c r="E1046" t="s">
        <v>900</v>
      </c>
      <c r="F1046" t="str">
        <f>"001600027793"</f>
        <v>001600027793</v>
      </c>
      <c r="G1046" t="s">
        <v>2491</v>
      </c>
      <c r="H1046" s="4">
        <v>42502.872000000003</v>
      </c>
    </row>
    <row r="1047" spans="1:8" x14ac:dyDescent="0.3">
      <c r="A1047" t="s">
        <v>6</v>
      </c>
      <c r="B1047" t="s">
        <v>7</v>
      </c>
      <c r="C1047" t="s">
        <v>1122</v>
      </c>
      <c r="D1047" t="s">
        <v>9</v>
      </c>
      <c r="E1047" t="s">
        <v>1204</v>
      </c>
      <c r="F1047" t="str">
        <f>"001600016588"</f>
        <v>001600016588</v>
      </c>
      <c r="G1047" t="s">
        <v>2786</v>
      </c>
      <c r="H1047" s="4">
        <v>42364.57</v>
      </c>
    </row>
    <row r="1048" spans="1:8" x14ac:dyDescent="0.3">
      <c r="A1048" t="s">
        <v>6</v>
      </c>
      <c r="B1048" t="s">
        <v>7</v>
      </c>
      <c r="C1048" t="s">
        <v>1773</v>
      </c>
      <c r="D1048" t="s">
        <v>9</v>
      </c>
      <c r="E1048" t="s">
        <v>1784</v>
      </c>
      <c r="F1048" t="str">
        <f>"001356230228"</f>
        <v>001356230228</v>
      </c>
      <c r="G1048" t="s">
        <v>3545</v>
      </c>
      <c r="H1048" s="4">
        <v>42332.485000000001</v>
      </c>
    </row>
    <row r="1049" spans="1:8" x14ac:dyDescent="0.3">
      <c r="A1049" t="s">
        <v>6</v>
      </c>
      <c r="B1049" t="s">
        <v>7</v>
      </c>
      <c r="C1049" t="s">
        <v>797</v>
      </c>
      <c r="D1049" t="s">
        <v>9</v>
      </c>
      <c r="E1049" t="s">
        <v>929</v>
      </c>
      <c r="F1049" t="str">
        <f>"001600030590"</f>
        <v>001600030590</v>
      </c>
      <c r="G1049" t="s">
        <v>2520</v>
      </c>
      <c r="H1049" s="4">
        <v>42255.83</v>
      </c>
    </row>
    <row r="1050" spans="1:8" x14ac:dyDescent="0.3">
      <c r="A1050" t="s">
        <v>6</v>
      </c>
      <c r="B1050" t="s">
        <v>7</v>
      </c>
      <c r="C1050" t="s">
        <v>1940</v>
      </c>
      <c r="D1050" t="s">
        <v>9</v>
      </c>
      <c r="E1050" t="s">
        <v>1993</v>
      </c>
      <c r="F1050" t="str">
        <f>"007047000641"</f>
        <v>007047000641</v>
      </c>
      <c r="G1050" t="s">
        <v>3888</v>
      </c>
      <c r="H1050" s="4">
        <v>42231.468999999997</v>
      </c>
    </row>
    <row r="1051" spans="1:8" x14ac:dyDescent="0.3">
      <c r="A1051" t="s">
        <v>6</v>
      </c>
      <c r="B1051" t="s">
        <v>7</v>
      </c>
      <c r="C1051" t="s">
        <v>1940</v>
      </c>
      <c r="D1051" t="s">
        <v>9</v>
      </c>
      <c r="E1051" t="s">
        <v>1974</v>
      </c>
      <c r="F1051" t="str">
        <f>"007047016315"</f>
        <v>007047016315</v>
      </c>
      <c r="G1051" t="s">
        <v>3863</v>
      </c>
      <c r="H1051" s="4">
        <v>42116.366000000002</v>
      </c>
    </row>
    <row r="1052" spans="1:8" x14ac:dyDescent="0.3">
      <c r="A1052" t="s">
        <v>6</v>
      </c>
      <c r="B1052" t="s">
        <v>7</v>
      </c>
      <c r="C1052" t="s">
        <v>8</v>
      </c>
      <c r="D1052" t="s">
        <v>9</v>
      </c>
      <c r="E1052" t="s">
        <v>115</v>
      </c>
      <c r="F1052" t="str">
        <f>"001600018952"</f>
        <v>001600018952</v>
      </c>
      <c r="G1052" t="s">
        <v>4083</v>
      </c>
      <c r="H1052" s="4">
        <v>41873.216</v>
      </c>
    </row>
    <row r="1053" spans="1:8" x14ac:dyDescent="0.3">
      <c r="A1053" t="s">
        <v>6</v>
      </c>
      <c r="B1053" t="s">
        <v>7</v>
      </c>
      <c r="C1053" t="s">
        <v>1577</v>
      </c>
      <c r="D1053" t="s">
        <v>9</v>
      </c>
      <c r="E1053" t="s">
        <v>1614</v>
      </c>
      <c r="F1053" t="str">
        <f>"004600028872"</f>
        <v>004600028872</v>
      </c>
      <c r="G1053" t="s">
        <v>3378</v>
      </c>
      <c r="H1053" s="4">
        <v>41462.612000000001</v>
      </c>
    </row>
    <row r="1054" spans="1:8" x14ac:dyDescent="0.3">
      <c r="A1054" t="s">
        <v>6</v>
      </c>
      <c r="B1054" t="s">
        <v>7</v>
      </c>
      <c r="C1054" t="s">
        <v>8</v>
      </c>
      <c r="D1054" t="s">
        <v>9</v>
      </c>
      <c r="E1054" t="s">
        <v>33</v>
      </c>
      <c r="F1054" t="str">
        <f>"002190812173"</f>
        <v>002190812173</v>
      </c>
      <c r="G1054" t="s">
        <v>2389</v>
      </c>
      <c r="H1054" s="4">
        <v>41403.178999999996</v>
      </c>
    </row>
    <row r="1055" spans="1:8" x14ac:dyDescent="0.3">
      <c r="A1055" t="s">
        <v>6</v>
      </c>
      <c r="B1055" t="s">
        <v>7</v>
      </c>
      <c r="C1055" t="s">
        <v>2113</v>
      </c>
      <c r="D1055" t="s">
        <v>9</v>
      </c>
      <c r="E1055" t="s">
        <v>2136</v>
      </c>
      <c r="F1055" t="str">
        <f>"001600046702"</f>
        <v>001600046702</v>
      </c>
      <c r="G1055" t="s">
        <v>4345</v>
      </c>
      <c r="H1055" s="4">
        <v>41287.855000000003</v>
      </c>
    </row>
    <row r="1056" spans="1:8" x14ac:dyDescent="0.3">
      <c r="A1056" t="s">
        <v>6</v>
      </c>
      <c r="B1056" t="s">
        <v>7</v>
      </c>
      <c r="C1056" t="s">
        <v>616</v>
      </c>
      <c r="D1056" t="s">
        <v>9</v>
      </c>
      <c r="E1056" t="s">
        <v>622</v>
      </c>
      <c r="F1056" t="str">
        <f>"001600017352"</f>
        <v>001600017352</v>
      </c>
      <c r="G1056" t="s">
        <v>3594</v>
      </c>
      <c r="H1056" s="4">
        <v>41286.400000000001</v>
      </c>
    </row>
    <row r="1057" spans="1:8" x14ac:dyDescent="0.3">
      <c r="A1057" t="s">
        <v>6</v>
      </c>
      <c r="B1057" t="s">
        <v>7</v>
      </c>
      <c r="C1057" t="s">
        <v>985</v>
      </c>
      <c r="D1057" t="s">
        <v>9</v>
      </c>
      <c r="E1057" t="s">
        <v>1008</v>
      </c>
      <c r="F1057" t="str">
        <f>"001356213159"</f>
        <v>001356213159</v>
      </c>
      <c r="G1057" t="s">
        <v>2607</v>
      </c>
      <c r="H1057" s="4">
        <v>41123.32</v>
      </c>
    </row>
    <row r="1058" spans="1:8" x14ac:dyDescent="0.3">
      <c r="A1058" t="s">
        <v>6</v>
      </c>
      <c r="B1058" t="s">
        <v>7</v>
      </c>
      <c r="C1058" t="s">
        <v>8</v>
      </c>
      <c r="D1058" t="s">
        <v>9</v>
      </c>
      <c r="E1058" t="s">
        <v>162</v>
      </c>
      <c r="F1058" t="str">
        <f>"001600016394"</f>
        <v>001600016394</v>
      </c>
      <c r="G1058" t="s">
        <v>4123</v>
      </c>
      <c r="H1058" s="4">
        <v>41100.400000000001</v>
      </c>
    </row>
    <row r="1059" spans="1:8" x14ac:dyDescent="0.3">
      <c r="A1059" t="s">
        <v>6</v>
      </c>
      <c r="B1059" t="s">
        <v>7</v>
      </c>
      <c r="C1059" t="s">
        <v>8</v>
      </c>
      <c r="D1059" t="s">
        <v>9</v>
      </c>
      <c r="E1059" t="s">
        <v>373</v>
      </c>
      <c r="F1059" t="str">
        <f>"060069900353"</f>
        <v>060069900353</v>
      </c>
      <c r="G1059" t="s">
        <v>4316</v>
      </c>
      <c r="H1059" s="4">
        <v>40947.334000000003</v>
      </c>
    </row>
    <row r="1060" spans="1:8" x14ac:dyDescent="0.3">
      <c r="A1060" t="s">
        <v>6</v>
      </c>
      <c r="B1060" t="s">
        <v>7</v>
      </c>
      <c r="C1060" t="s">
        <v>985</v>
      </c>
      <c r="D1060" t="s">
        <v>9</v>
      </c>
      <c r="E1060" t="s">
        <v>1004</v>
      </c>
      <c r="F1060" t="str">
        <f>"001356213369"</f>
        <v>001356213369</v>
      </c>
      <c r="G1060" t="s">
        <v>2602</v>
      </c>
      <c r="H1060" s="4">
        <v>40903.830999999998</v>
      </c>
    </row>
    <row r="1061" spans="1:8" x14ac:dyDescent="0.3">
      <c r="A1061" t="s">
        <v>6</v>
      </c>
      <c r="B1061" t="s">
        <v>7</v>
      </c>
      <c r="C1061" t="s">
        <v>2231</v>
      </c>
      <c r="D1061" t="s">
        <v>9</v>
      </c>
      <c r="E1061" t="s">
        <v>2234</v>
      </c>
      <c r="F1061" t="str">
        <f>"001356210119"</f>
        <v>001356210119</v>
      </c>
      <c r="G1061" t="s">
        <v>4431</v>
      </c>
      <c r="H1061" s="4">
        <v>40658.947</v>
      </c>
    </row>
    <row r="1062" spans="1:8" x14ac:dyDescent="0.3">
      <c r="A1062" t="s">
        <v>6</v>
      </c>
      <c r="B1062" t="s">
        <v>7</v>
      </c>
      <c r="C1062" t="s">
        <v>985</v>
      </c>
      <c r="D1062" t="s">
        <v>9</v>
      </c>
      <c r="E1062" t="s">
        <v>1022</v>
      </c>
      <c r="F1062" t="str">
        <f>"001356212353"</f>
        <v>001356212353</v>
      </c>
      <c r="G1062" t="s">
        <v>2621</v>
      </c>
      <c r="H1062" s="4">
        <v>40636.160000000003</v>
      </c>
    </row>
    <row r="1063" spans="1:8" x14ac:dyDescent="0.3">
      <c r="A1063" t="s">
        <v>6</v>
      </c>
      <c r="B1063" t="s">
        <v>7</v>
      </c>
      <c r="C1063" t="s">
        <v>1940</v>
      </c>
      <c r="D1063" t="s">
        <v>9</v>
      </c>
      <c r="E1063" t="s">
        <v>1994</v>
      </c>
      <c r="F1063" t="str">
        <f>"007047000651"</f>
        <v>007047000651</v>
      </c>
      <c r="G1063" t="s">
        <v>3889</v>
      </c>
      <c r="H1063" s="4">
        <v>40609.620999999999</v>
      </c>
    </row>
    <row r="1064" spans="1:8" x14ac:dyDescent="0.3">
      <c r="A1064" t="s">
        <v>6</v>
      </c>
      <c r="B1064" t="s">
        <v>7</v>
      </c>
      <c r="C1064" t="s">
        <v>8</v>
      </c>
      <c r="D1064" t="s">
        <v>9</v>
      </c>
      <c r="E1064" t="s">
        <v>49</v>
      </c>
      <c r="F1064" t="str">
        <f>"002190813312"</f>
        <v>002190813312</v>
      </c>
      <c r="G1064" t="s">
        <v>4027</v>
      </c>
      <c r="H1064" s="4">
        <v>40388.243999999999</v>
      </c>
    </row>
    <row r="1065" spans="1:8" x14ac:dyDescent="0.3">
      <c r="A1065" t="s">
        <v>6</v>
      </c>
      <c r="B1065" t="s">
        <v>7</v>
      </c>
      <c r="C1065" t="s">
        <v>2231</v>
      </c>
      <c r="D1065" t="s">
        <v>9</v>
      </c>
      <c r="E1065" t="s">
        <v>2266</v>
      </c>
      <c r="F1065" t="str">
        <f>"004119691407"</f>
        <v>004119691407</v>
      </c>
      <c r="G1065" t="s">
        <v>4465</v>
      </c>
      <c r="H1065" s="4">
        <v>40350.421000000002</v>
      </c>
    </row>
    <row r="1066" spans="1:8" x14ac:dyDescent="0.3">
      <c r="A1066" t="s">
        <v>6</v>
      </c>
      <c r="B1066" t="s">
        <v>7</v>
      </c>
      <c r="C1066" t="s">
        <v>616</v>
      </c>
      <c r="D1066" t="s">
        <v>9</v>
      </c>
      <c r="E1066" t="s">
        <v>721</v>
      </c>
      <c r="F1066" t="str">
        <f>"002190850924"</f>
        <v>002190850924</v>
      </c>
      <c r="G1066" t="s">
        <v>3691</v>
      </c>
      <c r="H1066" s="4">
        <v>40169.26</v>
      </c>
    </row>
    <row r="1067" spans="1:8" x14ac:dyDescent="0.3">
      <c r="A1067" t="s">
        <v>6</v>
      </c>
      <c r="B1067" t="s">
        <v>7</v>
      </c>
      <c r="C1067" t="s">
        <v>381</v>
      </c>
      <c r="D1067" t="s">
        <v>9</v>
      </c>
      <c r="E1067" t="s">
        <v>409</v>
      </c>
      <c r="F1067" t="str">
        <f>"002190840676"</f>
        <v>002190840676</v>
      </c>
      <c r="G1067" t="s">
        <v>3136</v>
      </c>
      <c r="H1067" s="4">
        <v>39960.612000000001</v>
      </c>
    </row>
    <row r="1068" spans="1:8" x14ac:dyDescent="0.3">
      <c r="A1068" t="s">
        <v>6</v>
      </c>
      <c r="B1068" t="s">
        <v>7</v>
      </c>
      <c r="C1068" t="s">
        <v>1940</v>
      </c>
      <c r="D1068" t="s">
        <v>9</v>
      </c>
      <c r="E1068" t="s">
        <v>1949</v>
      </c>
      <c r="F1068" t="str">
        <f>"007047018512"</f>
        <v>007047018512</v>
      </c>
      <c r="G1068" t="s">
        <v>3830</v>
      </c>
      <c r="H1068" s="4">
        <v>39789.315000000002</v>
      </c>
    </row>
    <row r="1069" spans="1:8" x14ac:dyDescent="0.3">
      <c r="A1069" t="s">
        <v>6</v>
      </c>
      <c r="B1069" t="s">
        <v>7</v>
      </c>
      <c r="C1069" t="s">
        <v>1286</v>
      </c>
      <c r="D1069" t="s">
        <v>9</v>
      </c>
      <c r="E1069" t="s">
        <v>1289</v>
      </c>
      <c r="F1069" t="str">
        <f>"001356212236"</f>
        <v>001356212236</v>
      </c>
      <c r="G1069" t="s">
        <v>2855</v>
      </c>
      <c r="H1069" s="4">
        <v>39651.150999999998</v>
      </c>
    </row>
    <row r="1070" spans="1:8" x14ac:dyDescent="0.3">
      <c r="A1070" t="s">
        <v>6</v>
      </c>
      <c r="B1070" t="s">
        <v>7</v>
      </c>
      <c r="C1070" t="s">
        <v>2231</v>
      </c>
      <c r="D1070" t="s">
        <v>9</v>
      </c>
      <c r="E1070" t="s">
        <v>2319</v>
      </c>
      <c r="F1070" t="str">
        <f>"004119649233"</f>
        <v>004119649233</v>
      </c>
      <c r="G1070" t="s">
        <v>4510</v>
      </c>
      <c r="H1070" s="4">
        <v>39459.805999999997</v>
      </c>
    </row>
    <row r="1071" spans="1:8" x14ac:dyDescent="0.3">
      <c r="A1071" t="s">
        <v>6</v>
      </c>
      <c r="B1071" t="s">
        <v>7</v>
      </c>
      <c r="C1071" t="s">
        <v>1805</v>
      </c>
      <c r="D1071" t="s">
        <v>9</v>
      </c>
      <c r="E1071" t="s">
        <v>1899</v>
      </c>
      <c r="F1071" t="str">
        <f>"001800026751"</f>
        <v>001800026751</v>
      </c>
      <c r="G1071" t="s">
        <v>2389</v>
      </c>
      <c r="H1071" s="4">
        <v>39451.43</v>
      </c>
    </row>
    <row r="1072" spans="1:8" x14ac:dyDescent="0.3">
      <c r="A1072" t="s">
        <v>6</v>
      </c>
      <c r="B1072" t="s">
        <v>7</v>
      </c>
      <c r="C1072" t="s">
        <v>381</v>
      </c>
      <c r="D1072" t="s">
        <v>9</v>
      </c>
      <c r="E1072" t="s">
        <v>582</v>
      </c>
      <c r="F1072" t="str">
        <f>"001600014741"</f>
        <v>001600014741</v>
      </c>
      <c r="G1072" t="s">
        <v>3310</v>
      </c>
      <c r="H1072" s="4">
        <v>39309.800000000003</v>
      </c>
    </row>
    <row r="1073" spans="1:8" x14ac:dyDescent="0.3">
      <c r="A1073" t="s">
        <v>6</v>
      </c>
      <c r="B1073" t="s">
        <v>7</v>
      </c>
      <c r="C1073" t="s">
        <v>8</v>
      </c>
      <c r="D1073" t="s">
        <v>9</v>
      </c>
      <c r="E1073" t="s">
        <v>376</v>
      </c>
      <c r="F1073" t="str">
        <f>"001600018891"</f>
        <v>001600018891</v>
      </c>
      <c r="G1073" t="s">
        <v>4319</v>
      </c>
      <c r="H1073" s="4">
        <v>39157.300000000003</v>
      </c>
    </row>
    <row r="1074" spans="1:8" x14ac:dyDescent="0.3">
      <c r="A1074" t="s">
        <v>6</v>
      </c>
      <c r="B1074" t="s">
        <v>7</v>
      </c>
      <c r="C1074" t="s">
        <v>985</v>
      </c>
      <c r="D1074" t="s">
        <v>9</v>
      </c>
      <c r="E1074" t="s">
        <v>1069</v>
      </c>
      <c r="F1074" t="str">
        <f>"001356230014"</f>
        <v>001356230014</v>
      </c>
      <c r="G1074" t="s">
        <v>2662</v>
      </c>
      <c r="H1074" s="4">
        <v>39152.728000000003</v>
      </c>
    </row>
    <row r="1075" spans="1:8" x14ac:dyDescent="0.3">
      <c r="A1075" t="s">
        <v>6</v>
      </c>
      <c r="B1075" t="s">
        <v>7</v>
      </c>
      <c r="C1075" t="s">
        <v>1397</v>
      </c>
      <c r="D1075" t="s">
        <v>9</v>
      </c>
      <c r="E1075" t="s">
        <v>1509</v>
      </c>
      <c r="F1075" t="str">
        <f>"001800013249"</f>
        <v>001800013249</v>
      </c>
      <c r="G1075" t="s">
        <v>3054</v>
      </c>
      <c r="H1075" s="4">
        <v>39103.057000000001</v>
      </c>
    </row>
    <row r="1076" spans="1:8" x14ac:dyDescent="0.3">
      <c r="A1076" t="s">
        <v>6</v>
      </c>
      <c r="B1076" t="s">
        <v>7</v>
      </c>
      <c r="C1076" t="s">
        <v>1805</v>
      </c>
      <c r="D1076" t="s">
        <v>9</v>
      </c>
      <c r="E1076" t="s">
        <v>1887</v>
      </c>
      <c r="F1076" t="str">
        <f>"001800013424"</f>
        <v>001800013424</v>
      </c>
      <c r="G1076" t="s">
        <v>2389</v>
      </c>
      <c r="H1076" s="4">
        <v>39081.93</v>
      </c>
    </row>
    <row r="1077" spans="1:8" x14ac:dyDescent="0.3">
      <c r="A1077" t="s">
        <v>6</v>
      </c>
      <c r="B1077" t="s">
        <v>7</v>
      </c>
      <c r="C1077" t="s">
        <v>8</v>
      </c>
      <c r="D1077" t="s">
        <v>9</v>
      </c>
      <c r="E1077" t="s">
        <v>97</v>
      </c>
      <c r="F1077" t="str">
        <f>"001600020821"</f>
        <v>001600020821</v>
      </c>
      <c r="G1077" t="s">
        <v>4066</v>
      </c>
      <c r="H1077" s="4">
        <v>39031.548999999999</v>
      </c>
    </row>
    <row r="1078" spans="1:8" x14ac:dyDescent="0.3">
      <c r="A1078" t="s">
        <v>6</v>
      </c>
      <c r="B1078" t="s">
        <v>7</v>
      </c>
      <c r="C1078" t="s">
        <v>381</v>
      </c>
      <c r="D1078" t="s">
        <v>9</v>
      </c>
      <c r="E1078" t="s">
        <v>613</v>
      </c>
      <c r="F1078" t="str">
        <f>"001600014091"</f>
        <v>001600014091</v>
      </c>
      <c r="G1078" t="s">
        <v>3341</v>
      </c>
      <c r="H1078" s="4">
        <v>39028.165000000001</v>
      </c>
    </row>
    <row r="1079" spans="1:8" x14ac:dyDescent="0.3">
      <c r="A1079" t="s">
        <v>6</v>
      </c>
      <c r="B1079" t="s">
        <v>7</v>
      </c>
      <c r="C1079" t="s">
        <v>1577</v>
      </c>
      <c r="D1079" t="s">
        <v>9</v>
      </c>
      <c r="E1079" t="s">
        <v>1612</v>
      </c>
      <c r="F1079" t="str">
        <f>"004600011635"</f>
        <v>004600011635</v>
      </c>
      <c r="G1079" t="s">
        <v>3376</v>
      </c>
      <c r="H1079" s="4">
        <v>38951.35</v>
      </c>
    </row>
    <row r="1080" spans="1:8" x14ac:dyDescent="0.3">
      <c r="A1080" t="s">
        <v>6</v>
      </c>
      <c r="B1080" t="s">
        <v>7</v>
      </c>
      <c r="C1080" t="s">
        <v>985</v>
      </c>
      <c r="D1080" t="s">
        <v>9</v>
      </c>
      <c r="E1080" t="s">
        <v>1051</v>
      </c>
      <c r="F1080" t="str">
        <f>"001356200058"</f>
        <v>001356200058</v>
      </c>
      <c r="G1080" t="s">
        <v>2645</v>
      </c>
      <c r="H1080" s="4">
        <v>38821.082999999999</v>
      </c>
    </row>
    <row r="1081" spans="1:8" x14ac:dyDescent="0.3">
      <c r="A1081" t="s">
        <v>6</v>
      </c>
      <c r="B1081" t="s">
        <v>7</v>
      </c>
      <c r="C1081" t="s">
        <v>1940</v>
      </c>
      <c r="D1081" t="s">
        <v>9</v>
      </c>
      <c r="E1081" t="s">
        <v>2042</v>
      </c>
      <c r="F1081" t="str">
        <f>"007047019137"</f>
        <v>007047019137</v>
      </c>
      <c r="G1081" t="s">
        <v>3929</v>
      </c>
      <c r="H1081" s="4">
        <v>38798.58</v>
      </c>
    </row>
    <row r="1082" spans="1:8" x14ac:dyDescent="0.3">
      <c r="A1082" t="s">
        <v>6</v>
      </c>
      <c r="B1082" t="s">
        <v>7</v>
      </c>
      <c r="C1082" t="s">
        <v>1940</v>
      </c>
      <c r="D1082" t="s">
        <v>9</v>
      </c>
      <c r="E1082" t="s">
        <v>2013</v>
      </c>
      <c r="F1082" t="str">
        <f>"007047015967"</f>
        <v>007047015967</v>
      </c>
      <c r="G1082" t="s">
        <v>3904</v>
      </c>
      <c r="H1082" s="4">
        <v>38486.538999999997</v>
      </c>
    </row>
    <row r="1083" spans="1:8" x14ac:dyDescent="0.3">
      <c r="A1083" t="s">
        <v>6</v>
      </c>
      <c r="B1083" t="s">
        <v>7</v>
      </c>
      <c r="C1083" t="s">
        <v>1397</v>
      </c>
      <c r="D1083" t="s">
        <v>9</v>
      </c>
      <c r="E1083" t="s">
        <v>1462</v>
      </c>
      <c r="F1083" t="str">
        <f>"073215302860"</f>
        <v>073215302860</v>
      </c>
      <c r="G1083" t="s">
        <v>3012</v>
      </c>
      <c r="H1083" s="4">
        <v>38477.311999999998</v>
      </c>
    </row>
    <row r="1084" spans="1:8" x14ac:dyDescent="0.3">
      <c r="A1084" t="s">
        <v>6</v>
      </c>
      <c r="B1084" t="s">
        <v>7</v>
      </c>
      <c r="C1084" t="s">
        <v>1122</v>
      </c>
      <c r="D1084" t="s">
        <v>9</v>
      </c>
      <c r="E1084" t="s">
        <v>1247</v>
      </c>
      <c r="F1084" t="str">
        <f>"001600020087"</f>
        <v>001600020087</v>
      </c>
      <c r="G1084" t="s">
        <v>2821</v>
      </c>
      <c r="H1084" s="4">
        <v>38387.188000000002</v>
      </c>
    </row>
    <row r="1085" spans="1:8" x14ac:dyDescent="0.3">
      <c r="A1085" t="s">
        <v>6</v>
      </c>
      <c r="B1085" t="s">
        <v>7</v>
      </c>
      <c r="C1085" t="s">
        <v>1577</v>
      </c>
      <c r="D1085" t="s">
        <v>9</v>
      </c>
      <c r="E1085" t="s">
        <v>1625</v>
      </c>
      <c r="F1085" t="str">
        <f>"004600049542"</f>
        <v>004600049542</v>
      </c>
      <c r="G1085" t="s">
        <v>3389</v>
      </c>
      <c r="H1085" s="4">
        <v>38329.512999999999</v>
      </c>
    </row>
    <row r="1086" spans="1:8" x14ac:dyDescent="0.3">
      <c r="A1086" t="s">
        <v>6</v>
      </c>
      <c r="B1086" t="s">
        <v>7</v>
      </c>
      <c r="C1086" t="s">
        <v>985</v>
      </c>
      <c r="D1086" t="s">
        <v>9</v>
      </c>
      <c r="E1086" t="s">
        <v>1049</v>
      </c>
      <c r="F1086" t="str">
        <f>"001356200061"</f>
        <v>001356200061</v>
      </c>
      <c r="G1086" t="s">
        <v>2643</v>
      </c>
      <c r="H1086" s="4">
        <v>38239.627999999997</v>
      </c>
    </row>
    <row r="1087" spans="1:8" x14ac:dyDescent="0.3">
      <c r="A1087" t="s">
        <v>6</v>
      </c>
      <c r="B1087" t="s">
        <v>7</v>
      </c>
      <c r="C1087" t="s">
        <v>797</v>
      </c>
      <c r="D1087" t="s">
        <v>9</v>
      </c>
      <c r="E1087" t="s">
        <v>841</v>
      </c>
      <c r="F1087" t="str">
        <f>"001600030670"</f>
        <v>001600030670</v>
      </c>
      <c r="G1087" t="s">
        <v>2436</v>
      </c>
      <c r="H1087" s="4">
        <v>38218.375999999997</v>
      </c>
    </row>
    <row r="1088" spans="1:8" x14ac:dyDescent="0.3">
      <c r="A1088" t="s">
        <v>6</v>
      </c>
      <c r="B1088" t="s">
        <v>7</v>
      </c>
      <c r="C1088" t="s">
        <v>1940</v>
      </c>
      <c r="D1088" t="s">
        <v>9</v>
      </c>
      <c r="E1088" t="s">
        <v>1959</v>
      </c>
      <c r="F1088" t="str">
        <f>"007047018711"</f>
        <v>007047018711</v>
      </c>
      <c r="G1088" t="s">
        <v>3845</v>
      </c>
      <c r="H1088" s="4">
        <v>38081.286</v>
      </c>
    </row>
    <row r="1089" spans="1:8" x14ac:dyDescent="0.3">
      <c r="A1089" t="s">
        <v>6</v>
      </c>
      <c r="B1089" t="s">
        <v>7</v>
      </c>
      <c r="C1089" t="s">
        <v>1940</v>
      </c>
      <c r="D1089" t="s">
        <v>9</v>
      </c>
      <c r="E1089" t="s">
        <v>1948</v>
      </c>
      <c r="F1089" t="str">
        <f>"007047018511"</f>
        <v>007047018511</v>
      </c>
      <c r="G1089" t="s">
        <v>3829</v>
      </c>
      <c r="H1089" s="4">
        <v>37986.025000000001</v>
      </c>
    </row>
    <row r="1090" spans="1:8" x14ac:dyDescent="0.3">
      <c r="A1090" t="s">
        <v>6</v>
      </c>
      <c r="B1090" t="s">
        <v>7</v>
      </c>
      <c r="C1090" t="s">
        <v>1577</v>
      </c>
      <c r="D1090" t="s">
        <v>9</v>
      </c>
      <c r="E1090" t="s">
        <v>1641</v>
      </c>
      <c r="F1090" t="str">
        <f>"004600012505"</f>
        <v>004600012505</v>
      </c>
      <c r="G1090" t="s">
        <v>3410</v>
      </c>
      <c r="H1090" s="4">
        <v>37965.103999999999</v>
      </c>
    </row>
    <row r="1091" spans="1:8" x14ac:dyDescent="0.3">
      <c r="A1091" t="s">
        <v>6</v>
      </c>
      <c r="B1091" t="s">
        <v>7</v>
      </c>
      <c r="C1091" t="s">
        <v>1805</v>
      </c>
      <c r="D1091" t="s">
        <v>9</v>
      </c>
      <c r="E1091" t="s">
        <v>1896</v>
      </c>
      <c r="F1091" t="str">
        <f>"001800000725"</f>
        <v>001800000725</v>
      </c>
      <c r="G1091" t="s">
        <v>2389</v>
      </c>
      <c r="H1091" s="4">
        <v>37945.978000000003</v>
      </c>
    </row>
    <row r="1092" spans="1:8" x14ac:dyDescent="0.3">
      <c r="A1092" t="s">
        <v>6</v>
      </c>
      <c r="B1092" t="s">
        <v>7</v>
      </c>
      <c r="C1092" t="s">
        <v>1940</v>
      </c>
      <c r="D1092" t="s">
        <v>9</v>
      </c>
      <c r="E1092" t="s">
        <v>1958</v>
      </c>
      <c r="F1092" t="str">
        <f>"007047018712"</f>
        <v>007047018712</v>
      </c>
      <c r="G1092" t="s">
        <v>3844</v>
      </c>
      <c r="H1092" s="4">
        <v>37937.523000000001</v>
      </c>
    </row>
    <row r="1093" spans="1:8" x14ac:dyDescent="0.3">
      <c r="A1093" t="s">
        <v>6</v>
      </c>
      <c r="B1093" t="s">
        <v>7</v>
      </c>
      <c r="C1093" t="s">
        <v>1940</v>
      </c>
      <c r="D1093" t="s">
        <v>9</v>
      </c>
      <c r="E1093" t="s">
        <v>2021</v>
      </c>
      <c r="F1093" t="str">
        <f>"007047015966"</f>
        <v>007047015966</v>
      </c>
      <c r="G1093" t="s">
        <v>3912</v>
      </c>
      <c r="H1093" s="4">
        <v>37913.802000000003</v>
      </c>
    </row>
    <row r="1094" spans="1:8" x14ac:dyDescent="0.3">
      <c r="A1094" t="s">
        <v>6</v>
      </c>
      <c r="B1094" t="s">
        <v>7</v>
      </c>
      <c r="C1094" t="s">
        <v>797</v>
      </c>
      <c r="D1094" t="s">
        <v>9</v>
      </c>
      <c r="E1094" t="s">
        <v>954</v>
      </c>
      <c r="F1094" t="str">
        <f>"001600042899"</f>
        <v>001600042899</v>
      </c>
      <c r="G1094" t="s">
        <v>2550</v>
      </c>
      <c r="H1094" s="4">
        <v>37883.614000000001</v>
      </c>
    </row>
    <row r="1095" spans="1:8" x14ac:dyDescent="0.3">
      <c r="A1095" t="s">
        <v>6</v>
      </c>
      <c r="B1095" t="s">
        <v>7</v>
      </c>
      <c r="C1095" t="s">
        <v>616</v>
      </c>
      <c r="D1095" t="s">
        <v>9</v>
      </c>
      <c r="E1095" t="s">
        <v>723</v>
      </c>
      <c r="F1095" t="str">
        <f>"002190811586"</f>
        <v>002190811586</v>
      </c>
      <c r="G1095" t="s">
        <v>3693</v>
      </c>
      <c r="H1095" s="4">
        <v>37730.74</v>
      </c>
    </row>
    <row r="1096" spans="1:8" x14ac:dyDescent="0.3">
      <c r="A1096" t="s">
        <v>6</v>
      </c>
      <c r="B1096" t="s">
        <v>7</v>
      </c>
      <c r="C1096" t="s">
        <v>1397</v>
      </c>
      <c r="D1096" t="s">
        <v>9</v>
      </c>
      <c r="E1096" t="s">
        <v>1402</v>
      </c>
      <c r="F1096" t="str">
        <f>"001356249394"</f>
        <v>001356249394</v>
      </c>
      <c r="G1096" t="s">
        <v>2955</v>
      </c>
      <c r="H1096" s="4">
        <v>37666.43</v>
      </c>
    </row>
    <row r="1097" spans="1:8" x14ac:dyDescent="0.3">
      <c r="A1097" t="s">
        <v>6</v>
      </c>
      <c r="B1097" t="s">
        <v>7</v>
      </c>
      <c r="C1097" t="s">
        <v>8</v>
      </c>
      <c r="D1097" t="s">
        <v>9</v>
      </c>
      <c r="E1097" t="s">
        <v>354</v>
      </c>
      <c r="F1097" t="str">
        <f>"001600018875"</f>
        <v>001600018875</v>
      </c>
      <c r="G1097" t="s">
        <v>4298</v>
      </c>
      <c r="H1097" s="4">
        <v>37495.910000000003</v>
      </c>
    </row>
    <row r="1098" spans="1:8" x14ac:dyDescent="0.3">
      <c r="A1098" t="s">
        <v>6</v>
      </c>
      <c r="B1098" t="s">
        <v>7</v>
      </c>
      <c r="C1098" t="s">
        <v>381</v>
      </c>
      <c r="D1098" t="s">
        <v>9</v>
      </c>
      <c r="E1098" t="s">
        <v>615</v>
      </c>
      <c r="F1098" t="str">
        <f>"001600014089"</f>
        <v>001600014089</v>
      </c>
      <c r="G1098" t="s">
        <v>3343</v>
      </c>
      <c r="H1098" s="4">
        <v>37457.184000000001</v>
      </c>
    </row>
    <row r="1099" spans="1:8" x14ac:dyDescent="0.3">
      <c r="A1099" t="s">
        <v>6</v>
      </c>
      <c r="B1099" t="s">
        <v>7</v>
      </c>
      <c r="C1099" t="s">
        <v>770</v>
      </c>
      <c r="D1099" t="s">
        <v>9</v>
      </c>
      <c r="E1099" t="s">
        <v>772</v>
      </c>
      <c r="F1099" t="str">
        <f>"001356247408"</f>
        <v>001356247408</v>
      </c>
      <c r="G1099" t="s">
        <v>2372</v>
      </c>
      <c r="H1099" s="4">
        <v>37292.650999999998</v>
      </c>
    </row>
    <row r="1100" spans="1:8" x14ac:dyDescent="0.3">
      <c r="A1100" t="s">
        <v>6</v>
      </c>
      <c r="B1100" t="s">
        <v>7</v>
      </c>
      <c r="C1100" t="s">
        <v>1397</v>
      </c>
      <c r="D1100" t="s">
        <v>9</v>
      </c>
      <c r="E1100" t="s">
        <v>1404</v>
      </c>
      <c r="F1100" t="str">
        <f>"001356231302"</f>
        <v>001356231302</v>
      </c>
      <c r="G1100" t="s">
        <v>2957</v>
      </c>
      <c r="H1100" s="4">
        <v>37213.461000000003</v>
      </c>
    </row>
    <row r="1101" spans="1:8" x14ac:dyDescent="0.3">
      <c r="A1101" t="s">
        <v>6</v>
      </c>
      <c r="B1101" t="s">
        <v>7</v>
      </c>
      <c r="C1101" t="s">
        <v>1122</v>
      </c>
      <c r="D1101" t="s">
        <v>9</v>
      </c>
      <c r="E1101" t="s">
        <v>1231</v>
      </c>
      <c r="F1101" t="str">
        <f>"001600019407"</f>
        <v>001600019407</v>
      </c>
      <c r="G1101" t="s">
        <v>2804</v>
      </c>
      <c r="H1101" s="4">
        <v>37027.748</v>
      </c>
    </row>
    <row r="1102" spans="1:8" x14ac:dyDescent="0.3">
      <c r="A1102" t="s">
        <v>6</v>
      </c>
      <c r="B1102" t="s">
        <v>7</v>
      </c>
      <c r="C1102" t="s">
        <v>797</v>
      </c>
      <c r="D1102" t="s">
        <v>9</v>
      </c>
      <c r="E1102" t="s">
        <v>976</v>
      </c>
      <c r="F1102" t="str">
        <f>"001600037410"</f>
        <v>001600037410</v>
      </c>
      <c r="G1102" t="s">
        <v>2569</v>
      </c>
      <c r="H1102" s="4">
        <v>36788.946000000004</v>
      </c>
    </row>
    <row r="1103" spans="1:8" x14ac:dyDescent="0.3">
      <c r="A1103" t="s">
        <v>6</v>
      </c>
      <c r="B1103" t="s">
        <v>7</v>
      </c>
      <c r="C1103" t="s">
        <v>1786</v>
      </c>
      <c r="D1103" t="s">
        <v>9</v>
      </c>
      <c r="E1103" t="s">
        <v>1788</v>
      </c>
      <c r="F1103" t="str">
        <f>"072534228571"</f>
        <v>072534228571</v>
      </c>
      <c r="G1103" t="s">
        <v>3549</v>
      </c>
      <c r="H1103" s="4">
        <v>36713.091</v>
      </c>
    </row>
    <row r="1104" spans="1:8" x14ac:dyDescent="0.3">
      <c r="A1104" t="s">
        <v>6</v>
      </c>
      <c r="B1104" t="s">
        <v>7</v>
      </c>
      <c r="C1104" t="s">
        <v>2231</v>
      </c>
      <c r="D1104" t="s">
        <v>9</v>
      </c>
      <c r="E1104" t="s">
        <v>2327</v>
      </c>
      <c r="F1104" t="str">
        <f>"004119611067"</f>
        <v>004119611067</v>
      </c>
      <c r="G1104" t="s">
        <v>4518</v>
      </c>
      <c r="H1104" s="4">
        <v>36698.036</v>
      </c>
    </row>
    <row r="1105" spans="1:8" x14ac:dyDescent="0.3">
      <c r="A1105" t="s">
        <v>6</v>
      </c>
      <c r="B1105" t="s">
        <v>7</v>
      </c>
      <c r="C1105" t="s">
        <v>1397</v>
      </c>
      <c r="D1105" t="s">
        <v>9</v>
      </c>
      <c r="E1105" t="s">
        <v>1436</v>
      </c>
      <c r="F1105" t="str">
        <f>"073215302475"</f>
        <v>073215302475</v>
      </c>
      <c r="G1105" t="s">
        <v>2987</v>
      </c>
      <c r="H1105" s="4">
        <v>36669.161999999997</v>
      </c>
    </row>
    <row r="1106" spans="1:8" x14ac:dyDescent="0.3">
      <c r="A1106" t="s">
        <v>6</v>
      </c>
      <c r="B1106" t="s">
        <v>7</v>
      </c>
      <c r="C1106" t="s">
        <v>381</v>
      </c>
      <c r="D1106" t="s">
        <v>9</v>
      </c>
      <c r="E1106" t="s">
        <v>415</v>
      </c>
      <c r="F1106" t="str">
        <f>"001600018466"</f>
        <v>001600018466</v>
      </c>
      <c r="G1106" t="s">
        <v>3142</v>
      </c>
      <c r="H1106" s="4">
        <v>36611.184000000001</v>
      </c>
    </row>
    <row r="1107" spans="1:8" x14ac:dyDescent="0.3">
      <c r="A1107" t="s">
        <v>6</v>
      </c>
      <c r="B1107" t="s">
        <v>7</v>
      </c>
      <c r="C1107" t="s">
        <v>985</v>
      </c>
      <c r="D1107" t="s">
        <v>9</v>
      </c>
      <c r="E1107" t="s">
        <v>1019</v>
      </c>
      <c r="F1107" t="str">
        <f>"001356213415"</f>
        <v>001356213415</v>
      </c>
      <c r="G1107" t="s">
        <v>2618</v>
      </c>
      <c r="H1107" s="4">
        <v>36600.120000000003</v>
      </c>
    </row>
    <row r="1108" spans="1:8" x14ac:dyDescent="0.3">
      <c r="A1108" t="s">
        <v>6</v>
      </c>
      <c r="B1108" t="s">
        <v>7</v>
      </c>
      <c r="C1108" t="s">
        <v>1577</v>
      </c>
      <c r="D1108" t="s">
        <v>9</v>
      </c>
      <c r="E1108" t="s">
        <v>1631</v>
      </c>
      <c r="F1108" t="str">
        <f>"004600082161"</f>
        <v>004600082161</v>
      </c>
      <c r="G1108" t="s">
        <v>3398</v>
      </c>
      <c r="H1108" s="4">
        <v>36495.769</v>
      </c>
    </row>
    <row r="1109" spans="1:8" x14ac:dyDescent="0.3">
      <c r="A1109" t="s">
        <v>6</v>
      </c>
      <c r="B1109" t="s">
        <v>7</v>
      </c>
      <c r="C1109" t="s">
        <v>2231</v>
      </c>
      <c r="D1109" t="s">
        <v>9</v>
      </c>
      <c r="E1109" t="s">
        <v>2245</v>
      </c>
      <c r="F1109" t="str">
        <f>"004119646642"</f>
        <v>004119646642</v>
      </c>
      <c r="G1109" t="s">
        <v>4441</v>
      </c>
      <c r="H1109" s="4">
        <v>36422.281999999999</v>
      </c>
    </row>
    <row r="1110" spans="1:8" x14ac:dyDescent="0.3">
      <c r="A1110" t="s">
        <v>6</v>
      </c>
      <c r="B1110" t="s">
        <v>7</v>
      </c>
      <c r="C1110" t="s">
        <v>1940</v>
      </c>
      <c r="D1110" t="s">
        <v>9</v>
      </c>
      <c r="E1110" t="s">
        <v>2109</v>
      </c>
      <c r="F1110" t="str">
        <f>"007047041915"</f>
        <v>007047041915</v>
      </c>
      <c r="G1110" t="s">
        <v>3997</v>
      </c>
      <c r="H1110" s="4">
        <v>36421.18</v>
      </c>
    </row>
    <row r="1111" spans="1:8" x14ac:dyDescent="0.3">
      <c r="A1111" t="s">
        <v>6</v>
      </c>
      <c r="B1111" t="s">
        <v>7</v>
      </c>
      <c r="C1111" t="s">
        <v>8</v>
      </c>
      <c r="D1111" t="s">
        <v>9</v>
      </c>
      <c r="E1111" t="s">
        <v>114</v>
      </c>
      <c r="F1111" t="str">
        <f>"001600018883"</f>
        <v>001600018883</v>
      </c>
      <c r="G1111" t="s">
        <v>4082</v>
      </c>
      <c r="H1111" s="4">
        <v>36310.546999999999</v>
      </c>
    </row>
    <row r="1112" spans="1:8" x14ac:dyDescent="0.3">
      <c r="A1112" t="s">
        <v>6</v>
      </c>
      <c r="B1112" t="s">
        <v>7</v>
      </c>
      <c r="C1112" t="s">
        <v>381</v>
      </c>
      <c r="D1112" t="s">
        <v>9</v>
      </c>
      <c r="E1112" t="s">
        <v>414</v>
      </c>
      <c r="F1112" t="str">
        <f>"001600018469"</f>
        <v>001600018469</v>
      </c>
      <c r="G1112" t="s">
        <v>3141</v>
      </c>
      <c r="H1112" s="4">
        <v>36309.667000000001</v>
      </c>
    </row>
    <row r="1113" spans="1:8" x14ac:dyDescent="0.3">
      <c r="A1113" t="s">
        <v>6</v>
      </c>
      <c r="B1113" t="s">
        <v>7</v>
      </c>
      <c r="C1113" t="s">
        <v>1552</v>
      </c>
      <c r="D1113" t="s">
        <v>9</v>
      </c>
      <c r="E1113" t="s">
        <v>1561</v>
      </c>
      <c r="F1113" t="str">
        <f>"001356200017"</f>
        <v>001356200017</v>
      </c>
      <c r="G1113" t="s">
        <v>3103</v>
      </c>
      <c r="H1113" s="4">
        <v>36308.709000000003</v>
      </c>
    </row>
    <row r="1114" spans="1:8" x14ac:dyDescent="0.3">
      <c r="A1114" t="s">
        <v>6</v>
      </c>
      <c r="B1114" t="s">
        <v>7</v>
      </c>
      <c r="C1114" t="s">
        <v>1286</v>
      </c>
      <c r="D1114" t="s">
        <v>9</v>
      </c>
      <c r="E1114" t="s">
        <v>1297</v>
      </c>
      <c r="F1114" t="str">
        <f>"001800044759"</f>
        <v>001800044759</v>
      </c>
      <c r="G1114" t="s">
        <v>2861</v>
      </c>
      <c r="H1114" s="4">
        <v>35992.466</v>
      </c>
    </row>
    <row r="1115" spans="1:8" x14ac:dyDescent="0.3">
      <c r="A1115" t="s">
        <v>6</v>
      </c>
      <c r="B1115" t="s">
        <v>7</v>
      </c>
      <c r="C1115" t="s">
        <v>2231</v>
      </c>
      <c r="D1115" t="s">
        <v>9</v>
      </c>
      <c r="E1115" t="s">
        <v>2246</v>
      </c>
      <c r="F1115" t="str">
        <f>"004119646646"</f>
        <v>004119646646</v>
      </c>
      <c r="G1115" t="s">
        <v>4443</v>
      </c>
      <c r="H1115" s="4">
        <v>35964.508999999998</v>
      </c>
    </row>
    <row r="1116" spans="1:8" x14ac:dyDescent="0.3">
      <c r="A1116" t="s">
        <v>6</v>
      </c>
      <c r="B1116" t="s">
        <v>7</v>
      </c>
      <c r="C1116" t="s">
        <v>797</v>
      </c>
      <c r="D1116" t="s">
        <v>9</v>
      </c>
      <c r="E1116" t="s">
        <v>931</v>
      </c>
      <c r="F1116" t="str">
        <f>"001600018642"</f>
        <v>001600018642</v>
      </c>
      <c r="G1116" t="s">
        <v>2522</v>
      </c>
      <c r="H1116" s="4">
        <v>35955.171000000002</v>
      </c>
    </row>
    <row r="1117" spans="1:8" x14ac:dyDescent="0.3">
      <c r="A1117" t="s">
        <v>6</v>
      </c>
      <c r="B1117" t="s">
        <v>7</v>
      </c>
      <c r="C1117" t="s">
        <v>1072</v>
      </c>
      <c r="D1117" t="s">
        <v>9</v>
      </c>
      <c r="E1117" t="s">
        <v>1083</v>
      </c>
      <c r="F1117" t="str">
        <f>"001600039510"</f>
        <v>001600039510</v>
      </c>
      <c r="G1117" t="s">
        <v>2688</v>
      </c>
      <c r="H1117" s="4">
        <v>35938.667999999998</v>
      </c>
    </row>
    <row r="1118" spans="1:8" x14ac:dyDescent="0.3">
      <c r="A1118" t="s">
        <v>6</v>
      </c>
      <c r="B1118" t="s">
        <v>7</v>
      </c>
      <c r="C1118" t="s">
        <v>1122</v>
      </c>
      <c r="D1118" t="s">
        <v>9</v>
      </c>
      <c r="E1118" t="s">
        <v>1149</v>
      </c>
      <c r="F1118" t="str">
        <f>"001356200241"</f>
        <v>001356200241</v>
      </c>
      <c r="G1118" t="s">
        <v>2742</v>
      </c>
      <c r="H1118" s="4">
        <v>35924.661999999997</v>
      </c>
    </row>
    <row r="1119" spans="1:8" x14ac:dyDescent="0.3">
      <c r="A1119" t="s">
        <v>6</v>
      </c>
      <c r="B1119" t="s">
        <v>7</v>
      </c>
      <c r="C1119" t="s">
        <v>1729</v>
      </c>
      <c r="D1119" t="s">
        <v>9</v>
      </c>
      <c r="E1119" t="s">
        <v>1735</v>
      </c>
      <c r="F1119" t="str">
        <f>"072534213216"</f>
        <v>072534213216</v>
      </c>
      <c r="G1119" t="s">
        <v>3498</v>
      </c>
      <c r="H1119" s="4">
        <v>35711.014999999999</v>
      </c>
    </row>
    <row r="1120" spans="1:8" x14ac:dyDescent="0.3">
      <c r="A1120" t="s">
        <v>6</v>
      </c>
      <c r="B1120" t="s">
        <v>7</v>
      </c>
      <c r="C1120" t="s">
        <v>2231</v>
      </c>
      <c r="D1120" t="s">
        <v>9</v>
      </c>
      <c r="E1120" t="s">
        <v>2324</v>
      </c>
      <c r="F1120" t="str">
        <f>"004119611072"</f>
        <v>004119611072</v>
      </c>
      <c r="G1120" t="s">
        <v>4515</v>
      </c>
      <c r="H1120" s="4">
        <v>35698.46</v>
      </c>
    </row>
    <row r="1121" spans="1:8" x14ac:dyDescent="0.3">
      <c r="A1121" t="s">
        <v>6</v>
      </c>
      <c r="B1121" t="s">
        <v>7</v>
      </c>
      <c r="C1121" t="s">
        <v>985</v>
      </c>
      <c r="D1121" t="s">
        <v>9</v>
      </c>
      <c r="E1121" t="s">
        <v>1006</v>
      </c>
      <c r="F1121" t="str">
        <f>"001356212121"</f>
        <v>001356212121</v>
      </c>
      <c r="G1121" t="s">
        <v>2605</v>
      </c>
      <c r="H1121" s="4">
        <v>35561.345999999998</v>
      </c>
    </row>
    <row r="1122" spans="1:8" x14ac:dyDescent="0.3">
      <c r="A1122" t="s">
        <v>6</v>
      </c>
      <c r="B1122" t="s">
        <v>7</v>
      </c>
      <c r="C1122" t="s">
        <v>797</v>
      </c>
      <c r="D1122" t="s">
        <v>9</v>
      </c>
      <c r="E1122" t="s">
        <v>974</v>
      </c>
      <c r="F1122" t="str">
        <f>"001600040981"</f>
        <v>001600040981</v>
      </c>
      <c r="G1122" t="s">
        <v>2565</v>
      </c>
      <c r="H1122" s="4">
        <v>35466.531999999999</v>
      </c>
    </row>
    <row r="1123" spans="1:8" x14ac:dyDescent="0.3">
      <c r="A1123" t="s">
        <v>6</v>
      </c>
      <c r="B1123" t="s">
        <v>7</v>
      </c>
      <c r="C1123" t="s">
        <v>1940</v>
      </c>
      <c r="D1123" t="s">
        <v>9</v>
      </c>
      <c r="E1123" t="s">
        <v>2091</v>
      </c>
      <c r="F1123" t="str">
        <f>"007047000329"</f>
        <v>007047000329</v>
      </c>
      <c r="G1123" t="s">
        <v>3979</v>
      </c>
      <c r="H1123" s="4">
        <v>35440.826000000001</v>
      </c>
    </row>
    <row r="1124" spans="1:8" x14ac:dyDescent="0.3">
      <c r="A1124" t="s">
        <v>6</v>
      </c>
      <c r="B1124" t="s">
        <v>7</v>
      </c>
      <c r="C1124" t="s">
        <v>1397</v>
      </c>
      <c r="D1124" t="s">
        <v>9</v>
      </c>
      <c r="E1124" t="s">
        <v>1532</v>
      </c>
      <c r="F1124" t="str">
        <f>"004119602032"</f>
        <v>004119602032</v>
      </c>
      <c r="G1124" t="s">
        <v>3076</v>
      </c>
      <c r="H1124" s="4">
        <v>35428.459000000003</v>
      </c>
    </row>
    <row r="1125" spans="1:8" x14ac:dyDescent="0.3">
      <c r="A1125" t="s">
        <v>6</v>
      </c>
      <c r="B1125" t="s">
        <v>7</v>
      </c>
      <c r="C1125" t="s">
        <v>1397</v>
      </c>
      <c r="D1125" t="s">
        <v>9</v>
      </c>
      <c r="E1125" t="s">
        <v>1484</v>
      </c>
      <c r="F1125" t="str">
        <f>"001600020516"</f>
        <v>001600020516</v>
      </c>
      <c r="G1125" t="s">
        <v>3031</v>
      </c>
      <c r="H1125" s="4">
        <v>35404.75</v>
      </c>
    </row>
    <row r="1126" spans="1:8" x14ac:dyDescent="0.3">
      <c r="A1126" t="s">
        <v>6</v>
      </c>
      <c r="B1126" t="s">
        <v>7</v>
      </c>
      <c r="C1126" t="s">
        <v>1577</v>
      </c>
      <c r="D1126" t="s">
        <v>9</v>
      </c>
      <c r="E1126" t="s">
        <v>1611</v>
      </c>
      <c r="F1126" t="str">
        <f>"004600011643"</f>
        <v>004600011643</v>
      </c>
      <c r="G1126" t="s">
        <v>3375</v>
      </c>
      <c r="H1126" s="4">
        <v>35363.154000000002</v>
      </c>
    </row>
    <row r="1127" spans="1:8" x14ac:dyDescent="0.3">
      <c r="A1127" t="s">
        <v>6</v>
      </c>
      <c r="B1127" t="s">
        <v>7</v>
      </c>
      <c r="C1127" t="s">
        <v>985</v>
      </c>
      <c r="D1127" t="s">
        <v>9</v>
      </c>
      <c r="E1127" t="s">
        <v>1041</v>
      </c>
      <c r="F1127" t="str">
        <f>"001356236347"</f>
        <v>001356236347</v>
      </c>
      <c r="G1127" t="s">
        <v>2637</v>
      </c>
      <c r="H1127" s="4">
        <v>35250.093000000001</v>
      </c>
    </row>
    <row r="1128" spans="1:8" x14ac:dyDescent="0.3">
      <c r="A1128" t="s">
        <v>6</v>
      </c>
      <c r="B1128" t="s">
        <v>7</v>
      </c>
      <c r="C1128" t="s">
        <v>616</v>
      </c>
      <c r="D1128" t="s">
        <v>9</v>
      </c>
      <c r="E1128" t="s">
        <v>676</v>
      </c>
      <c r="F1128" t="str">
        <f>"002190813094"</f>
        <v>002190813094</v>
      </c>
      <c r="G1128" t="s">
        <v>3646</v>
      </c>
      <c r="H1128" s="4">
        <v>35161.300000000003</v>
      </c>
    </row>
    <row r="1129" spans="1:8" x14ac:dyDescent="0.3">
      <c r="A1129" t="s">
        <v>6</v>
      </c>
      <c r="B1129" t="s">
        <v>7</v>
      </c>
      <c r="C1129" t="s">
        <v>1072</v>
      </c>
      <c r="D1129" t="s">
        <v>9</v>
      </c>
      <c r="E1129" t="s">
        <v>1075</v>
      </c>
      <c r="F1129" t="str">
        <f>"001600020069"</f>
        <v>001600020069</v>
      </c>
      <c r="G1129" t="s">
        <v>2673</v>
      </c>
      <c r="H1129" s="4">
        <v>34959.156000000003</v>
      </c>
    </row>
    <row r="1130" spans="1:8" x14ac:dyDescent="0.3">
      <c r="A1130" t="s">
        <v>6</v>
      </c>
      <c r="B1130" t="s">
        <v>7</v>
      </c>
      <c r="C1130" t="s">
        <v>381</v>
      </c>
      <c r="D1130" t="s">
        <v>9</v>
      </c>
      <c r="E1130" t="s">
        <v>405</v>
      </c>
      <c r="F1130" t="str">
        <f>"002190848533"</f>
        <v>002190848533</v>
      </c>
      <c r="G1130" t="s">
        <v>3132</v>
      </c>
      <c r="H1130" s="4">
        <v>34954.080000000002</v>
      </c>
    </row>
    <row r="1131" spans="1:8" x14ac:dyDescent="0.3">
      <c r="A1131" t="s">
        <v>6</v>
      </c>
      <c r="B1131" t="s">
        <v>7</v>
      </c>
      <c r="C1131" t="s">
        <v>797</v>
      </c>
      <c r="D1131" t="s">
        <v>9</v>
      </c>
      <c r="E1131" t="s">
        <v>956</v>
      </c>
      <c r="F1131" t="str">
        <f>"001600041001"</f>
        <v>001600041001</v>
      </c>
      <c r="G1131" t="s">
        <v>2552</v>
      </c>
      <c r="H1131" s="4">
        <v>34791.858999999997</v>
      </c>
    </row>
    <row r="1132" spans="1:8" x14ac:dyDescent="0.3">
      <c r="A1132" t="s">
        <v>6</v>
      </c>
      <c r="B1132" t="s">
        <v>7</v>
      </c>
      <c r="C1132" t="s">
        <v>1940</v>
      </c>
      <c r="D1132" t="s">
        <v>9</v>
      </c>
      <c r="E1132" t="s">
        <v>1961</v>
      </c>
      <c r="F1132" t="str">
        <f>"007047020653"</f>
        <v>007047020653</v>
      </c>
      <c r="G1132" t="s">
        <v>3847</v>
      </c>
      <c r="H1132" s="4">
        <v>34791.767</v>
      </c>
    </row>
    <row r="1133" spans="1:8" x14ac:dyDescent="0.3">
      <c r="A1133" t="s">
        <v>6</v>
      </c>
      <c r="B1133" t="s">
        <v>7</v>
      </c>
      <c r="C1133" t="s">
        <v>1286</v>
      </c>
      <c r="D1133" t="s">
        <v>9</v>
      </c>
      <c r="E1133" t="s">
        <v>1288</v>
      </c>
      <c r="F1133" t="str">
        <f>"001356212234"</f>
        <v>001356212234</v>
      </c>
      <c r="G1133" t="s">
        <v>2854</v>
      </c>
      <c r="H1133" s="4">
        <v>34727.677000000003</v>
      </c>
    </row>
    <row r="1134" spans="1:8" x14ac:dyDescent="0.3">
      <c r="A1134" t="s">
        <v>6</v>
      </c>
      <c r="B1134" t="s">
        <v>7</v>
      </c>
      <c r="C1134" t="s">
        <v>1786</v>
      </c>
      <c r="D1134" t="s">
        <v>9</v>
      </c>
      <c r="E1134" t="s">
        <v>1791</v>
      </c>
      <c r="F1134" t="str">
        <f>"072534212824"</f>
        <v>072534212824</v>
      </c>
      <c r="G1134" t="s">
        <v>3553</v>
      </c>
      <c r="H1134" s="4">
        <v>34708.949999999997</v>
      </c>
    </row>
    <row r="1135" spans="1:8" x14ac:dyDescent="0.3">
      <c r="A1135" t="s">
        <v>6</v>
      </c>
      <c r="B1135" t="s">
        <v>7</v>
      </c>
      <c r="C1135" t="s">
        <v>1122</v>
      </c>
      <c r="D1135" t="s">
        <v>9</v>
      </c>
      <c r="E1135" t="s">
        <v>1215</v>
      </c>
      <c r="F1135" t="str">
        <f>"001600016213"</f>
        <v>001600016213</v>
      </c>
      <c r="G1135" t="s">
        <v>2793</v>
      </c>
      <c r="H1135" s="4">
        <v>34691.339999999997</v>
      </c>
    </row>
    <row r="1136" spans="1:8" x14ac:dyDescent="0.3">
      <c r="A1136" t="s">
        <v>6</v>
      </c>
      <c r="B1136" t="s">
        <v>7</v>
      </c>
      <c r="C1136" t="s">
        <v>1577</v>
      </c>
      <c r="D1136" t="s">
        <v>9</v>
      </c>
      <c r="E1136" t="s">
        <v>1630</v>
      </c>
      <c r="F1136" t="str">
        <f>"004600083331"</f>
        <v>004600083331</v>
      </c>
      <c r="G1136" t="s">
        <v>3395</v>
      </c>
      <c r="H1136" s="4">
        <v>34598.654999999999</v>
      </c>
    </row>
    <row r="1137" spans="1:8" x14ac:dyDescent="0.3">
      <c r="A1137" t="s">
        <v>6</v>
      </c>
      <c r="B1137" t="s">
        <v>7</v>
      </c>
      <c r="C1137" t="s">
        <v>1397</v>
      </c>
      <c r="D1137" t="s">
        <v>9</v>
      </c>
      <c r="E1137" t="s">
        <v>1435</v>
      </c>
      <c r="F1137" t="str">
        <f>"073215302473"</f>
        <v>073215302473</v>
      </c>
      <c r="G1137" t="s">
        <v>2986</v>
      </c>
      <c r="H1137" s="4">
        <v>34301.576000000001</v>
      </c>
    </row>
    <row r="1138" spans="1:8" x14ac:dyDescent="0.3">
      <c r="A1138" t="s">
        <v>6</v>
      </c>
      <c r="B1138" t="s">
        <v>7</v>
      </c>
      <c r="C1138" t="s">
        <v>381</v>
      </c>
      <c r="D1138" t="s">
        <v>9</v>
      </c>
      <c r="E1138" t="s">
        <v>387</v>
      </c>
      <c r="F1138" t="str">
        <f>"001356211614"</f>
        <v>001356211614</v>
      </c>
      <c r="G1138" t="s">
        <v>2389</v>
      </c>
      <c r="H1138" s="4">
        <v>34298.93</v>
      </c>
    </row>
    <row r="1139" spans="1:8" x14ac:dyDescent="0.3">
      <c r="A1139" t="s">
        <v>6</v>
      </c>
      <c r="B1139" t="s">
        <v>7</v>
      </c>
      <c r="C1139" t="s">
        <v>1940</v>
      </c>
      <c r="D1139" t="s">
        <v>9</v>
      </c>
      <c r="E1139" t="s">
        <v>1971</v>
      </c>
      <c r="F1139" t="str">
        <f>"007047020628"</f>
        <v>007047020628</v>
      </c>
      <c r="G1139" t="s">
        <v>2389</v>
      </c>
      <c r="H1139" s="4">
        <v>34232.410000000003</v>
      </c>
    </row>
    <row r="1140" spans="1:8" x14ac:dyDescent="0.3">
      <c r="A1140" t="s">
        <v>6</v>
      </c>
      <c r="B1140" t="s">
        <v>7</v>
      </c>
      <c r="C1140" t="s">
        <v>1940</v>
      </c>
      <c r="D1140" t="s">
        <v>9</v>
      </c>
      <c r="E1140" t="s">
        <v>1968</v>
      </c>
      <c r="F1140" t="str">
        <f>"007527000166"</f>
        <v>007527000166</v>
      </c>
      <c r="G1140" t="s">
        <v>3855</v>
      </c>
      <c r="H1140" s="4">
        <v>34169.722000000002</v>
      </c>
    </row>
    <row r="1141" spans="1:8" x14ac:dyDescent="0.3">
      <c r="A1141" t="s">
        <v>6</v>
      </c>
      <c r="B1141" t="s">
        <v>7</v>
      </c>
      <c r="C1141" t="s">
        <v>797</v>
      </c>
      <c r="D1141" t="s">
        <v>9</v>
      </c>
      <c r="E1141" t="s">
        <v>827</v>
      </c>
      <c r="F1141" t="str">
        <f>"001600018655"</f>
        <v>001600018655</v>
      </c>
      <c r="G1141" t="s">
        <v>2423</v>
      </c>
      <c r="H1141" s="4">
        <v>34131.629999999997</v>
      </c>
    </row>
    <row r="1142" spans="1:8" x14ac:dyDescent="0.3">
      <c r="A1142" t="s">
        <v>6</v>
      </c>
      <c r="B1142" t="s">
        <v>7</v>
      </c>
      <c r="C1142" t="s">
        <v>381</v>
      </c>
      <c r="D1142" t="s">
        <v>9</v>
      </c>
      <c r="E1142" t="s">
        <v>525</v>
      </c>
      <c r="F1142" t="str">
        <f>"001600019974"</f>
        <v>001600019974</v>
      </c>
      <c r="G1142" t="s">
        <v>3249</v>
      </c>
      <c r="H1142" s="4">
        <v>34116.949999999997</v>
      </c>
    </row>
    <row r="1143" spans="1:8" x14ac:dyDescent="0.3">
      <c r="A1143" t="s">
        <v>6</v>
      </c>
      <c r="B1143" t="s">
        <v>7</v>
      </c>
      <c r="C1143" t="s">
        <v>1122</v>
      </c>
      <c r="D1143" t="s">
        <v>9</v>
      </c>
      <c r="E1143" t="s">
        <v>1210</v>
      </c>
      <c r="F1143" t="str">
        <f>"001600020432"</f>
        <v>001600020432</v>
      </c>
      <c r="G1143" t="s">
        <v>2389</v>
      </c>
      <c r="H1143" s="4">
        <v>34058.152000000002</v>
      </c>
    </row>
    <row r="1144" spans="1:8" x14ac:dyDescent="0.3">
      <c r="A1144" t="s">
        <v>6</v>
      </c>
      <c r="B1144" t="s">
        <v>7</v>
      </c>
      <c r="C1144" t="s">
        <v>1122</v>
      </c>
      <c r="D1144" t="s">
        <v>9</v>
      </c>
      <c r="E1144" t="s">
        <v>1177</v>
      </c>
      <c r="F1144" t="str">
        <f>"001600018574"</f>
        <v>001600018574</v>
      </c>
      <c r="G1144" t="s">
        <v>2765</v>
      </c>
      <c r="H1144" s="4">
        <v>33759.303999999996</v>
      </c>
    </row>
    <row r="1145" spans="1:8" x14ac:dyDescent="0.3">
      <c r="A1145" t="s">
        <v>6</v>
      </c>
      <c r="B1145" t="s">
        <v>7</v>
      </c>
      <c r="C1145" t="s">
        <v>1577</v>
      </c>
      <c r="D1145" t="s">
        <v>9</v>
      </c>
      <c r="E1145" t="s">
        <v>1602</v>
      </c>
      <c r="F1145" t="str">
        <f>"004600013055"</f>
        <v>004600013055</v>
      </c>
      <c r="G1145" t="s">
        <v>3366</v>
      </c>
      <c r="H1145" s="4">
        <v>33688.733</v>
      </c>
    </row>
    <row r="1146" spans="1:8" x14ac:dyDescent="0.3">
      <c r="A1146" t="s">
        <v>6</v>
      </c>
      <c r="B1146" t="s">
        <v>7</v>
      </c>
      <c r="C1146" t="s">
        <v>1577</v>
      </c>
      <c r="D1146" t="s">
        <v>9</v>
      </c>
      <c r="E1146" t="s">
        <v>1660</v>
      </c>
      <c r="F1146" t="str">
        <f>"004600045292"</f>
        <v>004600045292</v>
      </c>
      <c r="G1146" t="s">
        <v>2389</v>
      </c>
      <c r="H1146" s="4">
        <v>33688.269999999997</v>
      </c>
    </row>
    <row r="1147" spans="1:8" x14ac:dyDescent="0.3">
      <c r="A1147" t="s">
        <v>6</v>
      </c>
      <c r="B1147" t="s">
        <v>7</v>
      </c>
      <c r="C1147" t="s">
        <v>8</v>
      </c>
      <c r="D1147" t="s">
        <v>9</v>
      </c>
      <c r="E1147" t="s">
        <v>89</v>
      </c>
      <c r="F1147" t="str">
        <f>"001600020612"</f>
        <v>001600020612</v>
      </c>
      <c r="G1147" t="s">
        <v>4063</v>
      </c>
      <c r="H1147" s="4">
        <v>33549.654999999999</v>
      </c>
    </row>
    <row r="1148" spans="1:8" x14ac:dyDescent="0.3">
      <c r="A1148" t="s">
        <v>6</v>
      </c>
      <c r="B1148" t="s">
        <v>7</v>
      </c>
      <c r="C1148" t="s">
        <v>616</v>
      </c>
      <c r="D1148" t="s">
        <v>9</v>
      </c>
      <c r="E1148" t="s">
        <v>632</v>
      </c>
      <c r="F1148" t="str">
        <f>"073215312538"</f>
        <v>073215312538</v>
      </c>
      <c r="G1148" t="s">
        <v>3604</v>
      </c>
      <c r="H1148" s="4">
        <v>33500.81</v>
      </c>
    </row>
    <row r="1149" spans="1:8" x14ac:dyDescent="0.3">
      <c r="A1149" t="s">
        <v>6</v>
      </c>
      <c r="B1149" t="s">
        <v>7</v>
      </c>
      <c r="C1149" t="s">
        <v>1940</v>
      </c>
      <c r="D1149" t="s">
        <v>9</v>
      </c>
      <c r="E1149" t="s">
        <v>2030</v>
      </c>
      <c r="F1149" t="str">
        <f>"007047016163"</f>
        <v>007047016163</v>
      </c>
      <c r="G1149" t="s">
        <v>3921</v>
      </c>
      <c r="H1149" s="4">
        <v>33462.300000000003</v>
      </c>
    </row>
    <row r="1150" spans="1:8" x14ac:dyDescent="0.3">
      <c r="A1150" t="s">
        <v>6</v>
      </c>
      <c r="B1150" t="s">
        <v>7</v>
      </c>
      <c r="C1150" t="s">
        <v>616</v>
      </c>
      <c r="D1150" t="s">
        <v>9</v>
      </c>
      <c r="E1150" t="s">
        <v>738</v>
      </c>
      <c r="F1150" t="str">
        <f>"002190851544"</f>
        <v>002190851544</v>
      </c>
      <c r="G1150" t="s">
        <v>3708</v>
      </c>
      <c r="H1150" s="4">
        <v>33366.321000000004</v>
      </c>
    </row>
    <row r="1151" spans="1:8" x14ac:dyDescent="0.3">
      <c r="A1151" t="s">
        <v>6</v>
      </c>
      <c r="B1151" t="s">
        <v>7</v>
      </c>
      <c r="C1151" t="s">
        <v>770</v>
      </c>
      <c r="D1151" t="s">
        <v>9</v>
      </c>
      <c r="E1151" t="s">
        <v>795</v>
      </c>
      <c r="F1151" t="str">
        <f>"001600017807"</f>
        <v>001600017807</v>
      </c>
      <c r="G1151" t="s">
        <v>2389</v>
      </c>
      <c r="H1151" s="4">
        <v>33048.667999999998</v>
      </c>
    </row>
    <row r="1152" spans="1:8" x14ac:dyDescent="0.3">
      <c r="A1152" t="s">
        <v>6</v>
      </c>
      <c r="B1152" t="s">
        <v>7</v>
      </c>
      <c r="C1152" t="s">
        <v>2231</v>
      </c>
      <c r="D1152" t="s">
        <v>9</v>
      </c>
      <c r="E1152" t="s">
        <v>2328</v>
      </c>
      <c r="F1152" t="str">
        <f>"004119611068"</f>
        <v>004119611068</v>
      </c>
      <c r="G1152" t="s">
        <v>4519</v>
      </c>
      <c r="H1152" s="4">
        <v>32955.427000000003</v>
      </c>
    </row>
    <row r="1153" spans="1:8" x14ac:dyDescent="0.3">
      <c r="A1153" t="s">
        <v>6</v>
      </c>
      <c r="B1153" t="s">
        <v>7</v>
      </c>
      <c r="C1153" t="s">
        <v>2113</v>
      </c>
      <c r="D1153" t="s">
        <v>9</v>
      </c>
      <c r="E1153" t="s">
        <v>2163</v>
      </c>
      <c r="F1153" t="str">
        <f>"001600016010"</f>
        <v>001600016010</v>
      </c>
      <c r="G1153" t="s">
        <v>4371</v>
      </c>
      <c r="H1153" s="4">
        <v>32898.22</v>
      </c>
    </row>
    <row r="1154" spans="1:8" x14ac:dyDescent="0.3">
      <c r="A1154" t="s">
        <v>6</v>
      </c>
      <c r="B1154" t="s">
        <v>7</v>
      </c>
      <c r="C1154" t="s">
        <v>8</v>
      </c>
      <c r="D1154" t="s">
        <v>9</v>
      </c>
      <c r="E1154" t="s">
        <v>45</v>
      </c>
      <c r="F1154" t="str">
        <f>"002190840724"</f>
        <v>002190840724</v>
      </c>
      <c r="G1154" t="s">
        <v>4023</v>
      </c>
      <c r="H1154" s="4">
        <v>32890.269999999997</v>
      </c>
    </row>
    <row r="1155" spans="1:8" x14ac:dyDescent="0.3">
      <c r="A1155" t="s">
        <v>6</v>
      </c>
      <c r="B1155" t="s">
        <v>7</v>
      </c>
      <c r="C1155" t="s">
        <v>1122</v>
      </c>
      <c r="D1155" t="s">
        <v>9</v>
      </c>
      <c r="E1155" t="s">
        <v>1260</v>
      </c>
      <c r="F1155" t="str">
        <f>"001600019403"</f>
        <v>001600019403</v>
      </c>
      <c r="G1155" t="s">
        <v>2389</v>
      </c>
      <c r="H1155" s="4">
        <v>32782.300000000003</v>
      </c>
    </row>
    <row r="1156" spans="1:8" x14ac:dyDescent="0.3">
      <c r="A1156" t="s">
        <v>6</v>
      </c>
      <c r="B1156" t="s">
        <v>7</v>
      </c>
      <c r="C1156" t="s">
        <v>985</v>
      </c>
      <c r="D1156" t="s">
        <v>9</v>
      </c>
      <c r="E1156" t="s">
        <v>1065</v>
      </c>
      <c r="F1156" t="str">
        <f>"001356230062"</f>
        <v>001356230062</v>
      </c>
      <c r="G1156" t="s">
        <v>2658</v>
      </c>
      <c r="H1156" s="4">
        <v>32721.722000000002</v>
      </c>
    </row>
    <row r="1157" spans="1:8" x14ac:dyDescent="0.3">
      <c r="A1157" t="s">
        <v>6</v>
      </c>
      <c r="B1157" t="s">
        <v>7</v>
      </c>
      <c r="C1157" t="s">
        <v>797</v>
      </c>
      <c r="D1157" t="s">
        <v>9</v>
      </c>
      <c r="E1157" t="s">
        <v>952</v>
      </c>
      <c r="F1157" t="str">
        <f>"001600040997"</f>
        <v>001600040997</v>
      </c>
      <c r="G1157" t="s">
        <v>2548</v>
      </c>
      <c r="H1157" s="4">
        <v>32631.945</v>
      </c>
    </row>
    <row r="1158" spans="1:8" x14ac:dyDescent="0.3">
      <c r="A1158" t="s">
        <v>6</v>
      </c>
      <c r="B1158" t="s">
        <v>7</v>
      </c>
      <c r="C1158" t="s">
        <v>616</v>
      </c>
      <c r="D1158" t="s">
        <v>9</v>
      </c>
      <c r="E1158" t="s">
        <v>751</v>
      </c>
      <c r="F1158" t="str">
        <f>"002190850916"</f>
        <v>002190850916</v>
      </c>
      <c r="G1158" t="s">
        <v>3721</v>
      </c>
      <c r="H1158" s="4">
        <v>32609.756000000001</v>
      </c>
    </row>
    <row r="1159" spans="1:8" x14ac:dyDescent="0.3">
      <c r="A1159" t="s">
        <v>6</v>
      </c>
      <c r="B1159" t="s">
        <v>7</v>
      </c>
      <c r="C1159" t="s">
        <v>1940</v>
      </c>
      <c r="D1159" t="s">
        <v>9</v>
      </c>
      <c r="E1159" t="s">
        <v>2034</v>
      </c>
      <c r="F1159" t="str">
        <f>"007047015526"</f>
        <v>007047015526</v>
      </c>
      <c r="G1159" t="s">
        <v>3924</v>
      </c>
      <c r="H1159" s="4">
        <v>32593.627</v>
      </c>
    </row>
    <row r="1160" spans="1:8" x14ac:dyDescent="0.3">
      <c r="A1160" t="s">
        <v>6</v>
      </c>
      <c r="B1160" t="s">
        <v>7</v>
      </c>
      <c r="C1160" t="s">
        <v>1805</v>
      </c>
      <c r="D1160" t="s">
        <v>9</v>
      </c>
      <c r="E1160" t="s">
        <v>1902</v>
      </c>
      <c r="F1160" t="str">
        <f>"001800000076"</f>
        <v>001800000076</v>
      </c>
      <c r="G1160" t="s">
        <v>2389</v>
      </c>
      <c r="H1160" s="4">
        <v>32535.072</v>
      </c>
    </row>
    <row r="1161" spans="1:8" x14ac:dyDescent="0.3">
      <c r="A1161" t="s">
        <v>6</v>
      </c>
      <c r="B1161" t="s">
        <v>7</v>
      </c>
      <c r="C1161" t="s">
        <v>1397</v>
      </c>
      <c r="D1161" t="s">
        <v>9</v>
      </c>
      <c r="E1161" t="s">
        <v>1510</v>
      </c>
      <c r="F1161" t="str">
        <f>"001800012231"</f>
        <v>001800012231</v>
      </c>
      <c r="G1161" t="s">
        <v>3055</v>
      </c>
      <c r="H1161" s="4">
        <v>32505.413</v>
      </c>
    </row>
    <row r="1162" spans="1:8" x14ac:dyDescent="0.3">
      <c r="A1162" t="s">
        <v>6</v>
      </c>
      <c r="B1162" t="s">
        <v>7</v>
      </c>
      <c r="C1162" t="s">
        <v>8</v>
      </c>
      <c r="D1162" t="s">
        <v>9</v>
      </c>
      <c r="E1162" t="s">
        <v>29</v>
      </c>
      <c r="F1162" t="str">
        <f>"002190845014"</f>
        <v>002190845014</v>
      </c>
      <c r="G1162" t="s">
        <v>4011</v>
      </c>
      <c r="H1162" s="4">
        <v>32360.143</v>
      </c>
    </row>
    <row r="1163" spans="1:8" x14ac:dyDescent="0.3">
      <c r="A1163" t="s">
        <v>6</v>
      </c>
      <c r="B1163" t="s">
        <v>7</v>
      </c>
      <c r="C1163" t="s">
        <v>616</v>
      </c>
      <c r="D1163" t="s">
        <v>9</v>
      </c>
      <c r="E1163" t="s">
        <v>708</v>
      </c>
      <c r="F1163" t="str">
        <f>"002190850927"</f>
        <v>002190850927</v>
      </c>
      <c r="G1163" t="s">
        <v>3678</v>
      </c>
      <c r="H1163" s="4">
        <v>32356.223000000002</v>
      </c>
    </row>
    <row r="1164" spans="1:8" x14ac:dyDescent="0.3">
      <c r="A1164" t="s">
        <v>6</v>
      </c>
      <c r="B1164" t="s">
        <v>7</v>
      </c>
      <c r="C1164" t="s">
        <v>1552</v>
      </c>
      <c r="D1164" t="s">
        <v>9</v>
      </c>
      <c r="E1164" t="s">
        <v>1564</v>
      </c>
      <c r="F1164" t="str">
        <f>"001356211722"</f>
        <v>001356211722</v>
      </c>
      <c r="G1164" t="s">
        <v>3106</v>
      </c>
      <c r="H1164" s="4">
        <v>32345.956999999999</v>
      </c>
    </row>
    <row r="1165" spans="1:8" x14ac:dyDescent="0.3">
      <c r="A1165" t="s">
        <v>6</v>
      </c>
      <c r="B1165" t="s">
        <v>7</v>
      </c>
      <c r="C1165" t="s">
        <v>1397</v>
      </c>
      <c r="D1165" t="s">
        <v>9</v>
      </c>
      <c r="E1165" t="s">
        <v>1448</v>
      </c>
      <c r="F1165" t="str">
        <f>"073215301592"</f>
        <v>073215301592</v>
      </c>
      <c r="G1165" t="s">
        <v>2999</v>
      </c>
      <c r="H1165" s="4">
        <v>32290.752</v>
      </c>
    </row>
    <row r="1166" spans="1:8" x14ac:dyDescent="0.3">
      <c r="A1166" t="s">
        <v>6</v>
      </c>
      <c r="B1166" t="s">
        <v>7</v>
      </c>
      <c r="C1166" t="s">
        <v>1805</v>
      </c>
      <c r="D1166" t="s">
        <v>9</v>
      </c>
      <c r="E1166" t="s">
        <v>1909</v>
      </c>
      <c r="F1166" t="str">
        <f>"001800013243"</f>
        <v>001800013243</v>
      </c>
      <c r="G1166" t="s">
        <v>3793</v>
      </c>
      <c r="H1166" s="4">
        <v>32263.552</v>
      </c>
    </row>
    <row r="1167" spans="1:8" x14ac:dyDescent="0.3">
      <c r="A1167" t="s">
        <v>6</v>
      </c>
      <c r="B1167" t="s">
        <v>7</v>
      </c>
      <c r="C1167" t="s">
        <v>381</v>
      </c>
      <c r="D1167" t="s">
        <v>9</v>
      </c>
      <c r="E1167" t="s">
        <v>522</v>
      </c>
      <c r="F1167" t="str">
        <f>"001600014097"</f>
        <v>001600014097</v>
      </c>
      <c r="G1167" t="s">
        <v>3246</v>
      </c>
      <c r="H1167" s="4">
        <v>32211.136999999999</v>
      </c>
    </row>
    <row r="1168" spans="1:8" x14ac:dyDescent="0.3">
      <c r="A1168" t="s">
        <v>6</v>
      </c>
      <c r="B1168" t="s">
        <v>7</v>
      </c>
      <c r="C1168" t="s">
        <v>8</v>
      </c>
      <c r="D1168" t="s">
        <v>9</v>
      </c>
      <c r="E1168" t="s">
        <v>278</v>
      </c>
      <c r="F1168" t="str">
        <f>"001600019317"</f>
        <v>001600019317</v>
      </c>
      <c r="G1168" t="s">
        <v>4230</v>
      </c>
      <c r="H1168" s="4">
        <v>32049.125</v>
      </c>
    </row>
    <row r="1169" spans="1:8" x14ac:dyDescent="0.3">
      <c r="A1169" t="s">
        <v>6</v>
      </c>
      <c r="B1169" t="s">
        <v>7</v>
      </c>
      <c r="C1169" t="s">
        <v>1397</v>
      </c>
      <c r="D1169" t="s">
        <v>9</v>
      </c>
      <c r="E1169" t="s">
        <v>1483</v>
      </c>
      <c r="F1169" t="str">
        <f>"001600019875"</f>
        <v>001600019875</v>
      </c>
      <c r="G1169" t="s">
        <v>3030</v>
      </c>
      <c r="H1169" s="4">
        <v>31919.09</v>
      </c>
    </row>
    <row r="1170" spans="1:8" x14ac:dyDescent="0.3">
      <c r="A1170" t="s">
        <v>6</v>
      </c>
      <c r="B1170" t="s">
        <v>7</v>
      </c>
      <c r="C1170" t="s">
        <v>797</v>
      </c>
      <c r="D1170" t="s">
        <v>9</v>
      </c>
      <c r="E1170" t="s">
        <v>877</v>
      </c>
      <c r="F1170" t="str">
        <f>"001600035070"</f>
        <v>001600035070</v>
      </c>
      <c r="G1170" t="s">
        <v>2470</v>
      </c>
      <c r="H1170" s="4">
        <v>31859.772000000001</v>
      </c>
    </row>
    <row r="1171" spans="1:8" x14ac:dyDescent="0.3">
      <c r="A1171" t="s">
        <v>6</v>
      </c>
      <c r="B1171" t="s">
        <v>7</v>
      </c>
      <c r="C1171" t="s">
        <v>1338</v>
      </c>
      <c r="D1171" t="s">
        <v>9</v>
      </c>
      <c r="E1171" t="s">
        <v>1340</v>
      </c>
      <c r="F1171" t="str">
        <f>"001356200175"</f>
        <v>001356200175</v>
      </c>
      <c r="G1171" t="s">
        <v>2901</v>
      </c>
      <c r="H1171" s="4">
        <v>31818.607</v>
      </c>
    </row>
    <row r="1172" spans="1:8" x14ac:dyDescent="0.3">
      <c r="A1172" t="s">
        <v>6</v>
      </c>
      <c r="B1172" t="s">
        <v>7</v>
      </c>
      <c r="C1172" t="s">
        <v>1940</v>
      </c>
      <c r="D1172" t="s">
        <v>9</v>
      </c>
      <c r="E1172" t="s">
        <v>2052</v>
      </c>
      <c r="F1172" t="str">
        <f>"007047027831"</f>
        <v>007047027831</v>
      </c>
      <c r="G1172" t="s">
        <v>3939</v>
      </c>
      <c r="H1172" s="4">
        <v>31796.935000000001</v>
      </c>
    </row>
    <row r="1173" spans="1:8" x14ac:dyDescent="0.3">
      <c r="A1173" t="s">
        <v>6</v>
      </c>
      <c r="B1173" t="s">
        <v>7</v>
      </c>
      <c r="C1173" t="s">
        <v>1577</v>
      </c>
      <c r="D1173" t="s">
        <v>9</v>
      </c>
      <c r="E1173" t="s">
        <v>1618</v>
      </c>
      <c r="F1173" t="str">
        <f>"004600048048"</f>
        <v>004600048048</v>
      </c>
      <c r="G1173" t="s">
        <v>3382</v>
      </c>
      <c r="H1173" s="4">
        <v>31671.492999999999</v>
      </c>
    </row>
    <row r="1174" spans="1:8" x14ac:dyDescent="0.3">
      <c r="A1174" t="s">
        <v>6</v>
      </c>
      <c r="B1174" t="s">
        <v>7</v>
      </c>
      <c r="C1174" t="s">
        <v>381</v>
      </c>
      <c r="D1174" t="s">
        <v>9</v>
      </c>
      <c r="E1174" t="s">
        <v>608</v>
      </c>
      <c r="F1174" t="str">
        <f>"001600016894"</f>
        <v>001600016894</v>
      </c>
      <c r="G1174" t="s">
        <v>3336</v>
      </c>
      <c r="H1174" s="4">
        <v>31661.963</v>
      </c>
    </row>
    <row r="1175" spans="1:8" x14ac:dyDescent="0.3">
      <c r="A1175" t="s">
        <v>6</v>
      </c>
      <c r="B1175" t="s">
        <v>7</v>
      </c>
      <c r="C1175" t="s">
        <v>1397</v>
      </c>
      <c r="D1175" t="s">
        <v>9</v>
      </c>
      <c r="E1175" t="s">
        <v>1398</v>
      </c>
      <c r="F1175" t="str">
        <f>"001356213298"</f>
        <v>001356213298</v>
      </c>
      <c r="G1175" t="s">
        <v>2389</v>
      </c>
      <c r="H1175" s="4">
        <v>31640.240000000002</v>
      </c>
    </row>
    <row r="1176" spans="1:8" x14ac:dyDescent="0.3">
      <c r="A1176" t="s">
        <v>6</v>
      </c>
      <c r="B1176" t="s">
        <v>7</v>
      </c>
      <c r="C1176" t="s">
        <v>1805</v>
      </c>
      <c r="D1176" t="s">
        <v>9</v>
      </c>
      <c r="E1176" t="s">
        <v>1806</v>
      </c>
      <c r="F1176" t="str">
        <f>"001356247293"</f>
        <v>001356247293</v>
      </c>
      <c r="G1176" t="s">
        <v>3738</v>
      </c>
      <c r="H1176" s="4">
        <v>31486.553</v>
      </c>
    </row>
    <row r="1177" spans="1:8" x14ac:dyDescent="0.3">
      <c r="A1177" t="s">
        <v>6</v>
      </c>
      <c r="B1177" t="s">
        <v>7</v>
      </c>
      <c r="C1177" t="s">
        <v>381</v>
      </c>
      <c r="D1177" t="s">
        <v>9</v>
      </c>
      <c r="E1177" t="s">
        <v>544</v>
      </c>
      <c r="F1177" t="str">
        <f>"001600017939"</f>
        <v>001600017939</v>
      </c>
      <c r="G1177" t="s">
        <v>3267</v>
      </c>
      <c r="H1177" s="4">
        <v>31480.671999999999</v>
      </c>
    </row>
    <row r="1178" spans="1:8" x14ac:dyDescent="0.3">
      <c r="A1178" t="s">
        <v>6</v>
      </c>
      <c r="B1178" t="s">
        <v>7</v>
      </c>
      <c r="C1178" t="s">
        <v>381</v>
      </c>
      <c r="D1178" t="s">
        <v>9</v>
      </c>
      <c r="E1178" t="s">
        <v>611</v>
      </c>
      <c r="F1178" t="str">
        <f>"001600014086"</f>
        <v>001600014086</v>
      </c>
      <c r="G1178" t="s">
        <v>3339</v>
      </c>
      <c r="H1178" s="4">
        <v>31441.876</v>
      </c>
    </row>
    <row r="1179" spans="1:8" x14ac:dyDescent="0.3">
      <c r="A1179" t="s">
        <v>6</v>
      </c>
      <c r="B1179" t="s">
        <v>7</v>
      </c>
      <c r="C1179" t="s">
        <v>8</v>
      </c>
      <c r="D1179" t="s">
        <v>9</v>
      </c>
      <c r="E1179" t="s">
        <v>48</v>
      </c>
      <c r="F1179" t="str">
        <f>"002190813314"</f>
        <v>002190813314</v>
      </c>
      <c r="G1179" t="s">
        <v>4026</v>
      </c>
      <c r="H1179" s="4">
        <v>31417.43</v>
      </c>
    </row>
    <row r="1180" spans="1:8" x14ac:dyDescent="0.3">
      <c r="A1180" t="s">
        <v>6</v>
      </c>
      <c r="B1180" t="s">
        <v>7</v>
      </c>
      <c r="C1180" t="s">
        <v>1122</v>
      </c>
      <c r="D1180" t="s">
        <v>9</v>
      </c>
      <c r="E1180" t="s">
        <v>1179</v>
      </c>
      <c r="F1180" t="str">
        <f>"001600018203"</f>
        <v>001600018203</v>
      </c>
      <c r="G1180" t="s">
        <v>2767</v>
      </c>
      <c r="H1180" s="4">
        <v>31412</v>
      </c>
    </row>
    <row r="1181" spans="1:8" x14ac:dyDescent="0.3">
      <c r="A1181" t="s">
        <v>6</v>
      </c>
      <c r="B1181" t="s">
        <v>7</v>
      </c>
      <c r="C1181" t="s">
        <v>1773</v>
      </c>
      <c r="D1181" t="s">
        <v>9</v>
      </c>
      <c r="E1181" t="s">
        <v>1779</v>
      </c>
      <c r="F1181" t="str">
        <f>"001356249401"</f>
        <v>001356249401</v>
      </c>
      <c r="G1181" t="s">
        <v>3541</v>
      </c>
      <c r="H1181" s="4">
        <v>31289.31</v>
      </c>
    </row>
    <row r="1182" spans="1:8" x14ac:dyDescent="0.3">
      <c r="A1182" t="s">
        <v>6</v>
      </c>
      <c r="B1182" t="s">
        <v>7</v>
      </c>
      <c r="C1182" t="s">
        <v>8</v>
      </c>
      <c r="D1182" t="s">
        <v>9</v>
      </c>
      <c r="E1182" t="s">
        <v>213</v>
      </c>
      <c r="F1182" t="str">
        <f>"001600015196"</f>
        <v>001600015196</v>
      </c>
      <c r="G1182" t="s">
        <v>4172</v>
      </c>
      <c r="H1182" s="4">
        <v>31084.694</v>
      </c>
    </row>
    <row r="1183" spans="1:8" x14ac:dyDescent="0.3">
      <c r="A1183" t="s">
        <v>6</v>
      </c>
      <c r="B1183" t="s">
        <v>7</v>
      </c>
      <c r="C1183" t="s">
        <v>8</v>
      </c>
      <c r="D1183" t="s">
        <v>9</v>
      </c>
      <c r="E1183" t="s">
        <v>155</v>
      </c>
      <c r="F1183" t="str">
        <f>"001600014511"</f>
        <v>001600014511</v>
      </c>
      <c r="G1183" t="s">
        <v>4117</v>
      </c>
      <c r="H1183" s="4">
        <v>30970.147000000001</v>
      </c>
    </row>
    <row r="1184" spans="1:8" x14ac:dyDescent="0.3">
      <c r="A1184" t="s">
        <v>6</v>
      </c>
      <c r="B1184" t="s">
        <v>7</v>
      </c>
      <c r="C1184" t="s">
        <v>8</v>
      </c>
      <c r="D1184" t="s">
        <v>9</v>
      </c>
      <c r="E1184" t="s">
        <v>65</v>
      </c>
      <c r="F1184" t="str">
        <f>"002190845558"</f>
        <v>002190845558</v>
      </c>
      <c r="G1184" t="s">
        <v>4042</v>
      </c>
      <c r="H1184" s="4">
        <v>30902.284</v>
      </c>
    </row>
    <row r="1185" spans="1:8" x14ac:dyDescent="0.3">
      <c r="A1185" t="s">
        <v>6</v>
      </c>
      <c r="B1185" t="s">
        <v>7</v>
      </c>
      <c r="C1185" t="s">
        <v>797</v>
      </c>
      <c r="D1185" t="s">
        <v>9</v>
      </c>
      <c r="E1185" t="s">
        <v>819</v>
      </c>
      <c r="F1185" t="str">
        <f>"001600013563"</f>
        <v>001600013563</v>
      </c>
      <c r="G1185" t="s">
        <v>2416</v>
      </c>
      <c r="H1185" s="4">
        <v>30864.02</v>
      </c>
    </row>
    <row r="1186" spans="1:8" x14ac:dyDescent="0.3">
      <c r="A1186" t="s">
        <v>6</v>
      </c>
      <c r="B1186" t="s">
        <v>7</v>
      </c>
      <c r="C1186" t="s">
        <v>616</v>
      </c>
      <c r="D1186" t="s">
        <v>9</v>
      </c>
      <c r="E1186" t="s">
        <v>762</v>
      </c>
      <c r="F1186" t="str">
        <f>"002190812057"</f>
        <v>002190812057</v>
      </c>
      <c r="G1186" t="s">
        <v>3731</v>
      </c>
      <c r="H1186" s="4">
        <v>30747.78</v>
      </c>
    </row>
    <row r="1187" spans="1:8" x14ac:dyDescent="0.3">
      <c r="A1187" t="s">
        <v>6</v>
      </c>
      <c r="B1187" t="s">
        <v>7</v>
      </c>
      <c r="C1187" t="s">
        <v>985</v>
      </c>
      <c r="D1187" t="s">
        <v>9</v>
      </c>
      <c r="E1187" t="s">
        <v>1048</v>
      </c>
      <c r="F1187" t="str">
        <f>"001356200060"</f>
        <v>001356200060</v>
      </c>
      <c r="G1187" t="s">
        <v>2642</v>
      </c>
      <c r="H1187" s="4">
        <v>30725.874</v>
      </c>
    </row>
    <row r="1188" spans="1:8" x14ac:dyDescent="0.3">
      <c r="A1188" t="s">
        <v>6</v>
      </c>
      <c r="B1188" t="s">
        <v>7</v>
      </c>
      <c r="C1188" t="s">
        <v>8</v>
      </c>
      <c r="D1188" t="s">
        <v>9</v>
      </c>
      <c r="E1188" t="s">
        <v>365</v>
      </c>
      <c r="F1188" t="str">
        <f>"001600019583"</f>
        <v>001600019583</v>
      </c>
      <c r="G1188" t="s">
        <v>4309</v>
      </c>
      <c r="H1188" s="4">
        <v>30716.58</v>
      </c>
    </row>
    <row r="1189" spans="1:8" x14ac:dyDescent="0.3">
      <c r="A1189" t="s">
        <v>6</v>
      </c>
      <c r="B1189" t="s">
        <v>7</v>
      </c>
      <c r="C1189" t="s">
        <v>616</v>
      </c>
      <c r="D1189" t="s">
        <v>9</v>
      </c>
      <c r="E1189" t="s">
        <v>644</v>
      </c>
      <c r="F1189" t="str">
        <f>"073215312535"</f>
        <v>073215312535</v>
      </c>
      <c r="G1189" t="s">
        <v>3615</v>
      </c>
      <c r="H1189" s="4">
        <v>30611.919999999998</v>
      </c>
    </row>
    <row r="1190" spans="1:8" x14ac:dyDescent="0.3">
      <c r="A1190" t="s">
        <v>6</v>
      </c>
      <c r="B1190" t="s">
        <v>7</v>
      </c>
      <c r="C1190" t="s">
        <v>2113</v>
      </c>
      <c r="D1190" t="s">
        <v>9</v>
      </c>
      <c r="E1190" t="s">
        <v>2223</v>
      </c>
      <c r="F1190" t="str">
        <f>"001600019346"</f>
        <v>001600019346</v>
      </c>
      <c r="G1190" t="s">
        <v>4423</v>
      </c>
      <c r="H1190" s="4">
        <v>30562.705000000002</v>
      </c>
    </row>
    <row r="1191" spans="1:8" x14ac:dyDescent="0.3">
      <c r="A1191" t="s">
        <v>6</v>
      </c>
      <c r="B1191" t="s">
        <v>7</v>
      </c>
      <c r="C1191" t="s">
        <v>8</v>
      </c>
      <c r="D1191" t="s">
        <v>9</v>
      </c>
      <c r="E1191" t="s">
        <v>46</v>
      </c>
      <c r="F1191" t="str">
        <f>"002190813313"</f>
        <v>002190813313</v>
      </c>
      <c r="G1191" t="s">
        <v>4024</v>
      </c>
      <c r="H1191" s="4">
        <v>30559.367999999999</v>
      </c>
    </row>
    <row r="1192" spans="1:8" x14ac:dyDescent="0.3">
      <c r="A1192" t="s">
        <v>6</v>
      </c>
      <c r="B1192" t="s">
        <v>7</v>
      </c>
      <c r="C1192" t="s">
        <v>797</v>
      </c>
      <c r="D1192" t="s">
        <v>9</v>
      </c>
      <c r="E1192" t="s">
        <v>803</v>
      </c>
      <c r="F1192" t="str">
        <f>"001600045601"</f>
        <v>001600045601</v>
      </c>
      <c r="G1192" t="s">
        <v>2400</v>
      </c>
      <c r="H1192" s="4">
        <v>30538.046999999999</v>
      </c>
    </row>
    <row r="1193" spans="1:8" x14ac:dyDescent="0.3">
      <c r="A1193" t="s">
        <v>6</v>
      </c>
      <c r="B1193" t="s">
        <v>7</v>
      </c>
      <c r="C1193" t="s">
        <v>2231</v>
      </c>
      <c r="D1193" t="s">
        <v>9</v>
      </c>
      <c r="E1193" t="s">
        <v>2304</v>
      </c>
      <c r="F1193" t="str">
        <f>"004119613309"</f>
        <v>004119613309</v>
      </c>
      <c r="G1193" t="s">
        <v>4498</v>
      </c>
      <c r="H1193" s="4">
        <v>30510.455000000002</v>
      </c>
    </row>
    <row r="1194" spans="1:8" x14ac:dyDescent="0.3">
      <c r="A1194" t="s">
        <v>6</v>
      </c>
      <c r="B1194" t="s">
        <v>7</v>
      </c>
      <c r="C1194" t="s">
        <v>8</v>
      </c>
      <c r="D1194" t="s">
        <v>9</v>
      </c>
      <c r="E1194" t="s">
        <v>374</v>
      </c>
      <c r="F1194" t="str">
        <f>"001600018885"</f>
        <v>001600018885</v>
      </c>
      <c r="G1194" t="s">
        <v>4317</v>
      </c>
      <c r="H1194" s="4">
        <v>30496.621999999999</v>
      </c>
    </row>
    <row r="1195" spans="1:8" x14ac:dyDescent="0.3">
      <c r="A1195" t="s">
        <v>6</v>
      </c>
      <c r="B1195" t="s">
        <v>7</v>
      </c>
      <c r="C1195" t="s">
        <v>1729</v>
      </c>
      <c r="D1195" t="s">
        <v>9</v>
      </c>
      <c r="E1195" t="s">
        <v>1734</v>
      </c>
      <c r="F1195" t="str">
        <f>"072534213224"</f>
        <v>072534213224</v>
      </c>
      <c r="G1195" t="s">
        <v>3497</v>
      </c>
      <c r="H1195" s="4">
        <v>30354.339</v>
      </c>
    </row>
    <row r="1196" spans="1:8" x14ac:dyDescent="0.3">
      <c r="A1196" t="s">
        <v>6</v>
      </c>
      <c r="B1196" t="s">
        <v>7</v>
      </c>
      <c r="C1196" t="s">
        <v>8</v>
      </c>
      <c r="D1196" t="s">
        <v>9</v>
      </c>
      <c r="E1196" t="s">
        <v>268</v>
      </c>
      <c r="F1196" t="str">
        <f>"001600014468"</f>
        <v>001600014468</v>
      </c>
      <c r="G1196" t="s">
        <v>4221</v>
      </c>
      <c r="H1196" s="4">
        <v>30329.135999999999</v>
      </c>
    </row>
    <row r="1197" spans="1:8" x14ac:dyDescent="0.3">
      <c r="A1197" t="s">
        <v>6</v>
      </c>
      <c r="B1197" t="s">
        <v>7</v>
      </c>
      <c r="C1197" t="s">
        <v>1397</v>
      </c>
      <c r="D1197" t="s">
        <v>9</v>
      </c>
      <c r="E1197" t="s">
        <v>1531</v>
      </c>
      <c r="F1197" t="str">
        <f>"004119602035"</f>
        <v>004119602035</v>
      </c>
      <c r="G1197" t="s">
        <v>3075</v>
      </c>
      <c r="H1197" s="4">
        <v>30307.626</v>
      </c>
    </row>
    <row r="1198" spans="1:8" x14ac:dyDescent="0.3">
      <c r="A1198" t="s">
        <v>6</v>
      </c>
      <c r="B1198" t="s">
        <v>7</v>
      </c>
      <c r="C1198" t="s">
        <v>381</v>
      </c>
      <c r="D1198" t="s">
        <v>9</v>
      </c>
      <c r="E1198" t="s">
        <v>455</v>
      </c>
      <c r="F1198" t="str">
        <f>"001600043976"</f>
        <v>001600043976</v>
      </c>
      <c r="G1198" t="s">
        <v>3180</v>
      </c>
      <c r="H1198" s="4">
        <v>30240.495999999999</v>
      </c>
    </row>
    <row r="1199" spans="1:8" x14ac:dyDescent="0.3">
      <c r="A1199" t="s">
        <v>6</v>
      </c>
      <c r="B1199" t="s">
        <v>7</v>
      </c>
      <c r="C1199" t="s">
        <v>616</v>
      </c>
      <c r="D1199" t="s">
        <v>9</v>
      </c>
      <c r="E1199" t="s">
        <v>697</v>
      </c>
      <c r="F1199" t="str">
        <f>"002190812281"</f>
        <v>002190812281</v>
      </c>
      <c r="G1199" t="s">
        <v>3667</v>
      </c>
      <c r="H1199" s="4">
        <v>30240.26</v>
      </c>
    </row>
    <row r="1200" spans="1:8" x14ac:dyDescent="0.3">
      <c r="A1200" t="s">
        <v>6</v>
      </c>
      <c r="B1200" t="s">
        <v>7</v>
      </c>
      <c r="C1200" t="s">
        <v>1940</v>
      </c>
      <c r="D1200" t="s">
        <v>9</v>
      </c>
      <c r="E1200" t="s">
        <v>2014</v>
      </c>
      <c r="F1200" t="str">
        <f>"007047011413"</f>
        <v>007047011413</v>
      </c>
      <c r="G1200" t="s">
        <v>3905</v>
      </c>
      <c r="H1200" s="4">
        <v>30221.901000000002</v>
      </c>
    </row>
    <row r="1201" spans="1:8" x14ac:dyDescent="0.3">
      <c r="A1201" t="s">
        <v>6</v>
      </c>
      <c r="B1201" t="s">
        <v>7</v>
      </c>
      <c r="C1201" t="s">
        <v>616</v>
      </c>
      <c r="D1201" t="s">
        <v>9</v>
      </c>
      <c r="E1201" t="s">
        <v>752</v>
      </c>
      <c r="F1201" t="str">
        <f>"002190811578"</f>
        <v>002190811578</v>
      </c>
      <c r="G1201" t="s">
        <v>3722</v>
      </c>
      <c r="H1201" s="4">
        <v>30215.05</v>
      </c>
    </row>
    <row r="1202" spans="1:8" x14ac:dyDescent="0.3">
      <c r="A1202" t="s">
        <v>6</v>
      </c>
      <c r="B1202" t="s">
        <v>7</v>
      </c>
      <c r="C1202" t="s">
        <v>1552</v>
      </c>
      <c r="D1202" t="s">
        <v>9</v>
      </c>
      <c r="E1202" t="s">
        <v>1555</v>
      </c>
      <c r="F1202" t="str">
        <f>"001356213397"</f>
        <v>001356213397</v>
      </c>
      <c r="G1202" t="s">
        <v>3097</v>
      </c>
      <c r="H1202" s="4">
        <v>30185.63</v>
      </c>
    </row>
    <row r="1203" spans="1:8" x14ac:dyDescent="0.3">
      <c r="A1203" t="s">
        <v>6</v>
      </c>
      <c r="B1203" t="s">
        <v>7</v>
      </c>
      <c r="C1203" t="s">
        <v>1786</v>
      </c>
      <c r="D1203" t="s">
        <v>9</v>
      </c>
      <c r="E1203" t="s">
        <v>1804</v>
      </c>
      <c r="F1203" t="str">
        <f>"072534226013"</f>
        <v>072534226013</v>
      </c>
      <c r="G1203" t="s">
        <v>3586</v>
      </c>
      <c r="H1203" s="4">
        <v>30064.86</v>
      </c>
    </row>
    <row r="1204" spans="1:8" x14ac:dyDescent="0.3">
      <c r="A1204" t="s">
        <v>6</v>
      </c>
      <c r="B1204" t="s">
        <v>7</v>
      </c>
      <c r="C1204" t="s">
        <v>1786</v>
      </c>
      <c r="D1204" t="s">
        <v>9</v>
      </c>
      <c r="E1204" t="s">
        <v>1802</v>
      </c>
      <c r="F1204" t="str">
        <f>"072534229373"</f>
        <v>072534229373</v>
      </c>
      <c r="G1204" t="s">
        <v>3583</v>
      </c>
      <c r="H1204" s="4">
        <v>29955.707999999999</v>
      </c>
    </row>
    <row r="1205" spans="1:8" x14ac:dyDescent="0.3">
      <c r="A1205" t="s">
        <v>6</v>
      </c>
      <c r="B1205" t="s">
        <v>7</v>
      </c>
      <c r="C1205" t="s">
        <v>2231</v>
      </c>
      <c r="D1205" t="s">
        <v>9</v>
      </c>
      <c r="E1205" t="s">
        <v>2236</v>
      </c>
      <c r="F1205" t="str">
        <f>"001356210099"</f>
        <v>001356210099</v>
      </c>
      <c r="G1205" t="s">
        <v>4433</v>
      </c>
      <c r="H1205" s="4">
        <v>29876.175999999999</v>
      </c>
    </row>
    <row r="1206" spans="1:8" x14ac:dyDescent="0.3">
      <c r="A1206" t="s">
        <v>6</v>
      </c>
      <c r="B1206" t="s">
        <v>7</v>
      </c>
      <c r="C1206" t="s">
        <v>1270</v>
      </c>
      <c r="D1206" t="s">
        <v>9</v>
      </c>
      <c r="E1206" t="s">
        <v>1284</v>
      </c>
      <c r="F1206" t="str">
        <f>"001800085133"</f>
        <v>001800085133</v>
      </c>
      <c r="G1206" t="s">
        <v>2852</v>
      </c>
      <c r="H1206" s="4">
        <v>29549.933000000001</v>
      </c>
    </row>
    <row r="1207" spans="1:8" x14ac:dyDescent="0.3">
      <c r="A1207" t="s">
        <v>6</v>
      </c>
      <c r="B1207" t="s">
        <v>7</v>
      </c>
      <c r="C1207" t="s">
        <v>1786</v>
      </c>
      <c r="D1207" t="s">
        <v>9</v>
      </c>
      <c r="E1207" t="s">
        <v>1793</v>
      </c>
      <c r="F1207" t="str">
        <f>"072534229111"</f>
        <v>072534229111</v>
      </c>
      <c r="G1207" t="s">
        <v>3555</v>
      </c>
      <c r="H1207" s="4">
        <v>29347.326000000001</v>
      </c>
    </row>
    <row r="1208" spans="1:8" x14ac:dyDescent="0.3">
      <c r="A1208" t="s">
        <v>6</v>
      </c>
      <c r="B1208" t="s">
        <v>7</v>
      </c>
      <c r="C1208" t="s">
        <v>8</v>
      </c>
      <c r="D1208" t="s">
        <v>9</v>
      </c>
      <c r="E1208" t="s">
        <v>287</v>
      </c>
      <c r="F1208" t="str">
        <f>"001600017882"</f>
        <v>001600017882</v>
      </c>
      <c r="G1208" t="s">
        <v>4238</v>
      </c>
      <c r="H1208" s="4">
        <v>29311.044999999998</v>
      </c>
    </row>
    <row r="1209" spans="1:8" x14ac:dyDescent="0.3">
      <c r="A1209" t="s">
        <v>6</v>
      </c>
      <c r="B1209" t="s">
        <v>7</v>
      </c>
      <c r="C1209" t="s">
        <v>1805</v>
      </c>
      <c r="D1209" t="s">
        <v>9</v>
      </c>
      <c r="E1209" t="s">
        <v>1854</v>
      </c>
      <c r="F1209" t="str">
        <f>"001800013423"</f>
        <v>001800013423</v>
      </c>
      <c r="G1209" t="s">
        <v>3776</v>
      </c>
      <c r="H1209" s="4">
        <v>29289.96</v>
      </c>
    </row>
    <row r="1210" spans="1:8" x14ac:dyDescent="0.3">
      <c r="A1210" t="s">
        <v>6</v>
      </c>
      <c r="B1210" t="s">
        <v>7</v>
      </c>
      <c r="C1210" t="s">
        <v>2113</v>
      </c>
      <c r="D1210" t="s">
        <v>9</v>
      </c>
      <c r="E1210" t="s">
        <v>2114</v>
      </c>
      <c r="F1210" t="str">
        <f>"001356249665"</f>
        <v>001356249665</v>
      </c>
      <c r="G1210" t="s">
        <v>4323</v>
      </c>
      <c r="H1210" s="4">
        <v>29188.13</v>
      </c>
    </row>
    <row r="1211" spans="1:8" x14ac:dyDescent="0.3">
      <c r="A1211" t="s">
        <v>6</v>
      </c>
      <c r="B1211" t="s">
        <v>7</v>
      </c>
      <c r="C1211" t="s">
        <v>2231</v>
      </c>
      <c r="D1211" t="s">
        <v>9</v>
      </c>
      <c r="E1211" t="s">
        <v>2288</v>
      </c>
      <c r="F1211" t="str">
        <f>"004119641932"</f>
        <v>004119641932</v>
      </c>
      <c r="G1211" t="s">
        <v>4486</v>
      </c>
      <c r="H1211" s="4">
        <v>29170.107</v>
      </c>
    </row>
    <row r="1212" spans="1:8" x14ac:dyDescent="0.3">
      <c r="A1212" t="s">
        <v>6</v>
      </c>
      <c r="B1212" t="s">
        <v>7</v>
      </c>
      <c r="C1212" t="s">
        <v>1748</v>
      </c>
      <c r="D1212" t="s">
        <v>9</v>
      </c>
      <c r="E1212" t="s">
        <v>1753</v>
      </c>
      <c r="F1212" t="str">
        <f>"009232533336"</f>
        <v>009232533336</v>
      </c>
      <c r="G1212" t="s">
        <v>3515</v>
      </c>
      <c r="H1212" s="4">
        <v>29088.617999999999</v>
      </c>
    </row>
    <row r="1213" spans="1:8" x14ac:dyDescent="0.3">
      <c r="A1213" t="s">
        <v>6</v>
      </c>
      <c r="B1213" t="s">
        <v>7</v>
      </c>
      <c r="C1213" t="s">
        <v>797</v>
      </c>
      <c r="D1213" t="s">
        <v>9</v>
      </c>
      <c r="E1213" t="s">
        <v>976</v>
      </c>
      <c r="F1213" t="str">
        <f>"001600037430"</f>
        <v>001600037430</v>
      </c>
      <c r="G1213" t="s">
        <v>2571</v>
      </c>
      <c r="H1213" s="4">
        <v>29024.024000000001</v>
      </c>
    </row>
    <row r="1214" spans="1:8" x14ac:dyDescent="0.3">
      <c r="A1214" t="s">
        <v>6</v>
      </c>
      <c r="B1214" t="s">
        <v>7</v>
      </c>
      <c r="C1214" t="s">
        <v>381</v>
      </c>
      <c r="D1214" t="s">
        <v>9</v>
      </c>
      <c r="E1214" t="s">
        <v>572</v>
      </c>
      <c r="F1214" t="str">
        <f>"001600048927"</f>
        <v>001600048927</v>
      </c>
      <c r="G1214" t="s">
        <v>3300</v>
      </c>
      <c r="H1214" s="4">
        <v>28726.532999999999</v>
      </c>
    </row>
    <row r="1215" spans="1:8" x14ac:dyDescent="0.3">
      <c r="A1215" t="s">
        <v>6</v>
      </c>
      <c r="B1215" t="s">
        <v>7</v>
      </c>
      <c r="C1215" t="s">
        <v>8</v>
      </c>
      <c r="D1215" t="s">
        <v>9</v>
      </c>
      <c r="E1215" t="s">
        <v>24</v>
      </c>
      <c r="F1215" t="str">
        <f>"001356200247"</f>
        <v>001356200247</v>
      </c>
      <c r="G1215" t="s">
        <v>4009</v>
      </c>
      <c r="H1215" s="4">
        <v>28703.280999999999</v>
      </c>
    </row>
    <row r="1216" spans="1:8" x14ac:dyDescent="0.3">
      <c r="A1216" t="s">
        <v>6</v>
      </c>
      <c r="B1216" t="s">
        <v>7</v>
      </c>
      <c r="C1216" t="s">
        <v>2231</v>
      </c>
      <c r="D1216" t="s">
        <v>9</v>
      </c>
      <c r="E1216" t="s">
        <v>2299</v>
      </c>
      <c r="F1216" t="str">
        <f>"004119612332"</f>
        <v>004119612332</v>
      </c>
      <c r="G1216" t="s">
        <v>4495</v>
      </c>
      <c r="H1216" s="4">
        <v>28677.366000000002</v>
      </c>
    </row>
    <row r="1217" spans="1:8" x14ac:dyDescent="0.3">
      <c r="A1217" t="s">
        <v>6</v>
      </c>
      <c r="B1217" t="s">
        <v>7</v>
      </c>
      <c r="C1217" t="s">
        <v>381</v>
      </c>
      <c r="D1217" t="s">
        <v>9</v>
      </c>
      <c r="E1217" t="s">
        <v>492</v>
      </c>
      <c r="F1217" t="str">
        <f>"001600040761"</f>
        <v>001600040761</v>
      </c>
      <c r="G1217" t="s">
        <v>3219</v>
      </c>
      <c r="H1217" s="4">
        <v>28649.862000000001</v>
      </c>
    </row>
    <row r="1218" spans="1:8" x14ac:dyDescent="0.3">
      <c r="A1218" t="s">
        <v>6</v>
      </c>
      <c r="B1218" t="s">
        <v>7</v>
      </c>
      <c r="C1218" t="s">
        <v>797</v>
      </c>
      <c r="D1218" t="s">
        <v>9</v>
      </c>
      <c r="E1218" t="s">
        <v>909</v>
      </c>
      <c r="F1218" t="str">
        <f>"001600013565"</f>
        <v>001600013565</v>
      </c>
      <c r="G1218" t="s">
        <v>2500</v>
      </c>
      <c r="H1218" s="4">
        <v>28544.683000000001</v>
      </c>
    </row>
    <row r="1219" spans="1:8" x14ac:dyDescent="0.3">
      <c r="A1219" t="s">
        <v>6</v>
      </c>
      <c r="B1219" t="s">
        <v>7</v>
      </c>
      <c r="C1219" t="s">
        <v>1397</v>
      </c>
      <c r="D1219" t="s">
        <v>9</v>
      </c>
      <c r="E1219" t="s">
        <v>1518</v>
      </c>
      <c r="F1219" t="str">
        <f>"004119640674"</f>
        <v>004119640674</v>
      </c>
      <c r="G1219" t="s">
        <v>3062</v>
      </c>
      <c r="H1219" s="4">
        <v>28445.49</v>
      </c>
    </row>
    <row r="1220" spans="1:8" x14ac:dyDescent="0.3">
      <c r="A1220" t="s">
        <v>6</v>
      </c>
      <c r="B1220" t="s">
        <v>7</v>
      </c>
      <c r="C1220" t="s">
        <v>8</v>
      </c>
      <c r="D1220" t="s">
        <v>9</v>
      </c>
      <c r="E1220" t="s">
        <v>353</v>
      </c>
      <c r="F1220" t="str">
        <f>"001600018865"</f>
        <v>001600018865</v>
      </c>
      <c r="G1220" t="s">
        <v>4297</v>
      </c>
      <c r="H1220" s="4">
        <v>28310.745999999999</v>
      </c>
    </row>
    <row r="1221" spans="1:8" x14ac:dyDescent="0.3">
      <c r="A1221" t="s">
        <v>6</v>
      </c>
      <c r="B1221" t="s">
        <v>7</v>
      </c>
      <c r="C1221" t="s">
        <v>8</v>
      </c>
      <c r="D1221" t="s">
        <v>9</v>
      </c>
      <c r="E1221" t="s">
        <v>60</v>
      </c>
      <c r="F1221" t="str">
        <f>"002190845552"</f>
        <v>002190845552</v>
      </c>
      <c r="G1221" t="s">
        <v>4037</v>
      </c>
      <c r="H1221" s="4">
        <v>28165.223000000002</v>
      </c>
    </row>
    <row r="1222" spans="1:8" x14ac:dyDescent="0.3">
      <c r="A1222" t="s">
        <v>6</v>
      </c>
      <c r="B1222" t="s">
        <v>7</v>
      </c>
      <c r="C1222" t="s">
        <v>8</v>
      </c>
      <c r="D1222" t="s">
        <v>9</v>
      </c>
      <c r="E1222" t="s">
        <v>208</v>
      </c>
      <c r="F1222" t="str">
        <f>"001600017923"</f>
        <v>001600017923</v>
      </c>
      <c r="G1222" t="s">
        <v>4167</v>
      </c>
      <c r="H1222" s="4">
        <v>28150.573</v>
      </c>
    </row>
    <row r="1223" spans="1:8" x14ac:dyDescent="0.3">
      <c r="A1223" t="s">
        <v>6</v>
      </c>
      <c r="B1223" t="s">
        <v>7</v>
      </c>
      <c r="C1223" t="s">
        <v>381</v>
      </c>
      <c r="D1223" t="s">
        <v>9</v>
      </c>
      <c r="E1223" t="s">
        <v>472</v>
      </c>
      <c r="F1223" t="str">
        <f>"001600020787"</f>
        <v>001600020787</v>
      </c>
      <c r="G1223" t="s">
        <v>2389</v>
      </c>
      <c r="H1223" s="4">
        <v>28088.655999999999</v>
      </c>
    </row>
    <row r="1224" spans="1:8" x14ac:dyDescent="0.3">
      <c r="A1224" t="s">
        <v>6</v>
      </c>
      <c r="B1224" t="s">
        <v>7</v>
      </c>
      <c r="C1224" t="s">
        <v>797</v>
      </c>
      <c r="D1224" t="s">
        <v>9</v>
      </c>
      <c r="E1224" t="s">
        <v>976</v>
      </c>
      <c r="F1224" t="str">
        <f>"001600032320"</f>
        <v>001600032320</v>
      </c>
      <c r="G1224" t="s">
        <v>2566</v>
      </c>
      <c r="H1224" s="4">
        <v>28014.683000000001</v>
      </c>
    </row>
    <row r="1225" spans="1:8" x14ac:dyDescent="0.3">
      <c r="A1225" t="s">
        <v>6</v>
      </c>
      <c r="B1225" t="s">
        <v>7</v>
      </c>
      <c r="C1225" t="s">
        <v>1577</v>
      </c>
      <c r="D1225" t="s">
        <v>9</v>
      </c>
      <c r="E1225" t="s">
        <v>1645</v>
      </c>
      <c r="F1225" t="str">
        <f>"004600013181"</f>
        <v>004600013181</v>
      </c>
      <c r="G1225" t="s">
        <v>3413</v>
      </c>
      <c r="H1225" s="4">
        <v>27962.69</v>
      </c>
    </row>
    <row r="1226" spans="1:8" x14ac:dyDescent="0.3">
      <c r="A1226" t="s">
        <v>6</v>
      </c>
      <c r="B1226" t="s">
        <v>7</v>
      </c>
      <c r="C1226" t="s">
        <v>1321</v>
      </c>
      <c r="D1226" t="s">
        <v>9</v>
      </c>
      <c r="E1226" t="s">
        <v>1327</v>
      </c>
      <c r="F1226" t="str">
        <f>"004280047645"</f>
        <v>004280047645</v>
      </c>
      <c r="G1226" t="s">
        <v>2889</v>
      </c>
      <c r="H1226" s="4">
        <v>27962.530999999999</v>
      </c>
    </row>
    <row r="1227" spans="1:8" x14ac:dyDescent="0.3">
      <c r="A1227" t="s">
        <v>6</v>
      </c>
      <c r="B1227" t="s">
        <v>7</v>
      </c>
      <c r="C1227" t="s">
        <v>1940</v>
      </c>
      <c r="D1227" t="s">
        <v>9</v>
      </c>
      <c r="E1227" t="s">
        <v>2080</v>
      </c>
      <c r="F1227" t="str">
        <f>"007047000308"</f>
        <v>007047000308</v>
      </c>
      <c r="G1227" t="s">
        <v>3966</v>
      </c>
      <c r="H1227" s="4">
        <v>27765.508999999998</v>
      </c>
    </row>
    <row r="1228" spans="1:8" x14ac:dyDescent="0.3">
      <c r="A1228" t="s">
        <v>6</v>
      </c>
      <c r="B1228" t="s">
        <v>7</v>
      </c>
      <c r="C1228" t="s">
        <v>1122</v>
      </c>
      <c r="D1228" t="s">
        <v>9</v>
      </c>
      <c r="E1228" t="s">
        <v>1169</v>
      </c>
      <c r="F1228" t="str">
        <f>"001600016445"</f>
        <v>001600016445</v>
      </c>
      <c r="G1228" t="s">
        <v>2757</v>
      </c>
      <c r="H1228" s="4">
        <v>27750.401999999998</v>
      </c>
    </row>
    <row r="1229" spans="1:8" x14ac:dyDescent="0.3">
      <c r="A1229" t="s">
        <v>6</v>
      </c>
      <c r="B1229" t="s">
        <v>7</v>
      </c>
      <c r="C1229" t="s">
        <v>616</v>
      </c>
      <c r="D1229" t="s">
        <v>9</v>
      </c>
      <c r="E1229" t="s">
        <v>710</v>
      </c>
      <c r="F1229" t="str">
        <f>"002190811583"</f>
        <v>002190811583</v>
      </c>
      <c r="G1229" t="s">
        <v>3680</v>
      </c>
      <c r="H1229" s="4">
        <v>27680.555</v>
      </c>
    </row>
    <row r="1230" spans="1:8" x14ac:dyDescent="0.3">
      <c r="A1230" t="s">
        <v>6</v>
      </c>
      <c r="B1230" t="s">
        <v>7</v>
      </c>
      <c r="C1230" t="s">
        <v>1695</v>
      </c>
      <c r="D1230" t="s">
        <v>9</v>
      </c>
      <c r="E1230" t="s">
        <v>1723</v>
      </c>
      <c r="F1230" t="str">
        <f>"002190850507"</f>
        <v>002190850507</v>
      </c>
      <c r="G1230" t="s">
        <v>3487</v>
      </c>
      <c r="H1230" s="4">
        <v>27670.893</v>
      </c>
    </row>
    <row r="1231" spans="1:8" x14ac:dyDescent="0.3">
      <c r="A1231" t="s">
        <v>6</v>
      </c>
      <c r="B1231" t="s">
        <v>7</v>
      </c>
      <c r="C1231" t="s">
        <v>797</v>
      </c>
      <c r="D1231" t="s">
        <v>9</v>
      </c>
      <c r="E1231" t="s">
        <v>844</v>
      </c>
      <c r="F1231" t="str">
        <f>"001600020729"</f>
        <v>001600020729</v>
      </c>
      <c r="G1231" t="s">
        <v>2439</v>
      </c>
      <c r="H1231" s="4">
        <v>27571.508000000002</v>
      </c>
    </row>
    <row r="1232" spans="1:8" x14ac:dyDescent="0.3">
      <c r="A1232" t="s">
        <v>6</v>
      </c>
      <c r="B1232" t="s">
        <v>7</v>
      </c>
      <c r="C1232" t="s">
        <v>1940</v>
      </c>
      <c r="D1232" t="s">
        <v>9</v>
      </c>
      <c r="E1232" t="s">
        <v>2103</v>
      </c>
      <c r="F1232" t="str">
        <f>"007047019135"</f>
        <v>007047019135</v>
      </c>
      <c r="G1232" t="s">
        <v>3992</v>
      </c>
      <c r="H1232" s="4">
        <v>27565.115000000002</v>
      </c>
    </row>
    <row r="1233" spans="1:8" x14ac:dyDescent="0.3">
      <c r="A1233" t="s">
        <v>6</v>
      </c>
      <c r="B1233" t="s">
        <v>7</v>
      </c>
      <c r="C1233" t="s">
        <v>797</v>
      </c>
      <c r="D1233" t="s">
        <v>9</v>
      </c>
      <c r="E1233" t="s">
        <v>816</v>
      </c>
      <c r="F1233" t="str">
        <f>"001600027791"</f>
        <v>001600027791</v>
      </c>
      <c r="G1233" t="s">
        <v>2413</v>
      </c>
      <c r="H1233" s="4">
        <v>27508.722000000002</v>
      </c>
    </row>
    <row r="1234" spans="1:8" x14ac:dyDescent="0.3">
      <c r="A1234" t="s">
        <v>6</v>
      </c>
      <c r="B1234" t="s">
        <v>7</v>
      </c>
      <c r="C1234" t="s">
        <v>1940</v>
      </c>
      <c r="D1234" t="s">
        <v>9</v>
      </c>
      <c r="E1234" t="s">
        <v>1942</v>
      </c>
      <c r="F1234" t="str">
        <f>"007047018507"</f>
        <v>007047018507</v>
      </c>
      <c r="G1234" t="s">
        <v>3822</v>
      </c>
      <c r="H1234" s="4">
        <v>27311.263999999999</v>
      </c>
    </row>
    <row r="1235" spans="1:8" x14ac:dyDescent="0.3">
      <c r="A1235" t="s">
        <v>6</v>
      </c>
      <c r="B1235" t="s">
        <v>7</v>
      </c>
      <c r="C1235" t="s">
        <v>985</v>
      </c>
      <c r="D1235" t="s">
        <v>9</v>
      </c>
      <c r="E1235" t="s">
        <v>986</v>
      </c>
      <c r="F1235" t="str">
        <f>"001356200056"</f>
        <v>001356200056</v>
      </c>
      <c r="G1235" t="s">
        <v>2582</v>
      </c>
      <c r="H1235" s="4">
        <v>27257.600999999999</v>
      </c>
    </row>
    <row r="1236" spans="1:8" x14ac:dyDescent="0.3">
      <c r="A1236" t="s">
        <v>6</v>
      </c>
      <c r="B1236" t="s">
        <v>7</v>
      </c>
      <c r="C1236" t="s">
        <v>1397</v>
      </c>
      <c r="D1236" t="s">
        <v>9</v>
      </c>
      <c r="E1236" t="s">
        <v>1454</v>
      </c>
      <c r="F1236" t="str">
        <f>"073215310206"</f>
        <v>073215310206</v>
      </c>
      <c r="G1236" t="s">
        <v>3005</v>
      </c>
      <c r="H1236" s="4">
        <v>26944.248</v>
      </c>
    </row>
    <row r="1237" spans="1:8" x14ac:dyDescent="0.3">
      <c r="A1237" t="s">
        <v>6</v>
      </c>
      <c r="B1237" t="s">
        <v>7</v>
      </c>
      <c r="C1237" t="s">
        <v>616</v>
      </c>
      <c r="D1237" t="s">
        <v>9</v>
      </c>
      <c r="E1237" t="s">
        <v>765</v>
      </c>
      <c r="F1237" t="str">
        <f>"002190813117"</f>
        <v>002190813117</v>
      </c>
      <c r="G1237" t="s">
        <v>3733</v>
      </c>
      <c r="H1237" s="4">
        <v>26555.49</v>
      </c>
    </row>
    <row r="1238" spans="1:8" x14ac:dyDescent="0.3">
      <c r="A1238" t="s">
        <v>6</v>
      </c>
      <c r="B1238" t="s">
        <v>7</v>
      </c>
      <c r="C1238" t="s">
        <v>381</v>
      </c>
      <c r="D1238" t="s">
        <v>9</v>
      </c>
      <c r="E1238" t="s">
        <v>396</v>
      </c>
      <c r="F1238" t="str">
        <f>"001356228972"</f>
        <v>001356228972</v>
      </c>
      <c r="G1238" t="s">
        <v>3124</v>
      </c>
      <c r="H1238" s="4">
        <v>26451.489000000001</v>
      </c>
    </row>
    <row r="1239" spans="1:8" x14ac:dyDescent="0.3">
      <c r="A1239" t="s">
        <v>6</v>
      </c>
      <c r="B1239" t="s">
        <v>7</v>
      </c>
      <c r="C1239" t="s">
        <v>985</v>
      </c>
      <c r="D1239" t="s">
        <v>9</v>
      </c>
      <c r="E1239" t="s">
        <v>1037</v>
      </c>
      <c r="F1239" t="str">
        <f>"001356200221"</f>
        <v>001356200221</v>
      </c>
      <c r="G1239" t="s">
        <v>2634</v>
      </c>
      <c r="H1239" s="4">
        <v>26446.214</v>
      </c>
    </row>
    <row r="1240" spans="1:8" x14ac:dyDescent="0.3">
      <c r="A1240" t="s">
        <v>6</v>
      </c>
      <c r="B1240" t="s">
        <v>7</v>
      </c>
      <c r="C1240" t="s">
        <v>8</v>
      </c>
      <c r="D1240" t="s">
        <v>9</v>
      </c>
      <c r="E1240" t="s">
        <v>217</v>
      </c>
      <c r="F1240" t="str">
        <f>"001600019962"</f>
        <v>001600019962</v>
      </c>
      <c r="G1240" t="s">
        <v>4176</v>
      </c>
      <c r="H1240" s="4">
        <v>26425.68</v>
      </c>
    </row>
    <row r="1241" spans="1:8" x14ac:dyDescent="0.3">
      <c r="A1241" t="s">
        <v>6</v>
      </c>
      <c r="B1241" t="s">
        <v>7</v>
      </c>
      <c r="C1241" t="s">
        <v>797</v>
      </c>
      <c r="D1241" t="s">
        <v>9</v>
      </c>
      <c r="E1241" t="s">
        <v>878</v>
      </c>
      <c r="F1241" t="str">
        <f>"001600047738"</f>
        <v>001600047738</v>
      </c>
      <c r="G1241" t="s">
        <v>2471</v>
      </c>
      <c r="H1241" s="4">
        <v>26408.124</v>
      </c>
    </row>
    <row r="1242" spans="1:8" x14ac:dyDescent="0.3">
      <c r="A1242" t="s">
        <v>6</v>
      </c>
      <c r="B1242" t="s">
        <v>7</v>
      </c>
      <c r="C1242" t="s">
        <v>1122</v>
      </c>
      <c r="D1242" t="s">
        <v>9</v>
      </c>
      <c r="E1242" t="s">
        <v>1223</v>
      </c>
      <c r="F1242" t="str">
        <f>"001600029647"</f>
        <v>001600029647</v>
      </c>
      <c r="G1242" t="s">
        <v>2389</v>
      </c>
      <c r="H1242" s="4">
        <v>26373.571</v>
      </c>
    </row>
    <row r="1243" spans="1:8" x14ac:dyDescent="0.3">
      <c r="A1243" t="s">
        <v>6</v>
      </c>
      <c r="B1243" t="s">
        <v>7</v>
      </c>
      <c r="C1243" t="s">
        <v>616</v>
      </c>
      <c r="D1243" t="s">
        <v>9</v>
      </c>
      <c r="E1243" t="s">
        <v>665</v>
      </c>
      <c r="F1243" t="str">
        <f>"002190812277"</f>
        <v>002190812277</v>
      </c>
      <c r="G1243" t="s">
        <v>3635</v>
      </c>
      <c r="H1243" s="4">
        <v>26372.97</v>
      </c>
    </row>
    <row r="1244" spans="1:8" x14ac:dyDescent="0.3">
      <c r="A1244" t="s">
        <v>6</v>
      </c>
      <c r="B1244" t="s">
        <v>7</v>
      </c>
      <c r="C1244" t="s">
        <v>8</v>
      </c>
      <c r="D1244" t="s">
        <v>9</v>
      </c>
      <c r="E1244" t="s">
        <v>370</v>
      </c>
      <c r="F1244" t="str">
        <f>"001600044169"</f>
        <v>001600044169</v>
      </c>
      <c r="G1244" t="s">
        <v>2389</v>
      </c>
      <c r="H1244" s="4">
        <v>26326.94</v>
      </c>
    </row>
    <row r="1245" spans="1:8" x14ac:dyDescent="0.3">
      <c r="A1245" t="s">
        <v>6</v>
      </c>
      <c r="B1245" t="s">
        <v>7</v>
      </c>
      <c r="C1245" t="s">
        <v>1577</v>
      </c>
      <c r="D1245" t="s">
        <v>9</v>
      </c>
      <c r="E1245" t="s">
        <v>1604</v>
      </c>
      <c r="F1245" t="str">
        <f>"004600011644"</f>
        <v>004600011644</v>
      </c>
      <c r="G1245" t="s">
        <v>3368</v>
      </c>
      <c r="H1245" s="4">
        <v>26293.723999999998</v>
      </c>
    </row>
    <row r="1246" spans="1:8" x14ac:dyDescent="0.3">
      <c r="A1246" t="s">
        <v>6</v>
      </c>
      <c r="B1246" t="s">
        <v>7</v>
      </c>
      <c r="C1246" t="s">
        <v>2231</v>
      </c>
      <c r="D1246" t="s">
        <v>9</v>
      </c>
      <c r="E1246" t="s">
        <v>2289</v>
      </c>
      <c r="F1246" t="str">
        <f>"004119612362"</f>
        <v>004119612362</v>
      </c>
      <c r="G1246" t="s">
        <v>4487</v>
      </c>
      <c r="H1246" s="4">
        <v>26093.052</v>
      </c>
    </row>
    <row r="1247" spans="1:8" x14ac:dyDescent="0.3">
      <c r="A1247" t="s">
        <v>6</v>
      </c>
      <c r="B1247" t="s">
        <v>7</v>
      </c>
      <c r="C1247" t="s">
        <v>381</v>
      </c>
      <c r="D1247" t="s">
        <v>9</v>
      </c>
      <c r="E1247" t="s">
        <v>479</v>
      </c>
      <c r="F1247" t="str">
        <f>"001600048287"</f>
        <v>001600048287</v>
      </c>
      <c r="G1247" t="s">
        <v>3207</v>
      </c>
      <c r="H1247" s="4">
        <v>26040.53</v>
      </c>
    </row>
    <row r="1248" spans="1:8" x14ac:dyDescent="0.3">
      <c r="A1248" t="s">
        <v>6</v>
      </c>
      <c r="B1248" t="s">
        <v>7</v>
      </c>
      <c r="C1248" t="s">
        <v>2231</v>
      </c>
      <c r="D1248" t="s">
        <v>9</v>
      </c>
      <c r="E1248" t="s">
        <v>2239</v>
      </c>
      <c r="F1248" t="str">
        <f>"001356212707"</f>
        <v>001356212707</v>
      </c>
      <c r="G1248" t="s">
        <v>4436</v>
      </c>
      <c r="H1248" s="4">
        <v>26035.309000000001</v>
      </c>
    </row>
    <row r="1249" spans="1:8" x14ac:dyDescent="0.3">
      <c r="A1249" t="s">
        <v>6</v>
      </c>
      <c r="B1249" t="s">
        <v>7</v>
      </c>
      <c r="C1249" t="s">
        <v>8</v>
      </c>
      <c r="D1249" t="s">
        <v>9</v>
      </c>
      <c r="E1249" t="s">
        <v>322</v>
      </c>
      <c r="F1249" t="str">
        <f>"001600028887"</f>
        <v>001600028887</v>
      </c>
      <c r="G1249" t="s">
        <v>4272</v>
      </c>
      <c r="H1249" s="4">
        <v>25910.16</v>
      </c>
    </row>
    <row r="1250" spans="1:8" x14ac:dyDescent="0.3">
      <c r="A1250" t="s">
        <v>6</v>
      </c>
      <c r="B1250" t="s">
        <v>7</v>
      </c>
      <c r="C1250" t="s">
        <v>1940</v>
      </c>
      <c r="D1250" t="s">
        <v>9</v>
      </c>
      <c r="E1250" t="s">
        <v>1947</v>
      </c>
      <c r="F1250" t="str">
        <f>"007047019116"</f>
        <v>007047019116</v>
      </c>
      <c r="G1250" t="s">
        <v>3828</v>
      </c>
      <c r="H1250" s="4">
        <v>25864.46</v>
      </c>
    </row>
    <row r="1251" spans="1:8" x14ac:dyDescent="0.3">
      <c r="A1251" t="s">
        <v>6</v>
      </c>
      <c r="B1251" t="s">
        <v>7</v>
      </c>
      <c r="C1251" t="s">
        <v>797</v>
      </c>
      <c r="D1251" t="s">
        <v>9</v>
      </c>
      <c r="E1251" t="s">
        <v>972</v>
      </c>
      <c r="F1251" t="str">
        <f>"001600040998"</f>
        <v>001600040998</v>
      </c>
      <c r="G1251" t="s">
        <v>2564</v>
      </c>
      <c r="H1251" s="4">
        <v>25753.43</v>
      </c>
    </row>
    <row r="1252" spans="1:8" x14ac:dyDescent="0.3">
      <c r="A1252" t="s">
        <v>6</v>
      </c>
      <c r="B1252" t="s">
        <v>7</v>
      </c>
      <c r="C1252" t="s">
        <v>797</v>
      </c>
      <c r="D1252" t="s">
        <v>9</v>
      </c>
      <c r="E1252" t="s">
        <v>826</v>
      </c>
      <c r="F1252" t="str">
        <f>"001600018647"</f>
        <v>001600018647</v>
      </c>
      <c r="G1252" t="s">
        <v>2422</v>
      </c>
      <c r="H1252" s="4">
        <v>25637.1</v>
      </c>
    </row>
    <row r="1253" spans="1:8" x14ac:dyDescent="0.3">
      <c r="A1253" t="s">
        <v>6</v>
      </c>
      <c r="B1253" t="s">
        <v>7</v>
      </c>
      <c r="C1253" t="s">
        <v>8</v>
      </c>
      <c r="D1253" t="s">
        <v>9</v>
      </c>
      <c r="E1253" t="s">
        <v>296</v>
      </c>
      <c r="F1253" t="str">
        <f>"001600015087"</f>
        <v>001600015087</v>
      </c>
      <c r="G1253" t="s">
        <v>4248</v>
      </c>
      <c r="H1253" s="4">
        <v>25613.499</v>
      </c>
    </row>
    <row r="1254" spans="1:8" x14ac:dyDescent="0.3">
      <c r="A1254" t="s">
        <v>6</v>
      </c>
      <c r="B1254" t="s">
        <v>7</v>
      </c>
      <c r="C1254" t="s">
        <v>2231</v>
      </c>
      <c r="D1254" t="s">
        <v>9</v>
      </c>
      <c r="E1254" t="s">
        <v>2311</v>
      </c>
      <c r="F1254" t="str">
        <f>"004119612992"</f>
        <v>004119612992</v>
      </c>
      <c r="G1254" t="s">
        <v>4505</v>
      </c>
      <c r="H1254" s="4">
        <v>25438.518</v>
      </c>
    </row>
    <row r="1255" spans="1:8" x14ac:dyDescent="0.3">
      <c r="A1255" t="s">
        <v>6</v>
      </c>
      <c r="B1255" t="s">
        <v>7</v>
      </c>
      <c r="C1255" t="s">
        <v>8</v>
      </c>
      <c r="D1255" t="s">
        <v>9</v>
      </c>
      <c r="E1255" t="s">
        <v>32</v>
      </c>
      <c r="F1255" t="str">
        <f>"002190848679"</f>
        <v>002190848679</v>
      </c>
      <c r="G1255" t="s">
        <v>4014</v>
      </c>
      <c r="H1255" s="4">
        <v>25436.828000000001</v>
      </c>
    </row>
    <row r="1256" spans="1:8" x14ac:dyDescent="0.3">
      <c r="A1256" t="s">
        <v>6</v>
      </c>
      <c r="B1256" t="s">
        <v>7</v>
      </c>
      <c r="C1256" t="s">
        <v>1397</v>
      </c>
      <c r="D1256" t="s">
        <v>9</v>
      </c>
      <c r="E1256" t="s">
        <v>1476</v>
      </c>
      <c r="F1256" t="str">
        <f>"001600017946"</f>
        <v>001600017946</v>
      </c>
      <c r="G1256" t="s">
        <v>3023</v>
      </c>
      <c r="H1256" s="4">
        <v>25432.147000000001</v>
      </c>
    </row>
    <row r="1257" spans="1:8" x14ac:dyDescent="0.3">
      <c r="A1257" t="s">
        <v>6</v>
      </c>
      <c r="B1257" t="s">
        <v>7</v>
      </c>
      <c r="C1257" t="s">
        <v>1940</v>
      </c>
      <c r="D1257" t="s">
        <v>9</v>
      </c>
      <c r="E1257" t="s">
        <v>2062</v>
      </c>
      <c r="F1257" t="str">
        <f>"007047044452"</f>
        <v>007047044452</v>
      </c>
      <c r="G1257" t="s">
        <v>3949</v>
      </c>
      <c r="H1257" s="4">
        <v>25414.171999999999</v>
      </c>
    </row>
    <row r="1258" spans="1:8" x14ac:dyDescent="0.3">
      <c r="A1258" t="s">
        <v>6</v>
      </c>
      <c r="B1258" t="s">
        <v>7</v>
      </c>
      <c r="C1258" t="s">
        <v>2113</v>
      </c>
      <c r="D1258" t="s">
        <v>9</v>
      </c>
      <c r="E1258" t="s">
        <v>2214</v>
      </c>
      <c r="F1258" t="str">
        <f>"001600016884"</f>
        <v>001600016884</v>
      </c>
      <c r="G1258" t="s">
        <v>2389</v>
      </c>
      <c r="H1258" s="4">
        <v>25389.003000000001</v>
      </c>
    </row>
    <row r="1259" spans="1:8" x14ac:dyDescent="0.3">
      <c r="A1259" t="s">
        <v>6</v>
      </c>
      <c r="B1259" t="s">
        <v>7</v>
      </c>
      <c r="C1259" t="s">
        <v>1773</v>
      </c>
      <c r="D1259" t="s">
        <v>9</v>
      </c>
      <c r="E1259" t="s">
        <v>1781</v>
      </c>
      <c r="F1259" t="str">
        <f>"001356232050"</f>
        <v>001356232050</v>
      </c>
      <c r="G1259" t="s">
        <v>3542</v>
      </c>
      <c r="H1259" s="4">
        <v>25254.115000000002</v>
      </c>
    </row>
    <row r="1260" spans="1:8" x14ac:dyDescent="0.3">
      <c r="A1260" t="s">
        <v>6</v>
      </c>
      <c r="B1260" t="s">
        <v>7</v>
      </c>
      <c r="C1260" t="s">
        <v>1729</v>
      </c>
      <c r="D1260" t="s">
        <v>9</v>
      </c>
      <c r="E1260" t="s">
        <v>1744</v>
      </c>
      <c r="F1260" t="str">
        <f>"072534213225"</f>
        <v>072534213225</v>
      </c>
      <c r="G1260" t="s">
        <v>3507</v>
      </c>
      <c r="H1260" s="4">
        <v>25143.38</v>
      </c>
    </row>
    <row r="1261" spans="1:8" x14ac:dyDescent="0.3">
      <c r="A1261" t="s">
        <v>6</v>
      </c>
      <c r="B1261" t="s">
        <v>7</v>
      </c>
      <c r="C1261" t="s">
        <v>381</v>
      </c>
      <c r="D1261" t="s">
        <v>9</v>
      </c>
      <c r="E1261" t="s">
        <v>519</v>
      </c>
      <c r="F1261" t="str">
        <f>"001600044144"</f>
        <v>001600044144</v>
      </c>
      <c r="G1261" t="s">
        <v>3243</v>
      </c>
      <c r="H1261" s="4">
        <v>25016.91</v>
      </c>
    </row>
    <row r="1262" spans="1:8" x14ac:dyDescent="0.3">
      <c r="A1262" t="s">
        <v>6</v>
      </c>
      <c r="B1262" t="s">
        <v>7</v>
      </c>
      <c r="C1262" t="s">
        <v>797</v>
      </c>
      <c r="D1262" t="s">
        <v>9</v>
      </c>
      <c r="E1262" t="s">
        <v>876</v>
      </c>
      <c r="F1262" t="str">
        <f>"001600044225"</f>
        <v>001600044225</v>
      </c>
      <c r="G1262" t="s">
        <v>2469</v>
      </c>
      <c r="H1262" s="4">
        <v>25012.031999999999</v>
      </c>
    </row>
    <row r="1263" spans="1:8" x14ac:dyDescent="0.3">
      <c r="A1263" t="s">
        <v>6</v>
      </c>
      <c r="B1263" t="s">
        <v>7</v>
      </c>
      <c r="C1263" t="s">
        <v>8</v>
      </c>
      <c r="D1263" t="s">
        <v>9</v>
      </c>
      <c r="E1263" t="s">
        <v>164</v>
      </c>
      <c r="F1263" t="str">
        <f>"001600049866"</f>
        <v>001600049866</v>
      </c>
      <c r="G1263" t="s">
        <v>4125</v>
      </c>
      <c r="H1263" s="4">
        <v>24790.392</v>
      </c>
    </row>
    <row r="1264" spans="1:8" x14ac:dyDescent="0.3">
      <c r="A1264" t="s">
        <v>6</v>
      </c>
      <c r="B1264" t="s">
        <v>7</v>
      </c>
      <c r="C1264" t="s">
        <v>381</v>
      </c>
      <c r="D1264" t="s">
        <v>9</v>
      </c>
      <c r="E1264" t="s">
        <v>503</v>
      </c>
      <c r="F1264" t="str">
        <f>"001600019615"</f>
        <v>001600019615</v>
      </c>
      <c r="G1264" t="s">
        <v>3229</v>
      </c>
      <c r="H1264" s="4">
        <v>24667.203000000001</v>
      </c>
    </row>
    <row r="1265" spans="1:8" x14ac:dyDescent="0.3">
      <c r="A1265" t="s">
        <v>6</v>
      </c>
      <c r="B1265" t="s">
        <v>7</v>
      </c>
      <c r="C1265" t="s">
        <v>1940</v>
      </c>
      <c r="D1265" t="s">
        <v>9</v>
      </c>
      <c r="E1265" t="s">
        <v>1946</v>
      </c>
      <c r="F1265" t="str">
        <f>"007047016595"</f>
        <v>007047016595</v>
      </c>
      <c r="G1265" t="s">
        <v>3827</v>
      </c>
      <c r="H1265" s="4">
        <v>24664.636999999999</v>
      </c>
    </row>
    <row r="1266" spans="1:8" x14ac:dyDescent="0.3">
      <c r="A1266" t="s">
        <v>6</v>
      </c>
      <c r="B1266" t="s">
        <v>7</v>
      </c>
      <c r="C1266" t="s">
        <v>8</v>
      </c>
      <c r="D1266" t="s">
        <v>9</v>
      </c>
      <c r="E1266" t="s">
        <v>31</v>
      </c>
      <c r="F1266" t="str">
        <f>"002190813199"</f>
        <v>002190813199</v>
      </c>
      <c r="G1266" t="s">
        <v>4013</v>
      </c>
      <c r="H1266" s="4">
        <v>24632.784</v>
      </c>
    </row>
    <row r="1267" spans="1:8" x14ac:dyDescent="0.3">
      <c r="A1267" t="s">
        <v>6</v>
      </c>
      <c r="B1267" t="s">
        <v>7</v>
      </c>
      <c r="C1267" t="s">
        <v>1577</v>
      </c>
      <c r="D1267" t="s">
        <v>9</v>
      </c>
      <c r="E1267" t="s">
        <v>1593</v>
      </c>
      <c r="F1267" t="str">
        <f>"004600028739"</f>
        <v>004600028739</v>
      </c>
      <c r="G1267" t="s">
        <v>3357</v>
      </c>
      <c r="H1267" s="4">
        <v>24624.116000000002</v>
      </c>
    </row>
    <row r="1268" spans="1:8" x14ac:dyDescent="0.3">
      <c r="A1268" t="s">
        <v>6</v>
      </c>
      <c r="B1268" t="s">
        <v>7</v>
      </c>
      <c r="C1268" t="s">
        <v>1805</v>
      </c>
      <c r="D1268" t="s">
        <v>9</v>
      </c>
      <c r="E1268" t="s">
        <v>1826</v>
      </c>
      <c r="F1268" t="str">
        <f>"001800000465"</f>
        <v>001800000465</v>
      </c>
      <c r="G1268" t="s">
        <v>2389</v>
      </c>
      <c r="H1268" s="4">
        <v>24597.190999999999</v>
      </c>
    </row>
    <row r="1269" spans="1:8" x14ac:dyDescent="0.3">
      <c r="A1269" t="s">
        <v>6</v>
      </c>
      <c r="B1269" t="s">
        <v>7</v>
      </c>
      <c r="C1269" t="s">
        <v>381</v>
      </c>
      <c r="D1269" t="s">
        <v>9</v>
      </c>
      <c r="E1269" t="s">
        <v>598</v>
      </c>
      <c r="F1269" t="str">
        <f>"001600015874"</f>
        <v>001600015874</v>
      </c>
      <c r="G1269" t="s">
        <v>3327</v>
      </c>
      <c r="H1269" s="4">
        <v>24591.973999999998</v>
      </c>
    </row>
    <row r="1270" spans="1:8" x14ac:dyDescent="0.3">
      <c r="A1270" t="s">
        <v>6</v>
      </c>
      <c r="B1270" t="s">
        <v>7</v>
      </c>
      <c r="C1270" t="s">
        <v>616</v>
      </c>
      <c r="D1270" t="s">
        <v>9</v>
      </c>
      <c r="E1270" t="s">
        <v>651</v>
      </c>
      <c r="F1270" t="str">
        <f>"073215312523"</f>
        <v>073215312523</v>
      </c>
      <c r="G1270" t="s">
        <v>3622</v>
      </c>
      <c r="H1270" s="4">
        <v>24585.27</v>
      </c>
    </row>
    <row r="1271" spans="1:8" x14ac:dyDescent="0.3">
      <c r="A1271" t="s">
        <v>6</v>
      </c>
      <c r="B1271" t="s">
        <v>7</v>
      </c>
      <c r="C1271" t="s">
        <v>985</v>
      </c>
      <c r="D1271" t="s">
        <v>9</v>
      </c>
      <c r="E1271" t="s">
        <v>997</v>
      </c>
      <c r="F1271" t="str">
        <f>"001356200144"</f>
        <v>001356200144</v>
      </c>
      <c r="G1271" t="s">
        <v>2592</v>
      </c>
      <c r="H1271" s="4">
        <v>24585.108</v>
      </c>
    </row>
    <row r="1272" spans="1:8" x14ac:dyDescent="0.3">
      <c r="A1272" t="s">
        <v>6</v>
      </c>
      <c r="B1272" t="s">
        <v>7</v>
      </c>
      <c r="C1272" t="s">
        <v>1122</v>
      </c>
      <c r="D1272" t="s">
        <v>9</v>
      </c>
      <c r="E1272" t="s">
        <v>1162</v>
      </c>
      <c r="F1272" t="str">
        <f>"001600020102"</f>
        <v>001600020102</v>
      </c>
      <c r="G1272" t="s">
        <v>2752</v>
      </c>
      <c r="H1272" s="4">
        <v>24540.414000000001</v>
      </c>
    </row>
    <row r="1273" spans="1:8" x14ac:dyDescent="0.3">
      <c r="A1273" t="s">
        <v>6</v>
      </c>
      <c r="B1273" t="s">
        <v>7</v>
      </c>
      <c r="C1273" t="s">
        <v>1805</v>
      </c>
      <c r="D1273" t="s">
        <v>9</v>
      </c>
      <c r="E1273" t="s">
        <v>1925</v>
      </c>
      <c r="F1273" t="str">
        <f>"001800011927"</f>
        <v>001800011927</v>
      </c>
      <c r="G1273" t="s">
        <v>3810</v>
      </c>
      <c r="H1273" s="4">
        <v>24489.911</v>
      </c>
    </row>
    <row r="1274" spans="1:8" x14ac:dyDescent="0.3">
      <c r="A1274" t="s">
        <v>6</v>
      </c>
      <c r="B1274" t="s">
        <v>7</v>
      </c>
      <c r="C1274" t="s">
        <v>381</v>
      </c>
      <c r="D1274" t="s">
        <v>9</v>
      </c>
      <c r="E1274" t="s">
        <v>383</v>
      </c>
      <c r="F1274" t="str">
        <f>"001356212489"</f>
        <v>001356212489</v>
      </c>
      <c r="G1274" t="s">
        <v>3112</v>
      </c>
      <c r="H1274" s="4">
        <v>24204.93</v>
      </c>
    </row>
    <row r="1275" spans="1:8" x14ac:dyDescent="0.3">
      <c r="A1275" t="s">
        <v>6</v>
      </c>
      <c r="B1275" t="s">
        <v>7</v>
      </c>
      <c r="C1275" t="s">
        <v>797</v>
      </c>
      <c r="D1275" t="s">
        <v>9</v>
      </c>
      <c r="E1275" t="s">
        <v>820</v>
      </c>
      <c r="F1275" t="str">
        <f>"001600013566"</f>
        <v>001600013566</v>
      </c>
      <c r="G1275" t="s">
        <v>2417</v>
      </c>
      <c r="H1275" s="4">
        <v>24164.454000000002</v>
      </c>
    </row>
    <row r="1276" spans="1:8" x14ac:dyDescent="0.3">
      <c r="A1276" t="s">
        <v>6</v>
      </c>
      <c r="B1276" t="s">
        <v>7</v>
      </c>
      <c r="C1276" t="s">
        <v>616</v>
      </c>
      <c r="D1276" t="s">
        <v>9</v>
      </c>
      <c r="E1276" t="s">
        <v>628</v>
      </c>
      <c r="F1276" t="str">
        <f>"001600017362"</f>
        <v>001600017362</v>
      </c>
      <c r="G1276" t="s">
        <v>3600</v>
      </c>
      <c r="H1276" s="4">
        <v>24149.5</v>
      </c>
    </row>
    <row r="1277" spans="1:8" x14ac:dyDescent="0.3">
      <c r="A1277" t="s">
        <v>6</v>
      </c>
      <c r="B1277" t="s">
        <v>7</v>
      </c>
      <c r="C1277" t="s">
        <v>8</v>
      </c>
      <c r="D1277" t="s">
        <v>9</v>
      </c>
      <c r="E1277" t="s">
        <v>210</v>
      </c>
      <c r="F1277" t="str">
        <f>"001600015762"</f>
        <v>001600015762</v>
      </c>
      <c r="G1277" t="s">
        <v>4169</v>
      </c>
      <c r="H1277" s="4">
        <v>23948.36</v>
      </c>
    </row>
    <row r="1278" spans="1:8" x14ac:dyDescent="0.3">
      <c r="A1278" t="s">
        <v>6</v>
      </c>
      <c r="B1278" t="s">
        <v>7</v>
      </c>
      <c r="C1278" t="s">
        <v>1577</v>
      </c>
      <c r="D1278" t="s">
        <v>9</v>
      </c>
      <c r="E1278" t="s">
        <v>1671</v>
      </c>
      <c r="F1278" t="str">
        <f>"004600081121"</f>
        <v>004600081121</v>
      </c>
      <c r="G1278" t="s">
        <v>3439</v>
      </c>
      <c r="H1278" s="4">
        <v>23914.907999999999</v>
      </c>
    </row>
    <row r="1279" spans="1:8" x14ac:dyDescent="0.3">
      <c r="A1279" t="s">
        <v>6</v>
      </c>
      <c r="B1279" t="s">
        <v>7</v>
      </c>
      <c r="C1279" t="s">
        <v>797</v>
      </c>
      <c r="D1279" t="s">
        <v>9</v>
      </c>
      <c r="E1279" t="s">
        <v>838</v>
      </c>
      <c r="F1279" t="str">
        <f>"001600027794"</f>
        <v>001600027794</v>
      </c>
      <c r="G1279" t="s">
        <v>2433</v>
      </c>
      <c r="H1279" s="4">
        <v>23745.937000000002</v>
      </c>
    </row>
    <row r="1280" spans="1:8" x14ac:dyDescent="0.3">
      <c r="A1280" t="s">
        <v>6</v>
      </c>
      <c r="B1280" t="s">
        <v>7</v>
      </c>
      <c r="C1280" t="s">
        <v>8</v>
      </c>
      <c r="D1280" t="s">
        <v>9</v>
      </c>
      <c r="E1280" t="s">
        <v>40</v>
      </c>
      <c r="F1280" t="str">
        <f>"002190812981"</f>
        <v>002190812981</v>
      </c>
      <c r="G1280" t="s">
        <v>2389</v>
      </c>
      <c r="H1280" s="4">
        <v>23687.759999999998</v>
      </c>
    </row>
    <row r="1281" spans="1:8" x14ac:dyDescent="0.3">
      <c r="A1281" t="s">
        <v>6</v>
      </c>
      <c r="B1281" t="s">
        <v>7</v>
      </c>
      <c r="C1281" t="s">
        <v>1397</v>
      </c>
      <c r="D1281" t="s">
        <v>9</v>
      </c>
      <c r="E1281" t="s">
        <v>1458</v>
      </c>
      <c r="F1281" t="str">
        <f>"073215302493"</f>
        <v>073215302493</v>
      </c>
      <c r="G1281" t="s">
        <v>3008</v>
      </c>
      <c r="H1281" s="4">
        <v>23637.196</v>
      </c>
    </row>
    <row r="1282" spans="1:8" x14ac:dyDescent="0.3">
      <c r="A1282" t="s">
        <v>6</v>
      </c>
      <c r="B1282" t="s">
        <v>7</v>
      </c>
      <c r="C1282" t="s">
        <v>1286</v>
      </c>
      <c r="D1282" t="s">
        <v>9</v>
      </c>
      <c r="E1282" t="s">
        <v>1300</v>
      </c>
      <c r="F1282" t="str">
        <f>"001800012388"</f>
        <v>001800012388</v>
      </c>
      <c r="G1282" t="s">
        <v>2864</v>
      </c>
      <c r="H1282" s="4">
        <v>23597.248</v>
      </c>
    </row>
    <row r="1283" spans="1:8" x14ac:dyDescent="0.3">
      <c r="A1283" t="s">
        <v>6</v>
      </c>
      <c r="B1283" t="s">
        <v>7</v>
      </c>
      <c r="C1283" t="s">
        <v>1338</v>
      </c>
      <c r="D1283" t="s">
        <v>9</v>
      </c>
      <c r="E1283" t="s">
        <v>1372</v>
      </c>
      <c r="F1283" t="str">
        <f>"004280012019"</f>
        <v>004280012019</v>
      </c>
      <c r="G1283" t="s">
        <v>2928</v>
      </c>
      <c r="H1283" s="4">
        <v>23593.308000000001</v>
      </c>
    </row>
    <row r="1284" spans="1:8" x14ac:dyDescent="0.3">
      <c r="A1284" t="s">
        <v>6</v>
      </c>
      <c r="B1284" t="s">
        <v>7</v>
      </c>
      <c r="C1284" t="s">
        <v>1940</v>
      </c>
      <c r="D1284" t="s">
        <v>9</v>
      </c>
      <c r="E1284" t="s">
        <v>2057</v>
      </c>
      <c r="F1284" t="str">
        <f>"007047014748"</f>
        <v>007047014748</v>
      </c>
      <c r="G1284" t="s">
        <v>3944</v>
      </c>
      <c r="H1284" s="4">
        <v>23544.218000000001</v>
      </c>
    </row>
    <row r="1285" spans="1:8" x14ac:dyDescent="0.3">
      <c r="A1285" t="s">
        <v>6</v>
      </c>
      <c r="B1285" t="s">
        <v>7</v>
      </c>
      <c r="C1285" t="s">
        <v>2231</v>
      </c>
      <c r="D1285" t="s">
        <v>9</v>
      </c>
      <c r="E1285" t="s">
        <v>2242</v>
      </c>
      <c r="F1285" t="str">
        <f>"073215302742"</f>
        <v>073215302742</v>
      </c>
      <c r="G1285" t="s">
        <v>4439</v>
      </c>
      <c r="H1285" s="4">
        <v>23524.901000000002</v>
      </c>
    </row>
    <row r="1286" spans="1:8" x14ac:dyDescent="0.3">
      <c r="A1286" t="s">
        <v>6</v>
      </c>
      <c r="B1286" t="s">
        <v>7</v>
      </c>
      <c r="C1286" t="s">
        <v>616</v>
      </c>
      <c r="D1286" t="s">
        <v>9</v>
      </c>
      <c r="E1286" t="s">
        <v>677</v>
      </c>
      <c r="F1286" t="str">
        <f>"002190813099"</f>
        <v>002190813099</v>
      </c>
      <c r="G1286" t="s">
        <v>3647</v>
      </c>
      <c r="H1286" s="4">
        <v>23520.82</v>
      </c>
    </row>
    <row r="1287" spans="1:8" x14ac:dyDescent="0.3">
      <c r="A1287" t="s">
        <v>6</v>
      </c>
      <c r="B1287" t="s">
        <v>7</v>
      </c>
      <c r="C1287" t="s">
        <v>1397</v>
      </c>
      <c r="D1287" t="s">
        <v>9</v>
      </c>
      <c r="E1287" t="s">
        <v>1539</v>
      </c>
      <c r="F1287" t="str">
        <f>"004119612137"</f>
        <v>004119612137</v>
      </c>
      <c r="G1287" t="s">
        <v>3083</v>
      </c>
      <c r="H1287" s="4">
        <v>23513.57</v>
      </c>
    </row>
    <row r="1288" spans="1:8" x14ac:dyDescent="0.3">
      <c r="A1288" t="s">
        <v>6</v>
      </c>
      <c r="B1288" t="s">
        <v>7</v>
      </c>
      <c r="C1288" t="s">
        <v>797</v>
      </c>
      <c r="D1288" t="s">
        <v>9</v>
      </c>
      <c r="E1288" t="s">
        <v>866</v>
      </c>
      <c r="F1288" t="str">
        <f>"001600045102"</f>
        <v>001600045102</v>
      </c>
      <c r="G1288" t="s">
        <v>2459</v>
      </c>
      <c r="H1288" s="4">
        <v>23494.591</v>
      </c>
    </row>
    <row r="1289" spans="1:8" x14ac:dyDescent="0.3">
      <c r="A1289" t="s">
        <v>6</v>
      </c>
      <c r="B1289" t="s">
        <v>7</v>
      </c>
      <c r="C1289" t="s">
        <v>797</v>
      </c>
      <c r="D1289" t="s">
        <v>9</v>
      </c>
      <c r="E1289" t="s">
        <v>970</v>
      </c>
      <c r="F1289" t="str">
        <f>"001600040992"</f>
        <v>001600040992</v>
      </c>
      <c r="G1289" t="s">
        <v>2562</v>
      </c>
      <c r="H1289" s="4">
        <v>23403.407999999999</v>
      </c>
    </row>
    <row r="1290" spans="1:8" x14ac:dyDescent="0.3">
      <c r="A1290" t="s">
        <v>6</v>
      </c>
      <c r="B1290" t="s">
        <v>7</v>
      </c>
      <c r="C1290" t="s">
        <v>2113</v>
      </c>
      <c r="D1290" t="s">
        <v>9</v>
      </c>
      <c r="E1290" t="s">
        <v>2211</v>
      </c>
      <c r="F1290" t="str">
        <f>"001600018305"</f>
        <v>001600018305</v>
      </c>
      <c r="G1290" t="s">
        <v>4413</v>
      </c>
      <c r="H1290" s="4">
        <v>23357.528999999999</v>
      </c>
    </row>
    <row r="1291" spans="1:8" x14ac:dyDescent="0.3">
      <c r="A1291" t="s">
        <v>6</v>
      </c>
      <c r="B1291" t="s">
        <v>7</v>
      </c>
      <c r="C1291" t="s">
        <v>1940</v>
      </c>
      <c r="D1291" t="s">
        <v>9</v>
      </c>
      <c r="E1291" t="s">
        <v>1955</v>
      </c>
      <c r="F1291" t="str">
        <f>"007047020634"</f>
        <v>007047020634</v>
      </c>
      <c r="G1291" t="s">
        <v>3841</v>
      </c>
      <c r="H1291" s="4">
        <v>23347.912</v>
      </c>
    </row>
    <row r="1292" spans="1:8" x14ac:dyDescent="0.3">
      <c r="A1292" t="s">
        <v>6</v>
      </c>
      <c r="B1292" t="s">
        <v>7</v>
      </c>
      <c r="C1292" t="s">
        <v>1748</v>
      </c>
      <c r="D1292" t="s">
        <v>9</v>
      </c>
      <c r="E1292" t="s">
        <v>1772</v>
      </c>
      <c r="F1292" t="str">
        <f>"009232533352"</f>
        <v>009232533352</v>
      </c>
      <c r="G1292" t="s">
        <v>3535</v>
      </c>
      <c r="H1292" s="4">
        <v>23331.185000000001</v>
      </c>
    </row>
    <row r="1293" spans="1:8" x14ac:dyDescent="0.3">
      <c r="A1293" t="s">
        <v>6</v>
      </c>
      <c r="B1293" t="s">
        <v>7</v>
      </c>
      <c r="C1293" t="s">
        <v>1805</v>
      </c>
      <c r="D1293" t="s">
        <v>9</v>
      </c>
      <c r="E1293" t="s">
        <v>1811</v>
      </c>
      <c r="F1293" t="str">
        <f>"066559647705"</f>
        <v>066559647705</v>
      </c>
      <c r="G1293" t="s">
        <v>3744</v>
      </c>
      <c r="H1293" s="4">
        <v>23228.764999999999</v>
      </c>
    </row>
    <row r="1294" spans="1:8" x14ac:dyDescent="0.3">
      <c r="A1294" t="s">
        <v>6</v>
      </c>
      <c r="B1294" t="s">
        <v>7</v>
      </c>
      <c r="C1294" t="s">
        <v>770</v>
      </c>
      <c r="D1294" t="s">
        <v>9</v>
      </c>
      <c r="E1294" t="s">
        <v>775</v>
      </c>
      <c r="F1294" t="str">
        <f>"001600013540"</f>
        <v>001600013540</v>
      </c>
      <c r="G1294" t="s">
        <v>2375</v>
      </c>
      <c r="H1294" s="4">
        <v>23189.108</v>
      </c>
    </row>
    <row r="1295" spans="1:8" x14ac:dyDescent="0.3">
      <c r="A1295" t="s">
        <v>6</v>
      </c>
      <c r="B1295" t="s">
        <v>7</v>
      </c>
      <c r="C1295" t="s">
        <v>381</v>
      </c>
      <c r="D1295" t="s">
        <v>9</v>
      </c>
      <c r="E1295" t="s">
        <v>382</v>
      </c>
      <c r="F1295" t="str">
        <f>"001356211916"</f>
        <v>001356211916</v>
      </c>
      <c r="G1295" t="s">
        <v>3111</v>
      </c>
      <c r="H1295" s="4">
        <v>23140.47</v>
      </c>
    </row>
    <row r="1296" spans="1:8" x14ac:dyDescent="0.3">
      <c r="A1296" t="s">
        <v>6</v>
      </c>
      <c r="B1296" t="s">
        <v>7</v>
      </c>
      <c r="C1296" t="s">
        <v>381</v>
      </c>
      <c r="D1296" t="s">
        <v>9</v>
      </c>
      <c r="E1296" t="s">
        <v>505</v>
      </c>
      <c r="F1296" t="str">
        <f>"001600026450"</f>
        <v>001600026450</v>
      </c>
      <c r="G1296" t="s">
        <v>3231</v>
      </c>
      <c r="H1296" s="4">
        <v>23102.221000000001</v>
      </c>
    </row>
    <row r="1297" spans="1:8" x14ac:dyDescent="0.3">
      <c r="A1297" t="s">
        <v>6</v>
      </c>
      <c r="B1297" t="s">
        <v>7</v>
      </c>
      <c r="C1297" t="s">
        <v>797</v>
      </c>
      <c r="D1297" t="s">
        <v>9</v>
      </c>
      <c r="E1297" t="s">
        <v>823</v>
      </c>
      <c r="F1297" t="str">
        <f>"001600018658"</f>
        <v>001600018658</v>
      </c>
      <c r="G1297" t="s">
        <v>2389</v>
      </c>
      <c r="H1297" s="4">
        <v>22974.207999999999</v>
      </c>
    </row>
    <row r="1298" spans="1:8" x14ac:dyDescent="0.3">
      <c r="A1298" t="s">
        <v>6</v>
      </c>
      <c r="B1298" t="s">
        <v>7</v>
      </c>
      <c r="C1298" t="s">
        <v>1577</v>
      </c>
      <c r="D1298" t="s">
        <v>9</v>
      </c>
      <c r="E1298" t="s">
        <v>1598</v>
      </c>
      <c r="F1298" t="str">
        <f>"004600011634"</f>
        <v>004600011634</v>
      </c>
      <c r="G1298" t="s">
        <v>3362</v>
      </c>
      <c r="H1298" s="4">
        <v>22970.516</v>
      </c>
    </row>
    <row r="1299" spans="1:8" x14ac:dyDescent="0.3">
      <c r="A1299" t="s">
        <v>6</v>
      </c>
      <c r="B1299" t="s">
        <v>7</v>
      </c>
      <c r="C1299" t="s">
        <v>2113</v>
      </c>
      <c r="D1299" t="s">
        <v>9</v>
      </c>
      <c r="E1299" t="s">
        <v>2154</v>
      </c>
      <c r="F1299" t="str">
        <f>"001600011481"</f>
        <v>001600011481</v>
      </c>
      <c r="G1299" t="s">
        <v>4362</v>
      </c>
      <c r="H1299" s="4">
        <v>22952.775000000001</v>
      </c>
    </row>
    <row r="1300" spans="1:8" x14ac:dyDescent="0.3">
      <c r="A1300" t="s">
        <v>6</v>
      </c>
      <c r="B1300" t="s">
        <v>7</v>
      </c>
      <c r="C1300" t="s">
        <v>8</v>
      </c>
      <c r="D1300" t="s">
        <v>9</v>
      </c>
      <c r="E1300" t="s">
        <v>253</v>
      </c>
      <c r="F1300" t="str">
        <f>"001600049336"</f>
        <v>001600049336</v>
      </c>
      <c r="G1300" t="s">
        <v>4207</v>
      </c>
      <c r="H1300" s="4">
        <v>22935.186000000002</v>
      </c>
    </row>
    <row r="1301" spans="1:8" x14ac:dyDescent="0.3">
      <c r="A1301" t="s">
        <v>6</v>
      </c>
      <c r="B1301" t="s">
        <v>7</v>
      </c>
      <c r="C1301" t="s">
        <v>2231</v>
      </c>
      <c r="D1301" t="s">
        <v>9</v>
      </c>
      <c r="E1301" t="s">
        <v>2300</v>
      </c>
      <c r="F1301" t="str">
        <f>"004119612361"</f>
        <v>004119612361</v>
      </c>
      <c r="G1301" t="s">
        <v>4496</v>
      </c>
      <c r="H1301" s="4">
        <v>22850.467000000001</v>
      </c>
    </row>
    <row r="1302" spans="1:8" x14ac:dyDescent="0.3">
      <c r="A1302" t="s">
        <v>6</v>
      </c>
      <c r="B1302" t="s">
        <v>7</v>
      </c>
      <c r="C1302" t="s">
        <v>2113</v>
      </c>
      <c r="D1302" t="s">
        <v>9</v>
      </c>
      <c r="E1302" t="s">
        <v>2226</v>
      </c>
      <c r="F1302" t="str">
        <f>"001600019349"</f>
        <v>001600019349</v>
      </c>
      <c r="G1302" t="s">
        <v>4426</v>
      </c>
      <c r="H1302" s="4">
        <v>22826.425999999999</v>
      </c>
    </row>
    <row r="1303" spans="1:8" x14ac:dyDescent="0.3">
      <c r="A1303" t="s">
        <v>6</v>
      </c>
      <c r="B1303" t="s">
        <v>7</v>
      </c>
      <c r="C1303" t="s">
        <v>8</v>
      </c>
      <c r="D1303" t="s">
        <v>9</v>
      </c>
      <c r="E1303" t="s">
        <v>121</v>
      </c>
      <c r="F1303" t="str">
        <f>"001600019303"</f>
        <v>001600019303</v>
      </c>
      <c r="G1303" t="s">
        <v>4088</v>
      </c>
      <c r="H1303" s="4">
        <v>22744.873</v>
      </c>
    </row>
    <row r="1304" spans="1:8" x14ac:dyDescent="0.3">
      <c r="A1304" t="s">
        <v>6</v>
      </c>
      <c r="B1304" t="s">
        <v>7</v>
      </c>
      <c r="C1304" t="s">
        <v>381</v>
      </c>
      <c r="D1304" t="s">
        <v>9</v>
      </c>
      <c r="E1304" t="s">
        <v>450</v>
      </c>
      <c r="F1304" t="str">
        <f>"001600014525"</f>
        <v>001600014525</v>
      </c>
      <c r="G1304" t="s">
        <v>3176</v>
      </c>
      <c r="H1304" s="4">
        <v>22733.129000000001</v>
      </c>
    </row>
    <row r="1305" spans="1:8" x14ac:dyDescent="0.3">
      <c r="A1305" t="s">
        <v>6</v>
      </c>
      <c r="B1305" t="s">
        <v>7</v>
      </c>
      <c r="C1305" t="s">
        <v>1338</v>
      </c>
      <c r="D1305" t="s">
        <v>9</v>
      </c>
      <c r="E1305" t="s">
        <v>1341</v>
      </c>
      <c r="F1305" t="str">
        <f>"001356212863"</f>
        <v>001356212863</v>
      </c>
      <c r="G1305" t="s">
        <v>2902</v>
      </c>
      <c r="H1305" s="4">
        <v>22672.618999999999</v>
      </c>
    </row>
    <row r="1306" spans="1:8" x14ac:dyDescent="0.3">
      <c r="A1306" t="s">
        <v>6</v>
      </c>
      <c r="B1306" t="s">
        <v>7</v>
      </c>
      <c r="C1306" t="s">
        <v>797</v>
      </c>
      <c r="D1306" t="s">
        <v>9</v>
      </c>
      <c r="E1306" t="s">
        <v>872</v>
      </c>
      <c r="F1306" t="str">
        <f>"001600045706"</f>
        <v>001600045706</v>
      </c>
      <c r="G1306" t="s">
        <v>2465</v>
      </c>
      <c r="H1306" s="4">
        <v>22485.305</v>
      </c>
    </row>
    <row r="1307" spans="1:8" x14ac:dyDescent="0.3">
      <c r="A1307" t="s">
        <v>6</v>
      </c>
      <c r="B1307" t="s">
        <v>7</v>
      </c>
      <c r="C1307" t="s">
        <v>1122</v>
      </c>
      <c r="D1307" t="s">
        <v>9</v>
      </c>
      <c r="E1307" t="s">
        <v>1251</v>
      </c>
      <c r="F1307" t="str">
        <f>"001600019406"</f>
        <v>001600019406</v>
      </c>
      <c r="G1307" t="s">
        <v>2824</v>
      </c>
      <c r="H1307" s="4">
        <v>22478.959999999999</v>
      </c>
    </row>
    <row r="1308" spans="1:8" x14ac:dyDescent="0.3">
      <c r="A1308" t="s">
        <v>6</v>
      </c>
      <c r="B1308" t="s">
        <v>7</v>
      </c>
      <c r="C1308" t="s">
        <v>797</v>
      </c>
      <c r="D1308" t="s">
        <v>9</v>
      </c>
      <c r="E1308" t="s">
        <v>980</v>
      </c>
      <c r="F1308" t="str">
        <f>"001600019871"</f>
        <v>001600019871</v>
      </c>
      <c r="G1308" t="s">
        <v>2577</v>
      </c>
      <c r="H1308" s="4">
        <v>22459.7</v>
      </c>
    </row>
    <row r="1309" spans="1:8" x14ac:dyDescent="0.3">
      <c r="A1309" t="s">
        <v>6</v>
      </c>
      <c r="B1309" t="s">
        <v>7</v>
      </c>
      <c r="C1309" t="s">
        <v>1695</v>
      </c>
      <c r="D1309" t="s">
        <v>9</v>
      </c>
      <c r="E1309" t="s">
        <v>1701</v>
      </c>
      <c r="F1309" t="str">
        <f>"002190850415"</f>
        <v>002190850415</v>
      </c>
      <c r="G1309" t="s">
        <v>3465</v>
      </c>
      <c r="H1309" s="4">
        <v>22151.606</v>
      </c>
    </row>
    <row r="1310" spans="1:8" x14ac:dyDescent="0.3">
      <c r="A1310" t="s">
        <v>6</v>
      </c>
      <c r="B1310" t="s">
        <v>7</v>
      </c>
      <c r="C1310" t="s">
        <v>2231</v>
      </c>
      <c r="D1310" t="s">
        <v>9</v>
      </c>
      <c r="E1310" t="s">
        <v>2250</v>
      </c>
      <c r="F1310" t="str">
        <f>"004119649321"</f>
        <v>004119649321</v>
      </c>
      <c r="G1310" t="s">
        <v>4449</v>
      </c>
      <c r="H1310" s="4">
        <v>22128.428</v>
      </c>
    </row>
    <row r="1311" spans="1:8" x14ac:dyDescent="0.3">
      <c r="A1311" t="s">
        <v>6</v>
      </c>
      <c r="B1311" t="s">
        <v>7</v>
      </c>
      <c r="C1311" t="s">
        <v>616</v>
      </c>
      <c r="D1311" t="s">
        <v>9</v>
      </c>
      <c r="E1311" t="s">
        <v>666</v>
      </c>
      <c r="F1311" t="str">
        <f>"002190812435"</f>
        <v>002190812435</v>
      </c>
      <c r="G1311" t="s">
        <v>3636</v>
      </c>
      <c r="H1311" s="4">
        <v>22075.89</v>
      </c>
    </row>
    <row r="1312" spans="1:8" x14ac:dyDescent="0.3">
      <c r="A1312" t="s">
        <v>6</v>
      </c>
      <c r="B1312" t="s">
        <v>7</v>
      </c>
      <c r="C1312" t="s">
        <v>2231</v>
      </c>
      <c r="D1312" t="s">
        <v>9</v>
      </c>
      <c r="E1312" t="s">
        <v>2283</v>
      </c>
      <c r="F1312" t="str">
        <f>"004119613069"</f>
        <v>004119613069</v>
      </c>
      <c r="G1312" t="s">
        <v>4481</v>
      </c>
      <c r="H1312" s="4">
        <v>21982.030999999999</v>
      </c>
    </row>
    <row r="1313" spans="1:8" x14ac:dyDescent="0.3">
      <c r="A1313" t="s">
        <v>6</v>
      </c>
      <c r="B1313" t="s">
        <v>7</v>
      </c>
      <c r="C1313" t="s">
        <v>985</v>
      </c>
      <c r="D1313" t="s">
        <v>9</v>
      </c>
      <c r="E1313" t="s">
        <v>993</v>
      </c>
      <c r="F1313" t="str">
        <f>"001356211178"</f>
        <v>001356211178</v>
      </c>
      <c r="G1313" t="s">
        <v>2588</v>
      </c>
      <c r="H1313" s="4">
        <v>21921.067999999999</v>
      </c>
    </row>
    <row r="1314" spans="1:8" x14ac:dyDescent="0.3">
      <c r="A1314" t="s">
        <v>6</v>
      </c>
      <c r="B1314" t="s">
        <v>7</v>
      </c>
      <c r="C1314" t="s">
        <v>985</v>
      </c>
      <c r="D1314" t="s">
        <v>9</v>
      </c>
      <c r="E1314" t="s">
        <v>1000</v>
      </c>
      <c r="F1314" t="str">
        <f>"001356213368"</f>
        <v>001356213368</v>
      </c>
      <c r="G1314" t="s">
        <v>2597</v>
      </c>
      <c r="H1314" s="4">
        <v>21888.625</v>
      </c>
    </row>
    <row r="1315" spans="1:8" x14ac:dyDescent="0.3">
      <c r="A1315" t="s">
        <v>6</v>
      </c>
      <c r="B1315" t="s">
        <v>7</v>
      </c>
      <c r="C1315" t="s">
        <v>797</v>
      </c>
      <c r="D1315" t="s">
        <v>9</v>
      </c>
      <c r="E1315" t="s">
        <v>809</v>
      </c>
      <c r="F1315" t="str">
        <f>"001600044130"</f>
        <v>001600044130</v>
      </c>
      <c r="G1315" t="s">
        <v>2406</v>
      </c>
      <c r="H1315" s="4">
        <v>21883.223999999998</v>
      </c>
    </row>
    <row r="1316" spans="1:8" x14ac:dyDescent="0.3">
      <c r="A1316" t="s">
        <v>6</v>
      </c>
      <c r="B1316" t="s">
        <v>7</v>
      </c>
      <c r="C1316" t="s">
        <v>797</v>
      </c>
      <c r="D1316" t="s">
        <v>9</v>
      </c>
      <c r="E1316" t="s">
        <v>981</v>
      </c>
      <c r="F1316" t="str">
        <f>"001600019873"</f>
        <v>001600019873</v>
      </c>
      <c r="G1316" t="s">
        <v>2578</v>
      </c>
      <c r="H1316" s="4">
        <v>21808.607</v>
      </c>
    </row>
    <row r="1317" spans="1:8" x14ac:dyDescent="0.3">
      <c r="A1317" t="s">
        <v>6</v>
      </c>
      <c r="B1317" t="s">
        <v>7</v>
      </c>
      <c r="C1317" t="s">
        <v>1577</v>
      </c>
      <c r="D1317" t="s">
        <v>9</v>
      </c>
      <c r="E1317" t="s">
        <v>1589</v>
      </c>
      <c r="F1317" t="str">
        <f>"004600012309"</f>
        <v>004600012309</v>
      </c>
      <c r="G1317" t="s">
        <v>3352</v>
      </c>
      <c r="H1317" s="4">
        <v>21766.097000000002</v>
      </c>
    </row>
    <row r="1318" spans="1:8" x14ac:dyDescent="0.3">
      <c r="A1318" t="s">
        <v>6</v>
      </c>
      <c r="B1318" t="s">
        <v>7</v>
      </c>
      <c r="C1318" t="s">
        <v>1338</v>
      </c>
      <c r="D1318" t="s">
        <v>9</v>
      </c>
      <c r="E1318" t="s">
        <v>1342</v>
      </c>
      <c r="F1318" t="str">
        <f>"001356212859"</f>
        <v>001356212859</v>
      </c>
      <c r="G1318" t="s">
        <v>2903</v>
      </c>
      <c r="H1318" s="4">
        <v>21765.962</v>
      </c>
    </row>
    <row r="1319" spans="1:8" x14ac:dyDescent="0.3">
      <c r="A1319" t="s">
        <v>6</v>
      </c>
      <c r="B1319" t="s">
        <v>7</v>
      </c>
      <c r="C1319" t="s">
        <v>1122</v>
      </c>
      <c r="D1319" t="s">
        <v>9</v>
      </c>
      <c r="E1319" t="s">
        <v>1175</v>
      </c>
      <c r="F1319" t="str">
        <f>"001600046387"</f>
        <v>001600046387</v>
      </c>
      <c r="G1319" t="s">
        <v>2763</v>
      </c>
      <c r="H1319" s="4">
        <v>21765.212</v>
      </c>
    </row>
    <row r="1320" spans="1:8" x14ac:dyDescent="0.3">
      <c r="A1320" t="s">
        <v>6</v>
      </c>
      <c r="B1320" t="s">
        <v>7</v>
      </c>
      <c r="C1320" t="s">
        <v>381</v>
      </c>
      <c r="D1320" t="s">
        <v>9</v>
      </c>
      <c r="E1320" t="s">
        <v>417</v>
      </c>
      <c r="F1320" t="str">
        <f>"001600020096"</f>
        <v>001600020096</v>
      </c>
      <c r="G1320" t="s">
        <v>3143</v>
      </c>
      <c r="H1320" s="4">
        <v>21690.13</v>
      </c>
    </row>
    <row r="1321" spans="1:8" x14ac:dyDescent="0.3">
      <c r="A1321" t="s">
        <v>6</v>
      </c>
      <c r="B1321" t="s">
        <v>7</v>
      </c>
      <c r="C1321" t="s">
        <v>8</v>
      </c>
      <c r="D1321" t="s">
        <v>9</v>
      </c>
      <c r="E1321" t="s">
        <v>232</v>
      </c>
      <c r="F1321" t="str">
        <f>"001600016962"</f>
        <v>001600016962</v>
      </c>
      <c r="G1321" t="s">
        <v>4191</v>
      </c>
      <c r="H1321" s="4">
        <v>21658.365000000002</v>
      </c>
    </row>
    <row r="1322" spans="1:8" x14ac:dyDescent="0.3">
      <c r="A1322" t="s">
        <v>6</v>
      </c>
      <c r="B1322" t="s">
        <v>7</v>
      </c>
      <c r="C1322" t="s">
        <v>2231</v>
      </c>
      <c r="D1322" t="s">
        <v>9</v>
      </c>
      <c r="E1322" t="s">
        <v>2325</v>
      </c>
      <c r="F1322" t="str">
        <f>"004119611066"</f>
        <v>004119611066</v>
      </c>
      <c r="G1322" t="s">
        <v>4516</v>
      </c>
      <c r="H1322" s="4">
        <v>21654.527999999998</v>
      </c>
    </row>
    <row r="1323" spans="1:8" x14ac:dyDescent="0.3">
      <c r="A1323" t="s">
        <v>6</v>
      </c>
      <c r="B1323" t="s">
        <v>7</v>
      </c>
      <c r="C1323" t="s">
        <v>381</v>
      </c>
      <c r="D1323" t="s">
        <v>9</v>
      </c>
      <c r="E1323" t="s">
        <v>395</v>
      </c>
      <c r="F1323" t="str">
        <f>"001356210799"</f>
        <v>001356210799</v>
      </c>
      <c r="G1323" t="s">
        <v>3123</v>
      </c>
      <c r="H1323" s="4">
        <v>21636.26</v>
      </c>
    </row>
    <row r="1324" spans="1:8" x14ac:dyDescent="0.3">
      <c r="A1324" t="s">
        <v>6</v>
      </c>
      <c r="B1324" t="s">
        <v>7</v>
      </c>
      <c r="C1324" t="s">
        <v>1940</v>
      </c>
      <c r="D1324" t="s">
        <v>9</v>
      </c>
      <c r="E1324" t="s">
        <v>2102</v>
      </c>
      <c r="F1324" t="str">
        <f>"007047019138"</f>
        <v>007047019138</v>
      </c>
      <c r="G1324" t="s">
        <v>3991</v>
      </c>
      <c r="H1324" s="4">
        <v>21310.057000000001</v>
      </c>
    </row>
    <row r="1325" spans="1:8" x14ac:dyDescent="0.3">
      <c r="A1325" t="s">
        <v>6</v>
      </c>
      <c r="B1325" t="s">
        <v>7</v>
      </c>
      <c r="C1325" t="s">
        <v>797</v>
      </c>
      <c r="D1325" t="s">
        <v>9</v>
      </c>
      <c r="E1325" t="s">
        <v>965</v>
      </c>
      <c r="F1325" t="str">
        <f>"001600040987"</f>
        <v>001600040987</v>
      </c>
      <c r="G1325" t="s">
        <v>2559</v>
      </c>
      <c r="H1325" s="4">
        <v>21301.846000000001</v>
      </c>
    </row>
    <row r="1326" spans="1:8" x14ac:dyDescent="0.3">
      <c r="A1326" t="s">
        <v>6</v>
      </c>
      <c r="B1326" t="s">
        <v>7</v>
      </c>
      <c r="C1326" t="s">
        <v>1695</v>
      </c>
      <c r="D1326" t="s">
        <v>9</v>
      </c>
      <c r="E1326" t="s">
        <v>1699</v>
      </c>
      <c r="F1326" t="str">
        <f>"002190850167"</f>
        <v>002190850167</v>
      </c>
      <c r="G1326" t="s">
        <v>3463</v>
      </c>
      <c r="H1326" s="4">
        <v>21271.562000000002</v>
      </c>
    </row>
    <row r="1327" spans="1:8" x14ac:dyDescent="0.3">
      <c r="A1327" t="s">
        <v>6</v>
      </c>
      <c r="B1327" t="s">
        <v>7</v>
      </c>
      <c r="C1327" t="s">
        <v>381</v>
      </c>
      <c r="D1327" t="s">
        <v>9</v>
      </c>
      <c r="E1327" t="s">
        <v>411</v>
      </c>
      <c r="F1327" t="str">
        <f>"002190847622"</f>
        <v>002190847622</v>
      </c>
      <c r="G1327" t="s">
        <v>3138</v>
      </c>
      <c r="H1327" s="4">
        <v>21181.405999999999</v>
      </c>
    </row>
    <row r="1328" spans="1:8" x14ac:dyDescent="0.3">
      <c r="A1328" t="s">
        <v>6</v>
      </c>
      <c r="B1328" t="s">
        <v>7</v>
      </c>
      <c r="C1328" t="s">
        <v>381</v>
      </c>
      <c r="D1328" t="s">
        <v>9</v>
      </c>
      <c r="E1328" t="s">
        <v>431</v>
      </c>
      <c r="F1328" t="str">
        <f>"001600010895"</f>
        <v>001600010895</v>
      </c>
      <c r="G1328" t="s">
        <v>3157</v>
      </c>
      <c r="H1328" s="4">
        <v>21162.87</v>
      </c>
    </row>
    <row r="1329" spans="1:8" x14ac:dyDescent="0.3">
      <c r="A1329" t="s">
        <v>6</v>
      </c>
      <c r="B1329" t="s">
        <v>7</v>
      </c>
      <c r="C1329" t="s">
        <v>1095</v>
      </c>
      <c r="D1329" t="s">
        <v>9</v>
      </c>
      <c r="E1329" t="s">
        <v>1113</v>
      </c>
      <c r="F1329" t="str">
        <f>"001600012670"</f>
        <v>001600012670</v>
      </c>
      <c r="G1329" t="s">
        <v>2713</v>
      </c>
      <c r="H1329" s="4">
        <v>21128.431</v>
      </c>
    </row>
    <row r="1330" spans="1:8" x14ac:dyDescent="0.3">
      <c r="A1330" t="s">
        <v>6</v>
      </c>
      <c r="B1330" t="s">
        <v>7</v>
      </c>
      <c r="C1330" t="s">
        <v>381</v>
      </c>
      <c r="D1330" t="s">
        <v>9</v>
      </c>
      <c r="E1330" t="s">
        <v>546</v>
      </c>
      <c r="F1330" t="str">
        <f>"001600020037"</f>
        <v>001600020037</v>
      </c>
      <c r="G1330" t="s">
        <v>3269</v>
      </c>
      <c r="H1330" s="4">
        <v>21029.412</v>
      </c>
    </row>
    <row r="1331" spans="1:8" x14ac:dyDescent="0.3">
      <c r="A1331" t="s">
        <v>6</v>
      </c>
      <c r="B1331" t="s">
        <v>7</v>
      </c>
      <c r="C1331" t="s">
        <v>2113</v>
      </c>
      <c r="D1331" t="s">
        <v>9</v>
      </c>
      <c r="E1331" t="s">
        <v>2174</v>
      </c>
      <c r="F1331" t="str">
        <f>"001600050278"</f>
        <v>001600050278</v>
      </c>
      <c r="G1331" t="s">
        <v>4379</v>
      </c>
      <c r="H1331" s="4">
        <v>20937.423999999999</v>
      </c>
    </row>
    <row r="1332" spans="1:8" x14ac:dyDescent="0.3">
      <c r="A1332" t="s">
        <v>6</v>
      </c>
      <c r="B1332" t="s">
        <v>7</v>
      </c>
      <c r="C1332" t="s">
        <v>1940</v>
      </c>
      <c r="D1332" t="s">
        <v>9</v>
      </c>
      <c r="E1332" t="s">
        <v>2046</v>
      </c>
      <c r="F1332" t="str">
        <f>"007047014783"</f>
        <v>007047014783</v>
      </c>
      <c r="G1332" t="s">
        <v>3933</v>
      </c>
      <c r="H1332" s="4">
        <v>20826.361000000001</v>
      </c>
    </row>
    <row r="1333" spans="1:8" x14ac:dyDescent="0.3">
      <c r="A1333" t="s">
        <v>6</v>
      </c>
      <c r="B1333" t="s">
        <v>7</v>
      </c>
      <c r="C1333" t="s">
        <v>8</v>
      </c>
      <c r="D1333" t="s">
        <v>9</v>
      </c>
      <c r="E1333" t="s">
        <v>44</v>
      </c>
      <c r="F1333" t="str">
        <f>"002190812823"</f>
        <v>002190812823</v>
      </c>
      <c r="G1333" t="s">
        <v>2389</v>
      </c>
      <c r="H1333" s="4">
        <v>20780.189999999999</v>
      </c>
    </row>
    <row r="1334" spans="1:8" x14ac:dyDescent="0.3">
      <c r="A1334" t="s">
        <v>6</v>
      </c>
      <c r="B1334" t="s">
        <v>7</v>
      </c>
      <c r="C1334" t="s">
        <v>616</v>
      </c>
      <c r="D1334" t="s">
        <v>9</v>
      </c>
      <c r="E1334" t="s">
        <v>767</v>
      </c>
      <c r="F1334" t="str">
        <f>"002190813116"</f>
        <v>002190813116</v>
      </c>
      <c r="G1334" t="s">
        <v>3735</v>
      </c>
      <c r="H1334" s="4">
        <v>20631.68</v>
      </c>
    </row>
    <row r="1335" spans="1:8" x14ac:dyDescent="0.3">
      <c r="A1335" t="s">
        <v>6</v>
      </c>
      <c r="B1335" t="s">
        <v>7</v>
      </c>
      <c r="C1335" t="s">
        <v>2231</v>
      </c>
      <c r="D1335" t="s">
        <v>9</v>
      </c>
      <c r="E1335" t="s">
        <v>2264</v>
      </c>
      <c r="F1335" t="str">
        <f>"004119691406"</f>
        <v>004119691406</v>
      </c>
      <c r="G1335" t="s">
        <v>4463</v>
      </c>
      <c r="H1335" s="4">
        <v>20522.077000000001</v>
      </c>
    </row>
    <row r="1336" spans="1:8" x14ac:dyDescent="0.3">
      <c r="A1336" t="s">
        <v>6</v>
      </c>
      <c r="B1336" t="s">
        <v>7</v>
      </c>
      <c r="C1336" t="s">
        <v>1397</v>
      </c>
      <c r="D1336" t="s">
        <v>9</v>
      </c>
      <c r="E1336" t="s">
        <v>1461</v>
      </c>
      <c r="F1336" t="str">
        <f>"073215301595"</f>
        <v>073215301595</v>
      </c>
      <c r="G1336" t="s">
        <v>3011</v>
      </c>
      <c r="H1336" s="4">
        <v>20472.187000000002</v>
      </c>
    </row>
    <row r="1337" spans="1:8" x14ac:dyDescent="0.3">
      <c r="A1337" t="s">
        <v>6</v>
      </c>
      <c r="B1337" t="s">
        <v>7</v>
      </c>
      <c r="C1337" t="s">
        <v>1072</v>
      </c>
      <c r="D1337" t="s">
        <v>9</v>
      </c>
      <c r="E1337" t="s">
        <v>1086</v>
      </c>
      <c r="F1337" t="str">
        <f>"001600027485"</f>
        <v>001600027485</v>
      </c>
      <c r="G1337" t="s">
        <v>2691</v>
      </c>
      <c r="H1337" s="4">
        <v>20402.151000000002</v>
      </c>
    </row>
    <row r="1338" spans="1:8" x14ac:dyDescent="0.3">
      <c r="A1338" t="s">
        <v>6</v>
      </c>
      <c r="B1338" t="s">
        <v>7</v>
      </c>
      <c r="C1338" t="s">
        <v>1940</v>
      </c>
      <c r="D1338" t="s">
        <v>9</v>
      </c>
      <c r="E1338" t="s">
        <v>1982</v>
      </c>
      <c r="F1338" t="str">
        <f>"007047018746"</f>
        <v>007047018746</v>
      </c>
      <c r="G1338" t="s">
        <v>2389</v>
      </c>
      <c r="H1338" s="4">
        <v>20364.892</v>
      </c>
    </row>
    <row r="1339" spans="1:8" x14ac:dyDescent="0.3">
      <c r="A1339" t="s">
        <v>6</v>
      </c>
      <c r="B1339" t="s">
        <v>7</v>
      </c>
      <c r="C1339" t="s">
        <v>381</v>
      </c>
      <c r="D1339" t="s">
        <v>9</v>
      </c>
      <c r="E1339" t="s">
        <v>502</v>
      </c>
      <c r="F1339" t="str">
        <f>"001600029570"</f>
        <v>001600029570</v>
      </c>
      <c r="G1339" t="s">
        <v>3228</v>
      </c>
      <c r="H1339" s="4">
        <v>20340.205000000002</v>
      </c>
    </row>
    <row r="1340" spans="1:8" x14ac:dyDescent="0.3">
      <c r="A1340" t="s">
        <v>6</v>
      </c>
      <c r="B1340" t="s">
        <v>7</v>
      </c>
      <c r="C1340" t="s">
        <v>1773</v>
      </c>
      <c r="D1340" t="s">
        <v>9</v>
      </c>
      <c r="E1340" t="s">
        <v>1775</v>
      </c>
      <c r="F1340" t="str">
        <f>"001356212203"</f>
        <v>001356212203</v>
      </c>
      <c r="G1340" t="s">
        <v>3537</v>
      </c>
      <c r="H1340" s="4">
        <v>20298.182000000001</v>
      </c>
    </row>
    <row r="1341" spans="1:8" x14ac:dyDescent="0.3">
      <c r="A1341" t="s">
        <v>6</v>
      </c>
      <c r="B1341" t="s">
        <v>7</v>
      </c>
      <c r="C1341" t="s">
        <v>797</v>
      </c>
      <c r="D1341" t="s">
        <v>9</v>
      </c>
      <c r="E1341" t="s">
        <v>950</v>
      </c>
      <c r="F1341" t="str">
        <f>"001600040994"</f>
        <v>001600040994</v>
      </c>
      <c r="G1341" t="s">
        <v>2546</v>
      </c>
      <c r="H1341" s="4">
        <v>20285.684000000001</v>
      </c>
    </row>
    <row r="1342" spans="1:8" x14ac:dyDescent="0.3">
      <c r="A1342" t="s">
        <v>6</v>
      </c>
      <c r="B1342" t="s">
        <v>7</v>
      </c>
      <c r="C1342" t="s">
        <v>2113</v>
      </c>
      <c r="D1342" t="s">
        <v>9</v>
      </c>
      <c r="E1342" t="s">
        <v>2207</v>
      </c>
      <c r="F1342" t="str">
        <f>"001600028791"</f>
        <v>001600028791</v>
      </c>
      <c r="G1342" t="s">
        <v>4410</v>
      </c>
      <c r="H1342" s="4">
        <v>20208.734</v>
      </c>
    </row>
    <row r="1343" spans="1:8" x14ac:dyDescent="0.3">
      <c r="A1343" t="s">
        <v>6</v>
      </c>
      <c r="B1343" t="s">
        <v>7</v>
      </c>
      <c r="C1343" t="s">
        <v>1786</v>
      </c>
      <c r="D1343" t="s">
        <v>9</v>
      </c>
      <c r="E1343" t="s">
        <v>1787</v>
      </c>
      <c r="F1343" t="str">
        <f>"072534228301"</f>
        <v>072534228301</v>
      </c>
      <c r="G1343" t="s">
        <v>3547</v>
      </c>
      <c r="H1343" s="4">
        <v>20174.936000000002</v>
      </c>
    </row>
    <row r="1344" spans="1:8" x14ac:dyDescent="0.3">
      <c r="A1344" t="s">
        <v>6</v>
      </c>
      <c r="B1344" t="s">
        <v>7</v>
      </c>
      <c r="C1344" t="s">
        <v>1695</v>
      </c>
      <c r="D1344" t="s">
        <v>9</v>
      </c>
      <c r="E1344" t="s">
        <v>1710</v>
      </c>
      <c r="F1344" t="str">
        <f>"002190849276"</f>
        <v>002190849276</v>
      </c>
      <c r="G1344" t="s">
        <v>3474</v>
      </c>
      <c r="H1344" s="4">
        <v>20106.008999999998</v>
      </c>
    </row>
    <row r="1345" spans="1:8" x14ac:dyDescent="0.3">
      <c r="A1345" t="s">
        <v>6</v>
      </c>
      <c r="B1345" t="s">
        <v>7</v>
      </c>
      <c r="C1345" t="s">
        <v>1552</v>
      </c>
      <c r="D1345" t="s">
        <v>9</v>
      </c>
      <c r="E1345" t="s">
        <v>1565</v>
      </c>
      <c r="F1345" t="str">
        <f>"001356200051"</f>
        <v>001356200051</v>
      </c>
      <c r="G1345" t="s">
        <v>3107</v>
      </c>
      <c r="H1345" s="4">
        <v>20099.756000000001</v>
      </c>
    </row>
    <row r="1346" spans="1:8" x14ac:dyDescent="0.3">
      <c r="A1346" t="s">
        <v>6</v>
      </c>
      <c r="B1346" t="s">
        <v>7</v>
      </c>
      <c r="C1346" t="s">
        <v>616</v>
      </c>
      <c r="D1346" t="s">
        <v>9</v>
      </c>
      <c r="E1346" t="s">
        <v>660</v>
      </c>
      <c r="F1346" t="str">
        <f>"002190811539"</f>
        <v>002190811539</v>
      </c>
      <c r="G1346" t="s">
        <v>3630</v>
      </c>
      <c r="H1346" s="4">
        <v>20059.365000000002</v>
      </c>
    </row>
    <row r="1347" spans="1:8" x14ac:dyDescent="0.3">
      <c r="A1347" t="s">
        <v>6</v>
      </c>
      <c r="B1347" t="s">
        <v>7</v>
      </c>
      <c r="C1347" t="s">
        <v>1773</v>
      </c>
      <c r="D1347" t="s">
        <v>9</v>
      </c>
      <c r="E1347" t="s">
        <v>1785</v>
      </c>
      <c r="F1347" t="str">
        <f>"001356249539"</f>
        <v>001356249539</v>
      </c>
      <c r="G1347" t="s">
        <v>3546</v>
      </c>
      <c r="H1347" s="4">
        <v>19783.493999999999</v>
      </c>
    </row>
    <row r="1348" spans="1:8" x14ac:dyDescent="0.3">
      <c r="A1348" t="s">
        <v>6</v>
      </c>
      <c r="B1348" t="s">
        <v>7</v>
      </c>
      <c r="C1348" t="s">
        <v>1748</v>
      </c>
      <c r="D1348" t="s">
        <v>9</v>
      </c>
      <c r="E1348" t="s">
        <v>1749</v>
      </c>
      <c r="F1348" t="str">
        <f>"009232533346"</f>
        <v>009232533346</v>
      </c>
      <c r="G1348" t="s">
        <v>3511</v>
      </c>
      <c r="H1348" s="4">
        <v>19647.362000000001</v>
      </c>
    </row>
    <row r="1349" spans="1:8" x14ac:dyDescent="0.3">
      <c r="A1349" t="s">
        <v>6</v>
      </c>
      <c r="B1349" t="s">
        <v>7</v>
      </c>
      <c r="C1349" t="s">
        <v>1095</v>
      </c>
      <c r="D1349" t="s">
        <v>9</v>
      </c>
      <c r="E1349" t="s">
        <v>1107</v>
      </c>
      <c r="F1349" t="str">
        <f>"001600019580"</f>
        <v>001600019580</v>
      </c>
      <c r="G1349" t="s">
        <v>2707</v>
      </c>
      <c r="H1349" s="4">
        <v>19561.928</v>
      </c>
    </row>
    <row r="1350" spans="1:8" x14ac:dyDescent="0.3">
      <c r="A1350" t="s">
        <v>6</v>
      </c>
      <c r="B1350" t="s">
        <v>7</v>
      </c>
      <c r="C1350" t="s">
        <v>1552</v>
      </c>
      <c r="D1350" t="s">
        <v>9</v>
      </c>
      <c r="E1350" t="s">
        <v>1567</v>
      </c>
      <c r="F1350" t="str">
        <f>"001356212428"</f>
        <v>001356212428</v>
      </c>
      <c r="G1350" t="s">
        <v>3110</v>
      </c>
      <c r="H1350" s="4">
        <v>19491.510999999999</v>
      </c>
    </row>
    <row r="1351" spans="1:8" x14ac:dyDescent="0.3">
      <c r="A1351" t="s">
        <v>6</v>
      </c>
      <c r="B1351" t="s">
        <v>7</v>
      </c>
      <c r="C1351" t="s">
        <v>1695</v>
      </c>
      <c r="D1351" t="s">
        <v>9</v>
      </c>
      <c r="E1351" t="s">
        <v>1728</v>
      </c>
      <c r="F1351" t="str">
        <f>"002190850187"</f>
        <v>002190850187</v>
      </c>
      <c r="G1351" t="s">
        <v>3494</v>
      </c>
      <c r="H1351" s="4">
        <v>19482.307000000001</v>
      </c>
    </row>
    <row r="1352" spans="1:8" x14ac:dyDescent="0.3">
      <c r="A1352" t="s">
        <v>6</v>
      </c>
      <c r="B1352" t="s">
        <v>7</v>
      </c>
      <c r="C1352" t="s">
        <v>1695</v>
      </c>
      <c r="D1352" t="s">
        <v>9</v>
      </c>
      <c r="E1352" t="s">
        <v>1707</v>
      </c>
      <c r="F1352" t="str">
        <f>"002190849388"</f>
        <v>002190849388</v>
      </c>
      <c r="G1352" t="s">
        <v>3471</v>
      </c>
      <c r="H1352" s="4">
        <v>19425.403999999999</v>
      </c>
    </row>
    <row r="1353" spans="1:8" x14ac:dyDescent="0.3">
      <c r="A1353" t="s">
        <v>6</v>
      </c>
      <c r="B1353" t="s">
        <v>7</v>
      </c>
      <c r="C1353" t="s">
        <v>2231</v>
      </c>
      <c r="D1353" t="s">
        <v>9</v>
      </c>
      <c r="E1353" t="s">
        <v>2298</v>
      </c>
      <c r="F1353" t="str">
        <f>"004119612327"</f>
        <v>004119612327</v>
      </c>
      <c r="G1353" t="s">
        <v>4494</v>
      </c>
      <c r="H1353" s="4">
        <v>19374.178</v>
      </c>
    </row>
    <row r="1354" spans="1:8" x14ac:dyDescent="0.3">
      <c r="A1354" t="s">
        <v>6</v>
      </c>
      <c r="B1354" t="s">
        <v>7</v>
      </c>
      <c r="C1354" t="s">
        <v>381</v>
      </c>
      <c r="D1354" t="s">
        <v>9</v>
      </c>
      <c r="E1354" t="s">
        <v>471</v>
      </c>
      <c r="F1354" t="str">
        <f>"001600021367"</f>
        <v>001600021367</v>
      </c>
      <c r="G1354" t="s">
        <v>2389</v>
      </c>
      <c r="H1354" s="4">
        <v>19224.16</v>
      </c>
    </row>
    <row r="1355" spans="1:8" x14ac:dyDescent="0.3">
      <c r="A1355" t="s">
        <v>6</v>
      </c>
      <c r="B1355" t="s">
        <v>7</v>
      </c>
      <c r="C1355" t="s">
        <v>8</v>
      </c>
      <c r="D1355" t="s">
        <v>9</v>
      </c>
      <c r="E1355" t="s">
        <v>38</v>
      </c>
      <c r="F1355" t="str">
        <f>"002190812409"</f>
        <v>002190812409</v>
      </c>
      <c r="G1355" t="s">
        <v>4018</v>
      </c>
      <c r="H1355" s="4">
        <v>19164.521000000001</v>
      </c>
    </row>
    <row r="1356" spans="1:8" x14ac:dyDescent="0.3">
      <c r="A1356" t="s">
        <v>6</v>
      </c>
      <c r="B1356" t="s">
        <v>7</v>
      </c>
      <c r="C1356" t="s">
        <v>2113</v>
      </c>
      <c r="D1356" t="s">
        <v>9</v>
      </c>
      <c r="E1356" t="s">
        <v>2198</v>
      </c>
      <c r="F1356" t="str">
        <f>"001600040765"</f>
        <v>001600040765</v>
      </c>
      <c r="G1356" t="s">
        <v>4402</v>
      </c>
      <c r="H1356" s="4">
        <v>19075.830000000002</v>
      </c>
    </row>
    <row r="1357" spans="1:8" x14ac:dyDescent="0.3">
      <c r="A1357" t="s">
        <v>6</v>
      </c>
      <c r="B1357" t="s">
        <v>7</v>
      </c>
      <c r="C1357" t="s">
        <v>1940</v>
      </c>
      <c r="D1357" t="s">
        <v>9</v>
      </c>
      <c r="E1357" t="s">
        <v>2009</v>
      </c>
      <c r="F1357" t="str">
        <f>"007047016324"</f>
        <v>007047016324</v>
      </c>
      <c r="G1357" t="s">
        <v>2389</v>
      </c>
      <c r="H1357" s="4">
        <v>19031.205000000002</v>
      </c>
    </row>
    <row r="1358" spans="1:8" x14ac:dyDescent="0.3">
      <c r="A1358" t="s">
        <v>6</v>
      </c>
      <c r="B1358" t="s">
        <v>7</v>
      </c>
      <c r="C1358" t="s">
        <v>1748</v>
      </c>
      <c r="D1358" t="s">
        <v>9</v>
      </c>
      <c r="E1358" t="s">
        <v>1762</v>
      </c>
      <c r="F1358" t="str">
        <f>"009232533335"</f>
        <v>009232533335</v>
      </c>
      <c r="G1358" t="s">
        <v>3524</v>
      </c>
      <c r="H1358" s="4">
        <v>18983.527999999998</v>
      </c>
    </row>
    <row r="1359" spans="1:8" x14ac:dyDescent="0.3">
      <c r="A1359" t="s">
        <v>6</v>
      </c>
      <c r="B1359" t="s">
        <v>7</v>
      </c>
      <c r="C1359" t="s">
        <v>2113</v>
      </c>
      <c r="D1359" t="s">
        <v>9</v>
      </c>
      <c r="E1359" t="s">
        <v>2129</v>
      </c>
      <c r="F1359" t="str">
        <f>"001600046701"</f>
        <v>001600046701</v>
      </c>
      <c r="G1359" t="s">
        <v>4338</v>
      </c>
      <c r="H1359" s="4">
        <v>18981.364000000001</v>
      </c>
    </row>
    <row r="1360" spans="1:8" x14ac:dyDescent="0.3">
      <c r="A1360" t="s">
        <v>6</v>
      </c>
      <c r="B1360" t="s">
        <v>7</v>
      </c>
      <c r="C1360" t="s">
        <v>8</v>
      </c>
      <c r="D1360" t="s">
        <v>9</v>
      </c>
      <c r="E1360" t="s">
        <v>90</v>
      </c>
      <c r="F1360" t="str">
        <f>"001600014444"</f>
        <v>001600014444</v>
      </c>
      <c r="G1360" t="s">
        <v>2389</v>
      </c>
      <c r="H1360" s="4">
        <v>18969.98</v>
      </c>
    </row>
    <row r="1361" spans="1:8" x14ac:dyDescent="0.3">
      <c r="A1361" t="s">
        <v>6</v>
      </c>
      <c r="B1361" t="s">
        <v>7</v>
      </c>
      <c r="C1361" t="s">
        <v>2113</v>
      </c>
      <c r="D1361" t="s">
        <v>9</v>
      </c>
      <c r="E1361" t="s">
        <v>2127</v>
      </c>
      <c r="F1361" t="str">
        <f>"001600042567"</f>
        <v>001600042567</v>
      </c>
      <c r="G1361" t="s">
        <v>4336</v>
      </c>
      <c r="H1361" s="4">
        <v>18961.514999999999</v>
      </c>
    </row>
    <row r="1362" spans="1:8" x14ac:dyDescent="0.3">
      <c r="A1362" t="s">
        <v>6</v>
      </c>
      <c r="B1362" t="s">
        <v>7</v>
      </c>
      <c r="C1362" t="s">
        <v>2231</v>
      </c>
      <c r="D1362" t="s">
        <v>9</v>
      </c>
      <c r="E1362" t="s">
        <v>2315</v>
      </c>
      <c r="F1362" t="str">
        <f>"004119613554"</f>
        <v>004119613554</v>
      </c>
      <c r="G1362" t="s">
        <v>4507</v>
      </c>
      <c r="H1362" s="4">
        <v>18947.253000000001</v>
      </c>
    </row>
    <row r="1363" spans="1:8" x14ac:dyDescent="0.3">
      <c r="A1363" t="s">
        <v>6</v>
      </c>
      <c r="B1363" t="s">
        <v>7</v>
      </c>
      <c r="C1363" t="s">
        <v>1786</v>
      </c>
      <c r="D1363" t="s">
        <v>9</v>
      </c>
      <c r="E1363" t="s">
        <v>1797</v>
      </c>
      <c r="F1363" t="str">
        <f>"072534249741"</f>
        <v>072534249741</v>
      </c>
      <c r="G1363" t="s">
        <v>3573</v>
      </c>
      <c r="H1363" s="4">
        <v>18911.195</v>
      </c>
    </row>
    <row r="1364" spans="1:8" x14ac:dyDescent="0.3">
      <c r="A1364" t="s">
        <v>6</v>
      </c>
      <c r="B1364" t="s">
        <v>7</v>
      </c>
      <c r="C1364" t="s">
        <v>1577</v>
      </c>
      <c r="D1364" t="s">
        <v>9</v>
      </c>
      <c r="E1364" t="s">
        <v>1634</v>
      </c>
      <c r="F1364" t="str">
        <f>"004600041359"</f>
        <v>004600041359</v>
      </c>
      <c r="G1364" t="s">
        <v>3403</v>
      </c>
      <c r="H1364" s="4">
        <v>18873.153999999999</v>
      </c>
    </row>
    <row r="1365" spans="1:8" x14ac:dyDescent="0.3">
      <c r="A1365" t="s">
        <v>6</v>
      </c>
      <c r="B1365" t="s">
        <v>7</v>
      </c>
      <c r="C1365" t="s">
        <v>1397</v>
      </c>
      <c r="D1365" t="s">
        <v>9</v>
      </c>
      <c r="E1365" t="s">
        <v>1443</v>
      </c>
      <c r="F1365" t="str">
        <f>"073215302855"</f>
        <v>073215302855</v>
      </c>
      <c r="G1365" t="s">
        <v>2994</v>
      </c>
      <c r="H1365" s="4">
        <v>18866.399000000001</v>
      </c>
    </row>
    <row r="1366" spans="1:8" x14ac:dyDescent="0.3">
      <c r="A1366" t="s">
        <v>6</v>
      </c>
      <c r="B1366" t="s">
        <v>7</v>
      </c>
      <c r="C1366" t="s">
        <v>1940</v>
      </c>
      <c r="D1366" t="s">
        <v>9</v>
      </c>
      <c r="E1366" t="s">
        <v>1957</v>
      </c>
      <c r="F1366" t="str">
        <f>"007047018709"</f>
        <v>007047018709</v>
      </c>
      <c r="G1366" t="s">
        <v>3843</v>
      </c>
      <c r="H1366" s="4">
        <v>18821.361000000001</v>
      </c>
    </row>
    <row r="1367" spans="1:8" x14ac:dyDescent="0.3">
      <c r="A1367" t="s">
        <v>6</v>
      </c>
      <c r="B1367" t="s">
        <v>7</v>
      </c>
      <c r="C1367" t="s">
        <v>985</v>
      </c>
      <c r="D1367" t="s">
        <v>9</v>
      </c>
      <c r="E1367" t="s">
        <v>1064</v>
      </c>
      <c r="F1367" t="str">
        <f>"001356200143"</f>
        <v>001356200143</v>
      </c>
      <c r="G1367" t="s">
        <v>2657</v>
      </c>
      <c r="H1367" s="4">
        <v>18774.419000000002</v>
      </c>
    </row>
    <row r="1368" spans="1:8" x14ac:dyDescent="0.3">
      <c r="A1368" t="s">
        <v>6</v>
      </c>
      <c r="B1368" t="s">
        <v>7</v>
      </c>
      <c r="C1368" t="s">
        <v>1805</v>
      </c>
      <c r="D1368" t="s">
        <v>9</v>
      </c>
      <c r="E1368" t="s">
        <v>1858</v>
      </c>
      <c r="F1368" t="str">
        <f>"001800043034"</f>
        <v>001800043034</v>
      </c>
      <c r="G1368" t="s">
        <v>3777</v>
      </c>
      <c r="H1368" s="4">
        <v>18760.060000000001</v>
      </c>
    </row>
    <row r="1369" spans="1:8" x14ac:dyDescent="0.3">
      <c r="A1369" t="s">
        <v>6</v>
      </c>
      <c r="B1369" t="s">
        <v>7</v>
      </c>
      <c r="C1369" t="s">
        <v>797</v>
      </c>
      <c r="D1369" t="s">
        <v>9</v>
      </c>
      <c r="E1369" t="s">
        <v>806</v>
      </c>
      <c r="F1369" t="str">
        <f>"001600030220"</f>
        <v>001600030220</v>
      </c>
      <c r="G1369" t="s">
        <v>2403</v>
      </c>
      <c r="H1369" s="4">
        <v>18700.221000000001</v>
      </c>
    </row>
    <row r="1370" spans="1:8" x14ac:dyDescent="0.3">
      <c r="A1370" t="s">
        <v>6</v>
      </c>
      <c r="B1370" t="s">
        <v>7</v>
      </c>
      <c r="C1370" t="s">
        <v>770</v>
      </c>
      <c r="D1370" t="s">
        <v>9</v>
      </c>
      <c r="E1370" t="s">
        <v>776</v>
      </c>
      <c r="F1370" t="str">
        <f>"001600013550"</f>
        <v>001600013550</v>
      </c>
      <c r="G1370" t="s">
        <v>2376</v>
      </c>
      <c r="H1370" s="4">
        <v>18666.093000000001</v>
      </c>
    </row>
    <row r="1371" spans="1:8" x14ac:dyDescent="0.3">
      <c r="A1371" t="s">
        <v>6</v>
      </c>
      <c r="B1371" t="s">
        <v>7</v>
      </c>
      <c r="C1371" t="s">
        <v>616</v>
      </c>
      <c r="D1371" t="s">
        <v>9</v>
      </c>
      <c r="E1371" t="s">
        <v>757</v>
      </c>
      <c r="F1371" t="str">
        <f>"002190810173"</f>
        <v>002190810173</v>
      </c>
      <c r="G1371" t="s">
        <v>2389</v>
      </c>
      <c r="H1371" s="4">
        <v>18620.2</v>
      </c>
    </row>
    <row r="1372" spans="1:8" x14ac:dyDescent="0.3">
      <c r="A1372" t="s">
        <v>6</v>
      </c>
      <c r="B1372" t="s">
        <v>7</v>
      </c>
      <c r="C1372" t="s">
        <v>8</v>
      </c>
      <c r="D1372" t="s">
        <v>9</v>
      </c>
      <c r="E1372" t="s">
        <v>91</v>
      </c>
      <c r="F1372" t="str">
        <f>"001600018143"</f>
        <v>001600018143</v>
      </c>
      <c r="G1372" t="s">
        <v>2389</v>
      </c>
      <c r="H1372" s="4">
        <v>18537.48</v>
      </c>
    </row>
    <row r="1373" spans="1:8" x14ac:dyDescent="0.3">
      <c r="A1373" t="s">
        <v>6</v>
      </c>
      <c r="B1373" t="s">
        <v>7</v>
      </c>
      <c r="C1373" t="s">
        <v>1122</v>
      </c>
      <c r="D1373" t="s">
        <v>9</v>
      </c>
      <c r="E1373" t="s">
        <v>1127</v>
      </c>
      <c r="F1373" t="str">
        <f>"001356212762"</f>
        <v>001356212762</v>
      </c>
      <c r="G1373" t="s">
        <v>2722</v>
      </c>
      <c r="H1373" s="4">
        <v>18495.922999999999</v>
      </c>
    </row>
    <row r="1374" spans="1:8" x14ac:dyDescent="0.3">
      <c r="A1374" t="s">
        <v>6</v>
      </c>
      <c r="B1374" t="s">
        <v>7</v>
      </c>
      <c r="C1374" t="s">
        <v>381</v>
      </c>
      <c r="D1374" t="s">
        <v>9</v>
      </c>
      <c r="E1374" t="s">
        <v>442</v>
      </c>
      <c r="F1374" t="str">
        <f>"001600041544"</f>
        <v>001600041544</v>
      </c>
      <c r="G1374" t="s">
        <v>3168</v>
      </c>
      <c r="H1374" s="4">
        <v>18456.304</v>
      </c>
    </row>
    <row r="1375" spans="1:8" x14ac:dyDescent="0.3">
      <c r="A1375" t="s">
        <v>6</v>
      </c>
      <c r="B1375" t="s">
        <v>7</v>
      </c>
      <c r="C1375" t="s">
        <v>1786</v>
      </c>
      <c r="D1375" t="s">
        <v>9</v>
      </c>
      <c r="E1375" t="s">
        <v>1790</v>
      </c>
      <c r="F1375" t="str">
        <f>"072534228315"</f>
        <v>072534228315</v>
      </c>
      <c r="G1375" t="s">
        <v>3552</v>
      </c>
      <c r="H1375" s="4">
        <v>18303.624</v>
      </c>
    </row>
    <row r="1376" spans="1:8" x14ac:dyDescent="0.3">
      <c r="A1376" t="s">
        <v>6</v>
      </c>
      <c r="B1376" t="s">
        <v>7</v>
      </c>
      <c r="C1376" t="s">
        <v>616</v>
      </c>
      <c r="D1376" t="s">
        <v>9</v>
      </c>
      <c r="E1376" t="s">
        <v>661</v>
      </c>
      <c r="F1376" t="str">
        <f>"002190812278"</f>
        <v>002190812278</v>
      </c>
      <c r="G1376" t="s">
        <v>3631</v>
      </c>
      <c r="H1376" s="4">
        <v>18292.632000000001</v>
      </c>
    </row>
    <row r="1377" spans="1:8" x14ac:dyDescent="0.3">
      <c r="A1377" t="s">
        <v>6</v>
      </c>
      <c r="B1377" t="s">
        <v>7</v>
      </c>
      <c r="C1377" t="s">
        <v>797</v>
      </c>
      <c r="D1377" t="s">
        <v>9</v>
      </c>
      <c r="E1377" t="s">
        <v>921</v>
      </c>
      <c r="F1377" t="str">
        <f>"001600045890"</f>
        <v>001600045890</v>
      </c>
      <c r="G1377" t="s">
        <v>2511</v>
      </c>
      <c r="H1377" s="4">
        <v>18263.645</v>
      </c>
    </row>
    <row r="1378" spans="1:8" x14ac:dyDescent="0.3">
      <c r="A1378" t="s">
        <v>6</v>
      </c>
      <c r="B1378" t="s">
        <v>7</v>
      </c>
      <c r="C1378" t="s">
        <v>8</v>
      </c>
      <c r="D1378" t="s">
        <v>9</v>
      </c>
      <c r="E1378" t="s">
        <v>53</v>
      </c>
      <c r="F1378" t="str">
        <f>"002190812661"</f>
        <v>002190812661</v>
      </c>
      <c r="G1378" t="s">
        <v>4030</v>
      </c>
      <c r="H1378" s="4">
        <v>18224.609</v>
      </c>
    </row>
    <row r="1379" spans="1:8" x14ac:dyDescent="0.3">
      <c r="A1379" t="s">
        <v>6</v>
      </c>
      <c r="B1379" t="s">
        <v>7</v>
      </c>
      <c r="C1379" t="s">
        <v>1786</v>
      </c>
      <c r="D1379" t="s">
        <v>9</v>
      </c>
      <c r="E1379" t="s">
        <v>1797</v>
      </c>
      <c r="F1379" t="str">
        <f>"072534249738"</f>
        <v>072534249738</v>
      </c>
      <c r="G1379" t="s">
        <v>3572</v>
      </c>
      <c r="H1379" s="4">
        <v>18194.937999999998</v>
      </c>
    </row>
    <row r="1380" spans="1:8" x14ac:dyDescent="0.3">
      <c r="A1380" t="s">
        <v>6</v>
      </c>
      <c r="B1380" t="s">
        <v>7</v>
      </c>
      <c r="C1380" t="s">
        <v>797</v>
      </c>
      <c r="D1380" t="s">
        <v>9</v>
      </c>
      <c r="E1380" t="s">
        <v>889</v>
      </c>
      <c r="F1380" t="str">
        <f>"001600020756"</f>
        <v>001600020756</v>
      </c>
      <c r="G1380" t="s">
        <v>2482</v>
      </c>
      <c r="H1380" s="4">
        <v>18149.433000000001</v>
      </c>
    </row>
    <row r="1381" spans="1:8" x14ac:dyDescent="0.3">
      <c r="A1381" t="s">
        <v>6</v>
      </c>
      <c r="B1381" t="s">
        <v>7</v>
      </c>
      <c r="C1381" t="s">
        <v>1695</v>
      </c>
      <c r="D1381" t="s">
        <v>9</v>
      </c>
      <c r="E1381" t="s">
        <v>1725</v>
      </c>
      <c r="F1381" t="str">
        <f>"002190850124"</f>
        <v>002190850124</v>
      </c>
      <c r="G1381" t="s">
        <v>3489</v>
      </c>
      <c r="H1381" s="4">
        <v>18110.716</v>
      </c>
    </row>
    <row r="1382" spans="1:8" x14ac:dyDescent="0.3">
      <c r="A1382" t="s">
        <v>6</v>
      </c>
      <c r="B1382" t="s">
        <v>7</v>
      </c>
      <c r="C1382" t="s">
        <v>985</v>
      </c>
      <c r="D1382" t="s">
        <v>9</v>
      </c>
      <c r="E1382" t="s">
        <v>1068</v>
      </c>
      <c r="F1382" t="str">
        <f>"001356200170"</f>
        <v>001356200170</v>
      </c>
      <c r="G1382" t="s">
        <v>2661</v>
      </c>
      <c r="H1382" s="4">
        <v>18057.471000000001</v>
      </c>
    </row>
    <row r="1383" spans="1:8" x14ac:dyDescent="0.3">
      <c r="A1383" t="s">
        <v>6</v>
      </c>
      <c r="B1383" t="s">
        <v>7</v>
      </c>
      <c r="C1383" t="s">
        <v>1270</v>
      </c>
      <c r="D1383" t="s">
        <v>9</v>
      </c>
      <c r="E1383" t="s">
        <v>1277</v>
      </c>
      <c r="F1383" t="str">
        <f>"001800013169"</f>
        <v>001800013169</v>
      </c>
      <c r="G1383" t="s">
        <v>2845</v>
      </c>
      <c r="H1383" s="4">
        <v>18045.22</v>
      </c>
    </row>
    <row r="1384" spans="1:8" x14ac:dyDescent="0.3">
      <c r="A1384" t="s">
        <v>6</v>
      </c>
      <c r="B1384" t="s">
        <v>7</v>
      </c>
      <c r="C1384" t="s">
        <v>797</v>
      </c>
      <c r="D1384" t="s">
        <v>9</v>
      </c>
      <c r="E1384" t="s">
        <v>842</v>
      </c>
      <c r="F1384" t="str">
        <f>"001600016991"</f>
        <v>001600016991</v>
      </c>
      <c r="G1384" t="s">
        <v>2437</v>
      </c>
      <c r="H1384" s="4">
        <v>17986.752</v>
      </c>
    </row>
    <row r="1385" spans="1:8" x14ac:dyDescent="0.3">
      <c r="A1385" t="s">
        <v>6</v>
      </c>
      <c r="B1385" t="s">
        <v>7</v>
      </c>
      <c r="C1385" t="s">
        <v>616</v>
      </c>
      <c r="D1385" t="s">
        <v>9</v>
      </c>
      <c r="E1385" t="s">
        <v>769</v>
      </c>
      <c r="F1385" t="str">
        <f>"002190813095"</f>
        <v>002190813095</v>
      </c>
      <c r="G1385" t="s">
        <v>3737</v>
      </c>
      <c r="H1385" s="4">
        <v>17978.7</v>
      </c>
    </row>
    <row r="1386" spans="1:8" x14ac:dyDescent="0.3">
      <c r="A1386" t="s">
        <v>6</v>
      </c>
      <c r="B1386" t="s">
        <v>7</v>
      </c>
      <c r="C1386" t="s">
        <v>1940</v>
      </c>
      <c r="D1386" t="s">
        <v>9</v>
      </c>
      <c r="E1386" t="s">
        <v>1967</v>
      </c>
      <c r="F1386" t="str">
        <f>"007527041051"</f>
        <v>007527041051</v>
      </c>
      <c r="G1386" t="s">
        <v>3852</v>
      </c>
      <c r="H1386" s="4">
        <v>17807.599999999999</v>
      </c>
    </row>
    <row r="1387" spans="1:8" x14ac:dyDescent="0.3">
      <c r="A1387" t="s">
        <v>6</v>
      </c>
      <c r="B1387" t="s">
        <v>7</v>
      </c>
      <c r="C1387" t="s">
        <v>381</v>
      </c>
      <c r="D1387" t="s">
        <v>9</v>
      </c>
      <c r="E1387" t="s">
        <v>507</v>
      </c>
      <c r="F1387" t="str">
        <f>"001600026590"</f>
        <v>001600026590</v>
      </c>
      <c r="G1387" t="s">
        <v>3233</v>
      </c>
      <c r="H1387" s="4">
        <v>17800.28</v>
      </c>
    </row>
    <row r="1388" spans="1:8" x14ac:dyDescent="0.3">
      <c r="A1388" t="s">
        <v>6</v>
      </c>
      <c r="B1388" t="s">
        <v>7</v>
      </c>
      <c r="C1388" t="s">
        <v>1805</v>
      </c>
      <c r="D1388" t="s">
        <v>9</v>
      </c>
      <c r="E1388" t="s">
        <v>1924</v>
      </c>
      <c r="F1388" t="str">
        <f>"001800011929"</f>
        <v>001800011929</v>
      </c>
      <c r="G1388" t="s">
        <v>3809</v>
      </c>
      <c r="H1388" s="4">
        <v>17766.232</v>
      </c>
    </row>
    <row r="1389" spans="1:8" x14ac:dyDescent="0.3">
      <c r="A1389" t="s">
        <v>6</v>
      </c>
      <c r="B1389" t="s">
        <v>7</v>
      </c>
      <c r="C1389" t="s">
        <v>1786</v>
      </c>
      <c r="D1389" t="s">
        <v>9</v>
      </c>
      <c r="E1389" t="s">
        <v>1794</v>
      </c>
      <c r="F1389" t="str">
        <f>"072534228393"</f>
        <v>072534228393</v>
      </c>
      <c r="G1389" t="s">
        <v>3556</v>
      </c>
      <c r="H1389" s="4">
        <v>17756.575000000001</v>
      </c>
    </row>
    <row r="1390" spans="1:8" x14ac:dyDescent="0.3">
      <c r="A1390" t="s">
        <v>6</v>
      </c>
      <c r="B1390" t="s">
        <v>7</v>
      </c>
      <c r="C1390" t="s">
        <v>770</v>
      </c>
      <c r="D1390" t="s">
        <v>9</v>
      </c>
      <c r="E1390" t="s">
        <v>793</v>
      </c>
      <c r="F1390" t="str">
        <f>"001600019763"</f>
        <v>001600019763</v>
      </c>
      <c r="G1390" t="s">
        <v>2393</v>
      </c>
      <c r="H1390" s="4">
        <v>17751.71</v>
      </c>
    </row>
    <row r="1391" spans="1:8" x14ac:dyDescent="0.3">
      <c r="A1391" t="s">
        <v>6</v>
      </c>
      <c r="B1391" t="s">
        <v>7</v>
      </c>
      <c r="C1391" t="s">
        <v>616</v>
      </c>
      <c r="D1391" t="s">
        <v>9</v>
      </c>
      <c r="E1391" t="s">
        <v>730</v>
      </c>
      <c r="F1391" t="str">
        <f>"002190811791"</f>
        <v>002190811791</v>
      </c>
      <c r="G1391" t="s">
        <v>3700</v>
      </c>
      <c r="H1391" s="4">
        <v>17741.79</v>
      </c>
    </row>
    <row r="1392" spans="1:8" x14ac:dyDescent="0.3">
      <c r="A1392" t="s">
        <v>6</v>
      </c>
      <c r="B1392" t="s">
        <v>7</v>
      </c>
      <c r="C1392" t="s">
        <v>1940</v>
      </c>
      <c r="D1392" t="s">
        <v>9</v>
      </c>
      <c r="E1392" t="s">
        <v>2099</v>
      </c>
      <c r="F1392" t="str">
        <f>"007047043329"</f>
        <v>007047043329</v>
      </c>
      <c r="G1392" t="s">
        <v>3988</v>
      </c>
      <c r="H1392" s="4">
        <v>17573.575000000001</v>
      </c>
    </row>
    <row r="1393" spans="1:8" x14ac:dyDescent="0.3">
      <c r="A1393" t="s">
        <v>6</v>
      </c>
      <c r="B1393" t="s">
        <v>7</v>
      </c>
      <c r="C1393" t="s">
        <v>985</v>
      </c>
      <c r="D1393" t="s">
        <v>9</v>
      </c>
      <c r="E1393" t="s">
        <v>1067</v>
      </c>
      <c r="F1393" t="str">
        <f>"001356200142"</f>
        <v>001356200142</v>
      </c>
      <c r="G1393" t="s">
        <v>2660</v>
      </c>
      <c r="H1393" s="4">
        <v>17371.393</v>
      </c>
    </row>
    <row r="1394" spans="1:8" x14ac:dyDescent="0.3">
      <c r="A1394" t="s">
        <v>6</v>
      </c>
      <c r="B1394" t="s">
        <v>7</v>
      </c>
      <c r="C1394" t="s">
        <v>1397</v>
      </c>
      <c r="D1394" t="s">
        <v>9</v>
      </c>
      <c r="E1394" t="s">
        <v>1511</v>
      </c>
      <c r="F1394" t="str">
        <f>"001800013329"</f>
        <v>001800013329</v>
      </c>
      <c r="G1394" t="s">
        <v>2389</v>
      </c>
      <c r="H1394" s="4">
        <v>17284.599999999999</v>
      </c>
    </row>
    <row r="1395" spans="1:8" x14ac:dyDescent="0.3">
      <c r="A1395" t="s">
        <v>6</v>
      </c>
      <c r="B1395" t="s">
        <v>7</v>
      </c>
      <c r="C1395" t="s">
        <v>797</v>
      </c>
      <c r="D1395" t="s">
        <v>9</v>
      </c>
      <c r="E1395" t="s">
        <v>949</v>
      </c>
      <c r="F1395" t="str">
        <f>"001600040991"</f>
        <v>001600040991</v>
      </c>
      <c r="G1395" t="s">
        <v>2545</v>
      </c>
      <c r="H1395" s="4">
        <v>17284.060000000001</v>
      </c>
    </row>
    <row r="1396" spans="1:8" x14ac:dyDescent="0.3">
      <c r="A1396" t="s">
        <v>6</v>
      </c>
      <c r="B1396" t="s">
        <v>7</v>
      </c>
      <c r="C1396" t="s">
        <v>1397</v>
      </c>
      <c r="D1396" t="s">
        <v>9</v>
      </c>
      <c r="E1396" t="s">
        <v>1419</v>
      </c>
      <c r="F1396" t="str">
        <f>"001600029617"</f>
        <v>001600029617</v>
      </c>
      <c r="G1396" t="s">
        <v>2971</v>
      </c>
      <c r="H1396" s="4">
        <v>17253.059000000001</v>
      </c>
    </row>
    <row r="1397" spans="1:8" x14ac:dyDescent="0.3">
      <c r="A1397" t="s">
        <v>6</v>
      </c>
      <c r="B1397" t="s">
        <v>7</v>
      </c>
      <c r="C1397" t="s">
        <v>616</v>
      </c>
      <c r="D1397" t="s">
        <v>9</v>
      </c>
      <c r="E1397" t="s">
        <v>642</v>
      </c>
      <c r="F1397" t="str">
        <f>"073215324881"</f>
        <v>073215324881</v>
      </c>
      <c r="G1397" t="s">
        <v>3613</v>
      </c>
      <c r="H1397" s="4">
        <v>17214.892</v>
      </c>
    </row>
    <row r="1398" spans="1:8" x14ac:dyDescent="0.3">
      <c r="A1398" t="s">
        <v>6</v>
      </c>
      <c r="B1398" t="s">
        <v>7</v>
      </c>
      <c r="C1398" t="s">
        <v>1397</v>
      </c>
      <c r="D1398" t="s">
        <v>9</v>
      </c>
      <c r="E1398" t="s">
        <v>1536</v>
      </c>
      <c r="F1398" t="str">
        <f>"004119602022"</f>
        <v>004119602022</v>
      </c>
      <c r="G1398" t="s">
        <v>3080</v>
      </c>
      <c r="H1398" s="4">
        <v>17061.969000000001</v>
      </c>
    </row>
    <row r="1399" spans="1:8" x14ac:dyDescent="0.3">
      <c r="A1399" t="s">
        <v>6</v>
      </c>
      <c r="B1399" t="s">
        <v>7</v>
      </c>
      <c r="C1399" t="s">
        <v>1577</v>
      </c>
      <c r="D1399" t="s">
        <v>9</v>
      </c>
      <c r="E1399" t="s">
        <v>1617</v>
      </c>
      <c r="F1399" t="str">
        <f>"004600028874"</f>
        <v>004600028874</v>
      </c>
      <c r="G1399" t="s">
        <v>3381</v>
      </c>
      <c r="H1399" s="4">
        <v>17061.361000000001</v>
      </c>
    </row>
    <row r="1400" spans="1:8" x14ac:dyDescent="0.3">
      <c r="A1400" t="s">
        <v>6</v>
      </c>
      <c r="B1400" t="s">
        <v>7</v>
      </c>
      <c r="C1400" t="s">
        <v>770</v>
      </c>
      <c r="D1400" t="s">
        <v>9</v>
      </c>
      <c r="E1400" t="s">
        <v>796</v>
      </c>
      <c r="F1400" t="str">
        <f>"001600017808"</f>
        <v>001600017808</v>
      </c>
      <c r="G1400" t="s">
        <v>2389</v>
      </c>
      <c r="H1400" s="4">
        <v>17036.357</v>
      </c>
    </row>
    <row r="1401" spans="1:8" x14ac:dyDescent="0.3">
      <c r="A1401" t="s">
        <v>6</v>
      </c>
      <c r="B1401" t="s">
        <v>7</v>
      </c>
      <c r="C1401" t="s">
        <v>1122</v>
      </c>
      <c r="D1401" t="s">
        <v>9</v>
      </c>
      <c r="E1401" t="s">
        <v>1126</v>
      </c>
      <c r="F1401" t="str">
        <f>"001356212768"</f>
        <v>001356212768</v>
      </c>
      <c r="G1401" t="s">
        <v>2721</v>
      </c>
      <c r="H1401" s="4">
        <v>17016.990000000002</v>
      </c>
    </row>
    <row r="1402" spans="1:8" x14ac:dyDescent="0.3">
      <c r="A1402" t="s">
        <v>6</v>
      </c>
      <c r="B1402" t="s">
        <v>7</v>
      </c>
      <c r="C1402" t="s">
        <v>616</v>
      </c>
      <c r="D1402" t="s">
        <v>9</v>
      </c>
      <c r="E1402" t="s">
        <v>711</v>
      </c>
      <c r="F1402" t="str">
        <f>"002190851547"</f>
        <v>002190851547</v>
      </c>
      <c r="G1402" t="s">
        <v>3681</v>
      </c>
      <c r="H1402" s="4">
        <v>16976.161</v>
      </c>
    </row>
    <row r="1403" spans="1:8" x14ac:dyDescent="0.3">
      <c r="A1403" t="s">
        <v>6</v>
      </c>
      <c r="B1403" t="s">
        <v>7</v>
      </c>
      <c r="C1403" t="s">
        <v>1552</v>
      </c>
      <c r="D1403" t="s">
        <v>9</v>
      </c>
      <c r="E1403" t="s">
        <v>1556</v>
      </c>
      <c r="F1403" t="str">
        <f>"001356249402"</f>
        <v>001356249402</v>
      </c>
      <c r="G1403" t="s">
        <v>3098</v>
      </c>
      <c r="H1403" s="4">
        <v>16929.476999999999</v>
      </c>
    </row>
    <row r="1404" spans="1:8" x14ac:dyDescent="0.3">
      <c r="A1404" t="s">
        <v>6</v>
      </c>
      <c r="B1404" t="s">
        <v>7</v>
      </c>
      <c r="C1404" t="s">
        <v>1577</v>
      </c>
      <c r="D1404" t="s">
        <v>9</v>
      </c>
      <c r="E1404" t="s">
        <v>1663</v>
      </c>
      <c r="F1404" t="str">
        <f>"004600012308"</f>
        <v>004600012308</v>
      </c>
      <c r="G1404" t="s">
        <v>3431</v>
      </c>
      <c r="H1404" s="4">
        <v>16868.697</v>
      </c>
    </row>
    <row r="1405" spans="1:8" x14ac:dyDescent="0.3">
      <c r="A1405" t="s">
        <v>6</v>
      </c>
      <c r="B1405" t="s">
        <v>7</v>
      </c>
      <c r="C1405" t="s">
        <v>381</v>
      </c>
      <c r="D1405" t="s">
        <v>9</v>
      </c>
      <c r="E1405" t="s">
        <v>408</v>
      </c>
      <c r="F1405" t="str">
        <f>"002190810739"</f>
        <v>002190810739</v>
      </c>
      <c r="G1405" t="s">
        <v>3135</v>
      </c>
      <c r="H1405" s="4">
        <v>16710.29</v>
      </c>
    </row>
    <row r="1406" spans="1:8" x14ac:dyDescent="0.3">
      <c r="A1406" t="s">
        <v>6</v>
      </c>
      <c r="B1406" t="s">
        <v>7</v>
      </c>
      <c r="C1406" t="s">
        <v>8</v>
      </c>
      <c r="D1406" t="s">
        <v>9</v>
      </c>
      <c r="E1406" t="s">
        <v>126</v>
      </c>
      <c r="F1406" t="str">
        <f>"001600018372"</f>
        <v>001600018372</v>
      </c>
      <c r="G1406" t="s">
        <v>4092</v>
      </c>
      <c r="H1406" s="4">
        <v>16685.439999999999</v>
      </c>
    </row>
    <row r="1407" spans="1:8" x14ac:dyDescent="0.3">
      <c r="A1407" t="s">
        <v>6</v>
      </c>
      <c r="B1407" t="s">
        <v>7</v>
      </c>
      <c r="C1407" t="s">
        <v>381</v>
      </c>
      <c r="D1407" t="s">
        <v>9</v>
      </c>
      <c r="E1407" t="s">
        <v>513</v>
      </c>
      <c r="F1407" t="str">
        <f>"001600026469"</f>
        <v>001600026469</v>
      </c>
      <c r="G1407" t="s">
        <v>3238</v>
      </c>
      <c r="H1407" s="4">
        <v>16648.332999999999</v>
      </c>
    </row>
    <row r="1408" spans="1:8" x14ac:dyDescent="0.3">
      <c r="A1408" t="s">
        <v>6</v>
      </c>
      <c r="B1408" t="s">
        <v>7</v>
      </c>
      <c r="C1408" t="s">
        <v>1397</v>
      </c>
      <c r="D1408" t="s">
        <v>9</v>
      </c>
      <c r="E1408" t="s">
        <v>1453</v>
      </c>
      <c r="F1408" t="str">
        <f>"073215313125"</f>
        <v>073215313125</v>
      </c>
      <c r="G1408" t="s">
        <v>3004</v>
      </c>
      <c r="H1408" s="4">
        <v>16642.438999999998</v>
      </c>
    </row>
    <row r="1409" spans="1:8" x14ac:dyDescent="0.3">
      <c r="A1409" t="s">
        <v>6</v>
      </c>
      <c r="B1409" t="s">
        <v>7</v>
      </c>
      <c r="C1409" t="s">
        <v>1397</v>
      </c>
      <c r="D1409" t="s">
        <v>9</v>
      </c>
      <c r="E1409" t="s">
        <v>1401</v>
      </c>
      <c r="F1409" t="str">
        <f>"001356249291"</f>
        <v>001356249291</v>
      </c>
      <c r="G1409" t="s">
        <v>2954</v>
      </c>
      <c r="H1409" s="4">
        <v>16597.911</v>
      </c>
    </row>
    <row r="1410" spans="1:8" x14ac:dyDescent="0.3">
      <c r="A1410" t="s">
        <v>6</v>
      </c>
      <c r="B1410" t="s">
        <v>7</v>
      </c>
      <c r="C1410" t="s">
        <v>1122</v>
      </c>
      <c r="D1410" t="s">
        <v>9</v>
      </c>
      <c r="E1410" t="s">
        <v>1203</v>
      </c>
      <c r="F1410" t="str">
        <f>"001600028908"</f>
        <v>001600028908</v>
      </c>
      <c r="G1410" t="s">
        <v>2785</v>
      </c>
      <c r="H1410" s="4">
        <v>16586.72</v>
      </c>
    </row>
    <row r="1411" spans="1:8" x14ac:dyDescent="0.3">
      <c r="A1411" t="s">
        <v>6</v>
      </c>
      <c r="B1411" t="s">
        <v>7</v>
      </c>
      <c r="C1411" t="s">
        <v>8</v>
      </c>
      <c r="D1411" t="s">
        <v>9</v>
      </c>
      <c r="E1411" t="s">
        <v>43</v>
      </c>
      <c r="F1411" t="str">
        <f>"002190812665"</f>
        <v>002190812665</v>
      </c>
      <c r="G1411" t="s">
        <v>4022</v>
      </c>
      <c r="H1411" s="4">
        <v>16581.949000000001</v>
      </c>
    </row>
    <row r="1412" spans="1:8" x14ac:dyDescent="0.3">
      <c r="A1412" t="s">
        <v>6</v>
      </c>
      <c r="B1412" t="s">
        <v>7</v>
      </c>
      <c r="C1412" t="s">
        <v>1940</v>
      </c>
      <c r="D1412" t="s">
        <v>9</v>
      </c>
      <c r="E1412" t="s">
        <v>1987</v>
      </c>
      <c r="F1412" t="str">
        <f>"007047000657"</f>
        <v>007047000657</v>
      </c>
      <c r="G1412" t="s">
        <v>3882</v>
      </c>
      <c r="H1412" s="4">
        <v>16554.767</v>
      </c>
    </row>
    <row r="1413" spans="1:8" x14ac:dyDescent="0.3">
      <c r="A1413" t="s">
        <v>6</v>
      </c>
      <c r="B1413" t="s">
        <v>7</v>
      </c>
      <c r="C1413" t="s">
        <v>1552</v>
      </c>
      <c r="D1413" t="s">
        <v>9</v>
      </c>
      <c r="E1413" t="s">
        <v>1560</v>
      </c>
      <c r="F1413" t="str">
        <f>"001356200018"</f>
        <v>001356200018</v>
      </c>
      <c r="G1413" t="s">
        <v>3102</v>
      </c>
      <c r="H1413" s="4">
        <v>16360.362999999999</v>
      </c>
    </row>
    <row r="1414" spans="1:8" x14ac:dyDescent="0.3">
      <c r="A1414" t="s">
        <v>6</v>
      </c>
      <c r="B1414" t="s">
        <v>7</v>
      </c>
      <c r="C1414" t="s">
        <v>381</v>
      </c>
      <c r="D1414" t="s">
        <v>9</v>
      </c>
      <c r="E1414" t="s">
        <v>445</v>
      </c>
      <c r="F1414" t="str">
        <f>"001600026165"</f>
        <v>001600026165</v>
      </c>
      <c r="G1414" t="s">
        <v>3171</v>
      </c>
      <c r="H1414" s="4">
        <v>16280.066999999999</v>
      </c>
    </row>
    <row r="1415" spans="1:8" x14ac:dyDescent="0.3">
      <c r="A1415" t="s">
        <v>6</v>
      </c>
      <c r="B1415" t="s">
        <v>7</v>
      </c>
      <c r="C1415" t="s">
        <v>797</v>
      </c>
      <c r="D1415" t="s">
        <v>9</v>
      </c>
      <c r="E1415" t="s">
        <v>825</v>
      </c>
      <c r="F1415" t="str">
        <f>"001600018657"</f>
        <v>001600018657</v>
      </c>
      <c r="G1415" t="s">
        <v>2421</v>
      </c>
      <c r="H1415" s="4">
        <v>16181.472</v>
      </c>
    </row>
    <row r="1416" spans="1:8" x14ac:dyDescent="0.3">
      <c r="A1416" t="s">
        <v>6</v>
      </c>
      <c r="B1416" t="s">
        <v>7</v>
      </c>
      <c r="C1416" t="s">
        <v>1397</v>
      </c>
      <c r="D1416" t="s">
        <v>9</v>
      </c>
      <c r="E1416" t="s">
        <v>1455</v>
      </c>
      <c r="F1416" t="str">
        <f>"073215311923"</f>
        <v>073215311923</v>
      </c>
      <c r="G1416" t="s">
        <v>3006</v>
      </c>
      <c r="H1416" s="4">
        <v>16086.605</v>
      </c>
    </row>
    <row r="1417" spans="1:8" x14ac:dyDescent="0.3">
      <c r="A1417" t="s">
        <v>6</v>
      </c>
      <c r="B1417" t="s">
        <v>7</v>
      </c>
      <c r="C1417" t="s">
        <v>1773</v>
      </c>
      <c r="D1417" t="s">
        <v>9</v>
      </c>
      <c r="E1417" t="s">
        <v>1782</v>
      </c>
      <c r="F1417" t="str">
        <f>"001356249399"</f>
        <v>001356249399</v>
      </c>
      <c r="G1417" t="s">
        <v>3543</v>
      </c>
      <c r="H1417" s="4">
        <v>16009.347</v>
      </c>
    </row>
    <row r="1418" spans="1:8" x14ac:dyDescent="0.3">
      <c r="A1418" t="s">
        <v>6</v>
      </c>
      <c r="B1418" t="s">
        <v>7</v>
      </c>
      <c r="C1418" t="s">
        <v>1786</v>
      </c>
      <c r="D1418" t="s">
        <v>9</v>
      </c>
      <c r="E1418" t="s">
        <v>1801</v>
      </c>
      <c r="F1418" t="str">
        <f>"072534242943"</f>
        <v>072534242943</v>
      </c>
      <c r="G1418" t="s">
        <v>3581</v>
      </c>
      <c r="H1418" s="4">
        <v>16008.532999999999</v>
      </c>
    </row>
    <row r="1419" spans="1:8" x14ac:dyDescent="0.3">
      <c r="A1419" t="s">
        <v>6</v>
      </c>
      <c r="B1419" t="s">
        <v>7</v>
      </c>
      <c r="C1419" t="s">
        <v>1695</v>
      </c>
      <c r="D1419" t="s">
        <v>9</v>
      </c>
      <c r="E1419" t="s">
        <v>1724</v>
      </c>
      <c r="F1419" t="str">
        <f>"002190850324"</f>
        <v>002190850324</v>
      </c>
      <c r="G1419" t="s">
        <v>3488</v>
      </c>
      <c r="H1419" s="4">
        <v>16001.120999999999</v>
      </c>
    </row>
    <row r="1420" spans="1:8" x14ac:dyDescent="0.3">
      <c r="A1420" t="s">
        <v>6</v>
      </c>
      <c r="B1420" t="s">
        <v>7</v>
      </c>
      <c r="C1420" t="s">
        <v>1270</v>
      </c>
      <c r="D1420" t="s">
        <v>9</v>
      </c>
      <c r="E1420" t="s">
        <v>1271</v>
      </c>
      <c r="F1420" t="str">
        <f>"001800012575"</f>
        <v>001800012575</v>
      </c>
      <c r="G1420" t="s">
        <v>2840</v>
      </c>
      <c r="H1420" s="4">
        <v>15958.037</v>
      </c>
    </row>
    <row r="1421" spans="1:8" x14ac:dyDescent="0.3">
      <c r="A1421" t="s">
        <v>6</v>
      </c>
      <c r="B1421" t="s">
        <v>7</v>
      </c>
      <c r="C1421" t="s">
        <v>8</v>
      </c>
      <c r="D1421" t="s">
        <v>9</v>
      </c>
      <c r="E1421" t="s">
        <v>63</v>
      </c>
      <c r="F1421" t="str">
        <f>"002190845557"</f>
        <v>002190845557</v>
      </c>
      <c r="G1421" t="s">
        <v>4040</v>
      </c>
      <c r="H1421" s="4">
        <v>15911.78</v>
      </c>
    </row>
    <row r="1422" spans="1:8" x14ac:dyDescent="0.3">
      <c r="A1422" t="s">
        <v>6</v>
      </c>
      <c r="B1422" t="s">
        <v>7</v>
      </c>
      <c r="C1422" t="s">
        <v>381</v>
      </c>
      <c r="D1422" t="s">
        <v>9</v>
      </c>
      <c r="E1422" t="s">
        <v>511</v>
      </c>
      <c r="F1422" t="str">
        <f>"001600018975"</f>
        <v>001600018975</v>
      </c>
      <c r="G1422" t="s">
        <v>3237</v>
      </c>
      <c r="H1422" s="4">
        <v>15687.203</v>
      </c>
    </row>
    <row r="1423" spans="1:8" x14ac:dyDescent="0.3">
      <c r="A1423" t="s">
        <v>6</v>
      </c>
      <c r="B1423" t="s">
        <v>7</v>
      </c>
      <c r="C1423" t="s">
        <v>1122</v>
      </c>
      <c r="D1423" t="s">
        <v>9</v>
      </c>
      <c r="E1423" t="s">
        <v>1183</v>
      </c>
      <c r="F1423" t="str">
        <f>"001600018996"</f>
        <v>001600018996</v>
      </c>
      <c r="G1423" t="s">
        <v>2771</v>
      </c>
      <c r="H1423" s="4">
        <v>15654.665000000001</v>
      </c>
    </row>
    <row r="1424" spans="1:8" x14ac:dyDescent="0.3">
      <c r="A1424" t="s">
        <v>6</v>
      </c>
      <c r="B1424" t="s">
        <v>7</v>
      </c>
      <c r="C1424" t="s">
        <v>1940</v>
      </c>
      <c r="D1424" t="s">
        <v>9</v>
      </c>
      <c r="E1424" t="s">
        <v>1956</v>
      </c>
      <c r="F1424" t="str">
        <f>"007047020635"</f>
        <v>007047020635</v>
      </c>
      <c r="G1424" t="s">
        <v>3842</v>
      </c>
      <c r="H1424" s="4">
        <v>15654.645</v>
      </c>
    </row>
    <row r="1425" spans="1:8" x14ac:dyDescent="0.3">
      <c r="A1425" t="s">
        <v>6</v>
      </c>
      <c r="B1425" t="s">
        <v>7</v>
      </c>
      <c r="C1425" t="s">
        <v>1786</v>
      </c>
      <c r="D1425" t="s">
        <v>9</v>
      </c>
      <c r="E1425" t="s">
        <v>1789</v>
      </c>
      <c r="F1425" t="str">
        <f>"072534228103"</f>
        <v>072534228103</v>
      </c>
      <c r="G1425" t="s">
        <v>3550</v>
      </c>
      <c r="H1425" s="4">
        <v>15642.477000000001</v>
      </c>
    </row>
    <row r="1426" spans="1:8" x14ac:dyDescent="0.3">
      <c r="A1426" t="s">
        <v>6</v>
      </c>
      <c r="B1426" t="s">
        <v>7</v>
      </c>
      <c r="C1426" t="s">
        <v>797</v>
      </c>
      <c r="D1426" t="s">
        <v>9</v>
      </c>
      <c r="E1426" t="s">
        <v>875</v>
      </c>
      <c r="F1426" t="str">
        <f>"001600013900"</f>
        <v>001600013900</v>
      </c>
      <c r="G1426" t="s">
        <v>2468</v>
      </c>
      <c r="H1426" s="4">
        <v>15626.814</v>
      </c>
    </row>
    <row r="1427" spans="1:8" x14ac:dyDescent="0.3">
      <c r="A1427" t="s">
        <v>6</v>
      </c>
      <c r="B1427" t="s">
        <v>7</v>
      </c>
      <c r="C1427" t="s">
        <v>1940</v>
      </c>
      <c r="D1427" t="s">
        <v>9</v>
      </c>
      <c r="E1427" t="s">
        <v>1955</v>
      </c>
      <c r="F1427" t="str">
        <f>"007047020633"</f>
        <v>007047020633</v>
      </c>
      <c r="G1427" t="s">
        <v>3840</v>
      </c>
      <c r="H1427" s="4">
        <v>15592.941999999999</v>
      </c>
    </row>
    <row r="1428" spans="1:8" x14ac:dyDescent="0.3">
      <c r="A1428" t="s">
        <v>6</v>
      </c>
      <c r="B1428" t="s">
        <v>7</v>
      </c>
      <c r="C1428" t="s">
        <v>1122</v>
      </c>
      <c r="D1428" t="s">
        <v>9</v>
      </c>
      <c r="E1428" t="s">
        <v>1150</v>
      </c>
      <c r="F1428" t="str">
        <f>"001356200242"</f>
        <v>001356200242</v>
      </c>
      <c r="G1428" t="s">
        <v>2743</v>
      </c>
      <c r="H1428" s="4">
        <v>15541.621999999999</v>
      </c>
    </row>
    <row r="1429" spans="1:8" x14ac:dyDescent="0.3">
      <c r="A1429" t="s">
        <v>6</v>
      </c>
      <c r="B1429" t="s">
        <v>7</v>
      </c>
      <c r="C1429" t="s">
        <v>616</v>
      </c>
      <c r="D1429" t="s">
        <v>9</v>
      </c>
      <c r="E1429" t="s">
        <v>686</v>
      </c>
      <c r="F1429" t="str">
        <f>"002190812292"</f>
        <v>002190812292</v>
      </c>
      <c r="G1429" t="s">
        <v>3656</v>
      </c>
      <c r="H1429" s="4">
        <v>15333.34</v>
      </c>
    </row>
    <row r="1430" spans="1:8" x14ac:dyDescent="0.3">
      <c r="A1430" t="s">
        <v>6</v>
      </c>
      <c r="B1430" t="s">
        <v>7</v>
      </c>
      <c r="C1430" t="s">
        <v>1940</v>
      </c>
      <c r="D1430" t="s">
        <v>9</v>
      </c>
      <c r="E1430" t="s">
        <v>2088</v>
      </c>
      <c r="F1430" t="str">
        <f>"007047015412"</f>
        <v>007047015412</v>
      </c>
      <c r="G1430" t="s">
        <v>3975</v>
      </c>
      <c r="H1430" s="4">
        <v>15318.6</v>
      </c>
    </row>
    <row r="1431" spans="1:8" x14ac:dyDescent="0.3">
      <c r="A1431" t="s">
        <v>6</v>
      </c>
      <c r="B1431" t="s">
        <v>7</v>
      </c>
      <c r="C1431" t="s">
        <v>2231</v>
      </c>
      <c r="D1431" t="s">
        <v>9</v>
      </c>
      <c r="E1431" t="s">
        <v>2321</v>
      </c>
      <c r="F1431" t="str">
        <f>"004119649232"</f>
        <v>004119649232</v>
      </c>
      <c r="G1431" t="s">
        <v>4512</v>
      </c>
      <c r="H1431" s="4">
        <v>15311.973</v>
      </c>
    </row>
    <row r="1432" spans="1:8" x14ac:dyDescent="0.3">
      <c r="A1432" t="s">
        <v>6</v>
      </c>
      <c r="B1432" t="s">
        <v>7</v>
      </c>
      <c r="C1432" t="s">
        <v>1552</v>
      </c>
      <c r="D1432" t="s">
        <v>9</v>
      </c>
      <c r="E1432" t="s">
        <v>1558</v>
      </c>
      <c r="F1432" t="str">
        <f>"001356249398"</f>
        <v>001356249398</v>
      </c>
      <c r="G1432" t="s">
        <v>3100</v>
      </c>
      <c r="H1432" s="4">
        <v>15271.654</v>
      </c>
    </row>
    <row r="1433" spans="1:8" x14ac:dyDescent="0.3">
      <c r="A1433" t="s">
        <v>6</v>
      </c>
      <c r="B1433" t="s">
        <v>7</v>
      </c>
      <c r="C1433" t="s">
        <v>1286</v>
      </c>
      <c r="D1433" t="s">
        <v>9</v>
      </c>
      <c r="E1433" t="s">
        <v>1305</v>
      </c>
      <c r="F1433" t="str">
        <f>"001800042744"</f>
        <v>001800042744</v>
      </c>
      <c r="G1433" t="s">
        <v>2869</v>
      </c>
      <c r="H1433" s="4">
        <v>15259.1</v>
      </c>
    </row>
    <row r="1434" spans="1:8" x14ac:dyDescent="0.3">
      <c r="A1434" t="s">
        <v>6</v>
      </c>
      <c r="B1434" t="s">
        <v>7</v>
      </c>
      <c r="C1434" t="s">
        <v>616</v>
      </c>
      <c r="D1434" t="s">
        <v>9</v>
      </c>
      <c r="E1434" t="s">
        <v>682</v>
      </c>
      <c r="F1434" t="str">
        <f>"002190812985"</f>
        <v>002190812985</v>
      </c>
      <c r="G1434" t="s">
        <v>3652</v>
      </c>
      <c r="H1434" s="4">
        <v>15216.45</v>
      </c>
    </row>
    <row r="1435" spans="1:8" x14ac:dyDescent="0.3">
      <c r="A1435" t="s">
        <v>6</v>
      </c>
      <c r="B1435" t="s">
        <v>7</v>
      </c>
      <c r="C1435" t="s">
        <v>797</v>
      </c>
      <c r="D1435" t="s">
        <v>9</v>
      </c>
      <c r="E1435" t="s">
        <v>955</v>
      </c>
      <c r="F1435" t="str">
        <f>"001600040999"</f>
        <v>001600040999</v>
      </c>
      <c r="G1435" t="s">
        <v>2551</v>
      </c>
      <c r="H1435" s="4">
        <v>15216.11</v>
      </c>
    </row>
    <row r="1436" spans="1:8" x14ac:dyDescent="0.3">
      <c r="A1436" t="s">
        <v>6</v>
      </c>
      <c r="B1436" t="s">
        <v>7</v>
      </c>
      <c r="C1436" t="s">
        <v>616</v>
      </c>
      <c r="D1436" t="s">
        <v>9</v>
      </c>
      <c r="E1436" t="s">
        <v>692</v>
      </c>
      <c r="F1436" t="str">
        <f>"002190813396"</f>
        <v>002190813396</v>
      </c>
      <c r="G1436" t="s">
        <v>3662</v>
      </c>
      <c r="H1436" s="4">
        <v>15191.68</v>
      </c>
    </row>
    <row r="1437" spans="1:8" x14ac:dyDescent="0.3">
      <c r="A1437" t="s">
        <v>6</v>
      </c>
      <c r="B1437" t="s">
        <v>7</v>
      </c>
      <c r="C1437" t="s">
        <v>2231</v>
      </c>
      <c r="D1437" t="s">
        <v>9</v>
      </c>
      <c r="E1437" t="s">
        <v>2232</v>
      </c>
      <c r="F1437" t="str">
        <f>"001356210137"</f>
        <v>001356210137</v>
      </c>
      <c r="G1437" t="s">
        <v>4429</v>
      </c>
      <c r="H1437" s="4">
        <v>15103.712</v>
      </c>
    </row>
    <row r="1438" spans="1:8" x14ac:dyDescent="0.3">
      <c r="A1438" t="s">
        <v>6</v>
      </c>
      <c r="B1438" t="s">
        <v>7</v>
      </c>
      <c r="C1438" t="s">
        <v>381</v>
      </c>
      <c r="D1438" t="s">
        <v>9</v>
      </c>
      <c r="E1438" t="s">
        <v>501</v>
      </c>
      <c r="F1438" t="str">
        <f>"001600044136"</f>
        <v>001600044136</v>
      </c>
      <c r="G1438" t="s">
        <v>2389</v>
      </c>
      <c r="H1438" s="4">
        <v>15038.1</v>
      </c>
    </row>
    <row r="1439" spans="1:8" x14ac:dyDescent="0.3">
      <c r="A1439" t="s">
        <v>6</v>
      </c>
      <c r="B1439" t="s">
        <v>7</v>
      </c>
      <c r="C1439" t="s">
        <v>797</v>
      </c>
      <c r="D1439" t="s">
        <v>9</v>
      </c>
      <c r="E1439" t="s">
        <v>868</v>
      </c>
      <c r="F1439" t="str">
        <f>"001600013558"</f>
        <v>001600013558</v>
      </c>
      <c r="G1439" t="s">
        <v>2461</v>
      </c>
      <c r="H1439" s="4">
        <v>14991.156999999999</v>
      </c>
    </row>
    <row r="1440" spans="1:8" x14ac:dyDescent="0.3">
      <c r="A1440" t="s">
        <v>6</v>
      </c>
      <c r="B1440" t="s">
        <v>7</v>
      </c>
      <c r="C1440" t="s">
        <v>1940</v>
      </c>
      <c r="D1440" t="s">
        <v>9</v>
      </c>
      <c r="E1440" t="s">
        <v>2088</v>
      </c>
      <c r="F1440" t="str">
        <f>"007047020476"</f>
        <v>007047020476</v>
      </c>
      <c r="G1440" t="s">
        <v>3976</v>
      </c>
      <c r="H1440" s="4">
        <v>14936.498</v>
      </c>
    </row>
    <row r="1441" spans="1:8" x14ac:dyDescent="0.3">
      <c r="A1441" t="s">
        <v>6</v>
      </c>
      <c r="B1441" t="s">
        <v>7</v>
      </c>
      <c r="C1441" t="s">
        <v>8</v>
      </c>
      <c r="D1441" t="s">
        <v>9</v>
      </c>
      <c r="E1441" t="s">
        <v>371</v>
      </c>
      <c r="F1441" t="str">
        <f>"001600048588"</f>
        <v>001600048588</v>
      </c>
      <c r="G1441" t="s">
        <v>4314</v>
      </c>
      <c r="H1441" s="4">
        <v>14930.196</v>
      </c>
    </row>
    <row r="1442" spans="1:8" x14ac:dyDescent="0.3">
      <c r="A1442" t="s">
        <v>6</v>
      </c>
      <c r="B1442" t="s">
        <v>7</v>
      </c>
      <c r="C1442" t="s">
        <v>1338</v>
      </c>
      <c r="D1442" t="s">
        <v>9</v>
      </c>
      <c r="E1442" t="s">
        <v>1389</v>
      </c>
      <c r="F1442" t="str">
        <f>"004280000588"</f>
        <v>004280000588</v>
      </c>
      <c r="G1442" t="s">
        <v>2945</v>
      </c>
      <c r="H1442" s="4">
        <v>14855.974</v>
      </c>
    </row>
    <row r="1443" spans="1:8" x14ac:dyDescent="0.3">
      <c r="A1443" t="s">
        <v>6</v>
      </c>
      <c r="B1443" t="s">
        <v>7</v>
      </c>
      <c r="C1443" t="s">
        <v>1695</v>
      </c>
      <c r="D1443" t="s">
        <v>9</v>
      </c>
      <c r="E1443" t="s">
        <v>1700</v>
      </c>
      <c r="F1443" t="str">
        <f>"002190812808"</f>
        <v>002190812808</v>
      </c>
      <c r="G1443" t="s">
        <v>3464</v>
      </c>
      <c r="H1443" s="4">
        <v>14846.75</v>
      </c>
    </row>
    <row r="1444" spans="1:8" x14ac:dyDescent="0.3">
      <c r="A1444" t="s">
        <v>6</v>
      </c>
      <c r="B1444" t="s">
        <v>7</v>
      </c>
      <c r="C1444" t="s">
        <v>381</v>
      </c>
      <c r="D1444" t="s">
        <v>9</v>
      </c>
      <c r="E1444" t="s">
        <v>385</v>
      </c>
      <c r="F1444" t="str">
        <f>"001356212398"</f>
        <v>001356212398</v>
      </c>
      <c r="G1444" t="s">
        <v>3114</v>
      </c>
      <c r="H1444" s="4">
        <v>14839.786</v>
      </c>
    </row>
    <row r="1445" spans="1:8" x14ac:dyDescent="0.3">
      <c r="A1445" t="s">
        <v>6</v>
      </c>
      <c r="B1445" t="s">
        <v>7</v>
      </c>
      <c r="C1445" t="s">
        <v>1940</v>
      </c>
      <c r="D1445" t="s">
        <v>9</v>
      </c>
      <c r="E1445" t="s">
        <v>2093</v>
      </c>
      <c r="F1445" t="str">
        <f>"007047043332"</f>
        <v>007047043332</v>
      </c>
      <c r="G1445" t="s">
        <v>3981</v>
      </c>
      <c r="H1445" s="4">
        <v>14764.62</v>
      </c>
    </row>
    <row r="1446" spans="1:8" x14ac:dyDescent="0.3">
      <c r="A1446" t="s">
        <v>6</v>
      </c>
      <c r="B1446" t="s">
        <v>7</v>
      </c>
      <c r="C1446" t="s">
        <v>2113</v>
      </c>
      <c r="D1446" t="s">
        <v>9</v>
      </c>
      <c r="E1446" t="s">
        <v>2169</v>
      </c>
      <c r="F1446" t="str">
        <f>"001600020548"</f>
        <v>001600020548</v>
      </c>
      <c r="G1446" t="s">
        <v>4377</v>
      </c>
      <c r="H1446" s="4">
        <v>14726.927</v>
      </c>
    </row>
    <row r="1447" spans="1:8" x14ac:dyDescent="0.3">
      <c r="A1447" t="s">
        <v>6</v>
      </c>
      <c r="B1447" t="s">
        <v>7</v>
      </c>
      <c r="C1447" t="s">
        <v>8</v>
      </c>
      <c r="D1447" t="s">
        <v>9</v>
      </c>
      <c r="E1447" t="s">
        <v>378</v>
      </c>
      <c r="F1447" t="str">
        <f>"001600018999"</f>
        <v>001600018999</v>
      </c>
      <c r="G1447" t="s">
        <v>4321</v>
      </c>
      <c r="H1447" s="4">
        <v>14690.569</v>
      </c>
    </row>
    <row r="1448" spans="1:8" x14ac:dyDescent="0.3">
      <c r="A1448" t="s">
        <v>6</v>
      </c>
      <c r="B1448" t="s">
        <v>7</v>
      </c>
      <c r="C1448" t="s">
        <v>1095</v>
      </c>
      <c r="D1448" t="s">
        <v>9</v>
      </c>
      <c r="E1448" t="s">
        <v>1101</v>
      </c>
      <c r="F1448" t="str">
        <f>"001600018807"</f>
        <v>001600018807</v>
      </c>
      <c r="G1448" t="s">
        <v>2703</v>
      </c>
      <c r="H1448" s="4">
        <v>14663.472</v>
      </c>
    </row>
    <row r="1449" spans="1:8" x14ac:dyDescent="0.3">
      <c r="A1449" t="s">
        <v>6</v>
      </c>
      <c r="B1449" t="s">
        <v>7</v>
      </c>
      <c r="C1449" t="s">
        <v>2113</v>
      </c>
      <c r="D1449" t="s">
        <v>9</v>
      </c>
      <c r="E1449" t="s">
        <v>2200</v>
      </c>
      <c r="F1449" t="str">
        <f>"001600036830"</f>
        <v>001600036830</v>
      </c>
      <c r="G1449" t="s">
        <v>4404</v>
      </c>
      <c r="H1449" s="4">
        <v>14642.897000000001</v>
      </c>
    </row>
    <row r="1450" spans="1:8" x14ac:dyDescent="0.3">
      <c r="A1450" t="s">
        <v>6</v>
      </c>
      <c r="B1450" t="s">
        <v>7</v>
      </c>
      <c r="C1450" t="s">
        <v>1270</v>
      </c>
      <c r="D1450" t="s">
        <v>9</v>
      </c>
      <c r="E1450" t="s">
        <v>1278</v>
      </c>
      <c r="F1450" t="str">
        <f>"001800042433"</f>
        <v>001800042433</v>
      </c>
      <c r="G1450" t="s">
        <v>2846</v>
      </c>
      <c r="H1450" s="4">
        <v>14596.004000000001</v>
      </c>
    </row>
    <row r="1451" spans="1:8" x14ac:dyDescent="0.3">
      <c r="A1451" t="s">
        <v>6</v>
      </c>
      <c r="B1451" t="s">
        <v>7</v>
      </c>
      <c r="C1451" t="s">
        <v>381</v>
      </c>
      <c r="D1451" t="s">
        <v>9</v>
      </c>
      <c r="E1451" t="s">
        <v>443</v>
      </c>
      <c r="F1451" t="str">
        <f>"001600026164"</f>
        <v>001600026164</v>
      </c>
      <c r="G1451" t="s">
        <v>3169</v>
      </c>
      <c r="H1451" s="4">
        <v>14557.518</v>
      </c>
    </row>
    <row r="1452" spans="1:8" x14ac:dyDescent="0.3">
      <c r="A1452" t="s">
        <v>6</v>
      </c>
      <c r="B1452" t="s">
        <v>7</v>
      </c>
      <c r="C1452" t="s">
        <v>2113</v>
      </c>
      <c r="D1452" t="s">
        <v>9</v>
      </c>
      <c r="E1452" t="s">
        <v>2138</v>
      </c>
      <c r="F1452" t="str">
        <f>"001600012607"</f>
        <v>001600012607</v>
      </c>
      <c r="G1452" t="s">
        <v>4347</v>
      </c>
      <c r="H1452" s="4">
        <v>14484.888999999999</v>
      </c>
    </row>
    <row r="1453" spans="1:8" x14ac:dyDescent="0.3">
      <c r="A1453" t="s">
        <v>6</v>
      </c>
      <c r="B1453" t="s">
        <v>7</v>
      </c>
      <c r="C1453" t="s">
        <v>1397</v>
      </c>
      <c r="D1453" t="s">
        <v>9</v>
      </c>
      <c r="E1453" t="s">
        <v>1440</v>
      </c>
      <c r="F1453" t="str">
        <f>"073215301594"</f>
        <v>073215301594</v>
      </c>
      <c r="G1453" t="s">
        <v>2991</v>
      </c>
      <c r="H1453" s="4">
        <v>14378.853999999999</v>
      </c>
    </row>
    <row r="1454" spans="1:8" x14ac:dyDescent="0.3">
      <c r="A1454" t="s">
        <v>6</v>
      </c>
      <c r="B1454" t="s">
        <v>7</v>
      </c>
      <c r="C1454" t="s">
        <v>381</v>
      </c>
      <c r="D1454" t="s">
        <v>9</v>
      </c>
      <c r="E1454" t="s">
        <v>430</v>
      </c>
      <c r="F1454" t="str">
        <f>"001600010781"</f>
        <v>001600010781</v>
      </c>
      <c r="G1454" t="s">
        <v>3156</v>
      </c>
      <c r="H1454" s="4">
        <v>14319.503000000001</v>
      </c>
    </row>
    <row r="1455" spans="1:8" x14ac:dyDescent="0.3">
      <c r="A1455" t="s">
        <v>6</v>
      </c>
      <c r="B1455" t="s">
        <v>7</v>
      </c>
      <c r="C1455" t="s">
        <v>1397</v>
      </c>
      <c r="D1455" t="s">
        <v>9</v>
      </c>
      <c r="E1455" t="s">
        <v>1541</v>
      </c>
      <c r="F1455" t="str">
        <f>"004119612149"</f>
        <v>004119612149</v>
      </c>
      <c r="G1455" t="s">
        <v>3085</v>
      </c>
      <c r="H1455" s="4">
        <v>14304.557000000001</v>
      </c>
    </row>
    <row r="1456" spans="1:8" x14ac:dyDescent="0.3">
      <c r="A1456" t="s">
        <v>6</v>
      </c>
      <c r="B1456" t="s">
        <v>7</v>
      </c>
      <c r="C1456" t="s">
        <v>1397</v>
      </c>
      <c r="D1456" t="s">
        <v>9</v>
      </c>
      <c r="E1456" t="s">
        <v>1451</v>
      </c>
      <c r="F1456" t="str">
        <f>"073215302492"</f>
        <v>073215302492</v>
      </c>
      <c r="G1456" t="s">
        <v>3002</v>
      </c>
      <c r="H1456" s="4">
        <v>14204.512000000001</v>
      </c>
    </row>
    <row r="1457" spans="1:8" x14ac:dyDescent="0.3">
      <c r="A1457" t="s">
        <v>6</v>
      </c>
      <c r="B1457" t="s">
        <v>7</v>
      </c>
      <c r="C1457" t="s">
        <v>770</v>
      </c>
      <c r="D1457" t="s">
        <v>9</v>
      </c>
      <c r="E1457" t="s">
        <v>792</v>
      </c>
      <c r="F1457" t="str">
        <f>"001600045510"</f>
        <v>001600045510</v>
      </c>
      <c r="G1457" t="s">
        <v>2392</v>
      </c>
      <c r="H1457" s="4">
        <v>14155.021000000001</v>
      </c>
    </row>
    <row r="1458" spans="1:8" x14ac:dyDescent="0.3">
      <c r="A1458" t="s">
        <v>6</v>
      </c>
      <c r="B1458" t="s">
        <v>7</v>
      </c>
      <c r="C1458" t="s">
        <v>616</v>
      </c>
      <c r="D1458" t="s">
        <v>9</v>
      </c>
      <c r="E1458" t="s">
        <v>693</v>
      </c>
      <c r="F1458" t="str">
        <f>"002190813394"</f>
        <v>002190813394</v>
      </c>
      <c r="G1458" t="s">
        <v>3663</v>
      </c>
      <c r="H1458" s="4">
        <v>14062.86</v>
      </c>
    </row>
    <row r="1459" spans="1:8" x14ac:dyDescent="0.3">
      <c r="A1459" t="s">
        <v>6</v>
      </c>
      <c r="B1459" t="s">
        <v>7</v>
      </c>
      <c r="C1459" t="s">
        <v>616</v>
      </c>
      <c r="D1459" t="s">
        <v>9</v>
      </c>
      <c r="E1459" t="s">
        <v>618</v>
      </c>
      <c r="F1459" t="str">
        <f>"001600018918"</f>
        <v>001600018918</v>
      </c>
      <c r="G1459" t="s">
        <v>3590</v>
      </c>
      <c r="H1459" s="4">
        <v>13735.71</v>
      </c>
    </row>
    <row r="1460" spans="1:8" x14ac:dyDescent="0.3">
      <c r="A1460" t="s">
        <v>6</v>
      </c>
      <c r="B1460" t="s">
        <v>7</v>
      </c>
      <c r="C1460" t="s">
        <v>616</v>
      </c>
      <c r="D1460" t="s">
        <v>9</v>
      </c>
      <c r="E1460" t="s">
        <v>649</v>
      </c>
      <c r="F1460" t="str">
        <f>"073215324868"</f>
        <v>073215324868</v>
      </c>
      <c r="G1460" t="s">
        <v>3620</v>
      </c>
      <c r="H1460" s="4">
        <v>13718.447</v>
      </c>
    </row>
    <row r="1461" spans="1:8" x14ac:dyDescent="0.3">
      <c r="A1461" t="s">
        <v>6</v>
      </c>
      <c r="B1461" t="s">
        <v>7</v>
      </c>
      <c r="C1461" t="s">
        <v>2113</v>
      </c>
      <c r="D1461" t="s">
        <v>9</v>
      </c>
      <c r="E1461" t="s">
        <v>2147</v>
      </c>
      <c r="F1461" t="str">
        <f>"001600020553"</f>
        <v>001600020553</v>
      </c>
      <c r="G1461" t="s">
        <v>4355</v>
      </c>
      <c r="H1461" s="4">
        <v>13691.549000000001</v>
      </c>
    </row>
    <row r="1462" spans="1:8" x14ac:dyDescent="0.3">
      <c r="A1462" t="s">
        <v>6</v>
      </c>
      <c r="B1462" t="s">
        <v>7</v>
      </c>
      <c r="C1462" t="s">
        <v>1805</v>
      </c>
      <c r="D1462" t="s">
        <v>9</v>
      </c>
      <c r="E1462" t="s">
        <v>1926</v>
      </c>
      <c r="F1462" t="str">
        <f>"001800011928"</f>
        <v>001800011928</v>
      </c>
      <c r="G1462" t="s">
        <v>3811</v>
      </c>
      <c r="H1462" s="4">
        <v>13592.703</v>
      </c>
    </row>
    <row r="1463" spans="1:8" x14ac:dyDescent="0.3">
      <c r="A1463" t="s">
        <v>6</v>
      </c>
      <c r="B1463" t="s">
        <v>7</v>
      </c>
      <c r="C1463" t="s">
        <v>1095</v>
      </c>
      <c r="D1463" t="s">
        <v>9</v>
      </c>
      <c r="E1463" t="s">
        <v>1099</v>
      </c>
      <c r="F1463" t="str">
        <f>"001600010430"</f>
        <v>001600010430</v>
      </c>
      <c r="G1463" t="s">
        <v>2701</v>
      </c>
      <c r="H1463" s="4">
        <v>13573.606</v>
      </c>
    </row>
    <row r="1464" spans="1:8" x14ac:dyDescent="0.3">
      <c r="A1464" t="s">
        <v>6</v>
      </c>
      <c r="B1464" t="s">
        <v>7</v>
      </c>
      <c r="C1464" t="s">
        <v>616</v>
      </c>
      <c r="D1464" t="s">
        <v>9</v>
      </c>
      <c r="E1464" t="s">
        <v>617</v>
      </c>
      <c r="F1464" t="str">
        <f>"001600018917"</f>
        <v>001600018917</v>
      </c>
      <c r="G1464" t="s">
        <v>3589</v>
      </c>
      <c r="H1464" s="4">
        <v>13552.17</v>
      </c>
    </row>
    <row r="1465" spans="1:8" x14ac:dyDescent="0.3">
      <c r="A1465" t="s">
        <v>6</v>
      </c>
      <c r="B1465" t="s">
        <v>7</v>
      </c>
      <c r="C1465" t="s">
        <v>1695</v>
      </c>
      <c r="D1465" t="s">
        <v>9</v>
      </c>
      <c r="E1465" t="s">
        <v>1708</v>
      </c>
      <c r="F1465" t="str">
        <f>"002190850141"</f>
        <v>002190850141</v>
      </c>
      <c r="G1465" t="s">
        <v>3472</v>
      </c>
      <c r="H1465" s="4">
        <v>13549.107</v>
      </c>
    </row>
    <row r="1466" spans="1:8" x14ac:dyDescent="0.3">
      <c r="A1466" t="s">
        <v>6</v>
      </c>
      <c r="B1466" t="s">
        <v>7</v>
      </c>
      <c r="C1466" t="s">
        <v>797</v>
      </c>
      <c r="D1466" t="s">
        <v>9</v>
      </c>
      <c r="E1466" t="s">
        <v>940</v>
      </c>
      <c r="F1466" t="str">
        <f>"001600016166"</f>
        <v>001600016166</v>
      </c>
      <c r="G1466" t="s">
        <v>2531</v>
      </c>
      <c r="H1466" s="4">
        <v>13517.231</v>
      </c>
    </row>
    <row r="1467" spans="1:8" x14ac:dyDescent="0.3">
      <c r="A1467" t="s">
        <v>6</v>
      </c>
      <c r="B1467" t="s">
        <v>7</v>
      </c>
      <c r="C1467" t="s">
        <v>8</v>
      </c>
      <c r="D1467" t="s">
        <v>9</v>
      </c>
      <c r="E1467" t="s">
        <v>10</v>
      </c>
      <c r="F1467" t="str">
        <f>"001600020061"</f>
        <v>001600020061</v>
      </c>
      <c r="G1467" t="s">
        <v>4002</v>
      </c>
      <c r="H1467" s="4">
        <v>13502.416999999999</v>
      </c>
    </row>
    <row r="1468" spans="1:8" x14ac:dyDescent="0.3">
      <c r="A1468" t="s">
        <v>6</v>
      </c>
      <c r="B1468" t="s">
        <v>7</v>
      </c>
      <c r="C1468" t="s">
        <v>1940</v>
      </c>
      <c r="D1468" t="s">
        <v>9</v>
      </c>
      <c r="E1468" t="s">
        <v>2007</v>
      </c>
      <c r="F1468" t="str">
        <f>"007047016093"</f>
        <v>007047016093</v>
      </c>
      <c r="G1468" t="s">
        <v>2389</v>
      </c>
      <c r="H1468" s="4">
        <v>13496.918</v>
      </c>
    </row>
    <row r="1469" spans="1:8" x14ac:dyDescent="0.3">
      <c r="A1469" t="s">
        <v>6</v>
      </c>
      <c r="B1469" t="s">
        <v>7</v>
      </c>
      <c r="C1469" t="s">
        <v>1805</v>
      </c>
      <c r="D1469" t="s">
        <v>9</v>
      </c>
      <c r="E1469" t="s">
        <v>1936</v>
      </c>
      <c r="F1469" t="str">
        <f>"001800012689"</f>
        <v>001800012689</v>
      </c>
      <c r="G1469" t="s">
        <v>2389</v>
      </c>
      <c r="H1469" s="4">
        <v>13495.72</v>
      </c>
    </row>
    <row r="1470" spans="1:8" x14ac:dyDescent="0.3">
      <c r="A1470" t="s">
        <v>6</v>
      </c>
      <c r="B1470" t="s">
        <v>7</v>
      </c>
      <c r="C1470" t="s">
        <v>1805</v>
      </c>
      <c r="D1470" t="s">
        <v>9</v>
      </c>
      <c r="E1470" t="s">
        <v>1812</v>
      </c>
      <c r="F1470" t="str">
        <f>"066559609990"</f>
        <v>066559609990</v>
      </c>
      <c r="G1470" t="s">
        <v>3745</v>
      </c>
      <c r="H1470" s="4">
        <v>13467.17</v>
      </c>
    </row>
    <row r="1471" spans="1:8" x14ac:dyDescent="0.3">
      <c r="A1471" t="s">
        <v>6</v>
      </c>
      <c r="B1471" t="s">
        <v>7</v>
      </c>
      <c r="C1471" t="s">
        <v>616</v>
      </c>
      <c r="D1471" t="s">
        <v>9</v>
      </c>
      <c r="E1471" t="s">
        <v>766</v>
      </c>
      <c r="F1471" t="str">
        <f>"002190813115"</f>
        <v>002190813115</v>
      </c>
      <c r="G1471" t="s">
        <v>3734</v>
      </c>
      <c r="H1471" s="4">
        <v>13452.6</v>
      </c>
    </row>
    <row r="1472" spans="1:8" x14ac:dyDescent="0.3">
      <c r="A1472" t="s">
        <v>6</v>
      </c>
      <c r="B1472" t="s">
        <v>7</v>
      </c>
      <c r="C1472" t="s">
        <v>1397</v>
      </c>
      <c r="D1472" t="s">
        <v>9</v>
      </c>
      <c r="E1472" t="s">
        <v>1407</v>
      </c>
      <c r="F1472" t="str">
        <f>"009232522225"</f>
        <v>009232522225</v>
      </c>
      <c r="G1472" t="s">
        <v>2960</v>
      </c>
      <c r="H1472" s="4">
        <v>13446.035</v>
      </c>
    </row>
    <row r="1473" spans="1:8" x14ac:dyDescent="0.3">
      <c r="A1473" t="s">
        <v>6</v>
      </c>
      <c r="B1473" t="s">
        <v>7</v>
      </c>
      <c r="C1473" t="s">
        <v>616</v>
      </c>
      <c r="D1473" t="s">
        <v>9</v>
      </c>
      <c r="E1473" t="s">
        <v>701</v>
      </c>
      <c r="F1473" t="str">
        <f>"002190813114"</f>
        <v>002190813114</v>
      </c>
      <c r="G1473" t="s">
        <v>3671</v>
      </c>
      <c r="H1473" s="4">
        <v>13269.45</v>
      </c>
    </row>
    <row r="1474" spans="1:8" x14ac:dyDescent="0.3">
      <c r="A1474" t="s">
        <v>6</v>
      </c>
      <c r="B1474" t="s">
        <v>7</v>
      </c>
      <c r="C1474" t="s">
        <v>616</v>
      </c>
      <c r="D1474" t="s">
        <v>9</v>
      </c>
      <c r="E1474" t="s">
        <v>631</v>
      </c>
      <c r="F1474" t="str">
        <f>"073215302922"</f>
        <v>073215302922</v>
      </c>
      <c r="G1474" t="s">
        <v>3603</v>
      </c>
      <c r="H1474" s="4">
        <v>13203.81</v>
      </c>
    </row>
    <row r="1475" spans="1:8" x14ac:dyDescent="0.3">
      <c r="A1475" t="s">
        <v>6</v>
      </c>
      <c r="B1475" t="s">
        <v>7</v>
      </c>
      <c r="C1475" t="s">
        <v>2231</v>
      </c>
      <c r="D1475" t="s">
        <v>9</v>
      </c>
      <c r="E1475" t="s">
        <v>2250</v>
      </c>
      <c r="F1475" t="str">
        <f>"004119612919"</f>
        <v>004119612919</v>
      </c>
      <c r="G1475" t="s">
        <v>4448</v>
      </c>
      <c r="H1475" s="4">
        <v>13200.124</v>
      </c>
    </row>
    <row r="1476" spans="1:8" x14ac:dyDescent="0.3">
      <c r="A1476" t="s">
        <v>6</v>
      </c>
      <c r="B1476" t="s">
        <v>7</v>
      </c>
      <c r="C1476" t="s">
        <v>797</v>
      </c>
      <c r="D1476" t="s">
        <v>9</v>
      </c>
      <c r="E1476" t="s">
        <v>932</v>
      </c>
      <c r="F1476" t="str">
        <f>"001600018644"</f>
        <v>001600018644</v>
      </c>
      <c r="G1476" t="s">
        <v>2523</v>
      </c>
      <c r="H1476" s="4">
        <v>13184.019</v>
      </c>
    </row>
    <row r="1477" spans="1:8" x14ac:dyDescent="0.3">
      <c r="A1477" t="s">
        <v>6</v>
      </c>
      <c r="B1477" t="s">
        <v>7</v>
      </c>
      <c r="C1477" t="s">
        <v>1397</v>
      </c>
      <c r="D1477" t="s">
        <v>9</v>
      </c>
      <c r="E1477" t="s">
        <v>1538</v>
      </c>
      <c r="F1477" t="str">
        <f>"004119613042"</f>
        <v>004119613042</v>
      </c>
      <c r="G1477" t="s">
        <v>3082</v>
      </c>
      <c r="H1477" s="4">
        <v>13108.388000000001</v>
      </c>
    </row>
    <row r="1478" spans="1:8" x14ac:dyDescent="0.3">
      <c r="A1478" t="s">
        <v>6</v>
      </c>
      <c r="B1478" t="s">
        <v>7</v>
      </c>
      <c r="C1478" t="s">
        <v>1679</v>
      </c>
      <c r="D1478" t="s">
        <v>9</v>
      </c>
      <c r="E1478" t="s">
        <v>1687</v>
      </c>
      <c r="F1478" t="str">
        <f>"002190840677"</f>
        <v>002190840677</v>
      </c>
      <c r="G1478" t="s">
        <v>3453</v>
      </c>
      <c r="H1478" s="4">
        <v>13073.439</v>
      </c>
    </row>
    <row r="1479" spans="1:8" x14ac:dyDescent="0.3">
      <c r="A1479" t="s">
        <v>6</v>
      </c>
      <c r="B1479" t="s">
        <v>7</v>
      </c>
      <c r="C1479" t="s">
        <v>2113</v>
      </c>
      <c r="D1479" t="s">
        <v>9</v>
      </c>
      <c r="E1479" t="s">
        <v>2116</v>
      </c>
      <c r="F1479" t="str">
        <f>"001356200073"</f>
        <v>001356200073</v>
      </c>
      <c r="G1479" t="s">
        <v>4325</v>
      </c>
      <c r="H1479" s="4">
        <v>13064.12</v>
      </c>
    </row>
    <row r="1480" spans="1:8" x14ac:dyDescent="0.3">
      <c r="A1480" t="s">
        <v>6</v>
      </c>
      <c r="B1480" t="s">
        <v>7</v>
      </c>
      <c r="C1480" t="s">
        <v>381</v>
      </c>
      <c r="D1480" t="s">
        <v>9</v>
      </c>
      <c r="E1480" t="s">
        <v>527</v>
      </c>
      <c r="F1480" t="str">
        <f>"001600028920"</f>
        <v>001600028920</v>
      </c>
      <c r="G1480" t="s">
        <v>3251</v>
      </c>
      <c r="H1480" s="4">
        <v>13063.449000000001</v>
      </c>
    </row>
    <row r="1481" spans="1:8" x14ac:dyDescent="0.3">
      <c r="A1481" t="s">
        <v>6</v>
      </c>
      <c r="B1481" t="s">
        <v>7</v>
      </c>
      <c r="C1481" t="s">
        <v>616</v>
      </c>
      <c r="D1481" t="s">
        <v>9</v>
      </c>
      <c r="E1481" t="s">
        <v>623</v>
      </c>
      <c r="F1481" t="str">
        <f>"001600018972"</f>
        <v>001600018972</v>
      </c>
      <c r="G1481" t="s">
        <v>3595</v>
      </c>
      <c r="H1481" s="4">
        <v>12993.82</v>
      </c>
    </row>
    <row r="1482" spans="1:8" x14ac:dyDescent="0.3">
      <c r="A1482" t="s">
        <v>6</v>
      </c>
      <c r="B1482" t="s">
        <v>7</v>
      </c>
      <c r="C1482" t="s">
        <v>1786</v>
      </c>
      <c r="D1482" t="s">
        <v>9</v>
      </c>
      <c r="E1482" t="s">
        <v>1796</v>
      </c>
      <c r="F1482" t="str">
        <f>"072534242648"</f>
        <v>072534242648</v>
      </c>
      <c r="G1482" t="s">
        <v>3566</v>
      </c>
      <c r="H1482" s="4">
        <v>12947.3</v>
      </c>
    </row>
    <row r="1483" spans="1:8" x14ac:dyDescent="0.3">
      <c r="A1483" t="s">
        <v>6</v>
      </c>
      <c r="B1483" t="s">
        <v>7</v>
      </c>
      <c r="C1483" t="s">
        <v>381</v>
      </c>
      <c r="D1483" t="s">
        <v>9</v>
      </c>
      <c r="E1483" t="s">
        <v>407</v>
      </c>
      <c r="F1483" t="str">
        <f>"002190840775"</f>
        <v>002190840775</v>
      </c>
      <c r="G1483" t="s">
        <v>3134</v>
      </c>
      <c r="H1483" s="4">
        <v>12904.084000000001</v>
      </c>
    </row>
    <row r="1484" spans="1:8" x14ac:dyDescent="0.3">
      <c r="A1484" t="s">
        <v>6</v>
      </c>
      <c r="B1484" t="s">
        <v>7</v>
      </c>
      <c r="C1484" t="s">
        <v>985</v>
      </c>
      <c r="D1484" t="s">
        <v>9</v>
      </c>
      <c r="E1484" t="s">
        <v>1058</v>
      </c>
      <c r="F1484" t="str">
        <f>"001356261051"</f>
        <v>001356261051</v>
      </c>
      <c r="G1484" t="s">
        <v>2652</v>
      </c>
      <c r="H1484" s="4">
        <v>12865.816999999999</v>
      </c>
    </row>
    <row r="1485" spans="1:8" x14ac:dyDescent="0.3">
      <c r="A1485" t="s">
        <v>6</v>
      </c>
      <c r="B1485" t="s">
        <v>7</v>
      </c>
      <c r="C1485" t="s">
        <v>797</v>
      </c>
      <c r="D1485" t="s">
        <v>9</v>
      </c>
      <c r="E1485" t="s">
        <v>976</v>
      </c>
      <c r="F1485" t="str">
        <f>"001600041777"</f>
        <v>001600041777</v>
      </c>
      <c r="G1485" t="s">
        <v>2573</v>
      </c>
      <c r="H1485" s="4">
        <v>12817.165999999999</v>
      </c>
    </row>
    <row r="1486" spans="1:8" x14ac:dyDescent="0.3">
      <c r="A1486" t="s">
        <v>6</v>
      </c>
      <c r="B1486" t="s">
        <v>7</v>
      </c>
      <c r="C1486" t="s">
        <v>381</v>
      </c>
      <c r="D1486" t="s">
        <v>9</v>
      </c>
      <c r="E1486" t="s">
        <v>403</v>
      </c>
      <c r="F1486" t="str">
        <f>"002190812193"</f>
        <v>002190812193</v>
      </c>
      <c r="G1486" t="s">
        <v>3130</v>
      </c>
      <c r="H1486" s="4">
        <v>12664.4</v>
      </c>
    </row>
    <row r="1487" spans="1:8" x14ac:dyDescent="0.3">
      <c r="A1487" t="s">
        <v>6</v>
      </c>
      <c r="B1487" t="s">
        <v>7</v>
      </c>
      <c r="C1487" t="s">
        <v>1786</v>
      </c>
      <c r="D1487" t="s">
        <v>9</v>
      </c>
      <c r="E1487" t="s">
        <v>1795</v>
      </c>
      <c r="F1487" t="str">
        <f>"072534228741"</f>
        <v>072534228741</v>
      </c>
      <c r="G1487" t="s">
        <v>3563</v>
      </c>
      <c r="H1487" s="4">
        <v>12574.804</v>
      </c>
    </row>
    <row r="1488" spans="1:8" x14ac:dyDescent="0.3">
      <c r="A1488" t="s">
        <v>6</v>
      </c>
      <c r="B1488" t="s">
        <v>7</v>
      </c>
      <c r="C1488" t="s">
        <v>1338</v>
      </c>
      <c r="D1488" t="s">
        <v>9</v>
      </c>
      <c r="E1488" t="s">
        <v>1380</v>
      </c>
      <c r="F1488" t="str">
        <f>"004280012013"</f>
        <v>004280012013</v>
      </c>
      <c r="G1488" t="s">
        <v>2936</v>
      </c>
      <c r="H1488" s="4">
        <v>12572.55</v>
      </c>
    </row>
    <row r="1489" spans="1:8" x14ac:dyDescent="0.3">
      <c r="A1489" t="s">
        <v>6</v>
      </c>
      <c r="B1489" t="s">
        <v>7</v>
      </c>
      <c r="C1489" t="s">
        <v>1397</v>
      </c>
      <c r="D1489" t="s">
        <v>9</v>
      </c>
      <c r="E1489" t="s">
        <v>1534</v>
      </c>
      <c r="F1489" t="str">
        <f>"004119602012"</f>
        <v>004119602012</v>
      </c>
      <c r="G1489" t="s">
        <v>3078</v>
      </c>
      <c r="H1489" s="4">
        <v>12520.758</v>
      </c>
    </row>
    <row r="1490" spans="1:8" x14ac:dyDescent="0.3">
      <c r="A1490" t="s">
        <v>6</v>
      </c>
      <c r="B1490" t="s">
        <v>7</v>
      </c>
      <c r="C1490" t="s">
        <v>1940</v>
      </c>
      <c r="D1490" t="s">
        <v>9</v>
      </c>
      <c r="E1490" t="s">
        <v>2079</v>
      </c>
      <c r="F1490" t="str">
        <f>"007047000312"</f>
        <v>007047000312</v>
      </c>
      <c r="G1490" t="s">
        <v>3965</v>
      </c>
      <c r="H1490" s="4">
        <v>12473.221</v>
      </c>
    </row>
    <row r="1491" spans="1:8" x14ac:dyDescent="0.3">
      <c r="A1491" t="s">
        <v>6</v>
      </c>
      <c r="B1491" t="s">
        <v>7</v>
      </c>
      <c r="C1491" t="s">
        <v>797</v>
      </c>
      <c r="D1491" t="s">
        <v>9</v>
      </c>
      <c r="E1491" t="s">
        <v>832</v>
      </c>
      <c r="F1491" t="str">
        <f>"001600017751"</f>
        <v>001600017751</v>
      </c>
      <c r="G1491" t="s">
        <v>2428</v>
      </c>
      <c r="H1491" s="4">
        <v>12457.63</v>
      </c>
    </row>
    <row r="1492" spans="1:8" x14ac:dyDescent="0.3">
      <c r="A1492" t="s">
        <v>6</v>
      </c>
      <c r="B1492" t="s">
        <v>7</v>
      </c>
      <c r="C1492" t="s">
        <v>1940</v>
      </c>
      <c r="D1492" t="s">
        <v>9</v>
      </c>
      <c r="E1492" t="s">
        <v>2065</v>
      </c>
      <c r="F1492" t="str">
        <f>"007047045726"</f>
        <v>007047045726</v>
      </c>
      <c r="G1492" t="s">
        <v>3952</v>
      </c>
      <c r="H1492" s="4">
        <v>12439.966</v>
      </c>
    </row>
    <row r="1493" spans="1:8" x14ac:dyDescent="0.3">
      <c r="A1493" t="s">
        <v>6</v>
      </c>
      <c r="B1493" t="s">
        <v>7</v>
      </c>
      <c r="C1493" t="s">
        <v>1397</v>
      </c>
      <c r="D1493" t="s">
        <v>9</v>
      </c>
      <c r="E1493" t="s">
        <v>1523</v>
      </c>
      <c r="F1493" t="str">
        <f>"004119689105"</f>
        <v>004119689105</v>
      </c>
      <c r="G1493" t="s">
        <v>3067</v>
      </c>
      <c r="H1493" s="4">
        <v>12410.504999999999</v>
      </c>
    </row>
    <row r="1494" spans="1:8" x14ac:dyDescent="0.3">
      <c r="A1494" t="s">
        <v>6</v>
      </c>
      <c r="B1494" t="s">
        <v>7</v>
      </c>
      <c r="C1494" t="s">
        <v>1940</v>
      </c>
      <c r="D1494" t="s">
        <v>9</v>
      </c>
      <c r="E1494" t="s">
        <v>2078</v>
      </c>
      <c r="F1494" t="str">
        <f>"007047043333"</f>
        <v>007047043333</v>
      </c>
      <c r="G1494" t="s">
        <v>3964</v>
      </c>
      <c r="H1494" s="4">
        <v>12394.89</v>
      </c>
    </row>
    <row r="1495" spans="1:8" x14ac:dyDescent="0.3">
      <c r="A1495" t="s">
        <v>6</v>
      </c>
      <c r="B1495" t="s">
        <v>7</v>
      </c>
      <c r="C1495" t="s">
        <v>1748</v>
      </c>
      <c r="D1495" t="s">
        <v>9</v>
      </c>
      <c r="E1495" t="s">
        <v>1770</v>
      </c>
      <c r="F1495" t="str">
        <f>"009232533353"</f>
        <v>009232533353</v>
      </c>
      <c r="G1495" t="s">
        <v>3532</v>
      </c>
      <c r="H1495" s="4">
        <v>12385.073</v>
      </c>
    </row>
    <row r="1496" spans="1:8" x14ac:dyDescent="0.3">
      <c r="A1496" t="s">
        <v>6</v>
      </c>
      <c r="B1496" t="s">
        <v>7</v>
      </c>
      <c r="C1496" t="s">
        <v>8</v>
      </c>
      <c r="D1496" t="s">
        <v>9</v>
      </c>
      <c r="E1496" t="s">
        <v>28</v>
      </c>
      <c r="F1496" t="str">
        <f>"001356246807"</f>
        <v>001356246807</v>
      </c>
      <c r="G1496" t="s">
        <v>4010</v>
      </c>
      <c r="H1496" s="4">
        <v>12383.541999999999</v>
      </c>
    </row>
    <row r="1497" spans="1:8" x14ac:dyDescent="0.3">
      <c r="A1497" t="s">
        <v>6</v>
      </c>
      <c r="B1497" t="s">
        <v>7</v>
      </c>
      <c r="C1497" t="s">
        <v>1122</v>
      </c>
      <c r="D1497" t="s">
        <v>9</v>
      </c>
      <c r="E1497" t="s">
        <v>1234</v>
      </c>
      <c r="F1497" t="str">
        <f>"001600028904"</f>
        <v>001600028904</v>
      </c>
      <c r="G1497" t="s">
        <v>2807</v>
      </c>
      <c r="H1497" s="4">
        <v>12348.378000000001</v>
      </c>
    </row>
    <row r="1498" spans="1:8" x14ac:dyDescent="0.3">
      <c r="A1498" t="s">
        <v>6</v>
      </c>
      <c r="B1498" t="s">
        <v>7</v>
      </c>
      <c r="C1498" t="s">
        <v>985</v>
      </c>
      <c r="D1498" t="s">
        <v>9</v>
      </c>
      <c r="E1498" t="s">
        <v>988</v>
      </c>
      <c r="F1498" t="str">
        <f>"001356211172"</f>
        <v>001356211172</v>
      </c>
      <c r="G1498" t="s">
        <v>2584</v>
      </c>
      <c r="H1498" s="4">
        <v>12282.5</v>
      </c>
    </row>
    <row r="1499" spans="1:8" x14ac:dyDescent="0.3">
      <c r="A1499" t="s">
        <v>6</v>
      </c>
      <c r="B1499" t="s">
        <v>7</v>
      </c>
      <c r="C1499" t="s">
        <v>1397</v>
      </c>
      <c r="D1499" t="s">
        <v>9</v>
      </c>
      <c r="E1499" t="s">
        <v>1546</v>
      </c>
      <c r="F1499" t="str">
        <f>"004119612943"</f>
        <v>004119612943</v>
      </c>
      <c r="G1499" t="s">
        <v>3090</v>
      </c>
      <c r="H1499" s="4">
        <v>12243.721</v>
      </c>
    </row>
    <row r="1500" spans="1:8" x14ac:dyDescent="0.3">
      <c r="A1500" t="s">
        <v>6</v>
      </c>
      <c r="B1500" t="s">
        <v>7</v>
      </c>
      <c r="C1500" t="s">
        <v>1397</v>
      </c>
      <c r="D1500" t="s">
        <v>9</v>
      </c>
      <c r="E1500" t="s">
        <v>1441</v>
      </c>
      <c r="F1500" t="str">
        <f>"073215324057"</f>
        <v>073215324057</v>
      </c>
      <c r="G1500" t="s">
        <v>2992</v>
      </c>
      <c r="H1500" s="4">
        <v>12220.82</v>
      </c>
    </row>
    <row r="1501" spans="1:8" x14ac:dyDescent="0.3">
      <c r="A1501" t="s">
        <v>6</v>
      </c>
      <c r="B1501" t="s">
        <v>7</v>
      </c>
      <c r="C1501" t="s">
        <v>616</v>
      </c>
      <c r="D1501" t="s">
        <v>9</v>
      </c>
      <c r="E1501" t="s">
        <v>735</v>
      </c>
      <c r="F1501" t="str">
        <f>"002190850919"</f>
        <v>002190850919</v>
      </c>
      <c r="G1501" t="s">
        <v>3705</v>
      </c>
      <c r="H1501" s="4">
        <v>12164.012000000001</v>
      </c>
    </row>
    <row r="1502" spans="1:8" x14ac:dyDescent="0.3">
      <c r="A1502" t="s">
        <v>6</v>
      </c>
      <c r="B1502" t="s">
        <v>7</v>
      </c>
      <c r="C1502" t="s">
        <v>1940</v>
      </c>
      <c r="D1502" t="s">
        <v>9</v>
      </c>
      <c r="E1502" t="s">
        <v>2104</v>
      </c>
      <c r="F1502" t="str">
        <f>"007047020011"</f>
        <v>007047020011</v>
      </c>
      <c r="G1502" t="s">
        <v>2389</v>
      </c>
      <c r="H1502" s="4">
        <v>12071.255999999999</v>
      </c>
    </row>
    <row r="1503" spans="1:8" x14ac:dyDescent="0.3">
      <c r="A1503" t="s">
        <v>6</v>
      </c>
      <c r="B1503" t="s">
        <v>7</v>
      </c>
      <c r="C1503" t="s">
        <v>985</v>
      </c>
      <c r="D1503" t="s">
        <v>9</v>
      </c>
      <c r="E1503" t="s">
        <v>1042</v>
      </c>
      <c r="F1503" t="str">
        <f>"001356230050"</f>
        <v>001356230050</v>
      </c>
      <c r="G1503" t="s">
        <v>2638</v>
      </c>
      <c r="H1503" s="4">
        <v>12064.77</v>
      </c>
    </row>
    <row r="1504" spans="1:8" x14ac:dyDescent="0.3">
      <c r="A1504" t="s">
        <v>6</v>
      </c>
      <c r="B1504" t="s">
        <v>7</v>
      </c>
      <c r="C1504" t="s">
        <v>1397</v>
      </c>
      <c r="D1504" t="s">
        <v>9</v>
      </c>
      <c r="E1504" t="s">
        <v>1521</v>
      </c>
      <c r="F1504" t="str">
        <f>"004119689121"</f>
        <v>004119689121</v>
      </c>
      <c r="G1504" t="s">
        <v>3065</v>
      </c>
      <c r="H1504" s="4">
        <v>12048.393</v>
      </c>
    </row>
    <row r="1505" spans="1:8" x14ac:dyDescent="0.3">
      <c r="A1505" t="s">
        <v>6</v>
      </c>
      <c r="B1505" t="s">
        <v>7</v>
      </c>
      <c r="C1505" t="s">
        <v>1940</v>
      </c>
      <c r="D1505" t="s">
        <v>9</v>
      </c>
      <c r="E1505" t="s">
        <v>1976</v>
      </c>
      <c r="F1505" t="str">
        <f>"007047018745"</f>
        <v>007047018745</v>
      </c>
      <c r="G1505" t="s">
        <v>3865</v>
      </c>
      <c r="H1505" s="4">
        <v>12008.877</v>
      </c>
    </row>
    <row r="1506" spans="1:8" x14ac:dyDescent="0.3">
      <c r="A1506" t="s">
        <v>6</v>
      </c>
      <c r="B1506" t="s">
        <v>7</v>
      </c>
      <c r="C1506" t="s">
        <v>381</v>
      </c>
      <c r="D1506" t="s">
        <v>9</v>
      </c>
      <c r="E1506" t="s">
        <v>429</v>
      </c>
      <c r="F1506" t="str">
        <f>"001600010783"</f>
        <v>001600010783</v>
      </c>
      <c r="G1506" t="s">
        <v>3155</v>
      </c>
      <c r="H1506" s="4">
        <v>12006.665000000001</v>
      </c>
    </row>
    <row r="1507" spans="1:8" x14ac:dyDescent="0.3">
      <c r="A1507" t="s">
        <v>6</v>
      </c>
      <c r="B1507" t="s">
        <v>7</v>
      </c>
      <c r="C1507" t="s">
        <v>1940</v>
      </c>
      <c r="D1507" t="s">
        <v>9</v>
      </c>
      <c r="E1507" t="s">
        <v>1955</v>
      </c>
      <c r="F1507" t="str">
        <f>"007047020631"</f>
        <v>007047020631</v>
      </c>
      <c r="G1507" t="s">
        <v>3839</v>
      </c>
      <c r="H1507" s="4">
        <v>11983.994000000001</v>
      </c>
    </row>
    <row r="1508" spans="1:8" x14ac:dyDescent="0.3">
      <c r="A1508" t="s">
        <v>6</v>
      </c>
      <c r="B1508" t="s">
        <v>7</v>
      </c>
      <c r="C1508" t="s">
        <v>1748</v>
      </c>
      <c r="D1508" t="s">
        <v>9</v>
      </c>
      <c r="E1508" t="s">
        <v>1764</v>
      </c>
      <c r="F1508" t="str">
        <f>"009232533332"</f>
        <v>009232533332</v>
      </c>
      <c r="G1508" t="s">
        <v>3526</v>
      </c>
      <c r="H1508" s="4">
        <v>11983.598</v>
      </c>
    </row>
    <row r="1509" spans="1:8" x14ac:dyDescent="0.3">
      <c r="A1509" t="s">
        <v>6</v>
      </c>
      <c r="B1509" t="s">
        <v>7</v>
      </c>
      <c r="C1509" t="s">
        <v>2231</v>
      </c>
      <c r="D1509" t="s">
        <v>9</v>
      </c>
      <c r="E1509" t="s">
        <v>2276</v>
      </c>
      <c r="F1509" t="str">
        <f>"004119613071"</f>
        <v>004119613071</v>
      </c>
      <c r="G1509" t="s">
        <v>4473</v>
      </c>
      <c r="H1509" s="4">
        <v>11952.008</v>
      </c>
    </row>
    <row r="1510" spans="1:8" x14ac:dyDescent="0.3">
      <c r="A1510" t="s">
        <v>6</v>
      </c>
      <c r="B1510" t="s">
        <v>7</v>
      </c>
      <c r="C1510" t="s">
        <v>1397</v>
      </c>
      <c r="D1510" t="s">
        <v>9</v>
      </c>
      <c r="E1510" t="s">
        <v>1496</v>
      </c>
      <c r="F1510" t="str">
        <f>"009456213229"</f>
        <v>009456213229</v>
      </c>
      <c r="G1510" t="s">
        <v>3042</v>
      </c>
      <c r="H1510" s="4">
        <v>11929.843000000001</v>
      </c>
    </row>
    <row r="1511" spans="1:8" x14ac:dyDescent="0.3">
      <c r="A1511" t="s">
        <v>6</v>
      </c>
      <c r="B1511" t="s">
        <v>7</v>
      </c>
      <c r="C1511" t="s">
        <v>616</v>
      </c>
      <c r="D1511" t="s">
        <v>9</v>
      </c>
      <c r="E1511" t="s">
        <v>753</v>
      </c>
      <c r="F1511" t="str">
        <f>"002190850915"</f>
        <v>002190850915</v>
      </c>
      <c r="G1511" t="s">
        <v>3723</v>
      </c>
      <c r="H1511" s="4">
        <v>11909.898999999999</v>
      </c>
    </row>
    <row r="1512" spans="1:8" x14ac:dyDescent="0.3">
      <c r="A1512" t="s">
        <v>6</v>
      </c>
      <c r="B1512" t="s">
        <v>7</v>
      </c>
      <c r="C1512" t="s">
        <v>616</v>
      </c>
      <c r="D1512" t="s">
        <v>9</v>
      </c>
      <c r="E1512" t="s">
        <v>673</v>
      </c>
      <c r="F1512" t="str">
        <f>"002190813093"</f>
        <v>002190813093</v>
      </c>
      <c r="G1512" t="s">
        <v>3643</v>
      </c>
      <c r="H1512" s="4">
        <v>11830.92</v>
      </c>
    </row>
    <row r="1513" spans="1:8" x14ac:dyDescent="0.3">
      <c r="A1513" t="s">
        <v>6</v>
      </c>
      <c r="B1513" t="s">
        <v>7</v>
      </c>
      <c r="C1513" t="s">
        <v>797</v>
      </c>
      <c r="D1513" t="s">
        <v>9</v>
      </c>
      <c r="E1513" t="s">
        <v>963</v>
      </c>
      <c r="F1513" t="str">
        <f>"001600040984"</f>
        <v>001600040984</v>
      </c>
      <c r="G1513" t="s">
        <v>2558</v>
      </c>
      <c r="H1513" s="4">
        <v>11829.468000000001</v>
      </c>
    </row>
    <row r="1514" spans="1:8" x14ac:dyDescent="0.3">
      <c r="A1514" t="s">
        <v>6</v>
      </c>
      <c r="B1514" t="s">
        <v>7</v>
      </c>
      <c r="C1514" t="s">
        <v>1552</v>
      </c>
      <c r="D1514" t="s">
        <v>9</v>
      </c>
      <c r="E1514" t="s">
        <v>1567</v>
      </c>
      <c r="F1514" t="str">
        <f>"001356212427"</f>
        <v>001356212427</v>
      </c>
      <c r="G1514" t="s">
        <v>3109</v>
      </c>
      <c r="H1514" s="4">
        <v>11826.905000000001</v>
      </c>
    </row>
    <row r="1515" spans="1:8" x14ac:dyDescent="0.3">
      <c r="A1515" t="s">
        <v>6</v>
      </c>
      <c r="B1515" t="s">
        <v>7</v>
      </c>
      <c r="C1515" t="s">
        <v>381</v>
      </c>
      <c r="D1515" t="s">
        <v>9</v>
      </c>
      <c r="E1515" t="s">
        <v>393</v>
      </c>
      <c r="F1515" t="str">
        <f>"001356246051"</f>
        <v>001356246051</v>
      </c>
      <c r="G1515" t="s">
        <v>3121</v>
      </c>
      <c r="H1515" s="4">
        <v>11803.165999999999</v>
      </c>
    </row>
    <row r="1516" spans="1:8" x14ac:dyDescent="0.3">
      <c r="A1516" t="s">
        <v>6</v>
      </c>
      <c r="B1516" t="s">
        <v>7</v>
      </c>
      <c r="C1516" t="s">
        <v>1695</v>
      </c>
      <c r="D1516" t="s">
        <v>9</v>
      </c>
      <c r="E1516" t="s">
        <v>1706</v>
      </c>
      <c r="F1516" t="str">
        <f>"002190810869"</f>
        <v>002190810869</v>
      </c>
      <c r="G1516" t="s">
        <v>3470</v>
      </c>
      <c r="H1516" s="4">
        <v>11749.517</v>
      </c>
    </row>
    <row r="1517" spans="1:8" x14ac:dyDescent="0.3">
      <c r="A1517" t="s">
        <v>6</v>
      </c>
      <c r="B1517" t="s">
        <v>7</v>
      </c>
      <c r="C1517" t="s">
        <v>797</v>
      </c>
      <c r="D1517" t="s">
        <v>9</v>
      </c>
      <c r="E1517" t="s">
        <v>905</v>
      </c>
      <c r="F1517" t="str">
        <f>"001600020594"</f>
        <v>001600020594</v>
      </c>
      <c r="G1517" t="s">
        <v>2496</v>
      </c>
      <c r="H1517" s="4">
        <v>11741.83</v>
      </c>
    </row>
    <row r="1518" spans="1:8" x14ac:dyDescent="0.3">
      <c r="A1518" t="s">
        <v>6</v>
      </c>
      <c r="B1518" t="s">
        <v>7</v>
      </c>
      <c r="C1518" t="s">
        <v>1122</v>
      </c>
      <c r="D1518" t="s">
        <v>9</v>
      </c>
      <c r="E1518" t="s">
        <v>1228</v>
      </c>
      <c r="F1518" t="str">
        <f>"001600035510"</f>
        <v>001600035510</v>
      </c>
      <c r="G1518" t="s">
        <v>2802</v>
      </c>
      <c r="H1518" s="4">
        <v>11729.92</v>
      </c>
    </row>
    <row r="1519" spans="1:8" x14ac:dyDescent="0.3">
      <c r="A1519" t="s">
        <v>6</v>
      </c>
      <c r="B1519" t="s">
        <v>7</v>
      </c>
      <c r="C1519" t="s">
        <v>2113</v>
      </c>
      <c r="D1519" t="s">
        <v>9</v>
      </c>
      <c r="E1519" t="s">
        <v>2208</v>
      </c>
      <c r="F1519" t="str">
        <f>"001600018909"</f>
        <v>001600018909</v>
      </c>
      <c r="G1519" t="s">
        <v>4411</v>
      </c>
      <c r="H1519" s="4">
        <v>11728.52</v>
      </c>
    </row>
    <row r="1520" spans="1:8" x14ac:dyDescent="0.3">
      <c r="A1520" t="s">
        <v>6</v>
      </c>
      <c r="B1520" t="s">
        <v>7</v>
      </c>
      <c r="C1520" t="s">
        <v>1695</v>
      </c>
      <c r="D1520" t="s">
        <v>9</v>
      </c>
      <c r="E1520" t="s">
        <v>1727</v>
      </c>
      <c r="F1520" t="str">
        <f>"002190828921"</f>
        <v>002190828921</v>
      </c>
      <c r="G1520" t="s">
        <v>3491</v>
      </c>
      <c r="H1520" s="4">
        <v>11718.821</v>
      </c>
    </row>
    <row r="1521" spans="1:8" x14ac:dyDescent="0.3">
      <c r="A1521" t="s">
        <v>6</v>
      </c>
      <c r="B1521" t="s">
        <v>7</v>
      </c>
      <c r="C1521" t="s">
        <v>2231</v>
      </c>
      <c r="D1521" t="s">
        <v>9</v>
      </c>
      <c r="E1521" t="s">
        <v>2241</v>
      </c>
      <c r="F1521" t="str">
        <f>"073215302741"</f>
        <v>073215302741</v>
      </c>
      <c r="G1521" t="s">
        <v>4438</v>
      </c>
      <c r="H1521" s="4">
        <v>11692.541999999999</v>
      </c>
    </row>
    <row r="1522" spans="1:8" x14ac:dyDescent="0.3">
      <c r="A1522" t="s">
        <v>6</v>
      </c>
      <c r="B1522" t="s">
        <v>7</v>
      </c>
      <c r="C1522" t="s">
        <v>616</v>
      </c>
      <c r="D1522" t="s">
        <v>9</v>
      </c>
      <c r="E1522" t="s">
        <v>763</v>
      </c>
      <c r="F1522" t="str">
        <f>"002190812041"</f>
        <v>002190812041</v>
      </c>
      <c r="G1522" t="s">
        <v>3732</v>
      </c>
      <c r="H1522" s="4">
        <v>11686.95</v>
      </c>
    </row>
    <row r="1523" spans="1:8" x14ac:dyDescent="0.3">
      <c r="A1523" t="s">
        <v>6</v>
      </c>
      <c r="B1523" t="s">
        <v>7</v>
      </c>
      <c r="C1523" t="s">
        <v>616</v>
      </c>
      <c r="D1523" t="s">
        <v>9</v>
      </c>
      <c r="E1523" t="s">
        <v>749</v>
      </c>
      <c r="F1523" t="str">
        <f>"002190845337"</f>
        <v>002190845337</v>
      </c>
      <c r="G1523" t="s">
        <v>3719</v>
      </c>
      <c r="H1523" s="4">
        <v>11617.446</v>
      </c>
    </row>
    <row r="1524" spans="1:8" x14ac:dyDescent="0.3">
      <c r="A1524" t="s">
        <v>6</v>
      </c>
      <c r="B1524" t="s">
        <v>7</v>
      </c>
      <c r="C1524" t="s">
        <v>8</v>
      </c>
      <c r="D1524" t="s">
        <v>9</v>
      </c>
      <c r="E1524" t="s">
        <v>123</v>
      </c>
      <c r="F1524" t="str">
        <f>"001600018659"</f>
        <v>001600018659</v>
      </c>
      <c r="G1524" t="s">
        <v>4090</v>
      </c>
      <c r="H1524" s="4">
        <v>11547.19</v>
      </c>
    </row>
    <row r="1525" spans="1:8" x14ac:dyDescent="0.3">
      <c r="A1525" t="s">
        <v>6</v>
      </c>
      <c r="B1525" t="s">
        <v>7</v>
      </c>
      <c r="C1525" t="s">
        <v>1940</v>
      </c>
      <c r="D1525" t="s">
        <v>9</v>
      </c>
      <c r="E1525" t="s">
        <v>1982</v>
      </c>
      <c r="F1525" t="str">
        <f>"007047019074"</f>
        <v>007047019074</v>
      </c>
      <c r="G1525" t="s">
        <v>2389</v>
      </c>
      <c r="H1525" s="4">
        <v>11497.212</v>
      </c>
    </row>
    <row r="1526" spans="1:8" x14ac:dyDescent="0.3">
      <c r="A1526" t="s">
        <v>6</v>
      </c>
      <c r="B1526" t="s">
        <v>7</v>
      </c>
      <c r="C1526" t="s">
        <v>770</v>
      </c>
      <c r="D1526" t="s">
        <v>9</v>
      </c>
      <c r="E1526" t="s">
        <v>786</v>
      </c>
      <c r="F1526" t="str">
        <f>"001600042731"</f>
        <v>001600042731</v>
      </c>
      <c r="G1526" t="s">
        <v>2386</v>
      </c>
      <c r="H1526" s="4">
        <v>11451.950999999999</v>
      </c>
    </row>
    <row r="1527" spans="1:8" x14ac:dyDescent="0.3">
      <c r="A1527" t="s">
        <v>6</v>
      </c>
      <c r="B1527" t="s">
        <v>7</v>
      </c>
      <c r="C1527" t="s">
        <v>1286</v>
      </c>
      <c r="D1527" t="s">
        <v>9</v>
      </c>
      <c r="E1527" t="s">
        <v>1299</v>
      </c>
      <c r="F1527" t="str">
        <f>"001800012389"</f>
        <v>001800012389</v>
      </c>
      <c r="G1527" t="s">
        <v>2863</v>
      </c>
      <c r="H1527" s="4">
        <v>11387.04</v>
      </c>
    </row>
    <row r="1528" spans="1:8" x14ac:dyDescent="0.3">
      <c r="A1528" t="s">
        <v>6</v>
      </c>
      <c r="B1528" t="s">
        <v>7</v>
      </c>
      <c r="C1528" t="s">
        <v>1729</v>
      </c>
      <c r="D1528" t="s">
        <v>9</v>
      </c>
      <c r="E1528" t="s">
        <v>1733</v>
      </c>
      <c r="F1528" t="str">
        <f>"072534213227"</f>
        <v>072534213227</v>
      </c>
      <c r="G1528" t="s">
        <v>3496</v>
      </c>
      <c r="H1528" s="4">
        <v>11381.789000000001</v>
      </c>
    </row>
    <row r="1529" spans="1:8" x14ac:dyDescent="0.3">
      <c r="A1529" t="s">
        <v>6</v>
      </c>
      <c r="B1529" t="s">
        <v>7</v>
      </c>
      <c r="C1529" t="s">
        <v>381</v>
      </c>
      <c r="D1529" t="s">
        <v>9</v>
      </c>
      <c r="E1529" t="s">
        <v>420</v>
      </c>
      <c r="F1529" t="str">
        <f>"001600018895"</f>
        <v>001600018895</v>
      </c>
      <c r="G1529" t="s">
        <v>3146</v>
      </c>
      <c r="H1529" s="4">
        <v>11377.76</v>
      </c>
    </row>
    <row r="1530" spans="1:8" x14ac:dyDescent="0.3">
      <c r="A1530" t="s">
        <v>6</v>
      </c>
      <c r="B1530" t="s">
        <v>7</v>
      </c>
      <c r="C1530" t="s">
        <v>797</v>
      </c>
      <c r="D1530" t="s">
        <v>9</v>
      </c>
      <c r="E1530" t="s">
        <v>940</v>
      </c>
      <c r="F1530" t="str">
        <f>"001600045860"</f>
        <v>001600045860</v>
      </c>
      <c r="G1530" t="s">
        <v>2535</v>
      </c>
      <c r="H1530" s="4">
        <v>11356.564</v>
      </c>
    </row>
    <row r="1531" spans="1:8" x14ac:dyDescent="0.3">
      <c r="A1531" t="s">
        <v>6</v>
      </c>
      <c r="B1531" t="s">
        <v>7</v>
      </c>
      <c r="C1531" t="s">
        <v>1122</v>
      </c>
      <c r="D1531" t="s">
        <v>9</v>
      </c>
      <c r="E1531" t="s">
        <v>1245</v>
      </c>
      <c r="F1531" t="str">
        <f>"001600017775"</f>
        <v>001600017775</v>
      </c>
      <c r="G1531" t="s">
        <v>2389</v>
      </c>
      <c r="H1531" s="4">
        <v>11356.33</v>
      </c>
    </row>
    <row r="1532" spans="1:8" x14ac:dyDescent="0.3">
      <c r="A1532" t="s">
        <v>6</v>
      </c>
      <c r="B1532" t="s">
        <v>7</v>
      </c>
      <c r="C1532" t="s">
        <v>1095</v>
      </c>
      <c r="D1532" t="s">
        <v>9</v>
      </c>
      <c r="E1532" t="s">
        <v>1117</v>
      </c>
      <c r="F1532" t="str">
        <f>"001600013310"</f>
        <v>001600013310</v>
      </c>
      <c r="G1532" t="s">
        <v>2716</v>
      </c>
      <c r="H1532" s="4">
        <v>11300.066999999999</v>
      </c>
    </row>
    <row r="1533" spans="1:8" x14ac:dyDescent="0.3">
      <c r="A1533" t="s">
        <v>6</v>
      </c>
      <c r="B1533" t="s">
        <v>7</v>
      </c>
      <c r="C1533" t="s">
        <v>1397</v>
      </c>
      <c r="D1533" t="s">
        <v>9</v>
      </c>
      <c r="E1533" t="s">
        <v>1459</v>
      </c>
      <c r="F1533" t="str">
        <f>"073215312468"</f>
        <v>073215312468</v>
      </c>
      <c r="G1533" t="s">
        <v>3009</v>
      </c>
      <c r="H1533" s="4">
        <v>11228.858</v>
      </c>
    </row>
    <row r="1534" spans="1:8" x14ac:dyDescent="0.3">
      <c r="A1534" t="s">
        <v>6</v>
      </c>
      <c r="B1534" t="s">
        <v>7</v>
      </c>
      <c r="C1534" t="s">
        <v>985</v>
      </c>
      <c r="D1534" t="s">
        <v>9</v>
      </c>
      <c r="E1534" t="s">
        <v>1061</v>
      </c>
      <c r="F1534" t="str">
        <f>"001356200057"</f>
        <v>001356200057</v>
      </c>
      <c r="G1534" t="s">
        <v>2655</v>
      </c>
      <c r="H1534" s="4">
        <v>11204.675999999999</v>
      </c>
    </row>
    <row r="1535" spans="1:8" x14ac:dyDescent="0.3">
      <c r="A1535" t="s">
        <v>6</v>
      </c>
      <c r="B1535" t="s">
        <v>7</v>
      </c>
      <c r="C1535" t="s">
        <v>1397</v>
      </c>
      <c r="D1535" t="s">
        <v>9</v>
      </c>
      <c r="E1535" t="s">
        <v>1516</v>
      </c>
      <c r="F1535" t="str">
        <f>"004119689101"</f>
        <v>004119689101</v>
      </c>
      <c r="G1535" t="s">
        <v>3060</v>
      </c>
      <c r="H1535" s="4">
        <v>11157.195</v>
      </c>
    </row>
    <row r="1536" spans="1:8" x14ac:dyDescent="0.3">
      <c r="A1536" t="s">
        <v>6</v>
      </c>
      <c r="B1536" t="s">
        <v>7</v>
      </c>
      <c r="C1536" t="s">
        <v>1072</v>
      </c>
      <c r="D1536" t="s">
        <v>9</v>
      </c>
      <c r="E1536" t="s">
        <v>1076</v>
      </c>
      <c r="F1536" t="str">
        <f>"001600020066"</f>
        <v>001600020066</v>
      </c>
      <c r="G1536" t="s">
        <v>2679</v>
      </c>
      <c r="H1536" s="4">
        <v>11103.609</v>
      </c>
    </row>
    <row r="1537" spans="1:8" x14ac:dyDescent="0.3">
      <c r="A1537" t="s">
        <v>6</v>
      </c>
      <c r="B1537" t="s">
        <v>7</v>
      </c>
      <c r="C1537" t="s">
        <v>1695</v>
      </c>
      <c r="D1537" t="s">
        <v>9</v>
      </c>
      <c r="E1537" t="s">
        <v>1721</v>
      </c>
      <c r="F1537" t="str">
        <f>"002190850145"</f>
        <v>002190850145</v>
      </c>
      <c r="G1537" t="s">
        <v>3485</v>
      </c>
      <c r="H1537" s="4">
        <v>11102.885</v>
      </c>
    </row>
    <row r="1538" spans="1:8" x14ac:dyDescent="0.3">
      <c r="A1538" t="s">
        <v>6</v>
      </c>
      <c r="B1538" t="s">
        <v>7</v>
      </c>
      <c r="C1538" t="s">
        <v>616</v>
      </c>
      <c r="D1538" t="s">
        <v>9</v>
      </c>
      <c r="E1538" t="s">
        <v>705</v>
      </c>
      <c r="F1538" t="str">
        <f>"002190810301"</f>
        <v>002190810301</v>
      </c>
      <c r="G1538" t="s">
        <v>3675</v>
      </c>
      <c r="H1538" s="4">
        <v>11098.09</v>
      </c>
    </row>
    <row r="1539" spans="1:8" x14ac:dyDescent="0.3">
      <c r="A1539" t="s">
        <v>6</v>
      </c>
      <c r="B1539" t="s">
        <v>7</v>
      </c>
      <c r="C1539" t="s">
        <v>1072</v>
      </c>
      <c r="D1539" t="s">
        <v>9</v>
      </c>
      <c r="E1539" t="s">
        <v>1085</v>
      </c>
      <c r="F1539" t="str">
        <f>"001600027486"</f>
        <v>001600027486</v>
      </c>
      <c r="G1539" t="s">
        <v>2690</v>
      </c>
      <c r="H1539" s="4">
        <v>10921.852999999999</v>
      </c>
    </row>
    <row r="1540" spans="1:8" x14ac:dyDescent="0.3">
      <c r="A1540" t="s">
        <v>6</v>
      </c>
      <c r="B1540" t="s">
        <v>7</v>
      </c>
      <c r="C1540" t="s">
        <v>616</v>
      </c>
      <c r="D1540" t="s">
        <v>9</v>
      </c>
      <c r="E1540" t="s">
        <v>656</v>
      </c>
      <c r="F1540" t="str">
        <f>"001600017072"</f>
        <v>001600017072</v>
      </c>
      <c r="G1540" t="s">
        <v>3627</v>
      </c>
      <c r="H1540" s="4">
        <v>10906.58</v>
      </c>
    </row>
    <row r="1541" spans="1:8" x14ac:dyDescent="0.3">
      <c r="A1541" t="s">
        <v>6</v>
      </c>
      <c r="B1541" t="s">
        <v>7</v>
      </c>
      <c r="C1541" t="s">
        <v>616</v>
      </c>
      <c r="D1541" t="s">
        <v>9</v>
      </c>
      <c r="E1541" t="s">
        <v>699</v>
      </c>
      <c r="F1541" t="str">
        <f>"002190811541"</f>
        <v>002190811541</v>
      </c>
      <c r="G1541" t="s">
        <v>3669</v>
      </c>
      <c r="H1541" s="4">
        <v>10906.02</v>
      </c>
    </row>
    <row r="1542" spans="1:8" x14ac:dyDescent="0.3">
      <c r="A1542" t="s">
        <v>6</v>
      </c>
      <c r="B1542" t="s">
        <v>7</v>
      </c>
      <c r="C1542" t="s">
        <v>1748</v>
      </c>
      <c r="D1542" t="s">
        <v>9</v>
      </c>
      <c r="E1542" t="s">
        <v>1750</v>
      </c>
      <c r="F1542" t="str">
        <f>"009232533350"</f>
        <v>009232533350</v>
      </c>
      <c r="G1542" t="s">
        <v>3512</v>
      </c>
      <c r="H1542" s="4">
        <v>10745.227999999999</v>
      </c>
    </row>
    <row r="1543" spans="1:8" x14ac:dyDescent="0.3">
      <c r="A1543" t="s">
        <v>6</v>
      </c>
      <c r="B1543" t="s">
        <v>7</v>
      </c>
      <c r="C1543" t="s">
        <v>616</v>
      </c>
      <c r="D1543" t="s">
        <v>9</v>
      </c>
      <c r="E1543" t="s">
        <v>764</v>
      </c>
      <c r="F1543" t="str">
        <f>"002190813419"</f>
        <v>002190813419</v>
      </c>
      <c r="G1543" t="s">
        <v>2389</v>
      </c>
      <c r="H1543" s="4">
        <v>10725.28</v>
      </c>
    </row>
    <row r="1544" spans="1:8" x14ac:dyDescent="0.3">
      <c r="A1544" t="s">
        <v>6</v>
      </c>
      <c r="B1544" t="s">
        <v>7</v>
      </c>
      <c r="C1544" t="s">
        <v>1786</v>
      </c>
      <c r="D1544" t="s">
        <v>9</v>
      </c>
      <c r="E1544" t="s">
        <v>1797</v>
      </c>
      <c r="F1544" t="str">
        <f>"072534213077"</f>
        <v>072534213077</v>
      </c>
      <c r="G1544" t="s">
        <v>3568</v>
      </c>
      <c r="H1544" s="4">
        <v>10663.629000000001</v>
      </c>
    </row>
    <row r="1545" spans="1:8" x14ac:dyDescent="0.3">
      <c r="A1545" t="s">
        <v>6</v>
      </c>
      <c r="B1545" t="s">
        <v>7</v>
      </c>
      <c r="C1545" t="s">
        <v>2231</v>
      </c>
      <c r="D1545" t="s">
        <v>9</v>
      </c>
      <c r="E1545" t="s">
        <v>2243</v>
      </c>
      <c r="F1545" t="str">
        <f>"073215312429"</f>
        <v>073215312429</v>
      </c>
      <c r="G1545" t="s">
        <v>4440</v>
      </c>
      <c r="H1545" s="4">
        <v>10604.466</v>
      </c>
    </row>
    <row r="1546" spans="1:8" x14ac:dyDescent="0.3">
      <c r="A1546" t="s">
        <v>6</v>
      </c>
      <c r="B1546" t="s">
        <v>7</v>
      </c>
      <c r="C1546" t="s">
        <v>381</v>
      </c>
      <c r="D1546" t="s">
        <v>9</v>
      </c>
      <c r="E1546" t="s">
        <v>500</v>
      </c>
      <c r="F1546" t="str">
        <f>"001600041124"</f>
        <v>001600041124</v>
      </c>
      <c r="G1546" t="s">
        <v>2389</v>
      </c>
      <c r="H1546" s="4">
        <v>10592.46</v>
      </c>
    </row>
    <row r="1547" spans="1:8" x14ac:dyDescent="0.3">
      <c r="A1547" t="s">
        <v>6</v>
      </c>
      <c r="B1547" t="s">
        <v>7</v>
      </c>
      <c r="C1547" t="s">
        <v>8</v>
      </c>
      <c r="D1547" t="s">
        <v>9</v>
      </c>
      <c r="E1547" t="s">
        <v>377</v>
      </c>
      <c r="F1547" t="str">
        <f>"001600019002"</f>
        <v>001600019002</v>
      </c>
      <c r="G1547" t="s">
        <v>4320</v>
      </c>
      <c r="H1547" s="4">
        <v>10592.24</v>
      </c>
    </row>
    <row r="1548" spans="1:8" x14ac:dyDescent="0.3">
      <c r="A1548" t="s">
        <v>6</v>
      </c>
      <c r="B1548" t="s">
        <v>7</v>
      </c>
      <c r="C1548" t="s">
        <v>985</v>
      </c>
      <c r="D1548" t="s">
        <v>9</v>
      </c>
      <c r="E1548" t="s">
        <v>1055</v>
      </c>
      <c r="F1548" t="str">
        <f>"001356230069"</f>
        <v>001356230069</v>
      </c>
      <c r="G1548" t="s">
        <v>2649</v>
      </c>
      <c r="H1548" s="4">
        <v>10568.505999999999</v>
      </c>
    </row>
    <row r="1549" spans="1:8" x14ac:dyDescent="0.3">
      <c r="A1549" t="s">
        <v>6</v>
      </c>
      <c r="B1549" t="s">
        <v>7</v>
      </c>
      <c r="C1549" t="s">
        <v>1940</v>
      </c>
      <c r="D1549" t="s">
        <v>9</v>
      </c>
      <c r="E1549" t="s">
        <v>2019</v>
      </c>
      <c r="F1549" t="str">
        <f>"007047018255"</f>
        <v>007047018255</v>
      </c>
      <c r="G1549" t="s">
        <v>3911</v>
      </c>
      <c r="H1549" s="4">
        <v>10551.07</v>
      </c>
    </row>
    <row r="1550" spans="1:8" x14ac:dyDescent="0.3">
      <c r="A1550" t="s">
        <v>6</v>
      </c>
      <c r="B1550" t="s">
        <v>7</v>
      </c>
      <c r="C1550" t="s">
        <v>1397</v>
      </c>
      <c r="D1550" t="s">
        <v>9</v>
      </c>
      <c r="E1550" t="s">
        <v>1535</v>
      </c>
      <c r="F1550" t="str">
        <f>"004119602024"</f>
        <v>004119602024</v>
      </c>
      <c r="G1550" t="s">
        <v>3079</v>
      </c>
      <c r="H1550" s="4">
        <v>10500.27</v>
      </c>
    </row>
    <row r="1551" spans="1:8" x14ac:dyDescent="0.3">
      <c r="A1551" t="s">
        <v>6</v>
      </c>
      <c r="B1551" t="s">
        <v>7</v>
      </c>
      <c r="C1551" t="s">
        <v>985</v>
      </c>
      <c r="D1551" t="s">
        <v>9</v>
      </c>
      <c r="E1551" t="s">
        <v>1027</v>
      </c>
      <c r="F1551" t="str">
        <f>"001356212117"</f>
        <v>001356212117</v>
      </c>
      <c r="G1551" t="s">
        <v>2626</v>
      </c>
      <c r="H1551" s="4">
        <v>10468.214</v>
      </c>
    </row>
    <row r="1552" spans="1:8" x14ac:dyDescent="0.3">
      <c r="A1552" t="s">
        <v>6</v>
      </c>
      <c r="B1552" t="s">
        <v>7</v>
      </c>
      <c r="C1552" t="s">
        <v>8</v>
      </c>
      <c r="D1552" t="s">
        <v>9</v>
      </c>
      <c r="E1552" t="s">
        <v>47</v>
      </c>
      <c r="F1552" t="str">
        <f>"002190812659"</f>
        <v>002190812659</v>
      </c>
      <c r="G1552" t="s">
        <v>4025</v>
      </c>
      <c r="H1552" s="4">
        <v>10467.040000000001</v>
      </c>
    </row>
    <row r="1553" spans="1:8" x14ac:dyDescent="0.3">
      <c r="A1553" t="s">
        <v>6</v>
      </c>
      <c r="B1553" t="s">
        <v>7</v>
      </c>
      <c r="C1553" t="s">
        <v>616</v>
      </c>
      <c r="D1553" t="s">
        <v>9</v>
      </c>
      <c r="E1553" t="s">
        <v>702</v>
      </c>
      <c r="F1553" t="str">
        <f>"002190850862"</f>
        <v>002190850862</v>
      </c>
      <c r="G1553" t="s">
        <v>3672</v>
      </c>
      <c r="H1553" s="4">
        <v>10460.200000000001</v>
      </c>
    </row>
    <row r="1554" spans="1:8" x14ac:dyDescent="0.3">
      <c r="A1554" t="s">
        <v>6</v>
      </c>
      <c r="B1554" t="s">
        <v>7</v>
      </c>
      <c r="C1554" t="s">
        <v>1397</v>
      </c>
      <c r="D1554" t="s">
        <v>9</v>
      </c>
      <c r="E1554" t="s">
        <v>1529</v>
      </c>
      <c r="F1554" t="str">
        <f>"004119602122"</f>
        <v>004119602122</v>
      </c>
      <c r="G1554" t="s">
        <v>3073</v>
      </c>
      <c r="H1554" s="4">
        <v>10424.357</v>
      </c>
    </row>
    <row r="1555" spans="1:8" x14ac:dyDescent="0.3">
      <c r="A1555" t="s">
        <v>6</v>
      </c>
      <c r="B1555" t="s">
        <v>7</v>
      </c>
      <c r="C1555" t="s">
        <v>1397</v>
      </c>
      <c r="D1555" t="s">
        <v>9</v>
      </c>
      <c r="E1555" t="s">
        <v>1445</v>
      </c>
      <c r="F1555" t="str">
        <f>"073215302859"</f>
        <v>073215302859</v>
      </c>
      <c r="G1555" t="s">
        <v>2996</v>
      </c>
      <c r="H1555" s="4">
        <v>10413.105</v>
      </c>
    </row>
    <row r="1556" spans="1:8" x14ac:dyDescent="0.3">
      <c r="A1556" t="s">
        <v>6</v>
      </c>
      <c r="B1556" t="s">
        <v>7</v>
      </c>
      <c r="C1556" t="s">
        <v>1577</v>
      </c>
      <c r="D1556" t="s">
        <v>9</v>
      </c>
      <c r="E1556" t="s">
        <v>1663</v>
      </c>
      <c r="F1556" t="str">
        <f>"004600012313"</f>
        <v>004600012313</v>
      </c>
      <c r="G1556" t="s">
        <v>3432</v>
      </c>
      <c r="H1556" s="4">
        <v>10411.467000000001</v>
      </c>
    </row>
    <row r="1557" spans="1:8" x14ac:dyDescent="0.3">
      <c r="A1557" t="s">
        <v>6</v>
      </c>
      <c r="B1557" t="s">
        <v>7</v>
      </c>
      <c r="C1557" t="s">
        <v>1122</v>
      </c>
      <c r="D1557" t="s">
        <v>9</v>
      </c>
      <c r="E1557" t="s">
        <v>1135</v>
      </c>
      <c r="F1557" t="str">
        <f>"001356232006"</f>
        <v>001356232006</v>
      </c>
      <c r="G1557" t="s">
        <v>2730</v>
      </c>
      <c r="H1557" s="4">
        <v>10401.629999999999</v>
      </c>
    </row>
    <row r="1558" spans="1:8" x14ac:dyDescent="0.3">
      <c r="A1558" t="s">
        <v>6</v>
      </c>
      <c r="B1558" t="s">
        <v>7</v>
      </c>
      <c r="C1558" t="s">
        <v>985</v>
      </c>
      <c r="D1558" t="s">
        <v>9</v>
      </c>
      <c r="E1558" t="s">
        <v>1003</v>
      </c>
      <c r="F1558" t="str">
        <f>"001356213548"</f>
        <v>001356213548</v>
      </c>
      <c r="G1558" t="s">
        <v>2601</v>
      </c>
      <c r="H1558" s="4">
        <v>10343.1</v>
      </c>
    </row>
    <row r="1559" spans="1:8" x14ac:dyDescent="0.3">
      <c r="A1559" t="s">
        <v>6</v>
      </c>
      <c r="B1559" t="s">
        <v>7</v>
      </c>
      <c r="C1559" t="s">
        <v>2113</v>
      </c>
      <c r="D1559" t="s">
        <v>9</v>
      </c>
      <c r="E1559" t="s">
        <v>2151</v>
      </c>
      <c r="F1559" t="str">
        <f>"001600011478"</f>
        <v>001600011478</v>
      </c>
      <c r="G1559" t="s">
        <v>4359</v>
      </c>
      <c r="H1559" s="4">
        <v>10296.529</v>
      </c>
    </row>
    <row r="1560" spans="1:8" x14ac:dyDescent="0.3">
      <c r="A1560" t="s">
        <v>6</v>
      </c>
      <c r="B1560" t="s">
        <v>7</v>
      </c>
      <c r="C1560" t="s">
        <v>797</v>
      </c>
      <c r="D1560" t="s">
        <v>9</v>
      </c>
      <c r="E1560" t="s">
        <v>982</v>
      </c>
      <c r="F1560" t="str">
        <f>"001600019864"</f>
        <v>001600019864</v>
      </c>
      <c r="G1560" t="s">
        <v>2579</v>
      </c>
      <c r="H1560" s="4">
        <v>10285.433999999999</v>
      </c>
    </row>
    <row r="1561" spans="1:8" x14ac:dyDescent="0.3">
      <c r="A1561" t="s">
        <v>6</v>
      </c>
      <c r="B1561" s="3" t="s">
        <v>7</v>
      </c>
      <c r="C1561" s="3" t="s">
        <v>1072</v>
      </c>
      <c r="D1561" s="3" t="s">
        <v>9</v>
      </c>
      <c r="E1561" s="3" t="s">
        <v>1092</v>
      </c>
      <c r="F1561" t="str">
        <f>"001600041610"</f>
        <v>001600041610</v>
      </c>
      <c r="G1561" t="s">
        <v>2696</v>
      </c>
      <c r="H1561" s="3" t="s">
        <v>1093</v>
      </c>
    </row>
    <row r="1562" spans="1:8" x14ac:dyDescent="0.3">
      <c r="A1562" t="s">
        <v>6</v>
      </c>
      <c r="B1562" t="s">
        <v>7</v>
      </c>
      <c r="C1562" t="s">
        <v>1072</v>
      </c>
      <c r="D1562" t="s">
        <v>9</v>
      </c>
      <c r="E1562" t="s">
        <v>1075</v>
      </c>
      <c r="F1562" t="str">
        <f>"001600020075"</f>
        <v>001600020075</v>
      </c>
      <c r="G1562" t="s">
        <v>2676</v>
      </c>
      <c r="H1562" s="4">
        <v>10256.395</v>
      </c>
    </row>
    <row r="1563" spans="1:8" x14ac:dyDescent="0.3">
      <c r="A1563" t="s">
        <v>6</v>
      </c>
      <c r="B1563" t="s">
        <v>7</v>
      </c>
      <c r="C1563" t="s">
        <v>2113</v>
      </c>
      <c r="D1563" t="s">
        <v>9</v>
      </c>
      <c r="E1563" t="s">
        <v>2124</v>
      </c>
      <c r="F1563" t="str">
        <f>"001600050732"</f>
        <v>001600050732</v>
      </c>
      <c r="G1563" t="s">
        <v>4333</v>
      </c>
      <c r="H1563" s="4">
        <v>10174.976000000001</v>
      </c>
    </row>
    <row r="1564" spans="1:8" x14ac:dyDescent="0.3">
      <c r="A1564" t="s">
        <v>6</v>
      </c>
      <c r="B1564" t="s">
        <v>7</v>
      </c>
      <c r="C1564" t="s">
        <v>797</v>
      </c>
      <c r="D1564" t="s">
        <v>9</v>
      </c>
      <c r="E1564" t="s">
        <v>919</v>
      </c>
      <c r="F1564" t="str">
        <f>"001600018656"</f>
        <v>001600018656</v>
      </c>
      <c r="G1564" t="s">
        <v>2508</v>
      </c>
      <c r="H1564" s="4">
        <v>10154.404</v>
      </c>
    </row>
    <row r="1565" spans="1:8" x14ac:dyDescent="0.3">
      <c r="A1565" t="s">
        <v>6</v>
      </c>
      <c r="B1565" t="s">
        <v>7</v>
      </c>
      <c r="C1565" t="s">
        <v>985</v>
      </c>
      <c r="D1565" t="s">
        <v>9</v>
      </c>
      <c r="E1565" t="s">
        <v>1045</v>
      </c>
      <c r="F1565" t="str">
        <f>"001356230088"</f>
        <v>001356230088</v>
      </c>
      <c r="G1565" t="s">
        <v>2640</v>
      </c>
      <c r="H1565" s="4">
        <v>10131.924999999999</v>
      </c>
    </row>
    <row r="1566" spans="1:8" x14ac:dyDescent="0.3">
      <c r="A1566" t="s">
        <v>6</v>
      </c>
      <c r="B1566" t="s">
        <v>7</v>
      </c>
      <c r="C1566" t="s">
        <v>2231</v>
      </c>
      <c r="D1566" t="s">
        <v>9</v>
      </c>
      <c r="E1566" t="s">
        <v>2246</v>
      </c>
      <c r="F1566" t="str">
        <f>"004119646644"</f>
        <v>004119646644</v>
      </c>
      <c r="G1566" t="s">
        <v>4442</v>
      </c>
      <c r="H1566" s="4">
        <v>10111.361000000001</v>
      </c>
    </row>
    <row r="1567" spans="1:8" x14ac:dyDescent="0.3">
      <c r="A1567" t="s">
        <v>6</v>
      </c>
      <c r="B1567" t="s">
        <v>7</v>
      </c>
      <c r="C1567" t="s">
        <v>1122</v>
      </c>
      <c r="D1567" t="s">
        <v>9</v>
      </c>
      <c r="E1567" t="s">
        <v>1132</v>
      </c>
      <c r="F1567" t="str">
        <f>"001356213441"</f>
        <v>001356213441</v>
      </c>
      <c r="G1567" t="s">
        <v>2727</v>
      </c>
      <c r="H1567" s="4">
        <v>10110.066999999999</v>
      </c>
    </row>
    <row r="1568" spans="1:8" x14ac:dyDescent="0.3">
      <c r="A1568" t="s">
        <v>6</v>
      </c>
      <c r="B1568" t="s">
        <v>7</v>
      </c>
      <c r="C1568" t="s">
        <v>1072</v>
      </c>
      <c r="D1568" t="s">
        <v>9</v>
      </c>
      <c r="E1568" t="s">
        <v>1075</v>
      </c>
      <c r="F1568" t="str">
        <f>"001600020073"</f>
        <v>001600020073</v>
      </c>
      <c r="G1568" t="s">
        <v>2675</v>
      </c>
      <c r="H1568" s="4">
        <v>10109.433000000001</v>
      </c>
    </row>
    <row r="1569" spans="1:8" x14ac:dyDescent="0.3">
      <c r="A1569" t="s">
        <v>6</v>
      </c>
      <c r="B1569" t="s">
        <v>7</v>
      </c>
      <c r="C1569" t="s">
        <v>1577</v>
      </c>
      <c r="D1569" t="s">
        <v>9</v>
      </c>
      <c r="E1569" t="s">
        <v>1637</v>
      </c>
      <c r="F1569" t="str">
        <f>"004600011127"</f>
        <v>004600011127</v>
      </c>
      <c r="G1569" t="s">
        <v>3406</v>
      </c>
      <c r="H1569" s="4">
        <v>10067.249</v>
      </c>
    </row>
    <row r="1570" spans="1:8" x14ac:dyDescent="0.3">
      <c r="A1570" t="s">
        <v>6</v>
      </c>
      <c r="B1570" t="s">
        <v>7</v>
      </c>
      <c r="C1570" t="s">
        <v>985</v>
      </c>
      <c r="D1570" t="s">
        <v>9</v>
      </c>
      <c r="E1570" t="s">
        <v>1010</v>
      </c>
      <c r="F1570" t="str">
        <f>"001356211783"</f>
        <v>001356211783</v>
      </c>
      <c r="G1570" t="s">
        <v>2609</v>
      </c>
      <c r="H1570" s="4">
        <v>10047.704</v>
      </c>
    </row>
    <row r="1571" spans="1:8" x14ac:dyDescent="0.3">
      <c r="A1571" t="s">
        <v>6</v>
      </c>
      <c r="B1571" t="s">
        <v>7</v>
      </c>
      <c r="C1571" t="s">
        <v>797</v>
      </c>
      <c r="D1571" t="s">
        <v>9</v>
      </c>
      <c r="E1571" t="s">
        <v>902</v>
      </c>
      <c r="F1571" t="str">
        <f>"001600018654"</f>
        <v>001600018654</v>
      </c>
      <c r="G1571" t="s">
        <v>2493</v>
      </c>
      <c r="H1571" s="4">
        <v>10041.557000000001</v>
      </c>
    </row>
    <row r="1572" spans="1:8" x14ac:dyDescent="0.3">
      <c r="A1572" t="s">
        <v>6</v>
      </c>
      <c r="B1572" t="s">
        <v>7</v>
      </c>
      <c r="C1572" t="s">
        <v>2113</v>
      </c>
      <c r="D1572" t="s">
        <v>9</v>
      </c>
      <c r="E1572" t="s">
        <v>2224</v>
      </c>
      <c r="F1572" t="str">
        <f>"001600020626"</f>
        <v>001600020626</v>
      </c>
      <c r="G1572" t="s">
        <v>4424</v>
      </c>
      <c r="H1572" s="4">
        <v>9998.81</v>
      </c>
    </row>
    <row r="1573" spans="1:8" x14ac:dyDescent="0.3">
      <c r="A1573" t="s">
        <v>6</v>
      </c>
      <c r="B1573" t="s">
        <v>7</v>
      </c>
      <c r="C1573" t="s">
        <v>2113</v>
      </c>
      <c r="D1573" t="s">
        <v>9</v>
      </c>
      <c r="E1573" t="s">
        <v>2228</v>
      </c>
      <c r="F1573" t="str">
        <f>"001600019981"</f>
        <v>001600019981</v>
      </c>
      <c r="G1573" t="s">
        <v>4428</v>
      </c>
      <c r="H1573" s="4">
        <v>9996.9390000000003</v>
      </c>
    </row>
    <row r="1574" spans="1:8" x14ac:dyDescent="0.3">
      <c r="A1574" t="s">
        <v>6</v>
      </c>
      <c r="B1574" t="s">
        <v>7</v>
      </c>
      <c r="C1574" t="s">
        <v>1095</v>
      </c>
      <c r="D1574" t="s">
        <v>9</v>
      </c>
      <c r="E1574" t="s">
        <v>1100</v>
      </c>
      <c r="F1574" t="str">
        <f>"001600018135"</f>
        <v>001600018135</v>
      </c>
      <c r="G1574" t="s">
        <v>2702</v>
      </c>
      <c r="H1574" s="4">
        <v>9956.6039999999994</v>
      </c>
    </row>
    <row r="1575" spans="1:8" x14ac:dyDescent="0.3">
      <c r="A1575" t="s">
        <v>6</v>
      </c>
      <c r="B1575" t="s">
        <v>7</v>
      </c>
      <c r="C1575" t="s">
        <v>381</v>
      </c>
      <c r="D1575" t="s">
        <v>9</v>
      </c>
      <c r="E1575" t="s">
        <v>418</v>
      </c>
      <c r="F1575" t="str">
        <f>"001600020097"</f>
        <v>001600020097</v>
      </c>
      <c r="G1575" t="s">
        <v>3144</v>
      </c>
      <c r="H1575" s="4">
        <v>9723.2479999999996</v>
      </c>
    </row>
    <row r="1576" spans="1:8" x14ac:dyDescent="0.3">
      <c r="A1576" t="s">
        <v>6</v>
      </c>
      <c r="B1576" t="s">
        <v>7</v>
      </c>
      <c r="C1576" t="s">
        <v>797</v>
      </c>
      <c r="D1576" t="s">
        <v>9</v>
      </c>
      <c r="E1576" t="s">
        <v>971</v>
      </c>
      <c r="F1576" t="str">
        <f>"001600040995"</f>
        <v>001600040995</v>
      </c>
      <c r="G1576" t="s">
        <v>2563</v>
      </c>
      <c r="H1576" s="4">
        <v>9515.6190000000006</v>
      </c>
    </row>
    <row r="1577" spans="1:8" x14ac:dyDescent="0.3">
      <c r="A1577" t="s">
        <v>6</v>
      </c>
      <c r="B1577" t="s">
        <v>7</v>
      </c>
      <c r="C1577" t="s">
        <v>1940</v>
      </c>
      <c r="D1577" t="s">
        <v>9</v>
      </c>
      <c r="E1577" t="s">
        <v>2053</v>
      </c>
      <c r="F1577" t="str">
        <f>"007047043579"</f>
        <v>007047043579</v>
      </c>
      <c r="G1577" t="s">
        <v>3940</v>
      </c>
      <c r="H1577" s="4">
        <v>9496.9879999999994</v>
      </c>
    </row>
    <row r="1578" spans="1:8" x14ac:dyDescent="0.3">
      <c r="A1578" t="s">
        <v>6</v>
      </c>
      <c r="B1578" t="s">
        <v>7</v>
      </c>
      <c r="C1578" t="s">
        <v>1338</v>
      </c>
      <c r="D1578" t="s">
        <v>9</v>
      </c>
      <c r="E1578" t="s">
        <v>1392</v>
      </c>
      <c r="F1578" t="str">
        <f>"004280012016"</f>
        <v>004280012016</v>
      </c>
      <c r="G1578" t="s">
        <v>2947</v>
      </c>
      <c r="H1578" s="4">
        <v>9496.4619999999995</v>
      </c>
    </row>
    <row r="1579" spans="1:8" x14ac:dyDescent="0.3">
      <c r="A1579" t="s">
        <v>6</v>
      </c>
      <c r="B1579" t="s">
        <v>7</v>
      </c>
      <c r="C1579" t="s">
        <v>985</v>
      </c>
      <c r="D1579" t="s">
        <v>9</v>
      </c>
      <c r="E1579" t="s">
        <v>990</v>
      </c>
      <c r="F1579" t="str">
        <f>"001356211173"</f>
        <v>001356211173</v>
      </c>
      <c r="G1579" t="s">
        <v>2585</v>
      </c>
      <c r="H1579" s="4">
        <v>9489.1820000000007</v>
      </c>
    </row>
    <row r="1580" spans="1:8" x14ac:dyDescent="0.3">
      <c r="A1580" t="s">
        <v>6</v>
      </c>
      <c r="B1580" t="s">
        <v>7</v>
      </c>
      <c r="C1580" t="s">
        <v>1338</v>
      </c>
      <c r="D1580" t="s">
        <v>9</v>
      </c>
      <c r="E1580" t="s">
        <v>1364</v>
      </c>
      <c r="F1580" t="str">
        <f>"004280012222"</f>
        <v>004280012222</v>
      </c>
      <c r="G1580" t="s">
        <v>2921</v>
      </c>
      <c r="H1580" s="4">
        <v>9489.0390000000007</v>
      </c>
    </row>
    <row r="1581" spans="1:8" x14ac:dyDescent="0.3">
      <c r="A1581" t="s">
        <v>6</v>
      </c>
      <c r="B1581" t="s">
        <v>7</v>
      </c>
      <c r="C1581" t="s">
        <v>616</v>
      </c>
      <c r="D1581" t="s">
        <v>9</v>
      </c>
      <c r="E1581" t="s">
        <v>669</v>
      </c>
      <c r="F1581" t="str">
        <f>"002190811529"</f>
        <v>002190811529</v>
      </c>
      <c r="G1581" t="s">
        <v>3639</v>
      </c>
      <c r="H1581" s="4">
        <v>9480.7000000000007</v>
      </c>
    </row>
    <row r="1582" spans="1:8" x14ac:dyDescent="0.3">
      <c r="A1582" t="s">
        <v>6</v>
      </c>
      <c r="B1582" t="s">
        <v>7</v>
      </c>
      <c r="C1582" t="s">
        <v>985</v>
      </c>
      <c r="D1582" t="s">
        <v>9</v>
      </c>
      <c r="E1582" t="s">
        <v>1009</v>
      </c>
      <c r="F1582" t="str">
        <f>"001356212654"</f>
        <v>001356212654</v>
      </c>
      <c r="G1582" t="s">
        <v>2608</v>
      </c>
      <c r="H1582" s="4">
        <v>9470.6239999999998</v>
      </c>
    </row>
    <row r="1583" spans="1:8" x14ac:dyDescent="0.3">
      <c r="A1583" t="s">
        <v>6</v>
      </c>
      <c r="B1583" t="s">
        <v>7</v>
      </c>
      <c r="C1583" t="s">
        <v>1397</v>
      </c>
      <c r="D1583" t="s">
        <v>9</v>
      </c>
      <c r="E1583" t="s">
        <v>1540</v>
      </c>
      <c r="F1583" t="str">
        <f>"004119612147"</f>
        <v>004119612147</v>
      </c>
      <c r="G1583" t="s">
        <v>3084</v>
      </c>
      <c r="H1583" s="4">
        <v>9470.4110000000001</v>
      </c>
    </row>
    <row r="1584" spans="1:8" x14ac:dyDescent="0.3">
      <c r="A1584" t="s">
        <v>6</v>
      </c>
      <c r="B1584" t="s">
        <v>7</v>
      </c>
      <c r="C1584" t="s">
        <v>1940</v>
      </c>
      <c r="D1584" t="s">
        <v>9</v>
      </c>
      <c r="E1584" t="s">
        <v>2000</v>
      </c>
      <c r="F1584" t="str">
        <f>"007047018822"</f>
        <v>007047018822</v>
      </c>
      <c r="G1584" t="s">
        <v>2389</v>
      </c>
      <c r="H1584" s="4">
        <v>9404.83</v>
      </c>
    </row>
    <row r="1585" spans="1:8" x14ac:dyDescent="0.3">
      <c r="A1585" t="s">
        <v>6</v>
      </c>
      <c r="B1585" t="s">
        <v>7</v>
      </c>
      <c r="C1585" t="s">
        <v>8</v>
      </c>
      <c r="D1585" t="s">
        <v>9</v>
      </c>
      <c r="E1585" t="s">
        <v>341</v>
      </c>
      <c r="F1585" t="str">
        <f>"001600020125"</f>
        <v>001600020125</v>
      </c>
      <c r="G1585" t="s">
        <v>2389</v>
      </c>
      <c r="H1585" s="4">
        <v>9395.9670000000006</v>
      </c>
    </row>
    <row r="1586" spans="1:8" x14ac:dyDescent="0.3">
      <c r="A1586" t="s">
        <v>6</v>
      </c>
      <c r="B1586" t="s">
        <v>7</v>
      </c>
      <c r="C1586" t="s">
        <v>2231</v>
      </c>
      <c r="D1586" t="s">
        <v>9</v>
      </c>
      <c r="E1586" t="s">
        <v>2310</v>
      </c>
      <c r="F1586" t="str">
        <f>"004119612989"</f>
        <v>004119612989</v>
      </c>
      <c r="G1586" t="s">
        <v>4504</v>
      </c>
      <c r="H1586" s="4">
        <v>9282.7090000000007</v>
      </c>
    </row>
    <row r="1587" spans="1:8" x14ac:dyDescent="0.3">
      <c r="A1587" t="s">
        <v>6</v>
      </c>
      <c r="B1587" t="s">
        <v>7</v>
      </c>
      <c r="C1587" t="s">
        <v>381</v>
      </c>
      <c r="D1587" t="s">
        <v>9</v>
      </c>
      <c r="E1587" t="s">
        <v>498</v>
      </c>
      <c r="F1587" t="str">
        <f>"001600016058"</f>
        <v>001600016058</v>
      </c>
      <c r="G1587" t="s">
        <v>3226</v>
      </c>
      <c r="H1587" s="4">
        <v>9275.9230000000007</v>
      </c>
    </row>
    <row r="1588" spans="1:8" x14ac:dyDescent="0.3">
      <c r="A1588" t="s">
        <v>6</v>
      </c>
      <c r="B1588" t="s">
        <v>7</v>
      </c>
      <c r="C1588" t="s">
        <v>1940</v>
      </c>
      <c r="D1588" t="s">
        <v>9</v>
      </c>
      <c r="E1588" t="s">
        <v>2058</v>
      </c>
      <c r="F1588" t="str">
        <f>"007047045578"</f>
        <v>007047045578</v>
      </c>
      <c r="G1588" t="s">
        <v>3945</v>
      </c>
      <c r="H1588" s="4">
        <v>9271.7060000000001</v>
      </c>
    </row>
    <row r="1589" spans="1:8" x14ac:dyDescent="0.3">
      <c r="A1589" t="s">
        <v>6</v>
      </c>
      <c r="B1589" t="s">
        <v>7</v>
      </c>
      <c r="C1589" t="s">
        <v>1072</v>
      </c>
      <c r="D1589" t="s">
        <v>9</v>
      </c>
      <c r="E1589" t="s">
        <v>1075</v>
      </c>
      <c r="F1589" t="str">
        <f>"001600020071"</f>
        <v>001600020071</v>
      </c>
      <c r="G1589" t="s">
        <v>2674</v>
      </c>
      <c r="H1589" s="4">
        <v>9239.875</v>
      </c>
    </row>
    <row r="1590" spans="1:8" x14ac:dyDescent="0.3">
      <c r="A1590" t="s">
        <v>6</v>
      </c>
      <c r="B1590" t="s">
        <v>7</v>
      </c>
      <c r="C1590" t="s">
        <v>1695</v>
      </c>
      <c r="D1590" t="s">
        <v>9</v>
      </c>
      <c r="E1590" t="s">
        <v>1715</v>
      </c>
      <c r="F1590" t="str">
        <f>"002190849032"</f>
        <v>002190849032</v>
      </c>
      <c r="G1590" t="s">
        <v>3479</v>
      </c>
      <c r="H1590" s="4">
        <v>9178.2369999999992</v>
      </c>
    </row>
    <row r="1591" spans="1:8" x14ac:dyDescent="0.3">
      <c r="A1591" t="s">
        <v>6</v>
      </c>
      <c r="B1591" t="s">
        <v>7</v>
      </c>
      <c r="C1591" t="s">
        <v>1122</v>
      </c>
      <c r="D1591" t="s">
        <v>9</v>
      </c>
      <c r="E1591" t="s">
        <v>1186</v>
      </c>
      <c r="F1591" t="str">
        <f>"001600018994"</f>
        <v>001600018994</v>
      </c>
      <c r="G1591" t="s">
        <v>2774</v>
      </c>
      <c r="H1591" s="4">
        <v>9166.08</v>
      </c>
    </row>
    <row r="1592" spans="1:8" x14ac:dyDescent="0.3">
      <c r="A1592" t="s">
        <v>6</v>
      </c>
      <c r="B1592" t="s">
        <v>7</v>
      </c>
      <c r="C1592" t="s">
        <v>616</v>
      </c>
      <c r="D1592" t="s">
        <v>9</v>
      </c>
      <c r="E1592" t="s">
        <v>724</v>
      </c>
      <c r="F1592" t="str">
        <f>"002190850936"</f>
        <v>002190850936</v>
      </c>
      <c r="G1592" t="s">
        <v>3694</v>
      </c>
      <c r="H1592" s="4">
        <v>9102.6890000000003</v>
      </c>
    </row>
    <row r="1593" spans="1:8" x14ac:dyDescent="0.3">
      <c r="A1593" t="s">
        <v>6</v>
      </c>
      <c r="B1593" t="s">
        <v>7</v>
      </c>
      <c r="C1593" t="s">
        <v>2113</v>
      </c>
      <c r="D1593" t="s">
        <v>9</v>
      </c>
      <c r="E1593" t="s">
        <v>2131</v>
      </c>
      <c r="F1593" t="str">
        <f>"001600020439"</f>
        <v>001600020439</v>
      </c>
      <c r="G1593" t="s">
        <v>4340</v>
      </c>
      <c r="H1593" s="4">
        <v>9079.8169999999991</v>
      </c>
    </row>
    <row r="1594" spans="1:8" x14ac:dyDescent="0.3">
      <c r="A1594" t="s">
        <v>6</v>
      </c>
      <c r="B1594" t="s">
        <v>7</v>
      </c>
      <c r="C1594" t="s">
        <v>1397</v>
      </c>
      <c r="D1594" t="s">
        <v>9</v>
      </c>
      <c r="E1594" t="s">
        <v>1450</v>
      </c>
      <c r="F1594" t="str">
        <f>"073215302491"</f>
        <v>073215302491</v>
      </c>
      <c r="G1594" t="s">
        <v>3001</v>
      </c>
      <c r="H1594" s="4">
        <v>9053.9959999999992</v>
      </c>
    </row>
    <row r="1595" spans="1:8" x14ac:dyDescent="0.3">
      <c r="A1595" t="s">
        <v>6</v>
      </c>
      <c r="B1595" t="s">
        <v>7</v>
      </c>
      <c r="C1595" t="s">
        <v>616</v>
      </c>
      <c r="D1595" t="s">
        <v>9</v>
      </c>
      <c r="E1595" t="s">
        <v>745</v>
      </c>
      <c r="F1595" t="str">
        <f>"002190850932"</f>
        <v>002190850932</v>
      </c>
      <c r="G1595" t="s">
        <v>3715</v>
      </c>
      <c r="H1595" s="4">
        <v>9043.9470000000001</v>
      </c>
    </row>
    <row r="1596" spans="1:8" x14ac:dyDescent="0.3">
      <c r="A1596" t="s">
        <v>6</v>
      </c>
      <c r="B1596" t="s">
        <v>7</v>
      </c>
      <c r="C1596" t="s">
        <v>1397</v>
      </c>
      <c r="D1596" t="s">
        <v>9</v>
      </c>
      <c r="E1596" t="s">
        <v>1456</v>
      </c>
      <c r="F1596" t="str">
        <f>"073215313503"</f>
        <v>073215313503</v>
      </c>
      <c r="G1596" t="s">
        <v>2389</v>
      </c>
      <c r="H1596" s="4">
        <v>9032.07</v>
      </c>
    </row>
    <row r="1597" spans="1:8" x14ac:dyDescent="0.3">
      <c r="A1597" t="s">
        <v>6</v>
      </c>
      <c r="B1597" t="s">
        <v>7</v>
      </c>
      <c r="C1597" t="s">
        <v>1577</v>
      </c>
      <c r="D1597" t="s">
        <v>9</v>
      </c>
      <c r="E1597" t="s">
        <v>1585</v>
      </c>
      <c r="F1597" t="str">
        <f>"072534248470"</f>
        <v>072534248470</v>
      </c>
      <c r="G1597" t="s">
        <v>3348</v>
      </c>
      <c r="H1597" s="4">
        <v>9001.2669999999998</v>
      </c>
    </row>
    <row r="1598" spans="1:8" x14ac:dyDescent="0.3">
      <c r="A1598" t="s">
        <v>6</v>
      </c>
      <c r="B1598" t="s">
        <v>7</v>
      </c>
      <c r="C1598" t="s">
        <v>1729</v>
      </c>
      <c r="D1598" t="s">
        <v>9</v>
      </c>
      <c r="E1598" t="s">
        <v>1745</v>
      </c>
      <c r="F1598" t="str">
        <f>"072534213215"</f>
        <v>072534213215</v>
      </c>
      <c r="G1598" t="s">
        <v>3508</v>
      </c>
      <c r="H1598" s="4">
        <v>8914.81</v>
      </c>
    </row>
    <row r="1599" spans="1:8" x14ac:dyDescent="0.3">
      <c r="A1599" t="s">
        <v>6</v>
      </c>
      <c r="B1599" t="s">
        <v>7</v>
      </c>
      <c r="C1599" t="s">
        <v>1095</v>
      </c>
      <c r="D1599" t="s">
        <v>9</v>
      </c>
      <c r="E1599" t="s">
        <v>1105</v>
      </c>
      <c r="F1599" t="str">
        <f>"001600014323"</f>
        <v>001600014323</v>
      </c>
      <c r="G1599" t="s">
        <v>2389</v>
      </c>
      <c r="H1599" s="4">
        <v>8860.9599999999991</v>
      </c>
    </row>
    <row r="1600" spans="1:8" x14ac:dyDescent="0.3">
      <c r="A1600" t="s">
        <v>6</v>
      </c>
      <c r="B1600" t="s">
        <v>7</v>
      </c>
      <c r="C1600" t="s">
        <v>797</v>
      </c>
      <c r="D1600" t="s">
        <v>9</v>
      </c>
      <c r="E1600" t="s">
        <v>814</v>
      </c>
      <c r="F1600" t="str">
        <f>"001600027792"</f>
        <v>001600027792</v>
      </c>
      <c r="G1600" t="s">
        <v>2411</v>
      </c>
      <c r="H1600" s="4">
        <v>8802.5069999999996</v>
      </c>
    </row>
    <row r="1601" spans="1:8" x14ac:dyDescent="0.3">
      <c r="A1601" t="s">
        <v>6</v>
      </c>
      <c r="B1601" t="s">
        <v>7</v>
      </c>
      <c r="C1601" t="s">
        <v>1397</v>
      </c>
      <c r="D1601" t="s">
        <v>9</v>
      </c>
      <c r="E1601" t="s">
        <v>1447</v>
      </c>
      <c r="F1601" t="str">
        <f>"073215302849"</f>
        <v>073215302849</v>
      </c>
      <c r="G1601" t="s">
        <v>2998</v>
      </c>
      <c r="H1601" s="4">
        <v>8760.8690000000006</v>
      </c>
    </row>
    <row r="1602" spans="1:8" x14ac:dyDescent="0.3">
      <c r="A1602" t="s">
        <v>6</v>
      </c>
      <c r="B1602" t="s">
        <v>7</v>
      </c>
      <c r="C1602" t="s">
        <v>381</v>
      </c>
      <c r="D1602" t="s">
        <v>9</v>
      </c>
      <c r="E1602" t="s">
        <v>531</v>
      </c>
      <c r="F1602" t="str">
        <f>"001600044151"</f>
        <v>001600044151</v>
      </c>
      <c r="G1602" t="s">
        <v>3255</v>
      </c>
      <c r="H1602" s="4">
        <v>8650.11</v>
      </c>
    </row>
    <row r="1603" spans="1:8" x14ac:dyDescent="0.3">
      <c r="A1603" t="s">
        <v>6</v>
      </c>
      <c r="B1603" t="s">
        <v>7</v>
      </c>
      <c r="C1603" t="s">
        <v>381</v>
      </c>
      <c r="D1603" t="s">
        <v>9</v>
      </c>
      <c r="E1603" t="s">
        <v>432</v>
      </c>
      <c r="F1603" t="str">
        <f>"001600042025"</f>
        <v>001600042025</v>
      </c>
      <c r="G1603" t="s">
        <v>3158</v>
      </c>
      <c r="H1603" s="4">
        <v>8635.9140000000007</v>
      </c>
    </row>
    <row r="1604" spans="1:8" x14ac:dyDescent="0.3">
      <c r="A1604" t="s">
        <v>6</v>
      </c>
      <c r="B1604" t="s">
        <v>7</v>
      </c>
      <c r="C1604" t="s">
        <v>1748</v>
      </c>
      <c r="D1604" t="s">
        <v>9</v>
      </c>
      <c r="E1604" t="s">
        <v>1761</v>
      </c>
      <c r="F1604" t="str">
        <f>"009232533314"</f>
        <v>009232533314</v>
      </c>
      <c r="G1604" t="s">
        <v>3523</v>
      </c>
      <c r="H1604" s="4">
        <v>8538.8359999999993</v>
      </c>
    </row>
    <row r="1605" spans="1:8" x14ac:dyDescent="0.3">
      <c r="A1605" t="s">
        <v>6</v>
      </c>
      <c r="B1605" t="s">
        <v>7</v>
      </c>
      <c r="C1605" t="s">
        <v>1695</v>
      </c>
      <c r="D1605" t="s">
        <v>9</v>
      </c>
      <c r="E1605" t="s">
        <v>1704</v>
      </c>
      <c r="F1605" t="str">
        <f>"002190850419"</f>
        <v>002190850419</v>
      </c>
      <c r="G1605" t="s">
        <v>3468</v>
      </c>
      <c r="H1605" s="4">
        <v>8536.9830000000002</v>
      </c>
    </row>
    <row r="1606" spans="1:8" x14ac:dyDescent="0.3">
      <c r="A1606" t="s">
        <v>6</v>
      </c>
      <c r="B1606" t="s">
        <v>7</v>
      </c>
      <c r="C1606" t="s">
        <v>381</v>
      </c>
      <c r="D1606" t="s">
        <v>9</v>
      </c>
      <c r="E1606" t="s">
        <v>391</v>
      </c>
      <c r="F1606" t="str">
        <f>"001356212632"</f>
        <v>001356212632</v>
      </c>
      <c r="G1606" t="s">
        <v>3119</v>
      </c>
      <c r="H1606" s="4">
        <v>8532.9</v>
      </c>
    </row>
    <row r="1607" spans="1:8" x14ac:dyDescent="0.3">
      <c r="A1607" t="s">
        <v>6</v>
      </c>
      <c r="B1607" t="s">
        <v>7</v>
      </c>
      <c r="C1607" t="s">
        <v>1940</v>
      </c>
      <c r="D1607" t="s">
        <v>9</v>
      </c>
      <c r="E1607" t="s">
        <v>1966</v>
      </c>
      <c r="F1607" t="str">
        <f>"007047020795"</f>
        <v>007047020795</v>
      </c>
      <c r="G1607" t="s">
        <v>2389</v>
      </c>
      <c r="H1607" s="4">
        <v>8498.11</v>
      </c>
    </row>
    <row r="1608" spans="1:8" x14ac:dyDescent="0.3">
      <c r="A1608" t="s">
        <v>6</v>
      </c>
      <c r="B1608" t="s">
        <v>7</v>
      </c>
      <c r="C1608" t="s">
        <v>381</v>
      </c>
      <c r="D1608" t="s">
        <v>9</v>
      </c>
      <c r="E1608" t="s">
        <v>394</v>
      </c>
      <c r="F1608" t="str">
        <f>"001356212183"</f>
        <v>001356212183</v>
      </c>
      <c r="G1608" t="s">
        <v>3122</v>
      </c>
      <c r="H1608" s="4">
        <v>8497.8719999999994</v>
      </c>
    </row>
    <row r="1609" spans="1:8" x14ac:dyDescent="0.3">
      <c r="A1609" t="s">
        <v>6</v>
      </c>
      <c r="B1609" t="s">
        <v>7</v>
      </c>
      <c r="C1609" t="s">
        <v>381</v>
      </c>
      <c r="D1609" t="s">
        <v>9</v>
      </c>
      <c r="E1609" t="s">
        <v>404</v>
      </c>
      <c r="F1609" t="str">
        <f>"002190812333"</f>
        <v>002190812333</v>
      </c>
      <c r="G1609" t="s">
        <v>3131</v>
      </c>
      <c r="H1609" s="4">
        <v>8492.9699999999993</v>
      </c>
    </row>
    <row r="1610" spans="1:8" x14ac:dyDescent="0.3">
      <c r="A1610" t="s">
        <v>6</v>
      </c>
      <c r="B1610" t="s">
        <v>7</v>
      </c>
      <c r="C1610" t="s">
        <v>1072</v>
      </c>
      <c r="D1610" t="s">
        <v>9</v>
      </c>
      <c r="E1610" t="s">
        <v>1081</v>
      </c>
      <c r="F1610" t="str">
        <f>"001600028558"</f>
        <v>001600028558</v>
      </c>
      <c r="G1610" t="s">
        <v>2685</v>
      </c>
      <c r="H1610" s="4">
        <v>8469.3189999999995</v>
      </c>
    </row>
    <row r="1611" spans="1:8" x14ac:dyDescent="0.3">
      <c r="A1611" t="s">
        <v>6</v>
      </c>
      <c r="B1611" t="s">
        <v>7</v>
      </c>
      <c r="C1611" t="s">
        <v>616</v>
      </c>
      <c r="D1611" t="s">
        <v>9</v>
      </c>
      <c r="E1611" t="s">
        <v>646</v>
      </c>
      <c r="F1611" t="str">
        <f>"073215324122"</f>
        <v>073215324122</v>
      </c>
      <c r="G1611" t="s">
        <v>3617</v>
      </c>
      <c r="H1611" s="4">
        <v>8439.2479999999996</v>
      </c>
    </row>
    <row r="1612" spans="1:8" x14ac:dyDescent="0.3">
      <c r="A1612" t="s">
        <v>6</v>
      </c>
      <c r="B1612" t="s">
        <v>7</v>
      </c>
      <c r="C1612" t="s">
        <v>1397</v>
      </c>
      <c r="D1612" t="s">
        <v>9</v>
      </c>
      <c r="E1612" t="s">
        <v>1549</v>
      </c>
      <c r="F1612" t="str">
        <f>"007047016461"</f>
        <v>007047016461</v>
      </c>
      <c r="G1612" t="s">
        <v>3093</v>
      </c>
      <c r="H1612" s="4">
        <v>8421.2289999999994</v>
      </c>
    </row>
    <row r="1613" spans="1:8" x14ac:dyDescent="0.3">
      <c r="A1613" t="s">
        <v>6</v>
      </c>
      <c r="B1613" t="s">
        <v>7</v>
      </c>
      <c r="C1613" t="s">
        <v>1552</v>
      </c>
      <c r="D1613" t="s">
        <v>9</v>
      </c>
      <c r="E1613" t="s">
        <v>1554</v>
      </c>
      <c r="F1613" t="str">
        <f>"001356212185"</f>
        <v>001356212185</v>
      </c>
      <c r="G1613" t="s">
        <v>3096</v>
      </c>
      <c r="H1613" s="4">
        <v>8389.99</v>
      </c>
    </row>
    <row r="1614" spans="1:8" x14ac:dyDescent="0.3">
      <c r="A1614" t="s">
        <v>6</v>
      </c>
      <c r="B1614" t="s">
        <v>7</v>
      </c>
      <c r="C1614" t="s">
        <v>1679</v>
      </c>
      <c r="D1614" t="s">
        <v>9</v>
      </c>
      <c r="E1614" t="s">
        <v>1694</v>
      </c>
      <c r="F1614" t="str">
        <f>"002190854301"</f>
        <v>002190854301</v>
      </c>
      <c r="G1614" t="s">
        <v>3459</v>
      </c>
      <c r="H1614" s="4">
        <v>8368.8340000000007</v>
      </c>
    </row>
    <row r="1615" spans="1:8" x14ac:dyDescent="0.3">
      <c r="A1615" t="s">
        <v>6</v>
      </c>
      <c r="B1615" t="s">
        <v>7</v>
      </c>
      <c r="C1615" t="s">
        <v>1940</v>
      </c>
      <c r="D1615" t="s">
        <v>9</v>
      </c>
      <c r="E1615" t="s">
        <v>1969</v>
      </c>
      <c r="F1615" t="str">
        <f>"007527000165"</f>
        <v>007527000165</v>
      </c>
      <c r="G1615" t="s">
        <v>3857</v>
      </c>
      <c r="H1615" s="4">
        <v>8365.6229999999996</v>
      </c>
    </row>
    <row r="1616" spans="1:8" x14ac:dyDescent="0.3">
      <c r="A1616" t="s">
        <v>6</v>
      </c>
      <c r="B1616" t="s">
        <v>7</v>
      </c>
      <c r="C1616" t="s">
        <v>1748</v>
      </c>
      <c r="D1616" t="s">
        <v>9</v>
      </c>
      <c r="E1616" t="s">
        <v>1771</v>
      </c>
      <c r="F1616" t="str">
        <f>"009232533323"</f>
        <v>009232533323</v>
      </c>
      <c r="G1616" t="s">
        <v>3533</v>
      </c>
      <c r="H1616" s="4">
        <v>8330.61</v>
      </c>
    </row>
    <row r="1617" spans="1:8" x14ac:dyDescent="0.3">
      <c r="A1617" t="s">
        <v>6</v>
      </c>
      <c r="B1617" t="s">
        <v>7</v>
      </c>
      <c r="C1617" t="s">
        <v>797</v>
      </c>
      <c r="D1617" t="s">
        <v>9</v>
      </c>
      <c r="E1617" t="s">
        <v>922</v>
      </c>
      <c r="F1617" t="str">
        <f>"001600046430"</f>
        <v>001600046430</v>
      </c>
      <c r="G1617" t="s">
        <v>2513</v>
      </c>
      <c r="H1617" s="4">
        <v>8261.6119999999992</v>
      </c>
    </row>
    <row r="1618" spans="1:8" x14ac:dyDescent="0.3">
      <c r="A1618" t="s">
        <v>6</v>
      </c>
      <c r="B1618" t="s">
        <v>7</v>
      </c>
      <c r="C1618" t="s">
        <v>616</v>
      </c>
      <c r="D1618" t="s">
        <v>9</v>
      </c>
      <c r="E1618" t="s">
        <v>674</v>
      </c>
      <c r="F1618" t="str">
        <f>"002190813097"</f>
        <v>002190813097</v>
      </c>
      <c r="G1618" t="s">
        <v>3644</v>
      </c>
      <c r="H1618" s="4">
        <v>8225.6</v>
      </c>
    </row>
    <row r="1619" spans="1:8" x14ac:dyDescent="0.3">
      <c r="A1619" t="s">
        <v>6</v>
      </c>
      <c r="B1619" t="s">
        <v>7</v>
      </c>
      <c r="C1619" t="s">
        <v>616</v>
      </c>
      <c r="D1619" t="s">
        <v>9</v>
      </c>
      <c r="E1619" t="s">
        <v>653</v>
      </c>
      <c r="F1619" t="str">
        <f>"001600018251"</f>
        <v>001600018251</v>
      </c>
      <c r="G1619" t="s">
        <v>3624</v>
      </c>
      <c r="H1619" s="4">
        <v>8204.33</v>
      </c>
    </row>
    <row r="1620" spans="1:8" x14ac:dyDescent="0.3">
      <c r="A1620" t="s">
        <v>6</v>
      </c>
      <c r="B1620" t="s">
        <v>7</v>
      </c>
      <c r="C1620" t="s">
        <v>616</v>
      </c>
      <c r="D1620" t="s">
        <v>9</v>
      </c>
      <c r="E1620" t="s">
        <v>748</v>
      </c>
      <c r="F1620" t="str">
        <f>"002190811687"</f>
        <v>002190811687</v>
      </c>
      <c r="G1620" t="s">
        <v>3718</v>
      </c>
      <c r="H1620" s="4">
        <v>8201.56</v>
      </c>
    </row>
    <row r="1621" spans="1:8" x14ac:dyDescent="0.3">
      <c r="A1621" t="s">
        <v>6</v>
      </c>
      <c r="B1621" t="s">
        <v>7</v>
      </c>
      <c r="C1621" t="s">
        <v>797</v>
      </c>
      <c r="D1621" t="s">
        <v>9</v>
      </c>
      <c r="E1621" t="s">
        <v>966</v>
      </c>
      <c r="F1621" t="str">
        <f>"001600040988"</f>
        <v>001600040988</v>
      </c>
      <c r="G1621" t="s">
        <v>2560</v>
      </c>
      <c r="H1621" s="4">
        <v>8188.5420000000004</v>
      </c>
    </row>
    <row r="1622" spans="1:8" x14ac:dyDescent="0.3">
      <c r="A1622" t="s">
        <v>6</v>
      </c>
      <c r="B1622" t="s">
        <v>7</v>
      </c>
      <c r="C1622" t="s">
        <v>797</v>
      </c>
      <c r="D1622" t="s">
        <v>9</v>
      </c>
      <c r="E1622" t="s">
        <v>901</v>
      </c>
      <c r="F1622" t="str">
        <f>"001600018651"</f>
        <v>001600018651</v>
      </c>
      <c r="G1622" t="s">
        <v>2492</v>
      </c>
      <c r="H1622" s="4">
        <v>8180.598</v>
      </c>
    </row>
    <row r="1623" spans="1:8" x14ac:dyDescent="0.3">
      <c r="A1623" t="s">
        <v>6</v>
      </c>
      <c r="B1623" t="s">
        <v>7</v>
      </c>
      <c r="C1623" t="s">
        <v>8</v>
      </c>
      <c r="D1623" t="s">
        <v>9</v>
      </c>
      <c r="E1623" t="s">
        <v>173</v>
      </c>
      <c r="F1623" t="str">
        <f>"001600043533"</f>
        <v>001600043533</v>
      </c>
      <c r="G1623" t="s">
        <v>4133</v>
      </c>
      <c r="H1623" s="4">
        <v>8126.24</v>
      </c>
    </row>
    <row r="1624" spans="1:8" x14ac:dyDescent="0.3">
      <c r="A1624" t="s">
        <v>6</v>
      </c>
      <c r="B1624" t="s">
        <v>7</v>
      </c>
      <c r="C1624" t="s">
        <v>8</v>
      </c>
      <c r="D1624" t="s">
        <v>9</v>
      </c>
      <c r="E1624" t="s">
        <v>68</v>
      </c>
      <c r="F1624" t="str">
        <f>"002190811269"</f>
        <v>002190811269</v>
      </c>
      <c r="G1624" t="s">
        <v>4045</v>
      </c>
      <c r="H1624" s="4">
        <v>8110.9759999999997</v>
      </c>
    </row>
    <row r="1625" spans="1:8" x14ac:dyDescent="0.3">
      <c r="A1625" t="s">
        <v>6</v>
      </c>
      <c r="B1625" t="s">
        <v>7</v>
      </c>
      <c r="C1625" t="s">
        <v>797</v>
      </c>
      <c r="D1625" t="s">
        <v>9</v>
      </c>
      <c r="E1625" t="s">
        <v>822</v>
      </c>
      <c r="F1625" t="str">
        <f>"001600043970"</f>
        <v>001600043970</v>
      </c>
      <c r="G1625" t="s">
        <v>2419</v>
      </c>
      <c r="H1625" s="4">
        <v>8103.4430000000002</v>
      </c>
    </row>
    <row r="1626" spans="1:8" x14ac:dyDescent="0.3">
      <c r="A1626" t="s">
        <v>6</v>
      </c>
      <c r="B1626" t="s">
        <v>7</v>
      </c>
      <c r="C1626" t="s">
        <v>1695</v>
      </c>
      <c r="D1626" t="s">
        <v>9</v>
      </c>
      <c r="E1626" t="s">
        <v>1713</v>
      </c>
      <c r="F1626" t="str">
        <f>"002190850135"</f>
        <v>002190850135</v>
      </c>
      <c r="G1626" t="s">
        <v>3477</v>
      </c>
      <c r="H1626" s="4">
        <v>8086.2550000000001</v>
      </c>
    </row>
    <row r="1627" spans="1:8" x14ac:dyDescent="0.3">
      <c r="A1627" t="s">
        <v>6</v>
      </c>
      <c r="B1627" t="s">
        <v>7</v>
      </c>
      <c r="C1627" t="s">
        <v>1773</v>
      </c>
      <c r="D1627" t="s">
        <v>9</v>
      </c>
      <c r="E1627" t="s">
        <v>1777</v>
      </c>
      <c r="F1627" t="str">
        <f>"001356212204"</f>
        <v>001356212204</v>
      </c>
      <c r="G1627" t="s">
        <v>3539</v>
      </c>
      <c r="H1627" s="4">
        <v>8074.0330000000004</v>
      </c>
    </row>
    <row r="1628" spans="1:8" x14ac:dyDescent="0.3">
      <c r="A1628" t="s">
        <v>6</v>
      </c>
      <c r="B1628" t="s">
        <v>7</v>
      </c>
      <c r="C1628" t="s">
        <v>1748</v>
      </c>
      <c r="D1628" t="s">
        <v>9</v>
      </c>
      <c r="E1628" t="s">
        <v>1751</v>
      </c>
      <c r="F1628" t="str">
        <f>"009232533317"</f>
        <v>009232533317</v>
      </c>
      <c r="G1628" t="s">
        <v>3513</v>
      </c>
      <c r="H1628" s="4">
        <v>8011.8990000000003</v>
      </c>
    </row>
    <row r="1629" spans="1:8" x14ac:dyDescent="0.3">
      <c r="A1629" t="s">
        <v>6</v>
      </c>
      <c r="B1629" t="s">
        <v>7</v>
      </c>
      <c r="C1629" t="s">
        <v>797</v>
      </c>
      <c r="D1629" t="s">
        <v>9</v>
      </c>
      <c r="E1629" t="s">
        <v>933</v>
      </c>
      <c r="F1629" t="str">
        <f>"001600018643"</f>
        <v>001600018643</v>
      </c>
      <c r="G1629" t="s">
        <v>2524</v>
      </c>
      <c r="H1629" s="4">
        <v>7931.5889999999999</v>
      </c>
    </row>
    <row r="1630" spans="1:8" x14ac:dyDescent="0.3">
      <c r="A1630" t="s">
        <v>6</v>
      </c>
      <c r="B1630" t="s">
        <v>7</v>
      </c>
      <c r="C1630" t="s">
        <v>1338</v>
      </c>
      <c r="D1630" t="s">
        <v>9</v>
      </c>
      <c r="E1630" t="s">
        <v>1366</v>
      </c>
      <c r="F1630" t="str">
        <f>"004280012179"</f>
        <v>004280012179</v>
      </c>
      <c r="G1630" t="s">
        <v>2923</v>
      </c>
      <c r="H1630" s="4">
        <v>7892.92</v>
      </c>
    </row>
    <row r="1631" spans="1:8" x14ac:dyDescent="0.3">
      <c r="A1631" t="s">
        <v>6</v>
      </c>
      <c r="B1631" t="s">
        <v>7</v>
      </c>
      <c r="C1631" t="s">
        <v>797</v>
      </c>
      <c r="D1631" t="s">
        <v>9</v>
      </c>
      <c r="E1631" t="s">
        <v>847</v>
      </c>
      <c r="F1631" t="str">
        <f>"001600017517"</f>
        <v>001600017517</v>
      </c>
      <c r="G1631" t="s">
        <v>2442</v>
      </c>
      <c r="H1631" s="4">
        <v>7844.018</v>
      </c>
    </row>
    <row r="1632" spans="1:8" x14ac:dyDescent="0.3">
      <c r="A1632" t="s">
        <v>6</v>
      </c>
      <c r="B1632" t="s">
        <v>7</v>
      </c>
      <c r="C1632" t="s">
        <v>797</v>
      </c>
      <c r="D1632" t="s">
        <v>9</v>
      </c>
      <c r="E1632" t="s">
        <v>829</v>
      </c>
      <c r="F1632" t="str">
        <f>"001600016107"</f>
        <v>001600016107</v>
      </c>
      <c r="G1632" t="s">
        <v>2425</v>
      </c>
      <c r="H1632" s="4">
        <v>7772.5829999999996</v>
      </c>
    </row>
    <row r="1633" spans="1:8" x14ac:dyDescent="0.3">
      <c r="A1633" t="s">
        <v>6</v>
      </c>
      <c r="B1633" t="s">
        <v>7</v>
      </c>
      <c r="C1633" t="s">
        <v>2113</v>
      </c>
      <c r="D1633" t="s">
        <v>9</v>
      </c>
      <c r="E1633" t="s">
        <v>2143</v>
      </c>
      <c r="F1633" t="str">
        <f>"001600012606"</f>
        <v>001600012606</v>
      </c>
      <c r="G1633" t="s">
        <v>4351</v>
      </c>
      <c r="H1633" s="4">
        <v>7693.4440000000004</v>
      </c>
    </row>
    <row r="1634" spans="1:8" x14ac:dyDescent="0.3">
      <c r="A1634" t="s">
        <v>6</v>
      </c>
      <c r="B1634" t="s">
        <v>7</v>
      </c>
      <c r="C1634" t="s">
        <v>8</v>
      </c>
      <c r="D1634" t="s">
        <v>9</v>
      </c>
      <c r="E1634" t="s">
        <v>180</v>
      </c>
      <c r="F1634" t="str">
        <f>"001600020618"</f>
        <v>001600020618</v>
      </c>
      <c r="G1634" t="s">
        <v>4139</v>
      </c>
      <c r="H1634" s="4">
        <v>7690.48</v>
      </c>
    </row>
    <row r="1635" spans="1:8" x14ac:dyDescent="0.3">
      <c r="A1635" t="s">
        <v>6</v>
      </c>
      <c r="B1635" t="s">
        <v>7</v>
      </c>
      <c r="C1635" t="s">
        <v>985</v>
      </c>
      <c r="D1635" t="s">
        <v>9</v>
      </c>
      <c r="E1635" t="s">
        <v>1023</v>
      </c>
      <c r="F1635" t="str">
        <f>"001356212655"</f>
        <v>001356212655</v>
      </c>
      <c r="G1635" t="s">
        <v>2622</v>
      </c>
      <c r="H1635" s="4">
        <v>7618.3429999999998</v>
      </c>
    </row>
    <row r="1636" spans="1:8" x14ac:dyDescent="0.3">
      <c r="A1636" t="s">
        <v>6</v>
      </c>
      <c r="B1636" t="s">
        <v>7</v>
      </c>
      <c r="C1636" t="s">
        <v>381</v>
      </c>
      <c r="D1636" t="s">
        <v>9</v>
      </c>
      <c r="E1636" t="s">
        <v>410</v>
      </c>
      <c r="F1636" t="str">
        <f>"002190847623"</f>
        <v>002190847623</v>
      </c>
      <c r="G1636" t="s">
        <v>3137</v>
      </c>
      <c r="H1636" s="4">
        <v>7605.25</v>
      </c>
    </row>
    <row r="1637" spans="1:8" x14ac:dyDescent="0.3">
      <c r="A1637" t="s">
        <v>6</v>
      </c>
      <c r="B1637" t="s">
        <v>7</v>
      </c>
      <c r="C1637" t="s">
        <v>1679</v>
      </c>
      <c r="D1637" t="s">
        <v>9</v>
      </c>
      <c r="E1637" t="s">
        <v>1691</v>
      </c>
      <c r="F1637" t="str">
        <f>"002190847713"</f>
        <v>002190847713</v>
      </c>
      <c r="G1637" t="s">
        <v>3457</v>
      </c>
      <c r="H1637" s="4">
        <v>7574.2920000000004</v>
      </c>
    </row>
    <row r="1638" spans="1:8" x14ac:dyDescent="0.3">
      <c r="A1638" t="s">
        <v>6</v>
      </c>
      <c r="B1638" t="s">
        <v>7</v>
      </c>
      <c r="C1638" t="s">
        <v>1940</v>
      </c>
      <c r="D1638" t="s">
        <v>9</v>
      </c>
      <c r="E1638" t="s">
        <v>2055</v>
      </c>
      <c r="F1638" t="str">
        <f>"007047050484"</f>
        <v>007047050484</v>
      </c>
      <c r="G1638" t="s">
        <v>3942</v>
      </c>
      <c r="H1638" s="4">
        <v>7478.3320000000003</v>
      </c>
    </row>
    <row r="1639" spans="1:8" x14ac:dyDescent="0.3">
      <c r="A1639" t="s">
        <v>6</v>
      </c>
      <c r="B1639" t="s">
        <v>7</v>
      </c>
      <c r="C1639" t="s">
        <v>1805</v>
      </c>
      <c r="D1639" t="s">
        <v>9</v>
      </c>
      <c r="E1639" t="s">
        <v>1932</v>
      </c>
      <c r="F1639" t="str">
        <f>"001800042843"</f>
        <v>001800042843</v>
      </c>
      <c r="G1639" t="s">
        <v>3816</v>
      </c>
      <c r="H1639" s="4">
        <v>7475.7389999999996</v>
      </c>
    </row>
    <row r="1640" spans="1:8" x14ac:dyDescent="0.3">
      <c r="A1640" t="s">
        <v>6</v>
      </c>
      <c r="B1640" t="s">
        <v>7</v>
      </c>
      <c r="C1640" t="s">
        <v>8</v>
      </c>
      <c r="D1640" t="s">
        <v>9</v>
      </c>
      <c r="E1640" t="s">
        <v>290</v>
      </c>
      <c r="F1640" t="str">
        <f>"001600018436"</f>
        <v>001600018436</v>
      </c>
      <c r="G1640" t="s">
        <v>4242</v>
      </c>
      <c r="H1640" s="4">
        <v>7472.7</v>
      </c>
    </row>
    <row r="1641" spans="1:8" x14ac:dyDescent="0.3">
      <c r="A1641" t="s">
        <v>6</v>
      </c>
      <c r="B1641" t="s">
        <v>7</v>
      </c>
      <c r="C1641" t="s">
        <v>616</v>
      </c>
      <c r="D1641" t="s">
        <v>9</v>
      </c>
      <c r="E1641" t="s">
        <v>627</v>
      </c>
      <c r="F1641" t="str">
        <f>"001600018933"</f>
        <v>001600018933</v>
      </c>
      <c r="G1641" t="s">
        <v>3599</v>
      </c>
      <c r="H1641" s="4">
        <v>7457.95</v>
      </c>
    </row>
    <row r="1642" spans="1:8" x14ac:dyDescent="0.3">
      <c r="A1642" t="s">
        <v>6</v>
      </c>
      <c r="B1642" t="s">
        <v>7</v>
      </c>
      <c r="C1642" t="s">
        <v>1397</v>
      </c>
      <c r="D1642" t="s">
        <v>9</v>
      </c>
      <c r="E1642" t="s">
        <v>1543</v>
      </c>
      <c r="F1642" t="str">
        <f>"004119612148"</f>
        <v>004119612148</v>
      </c>
      <c r="G1642" t="s">
        <v>3087</v>
      </c>
      <c r="H1642" s="4">
        <v>7453.6189999999997</v>
      </c>
    </row>
    <row r="1643" spans="1:8" x14ac:dyDescent="0.3">
      <c r="A1643" t="s">
        <v>6</v>
      </c>
      <c r="B1643" t="s">
        <v>7</v>
      </c>
      <c r="C1643" t="s">
        <v>1805</v>
      </c>
      <c r="D1643" t="s">
        <v>9</v>
      </c>
      <c r="E1643" t="s">
        <v>1897</v>
      </c>
      <c r="F1643" t="str">
        <f>"001800042842"</f>
        <v>001800042842</v>
      </c>
      <c r="G1643" t="s">
        <v>3785</v>
      </c>
      <c r="H1643" s="4">
        <v>7443.7550000000001</v>
      </c>
    </row>
    <row r="1644" spans="1:8" x14ac:dyDescent="0.3">
      <c r="A1644" t="s">
        <v>6</v>
      </c>
      <c r="B1644" t="s">
        <v>7</v>
      </c>
      <c r="C1644" t="s">
        <v>381</v>
      </c>
      <c r="D1644" t="s">
        <v>9</v>
      </c>
      <c r="E1644" t="s">
        <v>602</v>
      </c>
      <c r="F1644" t="str">
        <f>"001600015873"</f>
        <v>001600015873</v>
      </c>
      <c r="G1644" t="s">
        <v>3331</v>
      </c>
      <c r="H1644" s="4">
        <v>7436.2359999999999</v>
      </c>
    </row>
    <row r="1645" spans="1:8" x14ac:dyDescent="0.3">
      <c r="A1645" t="s">
        <v>6</v>
      </c>
      <c r="B1645" t="s">
        <v>7</v>
      </c>
      <c r="C1645" t="s">
        <v>1577</v>
      </c>
      <c r="D1645" t="s">
        <v>9</v>
      </c>
      <c r="E1645" t="s">
        <v>1673</v>
      </c>
      <c r="F1645" t="str">
        <f>"004600010161"</f>
        <v>004600010161</v>
      </c>
      <c r="G1645" t="s">
        <v>3441</v>
      </c>
      <c r="H1645" s="4">
        <v>7425.32</v>
      </c>
    </row>
    <row r="1646" spans="1:8" x14ac:dyDescent="0.3">
      <c r="A1646" t="s">
        <v>6</v>
      </c>
      <c r="B1646" t="s">
        <v>7</v>
      </c>
      <c r="C1646" t="s">
        <v>1940</v>
      </c>
      <c r="D1646" t="s">
        <v>9</v>
      </c>
      <c r="E1646" t="s">
        <v>2077</v>
      </c>
      <c r="F1646" t="str">
        <f>"007047018119"</f>
        <v>007047018119</v>
      </c>
      <c r="G1646" t="s">
        <v>3963</v>
      </c>
      <c r="H1646" s="4">
        <v>7407.6080000000002</v>
      </c>
    </row>
    <row r="1647" spans="1:8" x14ac:dyDescent="0.3">
      <c r="A1647" t="s">
        <v>6</v>
      </c>
      <c r="B1647" t="s">
        <v>7</v>
      </c>
      <c r="C1647" t="s">
        <v>1397</v>
      </c>
      <c r="D1647" t="s">
        <v>9</v>
      </c>
      <c r="E1647" t="s">
        <v>1487</v>
      </c>
      <c r="F1647" t="str">
        <f>"001600017945"</f>
        <v>001600017945</v>
      </c>
      <c r="G1647" t="s">
        <v>3035</v>
      </c>
      <c r="H1647" s="4">
        <v>7391.5870000000004</v>
      </c>
    </row>
    <row r="1648" spans="1:8" x14ac:dyDescent="0.3">
      <c r="A1648" t="s">
        <v>6</v>
      </c>
      <c r="B1648" t="s">
        <v>7</v>
      </c>
      <c r="C1648" t="s">
        <v>381</v>
      </c>
      <c r="D1648" t="s">
        <v>9</v>
      </c>
      <c r="E1648" t="s">
        <v>400</v>
      </c>
      <c r="F1648" t="str">
        <f>"002190812815"</f>
        <v>002190812815</v>
      </c>
      <c r="G1648" t="s">
        <v>3128</v>
      </c>
      <c r="H1648" s="4">
        <v>7351.71</v>
      </c>
    </row>
    <row r="1649" spans="1:8" x14ac:dyDescent="0.3">
      <c r="A1649" t="s">
        <v>6</v>
      </c>
      <c r="B1649" t="s">
        <v>7</v>
      </c>
      <c r="C1649" t="s">
        <v>797</v>
      </c>
      <c r="D1649" t="s">
        <v>9</v>
      </c>
      <c r="E1649" t="s">
        <v>824</v>
      </c>
      <c r="F1649" t="str">
        <f>"001600020764"</f>
        <v>001600020764</v>
      </c>
      <c r="G1649" t="s">
        <v>2420</v>
      </c>
      <c r="H1649" s="4">
        <v>7217.1109999999999</v>
      </c>
    </row>
    <row r="1650" spans="1:8" x14ac:dyDescent="0.3">
      <c r="A1650" t="s">
        <v>6</v>
      </c>
      <c r="B1650" t="s">
        <v>7</v>
      </c>
      <c r="C1650" t="s">
        <v>1397</v>
      </c>
      <c r="D1650" t="s">
        <v>9</v>
      </c>
      <c r="E1650" t="s">
        <v>1548</v>
      </c>
      <c r="F1650" t="str">
        <f>"007047016135"</f>
        <v>007047016135</v>
      </c>
      <c r="G1650" t="s">
        <v>3092</v>
      </c>
      <c r="H1650" s="4">
        <v>7200.8890000000001</v>
      </c>
    </row>
    <row r="1651" spans="1:8" x14ac:dyDescent="0.3">
      <c r="A1651" t="s">
        <v>6</v>
      </c>
      <c r="B1651" t="s">
        <v>7</v>
      </c>
      <c r="C1651" t="s">
        <v>797</v>
      </c>
      <c r="D1651" t="s">
        <v>9</v>
      </c>
      <c r="E1651" t="s">
        <v>959</v>
      </c>
      <c r="F1651" t="str">
        <f>"001600040996"</f>
        <v>001600040996</v>
      </c>
      <c r="G1651" t="s">
        <v>2554</v>
      </c>
      <c r="H1651" s="4">
        <v>7171.51</v>
      </c>
    </row>
    <row r="1652" spans="1:8" x14ac:dyDescent="0.3">
      <c r="A1652" t="s">
        <v>6</v>
      </c>
      <c r="B1652" t="s">
        <v>7</v>
      </c>
      <c r="C1652" t="s">
        <v>1072</v>
      </c>
      <c r="D1652" t="s">
        <v>9</v>
      </c>
      <c r="E1652" t="s">
        <v>1087</v>
      </c>
      <c r="F1652" t="str">
        <f>"001600043086"</f>
        <v>001600043086</v>
      </c>
      <c r="G1652" t="s">
        <v>2692</v>
      </c>
      <c r="H1652" s="4">
        <v>7152.27</v>
      </c>
    </row>
    <row r="1653" spans="1:8" x14ac:dyDescent="0.3">
      <c r="A1653" t="s">
        <v>6</v>
      </c>
      <c r="B1653" t="s">
        <v>7</v>
      </c>
      <c r="C1653" t="s">
        <v>797</v>
      </c>
      <c r="D1653" t="s">
        <v>9</v>
      </c>
      <c r="E1653" t="s">
        <v>930</v>
      </c>
      <c r="F1653" t="str">
        <f>"001600018646"</f>
        <v>001600018646</v>
      </c>
      <c r="G1653" t="s">
        <v>2521</v>
      </c>
      <c r="H1653" s="4">
        <v>7150.0360000000001</v>
      </c>
    </row>
    <row r="1654" spans="1:8" x14ac:dyDescent="0.3">
      <c r="A1654" t="s">
        <v>6</v>
      </c>
      <c r="B1654" t="s">
        <v>7</v>
      </c>
      <c r="C1654" t="s">
        <v>616</v>
      </c>
      <c r="D1654" t="s">
        <v>9</v>
      </c>
      <c r="E1654" t="s">
        <v>683</v>
      </c>
      <c r="F1654" t="str">
        <f>"002190812908"</f>
        <v>002190812908</v>
      </c>
      <c r="G1654" t="s">
        <v>3653</v>
      </c>
      <c r="H1654" s="4">
        <v>7038.11</v>
      </c>
    </row>
    <row r="1655" spans="1:8" x14ac:dyDescent="0.3">
      <c r="A1655" t="s">
        <v>6</v>
      </c>
      <c r="B1655" t="s">
        <v>7</v>
      </c>
      <c r="C1655" t="s">
        <v>1397</v>
      </c>
      <c r="D1655" t="s">
        <v>9</v>
      </c>
      <c r="E1655" t="s">
        <v>1437</v>
      </c>
      <c r="F1655" t="str">
        <f>"073215302481"</f>
        <v>073215302481</v>
      </c>
      <c r="G1655" t="s">
        <v>2988</v>
      </c>
      <c r="H1655" s="4">
        <v>7012.2389999999996</v>
      </c>
    </row>
    <row r="1656" spans="1:8" x14ac:dyDescent="0.3">
      <c r="A1656" t="s">
        <v>6</v>
      </c>
      <c r="B1656" t="s">
        <v>7</v>
      </c>
      <c r="C1656" t="s">
        <v>985</v>
      </c>
      <c r="D1656" t="s">
        <v>9</v>
      </c>
      <c r="E1656" t="s">
        <v>1050</v>
      </c>
      <c r="F1656" t="str">
        <f>"001356247875"</f>
        <v>001356247875</v>
      </c>
      <c r="G1656" t="s">
        <v>2644</v>
      </c>
      <c r="H1656" s="4">
        <v>6979.1270000000004</v>
      </c>
    </row>
    <row r="1657" spans="1:8" x14ac:dyDescent="0.3">
      <c r="A1657" t="s">
        <v>6</v>
      </c>
      <c r="B1657" t="s">
        <v>7</v>
      </c>
      <c r="C1657" t="s">
        <v>1095</v>
      </c>
      <c r="D1657" t="s">
        <v>9</v>
      </c>
      <c r="E1657" t="s">
        <v>1111</v>
      </c>
      <c r="F1657" t="str">
        <f>"001600051048"</f>
        <v>001600051048</v>
      </c>
      <c r="G1657" t="s">
        <v>2711</v>
      </c>
      <c r="H1657" s="4">
        <v>6970.8159999999998</v>
      </c>
    </row>
    <row r="1658" spans="1:8" x14ac:dyDescent="0.3">
      <c r="A1658" t="s">
        <v>6</v>
      </c>
      <c r="B1658" t="s">
        <v>7</v>
      </c>
      <c r="C1658" t="s">
        <v>616</v>
      </c>
      <c r="D1658" t="s">
        <v>9</v>
      </c>
      <c r="E1658" t="s">
        <v>640</v>
      </c>
      <c r="F1658" t="str">
        <f>"073215302916"</f>
        <v>073215302916</v>
      </c>
      <c r="G1658" t="s">
        <v>3611</v>
      </c>
      <c r="H1658" s="4">
        <v>6889.93</v>
      </c>
    </row>
    <row r="1659" spans="1:8" x14ac:dyDescent="0.3">
      <c r="A1659" t="s">
        <v>6</v>
      </c>
      <c r="B1659" t="s">
        <v>7</v>
      </c>
      <c r="C1659" t="s">
        <v>2113</v>
      </c>
      <c r="D1659" t="s">
        <v>9</v>
      </c>
      <c r="E1659" t="s">
        <v>2193</v>
      </c>
      <c r="F1659" t="str">
        <f>"001600051379"</f>
        <v>001600051379</v>
      </c>
      <c r="G1659" t="s">
        <v>4398</v>
      </c>
      <c r="H1659" s="4">
        <v>6844.491</v>
      </c>
    </row>
    <row r="1660" spans="1:8" x14ac:dyDescent="0.3">
      <c r="A1660" t="s">
        <v>6</v>
      </c>
      <c r="B1660" t="s">
        <v>7</v>
      </c>
      <c r="C1660" t="s">
        <v>381</v>
      </c>
      <c r="D1660" t="s">
        <v>9</v>
      </c>
      <c r="E1660" t="s">
        <v>530</v>
      </c>
      <c r="F1660" t="str">
        <f>"001600044282"</f>
        <v>001600044282</v>
      </c>
      <c r="G1660" t="s">
        <v>3254</v>
      </c>
      <c r="H1660" s="4">
        <v>6813.1819999999998</v>
      </c>
    </row>
    <row r="1661" spans="1:8" x14ac:dyDescent="0.3">
      <c r="A1661" t="s">
        <v>6</v>
      </c>
      <c r="B1661" t="s">
        <v>7</v>
      </c>
      <c r="C1661" t="s">
        <v>1786</v>
      </c>
      <c r="D1661" t="s">
        <v>9</v>
      </c>
      <c r="E1661" t="s">
        <v>1789</v>
      </c>
      <c r="F1661" t="str">
        <f>"072534228193"</f>
        <v>072534228193</v>
      </c>
      <c r="G1661" t="s">
        <v>3551</v>
      </c>
      <c r="H1661" s="4">
        <v>6806.4430000000002</v>
      </c>
    </row>
    <row r="1662" spans="1:8" x14ac:dyDescent="0.3">
      <c r="A1662" t="s">
        <v>6</v>
      </c>
      <c r="B1662" t="s">
        <v>7</v>
      </c>
      <c r="C1662" t="s">
        <v>1577</v>
      </c>
      <c r="D1662" t="s">
        <v>9</v>
      </c>
      <c r="E1662" t="s">
        <v>1631</v>
      </c>
      <c r="F1662" t="str">
        <f>"004600084331"</f>
        <v>004600084331</v>
      </c>
      <c r="G1662" t="s">
        <v>3399</v>
      </c>
      <c r="H1662" s="4">
        <v>6794.2389999999996</v>
      </c>
    </row>
    <row r="1663" spans="1:8" x14ac:dyDescent="0.3">
      <c r="A1663" t="s">
        <v>6</v>
      </c>
      <c r="B1663" t="s">
        <v>7</v>
      </c>
      <c r="C1663" t="s">
        <v>1397</v>
      </c>
      <c r="D1663" t="s">
        <v>9</v>
      </c>
      <c r="E1663" t="s">
        <v>1439</v>
      </c>
      <c r="F1663" t="str">
        <f>"073215311961"</f>
        <v>073215311961</v>
      </c>
      <c r="G1663" t="s">
        <v>2990</v>
      </c>
      <c r="H1663" s="4">
        <v>6671.3530000000001</v>
      </c>
    </row>
    <row r="1664" spans="1:8" x14ac:dyDescent="0.3">
      <c r="A1664" t="s">
        <v>6</v>
      </c>
      <c r="B1664" t="s">
        <v>7</v>
      </c>
      <c r="C1664" t="s">
        <v>797</v>
      </c>
      <c r="D1664" t="s">
        <v>9</v>
      </c>
      <c r="E1664" t="s">
        <v>850</v>
      </c>
      <c r="F1664" t="str">
        <f>"001600017618"</f>
        <v>001600017618</v>
      </c>
      <c r="G1664" t="s">
        <v>2445</v>
      </c>
      <c r="H1664" s="4">
        <v>6648.4769999999999</v>
      </c>
    </row>
    <row r="1665" spans="1:8" x14ac:dyDescent="0.3">
      <c r="A1665" t="s">
        <v>6</v>
      </c>
      <c r="B1665" t="s">
        <v>7</v>
      </c>
      <c r="C1665" t="s">
        <v>985</v>
      </c>
      <c r="D1665" t="s">
        <v>9</v>
      </c>
      <c r="E1665" t="s">
        <v>1021</v>
      </c>
      <c r="F1665" t="str">
        <f>"001356211781"</f>
        <v>001356211781</v>
      </c>
      <c r="G1665" t="s">
        <v>2620</v>
      </c>
      <c r="H1665" s="4">
        <v>6616.6220000000003</v>
      </c>
    </row>
    <row r="1666" spans="1:8" x14ac:dyDescent="0.3">
      <c r="A1666" t="s">
        <v>6</v>
      </c>
      <c r="B1666" t="s">
        <v>7</v>
      </c>
      <c r="C1666" t="s">
        <v>1577</v>
      </c>
      <c r="D1666" t="s">
        <v>9</v>
      </c>
      <c r="E1666" t="s">
        <v>1588</v>
      </c>
      <c r="F1666" t="str">
        <f>"004600012312"</f>
        <v>004600012312</v>
      </c>
      <c r="G1666" t="s">
        <v>3351</v>
      </c>
      <c r="H1666" s="4">
        <v>6616.2259999999997</v>
      </c>
    </row>
    <row r="1667" spans="1:8" x14ac:dyDescent="0.3">
      <c r="A1667" t="s">
        <v>6</v>
      </c>
      <c r="B1667" t="s">
        <v>7</v>
      </c>
      <c r="C1667" t="s">
        <v>616</v>
      </c>
      <c r="D1667" t="s">
        <v>9</v>
      </c>
      <c r="E1667" t="s">
        <v>684</v>
      </c>
      <c r="F1667" t="str">
        <f>"002190851194"</f>
        <v>002190851194</v>
      </c>
      <c r="G1667" t="s">
        <v>3654</v>
      </c>
      <c r="H1667" s="4">
        <v>6578.15</v>
      </c>
    </row>
    <row r="1668" spans="1:8" x14ac:dyDescent="0.3">
      <c r="A1668" t="s">
        <v>6</v>
      </c>
      <c r="B1668" t="s">
        <v>7</v>
      </c>
      <c r="C1668" t="s">
        <v>1338</v>
      </c>
      <c r="D1668" t="s">
        <v>9</v>
      </c>
      <c r="E1668" t="s">
        <v>1367</v>
      </c>
      <c r="F1668" t="str">
        <f>"004280012182"</f>
        <v>004280012182</v>
      </c>
      <c r="G1668" t="s">
        <v>2924</v>
      </c>
      <c r="H1668" s="4">
        <v>6576.61</v>
      </c>
    </row>
    <row r="1669" spans="1:8" x14ac:dyDescent="0.3">
      <c r="A1669" t="s">
        <v>6</v>
      </c>
      <c r="B1669" t="s">
        <v>7</v>
      </c>
      <c r="C1669" t="s">
        <v>1577</v>
      </c>
      <c r="D1669" t="s">
        <v>9</v>
      </c>
      <c r="E1669" t="s">
        <v>1586</v>
      </c>
      <c r="F1669" t="str">
        <f>"072534248490"</f>
        <v>072534248490</v>
      </c>
      <c r="G1669" t="s">
        <v>3349</v>
      </c>
      <c r="H1669" s="4">
        <v>6569.78</v>
      </c>
    </row>
    <row r="1670" spans="1:8" x14ac:dyDescent="0.3">
      <c r="A1670" t="s">
        <v>6</v>
      </c>
      <c r="B1670" t="s">
        <v>7</v>
      </c>
      <c r="C1670" t="s">
        <v>2113</v>
      </c>
      <c r="D1670" t="s">
        <v>9</v>
      </c>
      <c r="E1670" t="s">
        <v>2180</v>
      </c>
      <c r="F1670" t="str">
        <f>"001600016904"</f>
        <v>001600016904</v>
      </c>
      <c r="G1670" t="s">
        <v>4386</v>
      </c>
      <c r="H1670" s="4">
        <v>6543.723</v>
      </c>
    </row>
    <row r="1671" spans="1:8" x14ac:dyDescent="0.3">
      <c r="A1671" t="s">
        <v>6</v>
      </c>
      <c r="B1671" t="s">
        <v>7</v>
      </c>
      <c r="C1671" t="s">
        <v>616</v>
      </c>
      <c r="D1671" t="s">
        <v>9</v>
      </c>
      <c r="E1671" t="s">
        <v>698</v>
      </c>
      <c r="F1671" t="str">
        <f>"002190845307"</f>
        <v>002190845307</v>
      </c>
      <c r="G1671" t="s">
        <v>3668</v>
      </c>
      <c r="H1671" s="4">
        <v>6526.8819999999996</v>
      </c>
    </row>
    <row r="1672" spans="1:8" x14ac:dyDescent="0.3">
      <c r="A1672" t="s">
        <v>6</v>
      </c>
      <c r="B1672" t="s">
        <v>7</v>
      </c>
      <c r="C1672" t="s">
        <v>1786</v>
      </c>
      <c r="D1672" t="s">
        <v>9</v>
      </c>
      <c r="E1672" t="s">
        <v>1801</v>
      </c>
      <c r="F1672" t="str">
        <f>"072534226929"</f>
        <v>072534226929</v>
      </c>
      <c r="G1672" t="s">
        <v>3580</v>
      </c>
      <c r="H1672" s="4">
        <v>6491.0820000000003</v>
      </c>
    </row>
    <row r="1673" spans="1:8" x14ac:dyDescent="0.3">
      <c r="A1673" t="s">
        <v>6</v>
      </c>
      <c r="B1673" t="s">
        <v>7</v>
      </c>
      <c r="C1673" t="s">
        <v>616</v>
      </c>
      <c r="D1673" t="s">
        <v>9</v>
      </c>
      <c r="E1673" t="s">
        <v>727</v>
      </c>
      <c r="F1673" t="str">
        <f>"002190811787"</f>
        <v>002190811787</v>
      </c>
      <c r="G1673" t="s">
        <v>3697</v>
      </c>
      <c r="H1673" s="4">
        <v>6458.47</v>
      </c>
    </row>
    <row r="1674" spans="1:8" x14ac:dyDescent="0.3">
      <c r="A1674" t="s">
        <v>6</v>
      </c>
      <c r="B1674" t="s">
        <v>7</v>
      </c>
      <c r="C1674" t="s">
        <v>1695</v>
      </c>
      <c r="D1674" t="s">
        <v>9</v>
      </c>
      <c r="E1674" t="s">
        <v>1697</v>
      </c>
      <c r="F1674" t="str">
        <f>"002190850197"</f>
        <v>002190850197</v>
      </c>
      <c r="G1674" t="s">
        <v>3461</v>
      </c>
      <c r="H1674" s="4">
        <v>6455.5420000000004</v>
      </c>
    </row>
    <row r="1675" spans="1:8" x14ac:dyDescent="0.3">
      <c r="A1675" t="s">
        <v>6</v>
      </c>
      <c r="B1675" t="s">
        <v>7</v>
      </c>
      <c r="C1675" t="s">
        <v>1748</v>
      </c>
      <c r="D1675" t="s">
        <v>9</v>
      </c>
      <c r="E1675" t="s">
        <v>1752</v>
      </c>
      <c r="F1675" t="str">
        <f>"009232533324"</f>
        <v>009232533324</v>
      </c>
      <c r="G1675" t="s">
        <v>3514</v>
      </c>
      <c r="H1675" s="4">
        <v>6413.1260000000002</v>
      </c>
    </row>
    <row r="1676" spans="1:8" x14ac:dyDescent="0.3">
      <c r="A1676" t="s">
        <v>6</v>
      </c>
      <c r="B1676" t="s">
        <v>7</v>
      </c>
      <c r="C1676" t="s">
        <v>1072</v>
      </c>
      <c r="D1676" t="s">
        <v>9</v>
      </c>
      <c r="E1676" t="s">
        <v>1075</v>
      </c>
      <c r="F1676" t="str">
        <f>"001600020076"</f>
        <v>001600020076</v>
      </c>
      <c r="G1676" t="s">
        <v>2677</v>
      </c>
      <c r="H1676" s="4">
        <v>6408.5910000000003</v>
      </c>
    </row>
    <row r="1677" spans="1:8" x14ac:dyDescent="0.3">
      <c r="A1677" t="s">
        <v>6</v>
      </c>
      <c r="B1677" t="s">
        <v>7</v>
      </c>
      <c r="C1677" t="s">
        <v>1748</v>
      </c>
      <c r="D1677" t="s">
        <v>9</v>
      </c>
      <c r="E1677" t="s">
        <v>1772</v>
      </c>
      <c r="F1677" t="str">
        <f>"009232533301"</f>
        <v>009232533301</v>
      </c>
      <c r="G1677" t="s">
        <v>3534</v>
      </c>
      <c r="H1677" s="4">
        <v>6403.9179999999997</v>
      </c>
    </row>
    <row r="1678" spans="1:8" x14ac:dyDescent="0.3">
      <c r="A1678" t="s">
        <v>6</v>
      </c>
      <c r="B1678" t="s">
        <v>7</v>
      </c>
      <c r="C1678" t="s">
        <v>770</v>
      </c>
      <c r="D1678" t="s">
        <v>9</v>
      </c>
      <c r="E1678" t="s">
        <v>794</v>
      </c>
      <c r="F1678" t="str">
        <f>"001600045530"</f>
        <v>001600045530</v>
      </c>
      <c r="G1678" t="s">
        <v>2394</v>
      </c>
      <c r="H1678" s="4">
        <v>6401.4809999999998</v>
      </c>
    </row>
    <row r="1679" spans="1:8" x14ac:dyDescent="0.3">
      <c r="A1679" t="s">
        <v>6</v>
      </c>
      <c r="B1679" t="s">
        <v>7</v>
      </c>
      <c r="C1679" t="s">
        <v>2231</v>
      </c>
      <c r="D1679" t="s">
        <v>9</v>
      </c>
      <c r="E1679" t="s">
        <v>2240</v>
      </c>
      <c r="F1679" t="str">
        <f>"001356212708"</f>
        <v>001356212708</v>
      </c>
      <c r="G1679" t="s">
        <v>4437</v>
      </c>
      <c r="H1679" s="4">
        <v>6392.076</v>
      </c>
    </row>
    <row r="1680" spans="1:8" x14ac:dyDescent="0.3">
      <c r="A1680" t="s">
        <v>6</v>
      </c>
      <c r="B1680" t="s">
        <v>7</v>
      </c>
      <c r="C1680" t="s">
        <v>1786</v>
      </c>
      <c r="D1680" t="s">
        <v>9</v>
      </c>
      <c r="E1680" t="s">
        <v>1797</v>
      </c>
      <c r="F1680" t="str">
        <f>"072534213078"</f>
        <v>072534213078</v>
      </c>
      <c r="G1680" t="s">
        <v>3569</v>
      </c>
      <c r="H1680" s="4">
        <v>6369.92</v>
      </c>
    </row>
    <row r="1681" spans="1:8" x14ac:dyDescent="0.3">
      <c r="A1681" t="s">
        <v>6</v>
      </c>
      <c r="B1681" t="s">
        <v>7</v>
      </c>
      <c r="C1681" t="s">
        <v>381</v>
      </c>
      <c r="D1681" t="s">
        <v>9</v>
      </c>
      <c r="E1681" t="s">
        <v>389</v>
      </c>
      <c r="F1681" t="str">
        <f>"001356200262"</f>
        <v>001356200262</v>
      </c>
      <c r="G1681" t="s">
        <v>3117</v>
      </c>
      <c r="H1681" s="4">
        <v>6321.4189999999999</v>
      </c>
    </row>
    <row r="1682" spans="1:8" x14ac:dyDescent="0.3">
      <c r="A1682" t="s">
        <v>6</v>
      </c>
      <c r="B1682" t="s">
        <v>7</v>
      </c>
      <c r="C1682" t="s">
        <v>1338</v>
      </c>
      <c r="D1682" t="s">
        <v>9</v>
      </c>
      <c r="E1682" t="s">
        <v>1378</v>
      </c>
      <c r="F1682" t="str">
        <f>"004280000597"</f>
        <v>004280000597</v>
      </c>
      <c r="G1682" t="s">
        <v>2934</v>
      </c>
      <c r="H1682" s="4">
        <v>6310.1170000000002</v>
      </c>
    </row>
    <row r="1683" spans="1:8" x14ac:dyDescent="0.3">
      <c r="A1683" t="s">
        <v>6</v>
      </c>
      <c r="B1683" t="s">
        <v>7</v>
      </c>
      <c r="C1683" t="s">
        <v>1695</v>
      </c>
      <c r="D1683" t="s">
        <v>9</v>
      </c>
      <c r="E1683" t="s">
        <v>1727</v>
      </c>
      <c r="F1683" t="str">
        <f>"002190828923"</f>
        <v>002190828923</v>
      </c>
      <c r="G1683" t="s">
        <v>3492</v>
      </c>
      <c r="H1683" s="4">
        <v>6297.5020000000004</v>
      </c>
    </row>
    <row r="1684" spans="1:8" x14ac:dyDescent="0.3">
      <c r="A1684" t="s">
        <v>6</v>
      </c>
      <c r="B1684" t="s">
        <v>7</v>
      </c>
      <c r="C1684" t="s">
        <v>8</v>
      </c>
      <c r="D1684" t="s">
        <v>9</v>
      </c>
      <c r="E1684" t="s">
        <v>262</v>
      </c>
      <c r="F1684" t="str">
        <f>"001600020442"</f>
        <v>001600020442</v>
      </c>
      <c r="G1684" t="s">
        <v>4215</v>
      </c>
      <c r="H1684" s="4">
        <v>6291.2550000000001</v>
      </c>
    </row>
    <row r="1685" spans="1:8" x14ac:dyDescent="0.3">
      <c r="A1685" t="s">
        <v>6</v>
      </c>
      <c r="B1685" t="s">
        <v>7</v>
      </c>
      <c r="C1685" t="s">
        <v>381</v>
      </c>
      <c r="D1685" t="s">
        <v>9</v>
      </c>
      <c r="E1685" t="s">
        <v>399</v>
      </c>
      <c r="F1685" t="str">
        <f>"002190812338"</f>
        <v>002190812338</v>
      </c>
      <c r="G1685" t="s">
        <v>3127</v>
      </c>
      <c r="H1685" s="4">
        <v>6275.2389999999996</v>
      </c>
    </row>
    <row r="1686" spans="1:8" x14ac:dyDescent="0.3">
      <c r="A1686" t="s">
        <v>6</v>
      </c>
      <c r="B1686" t="s">
        <v>7</v>
      </c>
      <c r="C1686" t="s">
        <v>1695</v>
      </c>
      <c r="D1686" t="s">
        <v>9</v>
      </c>
      <c r="E1686" t="s">
        <v>1696</v>
      </c>
      <c r="F1686" t="str">
        <f>"002190842237"</f>
        <v>002190842237</v>
      </c>
      <c r="G1686" t="s">
        <v>3460</v>
      </c>
      <c r="H1686" s="4">
        <v>6244.7740000000003</v>
      </c>
    </row>
    <row r="1687" spans="1:8" x14ac:dyDescent="0.3">
      <c r="A1687" t="s">
        <v>6</v>
      </c>
      <c r="B1687" t="s">
        <v>7</v>
      </c>
      <c r="C1687" t="s">
        <v>2113</v>
      </c>
      <c r="D1687" t="s">
        <v>9</v>
      </c>
      <c r="E1687" t="s">
        <v>2204</v>
      </c>
      <c r="F1687" t="str">
        <f>"001600051258"</f>
        <v>001600051258</v>
      </c>
      <c r="G1687" t="s">
        <v>4407</v>
      </c>
      <c r="H1687" s="4">
        <v>6241.076</v>
      </c>
    </row>
    <row r="1688" spans="1:8" x14ac:dyDescent="0.3">
      <c r="A1688" t="s">
        <v>6</v>
      </c>
      <c r="B1688" t="s">
        <v>7</v>
      </c>
      <c r="C1688" t="s">
        <v>8</v>
      </c>
      <c r="D1688" t="s">
        <v>9</v>
      </c>
      <c r="E1688" t="s">
        <v>284</v>
      </c>
      <c r="F1688" t="str">
        <f>"001600019661"</f>
        <v>001600019661</v>
      </c>
      <c r="G1688" t="s">
        <v>4236</v>
      </c>
      <c r="H1688" s="4">
        <v>6239.5360000000001</v>
      </c>
    </row>
    <row r="1689" spans="1:8" ht="28.8" x14ac:dyDescent="0.3">
      <c r="A1689" t="s">
        <v>6</v>
      </c>
      <c r="B1689" s="1" t="s">
        <v>7</v>
      </c>
      <c r="C1689" s="1" t="s">
        <v>985</v>
      </c>
      <c r="D1689" s="1" t="s">
        <v>9</v>
      </c>
      <c r="E1689" s="3" t="s">
        <v>1062</v>
      </c>
      <c r="F1689" t="str">
        <f>"001356230097"</f>
        <v>001356230097</v>
      </c>
      <c r="G1689" t="s">
        <v>2656</v>
      </c>
      <c r="H1689" s="3" t="s">
        <v>1063</v>
      </c>
    </row>
    <row r="1690" spans="1:8" x14ac:dyDescent="0.3">
      <c r="A1690" t="s">
        <v>6</v>
      </c>
      <c r="B1690" t="s">
        <v>7</v>
      </c>
      <c r="C1690" t="s">
        <v>1805</v>
      </c>
      <c r="D1690" t="s">
        <v>9</v>
      </c>
      <c r="E1690" t="s">
        <v>1868</v>
      </c>
      <c r="F1690" t="str">
        <f>"001800000032"</f>
        <v>001800000032</v>
      </c>
      <c r="G1690" t="s">
        <v>2389</v>
      </c>
      <c r="H1690" s="4">
        <v>6183.4279999999999</v>
      </c>
    </row>
    <row r="1691" spans="1:8" x14ac:dyDescent="0.3">
      <c r="A1691" t="s">
        <v>6</v>
      </c>
      <c r="B1691" t="s">
        <v>7</v>
      </c>
      <c r="C1691" t="s">
        <v>1577</v>
      </c>
      <c r="D1691" t="s">
        <v>9</v>
      </c>
      <c r="E1691" t="s">
        <v>1632</v>
      </c>
      <c r="F1691" t="str">
        <f>"004600030753"</f>
        <v>004600030753</v>
      </c>
      <c r="G1691" t="s">
        <v>3401</v>
      </c>
      <c r="H1691" s="4">
        <v>6124.1</v>
      </c>
    </row>
    <row r="1692" spans="1:8" x14ac:dyDescent="0.3">
      <c r="A1692" t="s">
        <v>6</v>
      </c>
      <c r="B1692" t="s">
        <v>7</v>
      </c>
      <c r="C1692" t="s">
        <v>1940</v>
      </c>
      <c r="D1692" t="s">
        <v>9</v>
      </c>
      <c r="E1692" t="s">
        <v>2073</v>
      </c>
      <c r="F1692" t="str">
        <f>"007047043331"</f>
        <v>007047043331</v>
      </c>
      <c r="G1692" t="s">
        <v>3959</v>
      </c>
      <c r="H1692" s="4">
        <v>6119.63</v>
      </c>
    </row>
    <row r="1693" spans="1:8" x14ac:dyDescent="0.3">
      <c r="A1693" t="s">
        <v>6</v>
      </c>
      <c r="B1693" t="s">
        <v>7</v>
      </c>
      <c r="C1693" t="s">
        <v>1397</v>
      </c>
      <c r="D1693" t="s">
        <v>9</v>
      </c>
      <c r="E1693" t="s">
        <v>1542</v>
      </c>
      <c r="F1693" t="str">
        <f>"004119612145"</f>
        <v>004119612145</v>
      </c>
      <c r="G1693" t="s">
        <v>3086</v>
      </c>
      <c r="H1693" s="4">
        <v>6104.9040000000005</v>
      </c>
    </row>
    <row r="1694" spans="1:8" x14ac:dyDescent="0.3">
      <c r="A1694" t="s">
        <v>6</v>
      </c>
      <c r="B1694" t="s">
        <v>7</v>
      </c>
      <c r="C1694" t="s">
        <v>1397</v>
      </c>
      <c r="D1694" t="s">
        <v>9</v>
      </c>
      <c r="E1694" t="s">
        <v>1424</v>
      </c>
      <c r="F1694" t="str">
        <f>"002190810862"</f>
        <v>002190810862</v>
      </c>
      <c r="G1694" t="s">
        <v>2976</v>
      </c>
      <c r="H1694" s="4">
        <v>6098.28</v>
      </c>
    </row>
    <row r="1695" spans="1:8" x14ac:dyDescent="0.3">
      <c r="A1695" t="s">
        <v>6</v>
      </c>
      <c r="B1695" t="s">
        <v>7</v>
      </c>
      <c r="C1695" t="s">
        <v>797</v>
      </c>
      <c r="D1695" t="s">
        <v>9</v>
      </c>
      <c r="E1695" t="s">
        <v>837</v>
      </c>
      <c r="F1695" t="str">
        <f>"001600016112"</f>
        <v>001600016112</v>
      </c>
      <c r="G1695" t="s">
        <v>2432</v>
      </c>
      <c r="H1695" s="4">
        <v>6059.5739999999996</v>
      </c>
    </row>
    <row r="1696" spans="1:8" x14ac:dyDescent="0.3">
      <c r="A1696" t="s">
        <v>6</v>
      </c>
      <c r="B1696" t="s">
        <v>7</v>
      </c>
      <c r="C1696" t="s">
        <v>1940</v>
      </c>
      <c r="D1696" t="s">
        <v>9</v>
      </c>
      <c r="E1696" t="s">
        <v>2081</v>
      </c>
      <c r="F1696" t="str">
        <f>"007047020083"</f>
        <v>007047020083</v>
      </c>
      <c r="G1696" t="s">
        <v>3967</v>
      </c>
      <c r="H1696" s="4">
        <v>6047.8559999999998</v>
      </c>
    </row>
    <row r="1697" spans="1:8" x14ac:dyDescent="0.3">
      <c r="A1697" t="s">
        <v>6</v>
      </c>
      <c r="B1697" t="s">
        <v>7</v>
      </c>
      <c r="C1697" t="s">
        <v>616</v>
      </c>
      <c r="D1697" t="s">
        <v>9</v>
      </c>
      <c r="E1697" t="s">
        <v>658</v>
      </c>
      <c r="F1697" t="str">
        <f>"002190811534"</f>
        <v>002190811534</v>
      </c>
      <c r="G1697" t="s">
        <v>2389</v>
      </c>
      <c r="H1697" s="4">
        <v>6019.61</v>
      </c>
    </row>
    <row r="1698" spans="1:8" x14ac:dyDescent="0.3">
      <c r="A1698" t="s">
        <v>6</v>
      </c>
      <c r="B1698" t="s">
        <v>7</v>
      </c>
      <c r="C1698" t="s">
        <v>1679</v>
      </c>
      <c r="D1698" t="s">
        <v>9</v>
      </c>
      <c r="E1698" t="s">
        <v>1686</v>
      </c>
      <c r="F1698" t="str">
        <f>"002190846612"</f>
        <v>002190846612</v>
      </c>
      <c r="G1698" t="s">
        <v>3452</v>
      </c>
      <c r="H1698" s="4">
        <v>6008.27</v>
      </c>
    </row>
    <row r="1699" spans="1:8" x14ac:dyDescent="0.3">
      <c r="A1699" t="s">
        <v>6</v>
      </c>
      <c r="B1699" t="s">
        <v>7</v>
      </c>
      <c r="C1699" t="s">
        <v>1397</v>
      </c>
      <c r="D1699" t="s">
        <v>9</v>
      </c>
      <c r="E1699" t="s">
        <v>1527</v>
      </c>
      <c r="F1699" t="str">
        <f>"004119689012"</f>
        <v>004119689012</v>
      </c>
      <c r="G1699" t="s">
        <v>3071</v>
      </c>
      <c r="H1699" s="4">
        <v>5959.2879999999996</v>
      </c>
    </row>
    <row r="1700" spans="1:8" x14ac:dyDescent="0.3">
      <c r="A1700" t="s">
        <v>6</v>
      </c>
      <c r="B1700" t="s">
        <v>7</v>
      </c>
      <c r="C1700" t="s">
        <v>797</v>
      </c>
      <c r="D1700" t="s">
        <v>9</v>
      </c>
      <c r="E1700" t="s">
        <v>812</v>
      </c>
      <c r="F1700" t="str">
        <f>"001600017679"</f>
        <v>001600017679</v>
      </c>
      <c r="G1700" t="s">
        <v>2409</v>
      </c>
      <c r="H1700" s="4">
        <v>5948.2</v>
      </c>
    </row>
    <row r="1701" spans="1:8" x14ac:dyDescent="0.3">
      <c r="A1701" t="s">
        <v>6</v>
      </c>
      <c r="B1701" t="s">
        <v>7</v>
      </c>
      <c r="C1701" t="s">
        <v>1270</v>
      </c>
      <c r="D1701" t="s">
        <v>9</v>
      </c>
      <c r="E1701" t="s">
        <v>1276</v>
      </c>
      <c r="F1701" t="str">
        <f>"001800013166"</f>
        <v>001800013166</v>
      </c>
      <c r="G1701" t="s">
        <v>2389</v>
      </c>
      <c r="H1701" s="4">
        <v>5935.0929999999998</v>
      </c>
    </row>
    <row r="1702" spans="1:8" x14ac:dyDescent="0.3">
      <c r="A1702" t="s">
        <v>6</v>
      </c>
      <c r="B1702" t="s">
        <v>7</v>
      </c>
      <c r="C1702" t="s">
        <v>616</v>
      </c>
      <c r="D1702" t="s">
        <v>9</v>
      </c>
      <c r="E1702" t="s">
        <v>662</v>
      </c>
      <c r="F1702" t="str">
        <f>"002190811517"</f>
        <v>002190811517</v>
      </c>
      <c r="G1702" t="s">
        <v>3632</v>
      </c>
      <c r="H1702" s="4">
        <v>5897.3</v>
      </c>
    </row>
    <row r="1703" spans="1:8" x14ac:dyDescent="0.3">
      <c r="A1703" t="s">
        <v>6</v>
      </c>
      <c r="B1703" t="s">
        <v>7</v>
      </c>
      <c r="C1703" t="s">
        <v>1397</v>
      </c>
      <c r="D1703" t="s">
        <v>9</v>
      </c>
      <c r="E1703" t="s">
        <v>1533</v>
      </c>
      <c r="F1703" t="str">
        <f>"004119602016"</f>
        <v>004119602016</v>
      </c>
      <c r="G1703" t="s">
        <v>3077</v>
      </c>
      <c r="H1703" s="4">
        <v>5889.6760000000004</v>
      </c>
    </row>
    <row r="1704" spans="1:8" x14ac:dyDescent="0.3">
      <c r="A1704" t="s">
        <v>6</v>
      </c>
      <c r="B1704" t="s">
        <v>7</v>
      </c>
      <c r="C1704" t="s">
        <v>616</v>
      </c>
      <c r="D1704" t="s">
        <v>9</v>
      </c>
      <c r="E1704" t="s">
        <v>688</v>
      </c>
      <c r="F1704" t="str">
        <f>"002190812441"</f>
        <v>002190812441</v>
      </c>
      <c r="G1704" t="s">
        <v>3658</v>
      </c>
      <c r="H1704" s="4">
        <v>5881.36</v>
      </c>
    </row>
    <row r="1705" spans="1:8" x14ac:dyDescent="0.3">
      <c r="A1705" t="s">
        <v>6</v>
      </c>
      <c r="B1705" t="s">
        <v>7</v>
      </c>
      <c r="C1705" t="s">
        <v>797</v>
      </c>
      <c r="D1705" t="s">
        <v>9</v>
      </c>
      <c r="E1705" t="s">
        <v>918</v>
      </c>
      <c r="F1705" t="str">
        <f>"001600018648"</f>
        <v>001600018648</v>
      </c>
      <c r="G1705" t="s">
        <v>2389</v>
      </c>
      <c r="H1705" s="4">
        <v>5873.67</v>
      </c>
    </row>
    <row r="1706" spans="1:8" x14ac:dyDescent="0.3">
      <c r="A1706" t="s">
        <v>6</v>
      </c>
      <c r="B1706" t="s">
        <v>7</v>
      </c>
      <c r="C1706" t="s">
        <v>381</v>
      </c>
      <c r="D1706" t="s">
        <v>9</v>
      </c>
      <c r="E1706" t="s">
        <v>436</v>
      </c>
      <c r="F1706" t="str">
        <f>"001600049697"</f>
        <v>001600049697</v>
      </c>
      <c r="G1706" t="s">
        <v>3162</v>
      </c>
      <c r="H1706" s="4">
        <v>5827.57</v>
      </c>
    </row>
    <row r="1707" spans="1:8" x14ac:dyDescent="0.3">
      <c r="A1707" t="s">
        <v>6</v>
      </c>
      <c r="B1707" t="s">
        <v>7</v>
      </c>
      <c r="C1707" t="s">
        <v>1095</v>
      </c>
      <c r="D1707" t="s">
        <v>9</v>
      </c>
      <c r="E1707" t="s">
        <v>1111</v>
      </c>
      <c r="F1707" t="str">
        <f>"001600014318"</f>
        <v>001600014318</v>
      </c>
      <c r="G1707" t="s">
        <v>2389</v>
      </c>
      <c r="H1707" s="4">
        <v>5808.56</v>
      </c>
    </row>
    <row r="1708" spans="1:8" x14ac:dyDescent="0.3">
      <c r="A1708" t="s">
        <v>6</v>
      </c>
      <c r="B1708" t="s">
        <v>7</v>
      </c>
      <c r="C1708" t="s">
        <v>381</v>
      </c>
      <c r="D1708" t="s">
        <v>9</v>
      </c>
      <c r="E1708" t="s">
        <v>1570</v>
      </c>
      <c r="F1708" t="str">
        <f>"001600050534"</f>
        <v>001600050534</v>
      </c>
      <c r="G1708" t="s">
        <v>3194</v>
      </c>
      <c r="H1708" s="4">
        <v>5795.6210000000001</v>
      </c>
    </row>
    <row r="1709" spans="1:8" x14ac:dyDescent="0.3">
      <c r="A1709" t="s">
        <v>6</v>
      </c>
      <c r="B1709" t="s">
        <v>7</v>
      </c>
      <c r="C1709" t="s">
        <v>1695</v>
      </c>
      <c r="D1709" t="s">
        <v>9</v>
      </c>
      <c r="E1709" t="s">
        <v>1703</v>
      </c>
      <c r="F1709" t="str">
        <f>"002190850410"</f>
        <v>002190850410</v>
      </c>
      <c r="G1709" t="s">
        <v>3467</v>
      </c>
      <c r="H1709" s="4">
        <v>5697.54</v>
      </c>
    </row>
    <row r="1710" spans="1:8" x14ac:dyDescent="0.3">
      <c r="A1710" t="s">
        <v>6</v>
      </c>
      <c r="B1710" t="s">
        <v>7</v>
      </c>
      <c r="C1710" t="s">
        <v>381</v>
      </c>
      <c r="D1710" t="s">
        <v>9</v>
      </c>
      <c r="E1710" t="s">
        <v>390</v>
      </c>
      <c r="F1710" t="str">
        <f>"001356212644"</f>
        <v>001356212644</v>
      </c>
      <c r="G1710" t="s">
        <v>3118</v>
      </c>
      <c r="H1710" s="4">
        <v>5680.92</v>
      </c>
    </row>
    <row r="1711" spans="1:8" x14ac:dyDescent="0.3">
      <c r="A1711" t="s">
        <v>6</v>
      </c>
      <c r="B1711" t="s">
        <v>7</v>
      </c>
      <c r="C1711" t="s">
        <v>1072</v>
      </c>
      <c r="D1711" t="s">
        <v>9</v>
      </c>
      <c r="E1711" t="s">
        <v>1075</v>
      </c>
      <c r="F1711" t="str">
        <f>"001600020078"</f>
        <v>001600020078</v>
      </c>
      <c r="G1711" t="s">
        <v>2678</v>
      </c>
      <c r="H1711" s="4">
        <v>5672.585</v>
      </c>
    </row>
    <row r="1712" spans="1:8" x14ac:dyDescent="0.3">
      <c r="A1712" t="s">
        <v>6</v>
      </c>
      <c r="B1712" t="s">
        <v>7</v>
      </c>
      <c r="C1712" t="s">
        <v>2231</v>
      </c>
      <c r="D1712" t="s">
        <v>9</v>
      </c>
      <c r="E1712" t="s">
        <v>2237</v>
      </c>
      <c r="F1712" t="str">
        <f>"001356210104"</f>
        <v>001356210104</v>
      </c>
      <c r="G1712" t="s">
        <v>4434</v>
      </c>
      <c r="H1712" s="4">
        <v>5670.8209999999999</v>
      </c>
    </row>
    <row r="1713" spans="1:8" x14ac:dyDescent="0.3">
      <c r="A1713" t="s">
        <v>6</v>
      </c>
      <c r="B1713" t="s">
        <v>7</v>
      </c>
      <c r="C1713" t="s">
        <v>1397</v>
      </c>
      <c r="D1713" t="s">
        <v>9</v>
      </c>
      <c r="E1713" t="s">
        <v>1417</v>
      </c>
      <c r="F1713" t="str">
        <f>"001600016455"</f>
        <v>001600016455</v>
      </c>
      <c r="G1713" t="s">
        <v>2969</v>
      </c>
      <c r="H1713" s="4">
        <v>5666.6729999999998</v>
      </c>
    </row>
    <row r="1714" spans="1:8" x14ac:dyDescent="0.3">
      <c r="A1714" t="s">
        <v>6</v>
      </c>
      <c r="B1714" t="s">
        <v>7</v>
      </c>
      <c r="C1714" t="s">
        <v>1286</v>
      </c>
      <c r="D1714" t="s">
        <v>9</v>
      </c>
      <c r="E1714" t="s">
        <v>1319</v>
      </c>
      <c r="F1714" t="str">
        <f>"001800013585"</f>
        <v>001800013585</v>
      </c>
      <c r="G1714" t="s">
        <v>2882</v>
      </c>
      <c r="H1714" s="4">
        <v>5615.57</v>
      </c>
    </row>
    <row r="1715" spans="1:8" x14ac:dyDescent="0.3">
      <c r="A1715" t="s">
        <v>6</v>
      </c>
      <c r="B1715" t="s">
        <v>7</v>
      </c>
      <c r="C1715" t="s">
        <v>797</v>
      </c>
      <c r="D1715" t="s">
        <v>9</v>
      </c>
      <c r="E1715" t="s">
        <v>917</v>
      </c>
      <c r="F1715" t="str">
        <f>"001600018653"</f>
        <v>001600018653</v>
      </c>
      <c r="G1715" t="s">
        <v>2389</v>
      </c>
      <c r="H1715" s="4">
        <v>5556.9030000000002</v>
      </c>
    </row>
    <row r="1716" spans="1:8" x14ac:dyDescent="0.3">
      <c r="A1716" t="s">
        <v>6</v>
      </c>
      <c r="B1716" t="s">
        <v>7</v>
      </c>
      <c r="C1716" t="s">
        <v>1122</v>
      </c>
      <c r="D1716" t="s">
        <v>9</v>
      </c>
      <c r="E1716" t="s">
        <v>1136</v>
      </c>
      <c r="F1716" t="str">
        <f>"001356211105"</f>
        <v>001356211105</v>
      </c>
      <c r="G1716" t="s">
        <v>2731</v>
      </c>
      <c r="H1716" s="4">
        <v>5461.1580000000004</v>
      </c>
    </row>
    <row r="1717" spans="1:8" x14ac:dyDescent="0.3">
      <c r="A1717" t="s">
        <v>6</v>
      </c>
      <c r="B1717" t="s">
        <v>7</v>
      </c>
      <c r="C1717" t="s">
        <v>1679</v>
      </c>
      <c r="D1717" t="s">
        <v>9</v>
      </c>
      <c r="E1717" t="s">
        <v>1682</v>
      </c>
      <c r="F1717" t="str">
        <f>"002190851495"</f>
        <v>002190851495</v>
      </c>
      <c r="G1717" t="s">
        <v>3448</v>
      </c>
      <c r="H1717" s="4">
        <v>5460.942</v>
      </c>
    </row>
    <row r="1718" spans="1:8" x14ac:dyDescent="0.3">
      <c r="A1718" t="s">
        <v>6</v>
      </c>
      <c r="B1718" t="s">
        <v>7</v>
      </c>
      <c r="C1718" t="s">
        <v>616</v>
      </c>
      <c r="D1718" t="s">
        <v>9</v>
      </c>
      <c r="E1718" t="s">
        <v>635</v>
      </c>
      <c r="F1718" t="str">
        <f>"073215324744"</f>
        <v>073215324744</v>
      </c>
      <c r="G1718" t="s">
        <v>3606</v>
      </c>
      <c r="H1718" s="4">
        <v>5460.0079999999998</v>
      </c>
    </row>
    <row r="1719" spans="1:8" x14ac:dyDescent="0.3">
      <c r="A1719" t="s">
        <v>6</v>
      </c>
      <c r="B1719" t="s">
        <v>7</v>
      </c>
      <c r="C1719" t="s">
        <v>1577</v>
      </c>
      <c r="D1719" t="s">
        <v>9</v>
      </c>
      <c r="E1719" t="s">
        <v>1584</v>
      </c>
      <c r="F1719" t="str">
        <f>"072534248800"</f>
        <v>072534248800</v>
      </c>
      <c r="G1719" t="s">
        <v>3347</v>
      </c>
      <c r="H1719" s="4">
        <v>5420.915</v>
      </c>
    </row>
    <row r="1720" spans="1:8" x14ac:dyDescent="0.3">
      <c r="A1720" t="s">
        <v>6</v>
      </c>
      <c r="B1720" t="s">
        <v>7</v>
      </c>
      <c r="C1720" t="s">
        <v>1122</v>
      </c>
      <c r="D1720" t="s">
        <v>9</v>
      </c>
      <c r="E1720" t="s">
        <v>1199</v>
      </c>
      <c r="F1720" t="str">
        <f>"337582813417"</f>
        <v>337582813417</v>
      </c>
      <c r="G1720" t="s">
        <v>2389</v>
      </c>
      <c r="H1720" s="4">
        <v>5417.45</v>
      </c>
    </row>
    <row r="1721" spans="1:8" x14ac:dyDescent="0.3">
      <c r="A1721" t="s">
        <v>6</v>
      </c>
      <c r="B1721" t="s">
        <v>7</v>
      </c>
      <c r="C1721" t="s">
        <v>1940</v>
      </c>
      <c r="D1721" t="s">
        <v>9</v>
      </c>
      <c r="E1721" t="s">
        <v>2101</v>
      </c>
      <c r="F1721" t="str">
        <f>"007047018121"</f>
        <v>007047018121</v>
      </c>
      <c r="G1721" t="s">
        <v>3990</v>
      </c>
      <c r="H1721" s="4">
        <v>5391.7719999999999</v>
      </c>
    </row>
    <row r="1722" spans="1:8" x14ac:dyDescent="0.3">
      <c r="A1722" t="s">
        <v>6</v>
      </c>
      <c r="B1722" t="s">
        <v>7</v>
      </c>
      <c r="C1722" t="s">
        <v>2231</v>
      </c>
      <c r="D1722" t="s">
        <v>9</v>
      </c>
      <c r="E1722" t="s">
        <v>2326</v>
      </c>
      <c r="F1722" t="str">
        <f>"004119612251"</f>
        <v>004119612251</v>
      </c>
      <c r="G1722" t="s">
        <v>4517</v>
      </c>
      <c r="H1722" s="4">
        <v>5383.067</v>
      </c>
    </row>
    <row r="1723" spans="1:8" x14ac:dyDescent="0.3">
      <c r="A1723" t="s">
        <v>6</v>
      </c>
      <c r="B1723" t="s">
        <v>7</v>
      </c>
      <c r="C1723" t="s">
        <v>1940</v>
      </c>
      <c r="D1723" t="s">
        <v>9</v>
      </c>
      <c r="E1723" t="s">
        <v>2059</v>
      </c>
      <c r="F1723" t="str">
        <f>"007047020418"</f>
        <v>007047020418</v>
      </c>
      <c r="G1723" t="s">
        <v>3946</v>
      </c>
      <c r="H1723" s="4">
        <v>5362.4949999999999</v>
      </c>
    </row>
    <row r="1724" spans="1:8" x14ac:dyDescent="0.3">
      <c r="A1724" t="s">
        <v>6</v>
      </c>
      <c r="B1724" t="s">
        <v>7</v>
      </c>
      <c r="C1724" t="s">
        <v>616</v>
      </c>
      <c r="D1724" t="s">
        <v>9</v>
      </c>
      <c r="E1724" t="s">
        <v>728</v>
      </c>
      <c r="F1724" t="str">
        <f>"002190845339"</f>
        <v>002190845339</v>
      </c>
      <c r="G1724" t="s">
        <v>3698</v>
      </c>
      <c r="H1724" s="4">
        <v>5358.1710000000003</v>
      </c>
    </row>
    <row r="1725" spans="1:8" x14ac:dyDescent="0.3">
      <c r="A1725" t="s">
        <v>6</v>
      </c>
      <c r="B1725" t="s">
        <v>7</v>
      </c>
      <c r="C1725" t="s">
        <v>616</v>
      </c>
      <c r="D1725" t="s">
        <v>9</v>
      </c>
      <c r="E1725" t="s">
        <v>654</v>
      </c>
      <c r="F1725" t="str">
        <f>"001600017058"</f>
        <v>001600017058</v>
      </c>
      <c r="G1725" t="s">
        <v>3625</v>
      </c>
      <c r="H1725" s="4">
        <v>5342.9</v>
      </c>
    </row>
    <row r="1726" spans="1:8" x14ac:dyDescent="0.3">
      <c r="A1726" t="s">
        <v>6</v>
      </c>
      <c r="B1726" t="s">
        <v>7</v>
      </c>
      <c r="C1726" t="s">
        <v>1397</v>
      </c>
      <c r="D1726" t="s">
        <v>9</v>
      </c>
      <c r="E1726" t="s">
        <v>1438</v>
      </c>
      <c r="F1726" t="str">
        <f>"073215301599"</f>
        <v>073215301599</v>
      </c>
      <c r="G1726" t="s">
        <v>2989</v>
      </c>
      <c r="H1726" s="4">
        <v>5330.1850000000004</v>
      </c>
    </row>
    <row r="1727" spans="1:8" x14ac:dyDescent="0.3">
      <c r="A1727" t="s">
        <v>6</v>
      </c>
      <c r="B1727" s="3" t="s">
        <v>7</v>
      </c>
      <c r="C1727" s="3" t="s">
        <v>1286</v>
      </c>
      <c r="D1727" s="3" t="s">
        <v>9</v>
      </c>
      <c r="E1727" s="3" t="s">
        <v>1291</v>
      </c>
      <c r="F1727" t="str">
        <f>"001800013583"</f>
        <v>001800013583</v>
      </c>
      <c r="G1727" t="s">
        <v>2857</v>
      </c>
      <c r="H1727" s="3" t="s">
        <v>1292</v>
      </c>
    </row>
    <row r="1728" spans="1:8" x14ac:dyDescent="0.3">
      <c r="A1728" t="s">
        <v>6</v>
      </c>
      <c r="B1728" t="s">
        <v>7</v>
      </c>
      <c r="C1728" t="s">
        <v>616</v>
      </c>
      <c r="D1728" t="s">
        <v>9</v>
      </c>
      <c r="E1728" t="s">
        <v>633</v>
      </c>
      <c r="F1728" t="str">
        <f>"073215324403"</f>
        <v>073215324403</v>
      </c>
      <c r="G1728" t="s">
        <v>3605</v>
      </c>
      <c r="H1728" s="4">
        <v>5299.6639999999998</v>
      </c>
    </row>
    <row r="1729" spans="1:8" x14ac:dyDescent="0.3">
      <c r="A1729" t="s">
        <v>6</v>
      </c>
      <c r="B1729" t="s">
        <v>7</v>
      </c>
      <c r="C1729" t="s">
        <v>1695</v>
      </c>
      <c r="D1729" t="s">
        <v>9</v>
      </c>
      <c r="E1729" t="s">
        <v>1719</v>
      </c>
      <c r="F1729" t="str">
        <f>"002190850140"</f>
        <v>002190850140</v>
      </c>
      <c r="G1729" t="s">
        <v>3483</v>
      </c>
      <c r="H1729" s="4">
        <v>5253.8609999999999</v>
      </c>
    </row>
    <row r="1730" spans="1:8" x14ac:dyDescent="0.3">
      <c r="A1730" t="s">
        <v>6</v>
      </c>
      <c r="B1730" t="s">
        <v>7</v>
      </c>
      <c r="C1730" t="s">
        <v>1695</v>
      </c>
      <c r="D1730" t="s">
        <v>9</v>
      </c>
      <c r="E1730" t="s">
        <v>1720</v>
      </c>
      <c r="F1730" t="str">
        <f>"002190850345"</f>
        <v>002190850345</v>
      </c>
      <c r="G1730" t="s">
        <v>3484</v>
      </c>
      <c r="H1730" s="4">
        <v>5244.5029999999997</v>
      </c>
    </row>
    <row r="1731" spans="1:8" x14ac:dyDescent="0.3">
      <c r="A1731" t="s">
        <v>6</v>
      </c>
      <c r="B1731" t="s">
        <v>7</v>
      </c>
      <c r="C1731" t="s">
        <v>616</v>
      </c>
      <c r="D1731" t="s">
        <v>9</v>
      </c>
      <c r="E1731" t="s">
        <v>690</v>
      </c>
      <c r="F1731" t="str">
        <f>"002190811538"</f>
        <v>002190811538</v>
      </c>
      <c r="G1731" t="s">
        <v>3660</v>
      </c>
      <c r="H1731" s="4">
        <v>5213.55</v>
      </c>
    </row>
    <row r="1732" spans="1:8" x14ac:dyDescent="0.3">
      <c r="A1732" t="s">
        <v>6</v>
      </c>
      <c r="B1732" t="s">
        <v>7</v>
      </c>
      <c r="C1732" t="s">
        <v>8</v>
      </c>
      <c r="D1732" t="s">
        <v>9</v>
      </c>
      <c r="E1732" t="s">
        <v>101</v>
      </c>
      <c r="F1732" t="str">
        <f>"001600020007"</f>
        <v>001600020007</v>
      </c>
      <c r="G1732" t="s">
        <v>2389</v>
      </c>
      <c r="H1732" s="4">
        <v>5185.1170000000002</v>
      </c>
    </row>
    <row r="1733" spans="1:8" x14ac:dyDescent="0.3">
      <c r="A1733" t="s">
        <v>6</v>
      </c>
      <c r="B1733" t="s">
        <v>7</v>
      </c>
      <c r="C1733" t="s">
        <v>1397</v>
      </c>
      <c r="D1733" t="s">
        <v>9</v>
      </c>
      <c r="E1733" t="s">
        <v>1406</v>
      </c>
      <c r="F1733" t="str">
        <f>"009232522221"</f>
        <v>009232522221</v>
      </c>
      <c r="G1733" t="s">
        <v>2959</v>
      </c>
      <c r="H1733" s="4">
        <v>5119.085</v>
      </c>
    </row>
    <row r="1734" spans="1:8" x14ac:dyDescent="0.3">
      <c r="A1734" t="s">
        <v>6</v>
      </c>
      <c r="B1734" t="s">
        <v>7</v>
      </c>
      <c r="C1734" t="s">
        <v>2231</v>
      </c>
      <c r="D1734" t="s">
        <v>9</v>
      </c>
      <c r="E1734" t="s">
        <v>2249</v>
      </c>
      <c r="F1734" t="str">
        <f>"004119646649"</f>
        <v>004119646649</v>
      </c>
      <c r="G1734" t="s">
        <v>4447</v>
      </c>
      <c r="H1734" s="4">
        <v>5109.5</v>
      </c>
    </row>
    <row r="1735" spans="1:8" x14ac:dyDescent="0.3">
      <c r="A1735" t="s">
        <v>6</v>
      </c>
      <c r="B1735" t="s">
        <v>7</v>
      </c>
      <c r="C1735" t="s">
        <v>2113</v>
      </c>
      <c r="D1735" t="s">
        <v>9</v>
      </c>
      <c r="E1735" t="s">
        <v>2181</v>
      </c>
      <c r="F1735" t="str">
        <f>"001600014309"</f>
        <v>001600014309</v>
      </c>
      <c r="G1735" t="s">
        <v>4387</v>
      </c>
      <c r="H1735" s="4">
        <v>5060.7079999999996</v>
      </c>
    </row>
    <row r="1736" spans="1:8" x14ac:dyDescent="0.3">
      <c r="A1736" t="s">
        <v>6</v>
      </c>
      <c r="B1736" t="s">
        <v>7</v>
      </c>
      <c r="C1736" t="s">
        <v>1940</v>
      </c>
      <c r="D1736" t="s">
        <v>9</v>
      </c>
      <c r="E1736" t="s">
        <v>1970</v>
      </c>
      <c r="F1736" t="str">
        <f>"007527000167"</f>
        <v>007527000167</v>
      </c>
      <c r="G1736" t="s">
        <v>3859</v>
      </c>
      <c r="H1736" s="4">
        <v>5056.3919999999998</v>
      </c>
    </row>
    <row r="1737" spans="1:8" x14ac:dyDescent="0.3">
      <c r="A1737" t="s">
        <v>6</v>
      </c>
      <c r="B1737" t="s">
        <v>7</v>
      </c>
      <c r="C1737" t="s">
        <v>1940</v>
      </c>
      <c r="D1737" t="s">
        <v>9</v>
      </c>
      <c r="E1737" t="s">
        <v>2086</v>
      </c>
      <c r="F1737" t="str">
        <f>"007047048605"</f>
        <v>007047048605</v>
      </c>
      <c r="G1737" t="s">
        <v>3972</v>
      </c>
      <c r="H1737" s="4">
        <v>5037.5680000000002</v>
      </c>
    </row>
    <row r="1738" spans="1:8" x14ac:dyDescent="0.3">
      <c r="A1738" t="s">
        <v>6</v>
      </c>
      <c r="B1738" t="s">
        <v>7</v>
      </c>
      <c r="C1738" t="s">
        <v>797</v>
      </c>
      <c r="D1738" t="s">
        <v>9</v>
      </c>
      <c r="E1738" t="s">
        <v>924</v>
      </c>
      <c r="F1738" t="str">
        <f>"001600030270"</f>
        <v>001600030270</v>
      </c>
      <c r="G1738" t="s">
        <v>2515</v>
      </c>
      <c r="H1738" s="4">
        <v>5021.1109999999999</v>
      </c>
    </row>
    <row r="1739" spans="1:8" x14ac:dyDescent="0.3">
      <c r="A1739" t="s">
        <v>6</v>
      </c>
      <c r="B1739" t="s">
        <v>7</v>
      </c>
      <c r="C1739" t="s">
        <v>2231</v>
      </c>
      <c r="D1739" t="s">
        <v>9</v>
      </c>
      <c r="E1739" t="s">
        <v>2329</v>
      </c>
      <c r="F1739" t="str">
        <f>"004119612249"</f>
        <v>004119612249</v>
      </c>
      <c r="G1739" t="s">
        <v>4520</v>
      </c>
      <c r="H1739" s="4">
        <v>4956.223</v>
      </c>
    </row>
    <row r="1740" spans="1:8" x14ac:dyDescent="0.3">
      <c r="A1740" t="s">
        <v>6</v>
      </c>
      <c r="B1740" t="s">
        <v>7</v>
      </c>
      <c r="C1740" t="s">
        <v>8</v>
      </c>
      <c r="D1740" t="s">
        <v>9</v>
      </c>
      <c r="E1740" t="s">
        <v>36</v>
      </c>
      <c r="F1740" t="str">
        <f>"002190812381"</f>
        <v>002190812381</v>
      </c>
      <c r="G1740" t="s">
        <v>4016</v>
      </c>
      <c r="H1740" s="4">
        <v>4944.97</v>
      </c>
    </row>
    <row r="1741" spans="1:8" x14ac:dyDescent="0.3">
      <c r="A1741" t="s">
        <v>6</v>
      </c>
      <c r="B1741" t="s">
        <v>7</v>
      </c>
      <c r="C1741" t="s">
        <v>1748</v>
      </c>
      <c r="D1741" t="s">
        <v>9</v>
      </c>
      <c r="E1741" t="s">
        <v>1754</v>
      </c>
      <c r="F1741" t="str">
        <f>"009232533344"</f>
        <v>009232533344</v>
      </c>
      <c r="G1741" t="s">
        <v>3516</v>
      </c>
      <c r="H1741" s="4">
        <v>4942.0249999999996</v>
      </c>
    </row>
    <row r="1742" spans="1:8" x14ac:dyDescent="0.3">
      <c r="A1742" t="s">
        <v>6</v>
      </c>
      <c r="B1742" t="s">
        <v>7</v>
      </c>
      <c r="C1742" t="s">
        <v>1805</v>
      </c>
      <c r="D1742" t="s">
        <v>9</v>
      </c>
      <c r="E1742" t="s">
        <v>1869</v>
      </c>
      <c r="F1742" t="str">
        <f>"001800042844"</f>
        <v>001800042844</v>
      </c>
      <c r="G1742" t="s">
        <v>3779</v>
      </c>
      <c r="H1742" s="4">
        <v>4933.1570000000002</v>
      </c>
    </row>
    <row r="1743" spans="1:8" x14ac:dyDescent="0.3">
      <c r="A1743" t="s">
        <v>6</v>
      </c>
      <c r="B1743" t="s">
        <v>7</v>
      </c>
      <c r="C1743" t="s">
        <v>2113</v>
      </c>
      <c r="D1743" t="s">
        <v>9</v>
      </c>
      <c r="E1743" t="s">
        <v>2218</v>
      </c>
      <c r="F1743" t="str">
        <f>"001600016887"</f>
        <v>001600016887</v>
      </c>
      <c r="G1743" t="s">
        <v>4417</v>
      </c>
      <c r="H1743" s="4">
        <v>4929.9170000000004</v>
      </c>
    </row>
    <row r="1744" spans="1:8" x14ac:dyDescent="0.3">
      <c r="A1744" t="s">
        <v>6</v>
      </c>
      <c r="B1744" t="s">
        <v>7</v>
      </c>
      <c r="C1744" t="s">
        <v>1748</v>
      </c>
      <c r="D1744" t="s">
        <v>9</v>
      </c>
      <c r="E1744" t="s">
        <v>1758</v>
      </c>
      <c r="F1744" t="str">
        <f>"009232533331"</f>
        <v>009232533331</v>
      </c>
      <c r="G1744" t="s">
        <v>3520</v>
      </c>
      <c r="H1744" s="4">
        <v>4915.7039999999997</v>
      </c>
    </row>
    <row r="1745" spans="1:8" x14ac:dyDescent="0.3">
      <c r="A1745" t="s">
        <v>6</v>
      </c>
      <c r="B1745" t="s">
        <v>7</v>
      </c>
      <c r="C1745" t="s">
        <v>381</v>
      </c>
      <c r="D1745" t="s">
        <v>9</v>
      </c>
      <c r="E1745" t="s">
        <v>406</v>
      </c>
      <c r="F1745" t="str">
        <f>"002190812192"</f>
        <v>002190812192</v>
      </c>
      <c r="G1745" t="s">
        <v>3133</v>
      </c>
      <c r="H1745" s="4">
        <v>4893.8019999999997</v>
      </c>
    </row>
    <row r="1746" spans="1:8" x14ac:dyDescent="0.3">
      <c r="A1746" t="s">
        <v>6</v>
      </c>
      <c r="B1746" t="s">
        <v>7</v>
      </c>
      <c r="C1746" t="s">
        <v>8</v>
      </c>
      <c r="D1746" t="s">
        <v>9</v>
      </c>
      <c r="E1746" t="s">
        <v>224</v>
      </c>
      <c r="F1746" t="str">
        <f>"001600020616"</f>
        <v>001600020616</v>
      </c>
      <c r="G1746" t="s">
        <v>4182</v>
      </c>
      <c r="H1746" s="4">
        <v>4893.1000000000004</v>
      </c>
    </row>
    <row r="1747" spans="1:8" x14ac:dyDescent="0.3">
      <c r="A1747" t="s">
        <v>6</v>
      </c>
      <c r="B1747" t="s">
        <v>7</v>
      </c>
      <c r="C1747" t="s">
        <v>1397</v>
      </c>
      <c r="D1747" t="s">
        <v>9</v>
      </c>
      <c r="E1747" t="s">
        <v>1501</v>
      </c>
      <c r="F1747" t="str">
        <f>"001800051541"</f>
        <v>001800051541</v>
      </c>
      <c r="G1747" t="s">
        <v>3046</v>
      </c>
      <c r="H1747" s="4">
        <v>4871.6499999999996</v>
      </c>
    </row>
    <row r="1748" spans="1:8" x14ac:dyDescent="0.3">
      <c r="A1748" t="s">
        <v>6</v>
      </c>
      <c r="B1748" t="s">
        <v>7</v>
      </c>
      <c r="C1748" t="s">
        <v>797</v>
      </c>
      <c r="D1748" t="s">
        <v>9</v>
      </c>
      <c r="E1748" t="s">
        <v>843</v>
      </c>
      <c r="F1748" t="str">
        <f>"001600017502"</f>
        <v>001600017502</v>
      </c>
      <c r="G1748" t="s">
        <v>2438</v>
      </c>
      <c r="H1748" s="4">
        <v>4841.268</v>
      </c>
    </row>
    <row r="1749" spans="1:8" x14ac:dyDescent="0.3">
      <c r="A1749" t="s">
        <v>6</v>
      </c>
      <c r="B1749" t="s">
        <v>7</v>
      </c>
      <c r="C1749" t="s">
        <v>1072</v>
      </c>
      <c r="D1749" t="s">
        <v>9</v>
      </c>
      <c r="E1749" t="s">
        <v>1078</v>
      </c>
      <c r="F1749" t="str">
        <f>"001600018611"</f>
        <v>001600018611</v>
      </c>
      <c r="G1749" t="s">
        <v>2682</v>
      </c>
      <c r="H1749" s="4">
        <v>4813.7889999999998</v>
      </c>
    </row>
    <row r="1750" spans="1:8" x14ac:dyDescent="0.3">
      <c r="A1750" t="s">
        <v>6</v>
      </c>
      <c r="B1750" t="s">
        <v>7</v>
      </c>
      <c r="C1750" t="s">
        <v>1695</v>
      </c>
      <c r="D1750" t="s">
        <v>9</v>
      </c>
      <c r="E1750" t="s">
        <v>1705</v>
      </c>
      <c r="F1750" t="str">
        <f>"002190850401"</f>
        <v>002190850401</v>
      </c>
      <c r="G1750" t="s">
        <v>3469</v>
      </c>
      <c r="H1750" s="4">
        <v>4801.924</v>
      </c>
    </row>
    <row r="1751" spans="1:8" x14ac:dyDescent="0.3">
      <c r="A1751" t="s">
        <v>6</v>
      </c>
      <c r="B1751" t="s">
        <v>7</v>
      </c>
      <c r="C1751" t="s">
        <v>1695</v>
      </c>
      <c r="D1751" t="s">
        <v>9</v>
      </c>
      <c r="E1751" t="s">
        <v>1722</v>
      </c>
      <c r="F1751" t="str">
        <f>"002190846027"</f>
        <v>002190846027</v>
      </c>
      <c r="G1751" t="s">
        <v>3486</v>
      </c>
      <c r="H1751" s="4">
        <v>4784.3440000000001</v>
      </c>
    </row>
    <row r="1752" spans="1:8" x14ac:dyDescent="0.3">
      <c r="A1752" t="s">
        <v>6</v>
      </c>
      <c r="B1752" t="s">
        <v>7</v>
      </c>
      <c r="C1752" t="s">
        <v>1122</v>
      </c>
      <c r="D1752" t="s">
        <v>9</v>
      </c>
      <c r="E1752" t="s">
        <v>1157</v>
      </c>
      <c r="F1752" t="str">
        <f>"001356213559"</f>
        <v>001356213559</v>
      </c>
      <c r="G1752" t="s">
        <v>2389</v>
      </c>
      <c r="H1752" s="4">
        <v>4756.6000000000004</v>
      </c>
    </row>
    <row r="1753" spans="1:8" x14ac:dyDescent="0.3">
      <c r="A1753" t="s">
        <v>6</v>
      </c>
      <c r="B1753" t="s">
        <v>7</v>
      </c>
      <c r="C1753" t="s">
        <v>1397</v>
      </c>
      <c r="D1753" t="s">
        <v>9</v>
      </c>
      <c r="E1753" t="s">
        <v>1457</v>
      </c>
      <c r="F1753" t="str">
        <f>"073215311564"</f>
        <v>073215311564</v>
      </c>
      <c r="G1753" t="s">
        <v>3007</v>
      </c>
      <c r="H1753" s="4">
        <v>4746.72</v>
      </c>
    </row>
    <row r="1754" spans="1:8" x14ac:dyDescent="0.3">
      <c r="A1754" t="s">
        <v>6</v>
      </c>
      <c r="B1754" t="s">
        <v>7</v>
      </c>
      <c r="C1754" t="s">
        <v>1940</v>
      </c>
      <c r="D1754" t="s">
        <v>9</v>
      </c>
      <c r="E1754" t="s">
        <v>2094</v>
      </c>
      <c r="F1754" t="str">
        <f>"007047045725"</f>
        <v>007047045725</v>
      </c>
      <c r="G1754" t="s">
        <v>3983</v>
      </c>
      <c r="H1754" s="4">
        <v>4742.6059999999998</v>
      </c>
    </row>
    <row r="1755" spans="1:8" x14ac:dyDescent="0.3">
      <c r="A1755" t="s">
        <v>6</v>
      </c>
      <c r="B1755" t="s">
        <v>7</v>
      </c>
      <c r="C1755" t="s">
        <v>1805</v>
      </c>
      <c r="D1755" t="s">
        <v>9</v>
      </c>
      <c r="E1755" t="s">
        <v>1816</v>
      </c>
      <c r="F1755" t="str">
        <f>"066559609992"</f>
        <v>066559609992</v>
      </c>
      <c r="G1755" t="s">
        <v>3749</v>
      </c>
      <c r="H1755" s="4">
        <v>4713.1639999999998</v>
      </c>
    </row>
    <row r="1756" spans="1:8" x14ac:dyDescent="0.3">
      <c r="A1756" t="s">
        <v>6</v>
      </c>
      <c r="B1756" t="s">
        <v>7</v>
      </c>
      <c r="C1756" t="s">
        <v>1397</v>
      </c>
      <c r="D1756" t="s">
        <v>9</v>
      </c>
      <c r="E1756" t="s">
        <v>1524</v>
      </c>
      <c r="F1756" t="str">
        <f>"004119689104"</f>
        <v>004119689104</v>
      </c>
      <c r="G1756" t="s">
        <v>3068</v>
      </c>
      <c r="H1756" s="4">
        <v>4705.299</v>
      </c>
    </row>
    <row r="1757" spans="1:8" x14ac:dyDescent="0.3">
      <c r="A1757" t="s">
        <v>6</v>
      </c>
      <c r="B1757" t="s">
        <v>7</v>
      </c>
      <c r="C1757" t="s">
        <v>1729</v>
      </c>
      <c r="D1757" t="s">
        <v>9</v>
      </c>
      <c r="E1757" t="s">
        <v>1731</v>
      </c>
      <c r="F1757" t="str">
        <f>"072534213223"</f>
        <v>072534213223</v>
      </c>
      <c r="G1757" t="s">
        <v>2389</v>
      </c>
      <c r="H1757" s="4">
        <v>4704.8850000000002</v>
      </c>
    </row>
    <row r="1758" spans="1:8" x14ac:dyDescent="0.3">
      <c r="A1758" t="s">
        <v>6</v>
      </c>
      <c r="B1758" t="s">
        <v>7</v>
      </c>
      <c r="C1758" t="s">
        <v>381</v>
      </c>
      <c r="D1758" t="s">
        <v>9</v>
      </c>
      <c r="E1758" t="s">
        <v>397</v>
      </c>
      <c r="F1758" t="str">
        <f>"001356211045"</f>
        <v>001356211045</v>
      </c>
      <c r="G1758" t="s">
        <v>3125</v>
      </c>
      <c r="H1758" s="4">
        <v>4672.62</v>
      </c>
    </row>
    <row r="1759" spans="1:8" x14ac:dyDescent="0.3">
      <c r="A1759" t="s">
        <v>6</v>
      </c>
      <c r="B1759" t="s">
        <v>7</v>
      </c>
      <c r="C1759" t="s">
        <v>1072</v>
      </c>
      <c r="D1759" t="s">
        <v>9</v>
      </c>
      <c r="E1759" t="s">
        <v>1079</v>
      </c>
      <c r="F1759" t="str">
        <f>"001600018609"</f>
        <v>001600018609</v>
      </c>
      <c r="G1759" t="s">
        <v>2683</v>
      </c>
      <c r="H1759" s="4">
        <v>4668.1559999999999</v>
      </c>
    </row>
    <row r="1760" spans="1:8" x14ac:dyDescent="0.3">
      <c r="A1760" t="s">
        <v>6</v>
      </c>
      <c r="B1760" t="s">
        <v>7</v>
      </c>
      <c r="C1760" t="s">
        <v>1805</v>
      </c>
      <c r="D1760" t="s">
        <v>9</v>
      </c>
      <c r="E1760" t="s">
        <v>1934</v>
      </c>
      <c r="F1760" t="str">
        <f>"001800040756"</f>
        <v>001800040756</v>
      </c>
      <c r="G1760" t="s">
        <v>3818</v>
      </c>
      <c r="H1760" s="4">
        <v>4611.3900000000003</v>
      </c>
    </row>
    <row r="1761" spans="1:8" x14ac:dyDescent="0.3">
      <c r="A1761" t="s">
        <v>6</v>
      </c>
      <c r="B1761" t="s">
        <v>7</v>
      </c>
      <c r="C1761" t="s">
        <v>770</v>
      </c>
      <c r="D1761" t="s">
        <v>9</v>
      </c>
      <c r="E1761" t="s">
        <v>771</v>
      </c>
      <c r="F1761" t="str">
        <f>"001356211653"</f>
        <v>001356211653</v>
      </c>
      <c r="G1761" t="s">
        <v>2371</v>
      </c>
      <c r="H1761" s="4">
        <v>4607.04</v>
      </c>
    </row>
    <row r="1762" spans="1:8" x14ac:dyDescent="0.3">
      <c r="A1762" t="s">
        <v>6</v>
      </c>
      <c r="B1762" t="s">
        <v>7</v>
      </c>
      <c r="C1762" t="s">
        <v>2231</v>
      </c>
      <c r="D1762" t="s">
        <v>9</v>
      </c>
      <c r="E1762" t="s">
        <v>2238</v>
      </c>
      <c r="F1762" t="str">
        <f>"001356210121"</f>
        <v>001356210121</v>
      </c>
      <c r="G1762" t="s">
        <v>4435</v>
      </c>
      <c r="H1762" s="4">
        <v>4555.32</v>
      </c>
    </row>
    <row r="1763" spans="1:8" x14ac:dyDescent="0.3">
      <c r="A1763" t="s">
        <v>6</v>
      </c>
      <c r="B1763" t="s">
        <v>7</v>
      </c>
      <c r="C1763" t="s">
        <v>1748</v>
      </c>
      <c r="D1763" t="s">
        <v>9</v>
      </c>
      <c r="E1763" t="s">
        <v>1765</v>
      </c>
      <c r="F1763" t="str">
        <f>"009232528928"</f>
        <v>009232528928</v>
      </c>
      <c r="G1763" t="s">
        <v>3527</v>
      </c>
      <c r="H1763" s="4">
        <v>4553.4290000000001</v>
      </c>
    </row>
    <row r="1764" spans="1:8" x14ac:dyDescent="0.3">
      <c r="A1764" t="s">
        <v>6</v>
      </c>
      <c r="B1764" t="s">
        <v>7</v>
      </c>
      <c r="C1764" t="s">
        <v>616</v>
      </c>
      <c r="D1764" t="s">
        <v>9</v>
      </c>
      <c r="E1764" t="s">
        <v>680</v>
      </c>
      <c r="F1764" t="str">
        <f>"002190812941"</f>
        <v>002190812941</v>
      </c>
      <c r="G1764" t="s">
        <v>3650</v>
      </c>
      <c r="H1764" s="5">
        <v>4517</v>
      </c>
    </row>
    <row r="1765" spans="1:8" x14ac:dyDescent="0.3">
      <c r="A1765" t="s">
        <v>6</v>
      </c>
      <c r="B1765" t="s">
        <v>7</v>
      </c>
      <c r="C1765" t="s">
        <v>985</v>
      </c>
      <c r="D1765" t="s">
        <v>9</v>
      </c>
      <c r="E1765" t="s">
        <v>1026</v>
      </c>
      <c r="F1765" t="str">
        <f>"001356212118"</f>
        <v>001356212118</v>
      </c>
      <c r="G1765" t="s">
        <v>2625</v>
      </c>
      <c r="H1765" s="4">
        <v>4461.5259999999998</v>
      </c>
    </row>
    <row r="1766" spans="1:8" x14ac:dyDescent="0.3">
      <c r="A1766" t="s">
        <v>6</v>
      </c>
      <c r="B1766" t="s">
        <v>7</v>
      </c>
      <c r="C1766" t="s">
        <v>2113</v>
      </c>
      <c r="D1766" t="s">
        <v>9</v>
      </c>
      <c r="E1766" t="s">
        <v>2128</v>
      </c>
      <c r="F1766" t="str">
        <f>"001600050704"</f>
        <v>001600050704</v>
      </c>
      <c r="G1766" t="s">
        <v>4337</v>
      </c>
      <c r="H1766" s="4">
        <v>4432.299</v>
      </c>
    </row>
    <row r="1767" spans="1:8" x14ac:dyDescent="0.3">
      <c r="A1767" t="s">
        <v>6</v>
      </c>
      <c r="B1767" t="s">
        <v>7</v>
      </c>
      <c r="C1767" t="s">
        <v>8</v>
      </c>
      <c r="D1767" t="s">
        <v>9</v>
      </c>
      <c r="E1767" t="s">
        <v>82</v>
      </c>
      <c r="F1767" t="str">
        <f>"001600020253"</f>
        <v>001600020253</v>
      </c>
      <c r="G1767" t="s">
        <v>4057</v>
      </c>
      <c r="H1767" s="4">
        <v>4388.6819999999998</v>
      </c>
    </row>
    <row r="1768" spans="1:8" x14ac:dyDescent="0.3">
      <c r="A1768" t="s">
        <v>6</v>
      </c>
      <c r="B1768" t="s">
        <v>7</v>
      </c>
      <c r="C1768" t="s">
        <v>1786</v>
      </c>
      <c r="D1768" t="s">
        <v>9</v>
      </c>
      <c r="E1768" t="s">
        <v>1803</v>
      </c>
      <c r="F1768" t="str">
        <f>"072534226011"</f>
        <v>072534226011</v>
      </c>
      <c r="G1768" t="s">
        <v>3584</v>
      </c>
      <c r="H1768" s="4">
        <v>4355.4799999999996</v>
      </c>
    </row>
    <row r="1769" spans="1:8" x14ac:dyDescent="0.3">
      <c r="A1769" t="s">
        <v>6</v>
      </c>
      <c r="B1769" t="s">
        <v>7</v>
      </c>
      <c r="C1769" t="s">
        <v>1679</v>
      </c>
      <c r="D1769" t="s">
        <v>9</v>
      </c>
      <c r="E1769" t="s">
        <v>1688</v>
      </c>
      <c r="F1769" t="str">
        <f>"002190849334"</f>
        <v>002190849334</v>
      </c>
      <c r="G1769" t="s">
        <v>3454</v>
      </c>
      <c r="H1769" s="4">
        <v>4304.58</v>
      </c>
    </row>
    <row r="1770" spans="1:8" x14ac:dyDescent="0.3">
      <c r="A1770" t="s">
        <v>6</v>
      </c>
      <c r="B1770" t="s">
        <v>7</v>
      </c>
      <c r="C1770" t="s">
        <v>1679</v>
      </c>
      <c r="D1770" t="s">
        <v>9</v>
      </c>
      <c r="E1770" t="s">
        <v>1685</v>
      </c>
      <c r="F1770" t="str">
        <f>"002190855011"</f>
        <v>002190855011</v>
      </c>
      <c r="G1770" t="s">
        <v>3451</v>
      </c>
      <c r="H1770" s="4">
        <v>4252.8829999999998</v>
      </c>
    </row>
    <row r="1771" spans="1:8" x14ac:dyDescent="0.3">
      <c r="A1771" t="s">
        <v>6</v>
      </c>
      <c r="B1771" t="s">
        <v>7</v>
      </c>
      <c r="C1771" t="s">
        <v>1122</v>
      </c>
      <c r="D1771" t="s">
        <v>9</v>
      </c>
      <c r="E1771" t="s">
        <v>1139</v>
      </c>
      <c r="F1771" t="str">
        <f>"001356211107"</f>
        <v>001356211107</v>
      </c>
      <c r="G1771" t="s">
        <v>2734</v>
      </c>
      <c r="H1771" s="4">
        <v>4213.6530000000002</v>
      </c>
    </row>
    <row r="1772" spans="1:8" x14ac:dyDescent="0.3">
      <c r="A1772" t="s">
        <v>6</v>
      </c>
      <c r="B1772" t="s">
        <v>7</v>
      </c>
      <c r="C1772" t="s">
        <v>770</v>
      </c>
      <c r="D1772" t="s">
        <v>9</v>
      </c>
      <c r="E1772" t="s">
        <v>791</v>
      </c>
      <c r="F1772" t="str">
        <f>"001600015760"</f>
        <v>001600015760</v>
      </c>
      <c r="G1772" t="s">
        <v>2391</v>
      </c>
      <c r="H1772" s="4">
        <v>4193.3220000000001</v>
      </c>
    </row>
    <row r="1773" spans="1:8" x14ac:dyDescent="0.3">
      <c r="A1773" t="s">
        <v>6</v>
      </c>
      <c r="B1773" t="s">
        <v>7</v>
      </c>
      <c r="C1773" t="s">
        <v>616</v>
      </c>
      <c r="D1773" t="s">
        <v>9</v>
      </c>
      <c r="E1773" t="s">
        <v>678</v>
      </c>
      <c r="F1773" t="str">
        <f>"002190811524"</f>
        <v>002190811524</v>
      </c>
      <c r="G1773" t="s">
        <v>3648</v>
      </c>
      <c r="H1773" s="4">
        <v>4190.26</v>
      </c>
    </row>
    <row r="1774" spans="1:8" x14ac:dyDescent="0.3">
      <c r="A1774" t="s">
        <v>6</v>
      </c>
      <c r="B1774" t="s">
        <v>7</v>
      </c>
      <c r="C1774" t="s">
        <v>985</v>
      </c>
      <c r="D1774" t="s">
        <v>9</v>
      </c>
      <c r="E1774" t="s">
        <v>1053</v>
      </c>
      <c r="F1774" t="str">
        <f>"001356230099"</f>
        <v>001356230099</v>
      </c>
      <c r="G1774" t="s">
        <v>2647</v>
      </c>
      <c r="H1774" s="4">
        <v>4176.6049999999996</v>
      </c>
    </row>
    <row r="1775" spans="1:8" x14ac:dyDescent="0.3">
      <c r="A1775" t="s">
        <v>6</v>
      </c>
      <c r="B1775" t="s">
        <v>7</v>
      </c>
      <c r="C1775" t="s">
        <v>1679</v>
      </c>
      <c r="D1775" t="s">
        <v>9</v>
      </c>
      <c r="E1775" t="s">
        <v>1683</v>
      </c>
      <c r="F1775" t="str">
        <f>"002190847794"</f>
        <v>002190847794</v>
      </c>
      <c r="G1775" t="s">
        <v>3449</v>
      </c>
      <c r="H1775" s="4">
        <v>4143.4399999999996</v>
      </c>
    </row>
    <row r="1776" spans="1:8" x14ac:dyDescent="0.3">
      <c r="A1776" t="s">
        <v>6</v>
      </c>
      <c r="B1776" t="s">
        <v>7</v>
      </c>
      <c r="C1776" t="s">
        <v>1397</v>
      </c>
      <c r="D1776" t="s">
        <v>9</v>
      </c>
      <c r="E1776" t="s">
        <v>1412</v>
      </c>
      <c r="F1776" t="str">
        <f>"009232522223"</f>
        <v>009232522223</v>
      </c>
      <c r="G1776" t="s">
        <v>2963</v>
      </c>
      <c r="H1776" s="4">
        <v>4104.2759999999998</v>
      </c>
    </row>
    <row r="1777" spans="1:8" x14ac:dyDescent="0.3">
      <c r="A1777" t="s">
        <v>6</v>
      </c>
      <c r="B1777" t="s">
        <v>7</v>
      </c>
      <c r="C1777" t="s">
        <v>1397</v>
      </c>
      <c r="D1777" t="s">
        <v>9</v>
      </c>
      <c r="E1777" t="s">
        <v>1547</v>
      </c>
      <c r="F1777" t="str">
        <f>"007047016359"</f>
        <v>007047016359</v>
      </c>
      <c r="G1777" t="s">
        <v>3091</v>
      </c>
      <c r="H1777" s="4">
        <v>4101.2669999999998</v>
      </c>
    </row>
    <row r="1778" spans="1:8" x14ac:dyDescent="0.3">
      <c r="A1778" t="s">
        <v>6</v>
      </c>
      <c r="B1778" t="s">
        <v>7</v>
      </c>
      <c r="C1778" t="s">
        <v>1805</v>
      </c>
      <c r="D1778" t="s">
        <v>9</v>
      </c>
      <c r="E1778" t="s">
        <v>1912</v>
      </c>
      <c r="F1778" t="str">
        <f>"001800011932"</f>
        <v>001800011932</v>
      </c>
      <c r="G1778" t="s">
        <v>3796</v>
      </c>
      <c r="H1778" s="4">
        <v>4079.7539999999999</v>
      </c>
    </row>
    <row r="1779" spans="1:8" x14ac:dyDescent="0.3">
      <c r="A1779" t="s">
        <v>6</v>
      </c>
      <c r="B1779" t="s">
        <v>7</v>
      </c>
      <c r="C1779" t="s">
        <v>1748</v>
      </c>
      <c r="D1779" t="s">
        <v>9</v>
      </c>
      <c r="E1779" t="s">
        <v>1759</v>
      </c>
      <c r="F1779" t="str">
        <f>"009232533330"</f>
        <v>009232533330</v>
      </c>
      <c r="G1779" t="s">
        <v>3521</v>
      </c>
      <c r="H1779" s="4">
        <v>3995.105</v>
      </c>
    </row>
    <row r="1780" spans="1:8" ht="28.8" x14ac:dyDescent="0.3">
      <c r="A1780" t="s">
        <v>6</v>
      </c>
      <c r="B1780" s="1" t="s">
        <v>7</v>
      </c>
      <c r="C1780" s="1" t="s">
        <v>1122</v>
      </c>
      <c r="D1780" s="1" t="s">
        <v>9</v>
      </c>
      <c r="E1780" s="3" t="s">
        <v>1142</v>
      </c>
      <c r="F1780" t="str">
        <f>"001356211100"</f>
        <v>001356211100</v>
      </c>
      <c r="G1780" t="s">
        <v>2737</v>
      </c>
      <c r="H1780" s="3" t="s">
        <v>1143</v>
      </c>
    </row>
    <row r="1781" spans="1:8" x14ac:dyDescent="0.3">
      <c r="A1781" t="s">
        <v>6</v>
      </c>
      <c r="B1781" t="s">
        <v>7</v>
      </c>
      <c r="C1781" t="s">
        <v>2113</v>
      </c>
      <c r="D1781" t="s">
        <v>9</v>
      </c>
      <c r="E1781" t="s">
        <v>2217</v>
      </c>
      <c r="F1781" t="str">
        <f>"001600018911"</f>
        <v>001600018911</v>
      </c>
      <c r="G1781" t="s">
        <v>4416</v>
      </c>
      <c r="H1781" s="4">
        <v>3921.0010000000002</v>
      </c>
    </row>
    <row r="1782" spans="1:8" x14ac:dyDescent="0.3">
      <c r="A1782" t="s">
        <v>6</v>
      </c>
      <c r="B1782" t="s">
        <v>7</v>
      </c>
      <c r="C1782" t="s">
        <v>1122</v>
      </c>
      <c r="D1782" t="s">
        <v>9</v>
      </c>
      <c r="E1782" t="s">
        <v>1268</v>
      </c>
      <c r="F1782" t="str">
        <f>"001600013704"</f>
        <v>001600013704</v>
      </c>
      <c r="G1782" t="s">
        <v>2838</v>
      </c>
      <c r="H1782" s="4">
        <v>3884.6590000000001</v>
      </c>
    </row>
    <row r="1783" spans="1:8" x14ac:dyDescent="0.3">
      <c r="A1783" t="s">
        <v>6</v>
      </c>
      <c r="B1783" t="s">
        <v>7</v>
      </c>
      <c r="C1783" t="s">
        <v>1679</v>
      </c>
      <c r="D1783" t="s">
        <v>9</v>
      </c>
      <c r="E1783" t="s">
        <v>1690</v>
      </c>
      <c r="F1783" t="str">
        <f>"002190852501"</f>
        <v>002190852501</v>
      </c>
      <c r="G1783" t="s">
        <v>3456</v>
      </c>
      <c r="H1783" s="4">
        <v>3790.288</v>
      </c>
    </row>
    <row r="1784" spans="1:8" x14ac:dyDescent="0.3">
      <c r="A1784" t="s">
        <v>6</v>
      </c>
      <c r="B1784" t="s">
        <v>7</v>
      </c>
      <c r="C1784" t="s">
        <v>616</v>
      </c>
      <c r="D1784" t="s">
        <v>9</v>
      </c>
      <c r="E1784" t="s">
        <v>719</v>
      </c>
      <c r="F1784" t="str">
        <f>"002190845304"</f>
        <v>002190845304</v>
      </c>
      <c r="G1784" t="s">
        <v>3689</v>
      </c>
      <c r="H1784" s="4">
        <v>3775.88</v>
      </c>
    </row>
    <row r="1785" spans="1:8" x14ac:dyDescent="0.3">
      <c r="A1785" t="s">
        <v>6</v>
      </c>
      <c r="B1785" t="s">
        <v>7</v>
      </c>
      <c r="C1785" t="s">
        <v>1679</v>
      </c>
      <c r="D1785" t="s">
        <v>9</v>
      </c>
      <c r="E1785" t="s">
        <v>1680</v>
      </c>
      <c r="F1785" t="str">
        <f>"002190847797"</f>
        <v>002190847797</v>
      </c>
      <c r="G1785" t="s">
        <v>3446</v>
      </c>
      <c r="H1785" s="4">
        <v>3739.634</v>
      </c>
    </row>
    <row r="1786" spans="1:8" x14ac:dyDescent="0.3">
      <c r="A1786" t="s">
        <v>6</v>
      </c>
      <c r="B1786" t="s">
        <v>7</v>
      </c>
      <c r="C1786" t="s">
        <v>1338</v>
      </c>
      <c r="D1786" t="s">
        <v>9</v>
      </c>
      <c r="E1786" t="s">
        <v>1352</v>
      </c>
      <c r="F1786" t="str">
        <f>"004280012014"</f>
        <v>004280012014</v>
      </c>
      <c r="G1786" t="s">
        <v>2911</v>
      </c>
      <c r="H1786" s="4">
        <v>3709.55</v>
      </c>
    </row>
    <row r="1787" spans="1:8" x14ac:dyDescent="0.3">
      <c r="A1787" t="s">
        <v>6</v>
      </c>
      <c r="B1787" t="s">
        <v>7</v>
      </c>
      <c r="C1787" t="s">
        <v>616</v>
      </c>
      <c r="D1787" t="s">
        <v>9</v>
      </c>
      <c r="E1787" t="s">
        <v>629</v>
      </c>
      <c r="F1787" t="str">
        <f>"073215324882"</f>
        <v>073215324882</v>
      </c>
      <c r="G1787" t="s">
        <v>3601</v>
      </c>
      <c r="H1787" s="4">
        <v>3703.598</v>
      </c>
    </row>
    <row r="1788" spans="1:8" x14ac:dyDescent="0.3">
      <c r="A1788" t="s">
        <v>6</v>
      </c>
      <c r="B1788" t="s">
        <v>7</v>
      </c>
      <c r="C1788" t="s">
        <v>1397</v>
      </c>
      <c r="D1788" t="s">
        <v>9</v>
      </c>
      <c r="E1788" t="s">
        <v>1430</v>
      </c>
      <c r="F1788" t="str">
        <f>"001600012250"</f>
        <v>001600012250</v>
      </c>
      <c r="G1788" t="s">
        <v>2982</v>
      </c>
      <c r="H1788" s="4">
        <v>3700.402</v>
      </c>
    </row>
    <row r="1789" spans="1:8" x14ac:dyDescent="0.3">
      <c r="A1789" t="s">
        <v>6</v>
      </c>
      <c r="B1789" t="s">
        <v>7</v>
      </c>
      <c r="C1789" t="s">
        <v>2113</v>
      </c>
      <c r="D1789" t="s">
        <v>9</v>
      </c>
      <c r="E1789" t="s">
        <v>2209</v>
      </c>
      <c r="F1789" t="str">
        <f>"001600050425"</f>
        <v>001600050425</v>
      </c>
      <c r="G1789" t="s">
        <v>4412</v>
      </c>
      <c r="H1789" s="4">
        <v>3697.7350000000001</v>
      </c>
    </row>
    <row r="1790" spans="1:8" x14ac:dyDescent="0.3">
      <c r="A1790" t="s">
        <v>6</v>
      </c>
      <c r="B1790" t="s">
        <v>7</v>
      </c>
      <c r="C1790" t="s">
        <v>1072</v>
      </c>
      <c r="D1790" t="s">
        <v>9</v>
      </c>
      <c r="E1790" t="s">
        <v>1075</v>
      </c>
      <c r="F1790" t="str">
        <f>"001600020067"</f>
        <v>001600020067</v>
      </c>
      <c r="G1790" t="s">
        <v>2671</v>
      </c>
      <c r="H1790" s="4">
        <v>3601.9180000000001</v>
      </c>
    </row>
    <row r="1791" spans="1:8" x14ac:dyDescent="0.3">
      <c r="A1791" t="s">
        <v>6</v>
      </c>
      <c r="B1791" t="s">
        <v>7</v>
      </c>
      <c r="C1791" t="s">
        <v>985</v>
      </c>
      <c r="D1791" t="s">
        <v>9</v>
      </c>
      <c r="E1791" t="s">
        <v>1044</v>
      </c>
      <c r="F1791" t="str">
        <f>"001356230092"</f>
        <v>001356230092</v>
      </c>
      <c r="G1791" t="s">
        <v>2639</v>
      </c>
      <c r="H1791" s="4">
        <v>3525.877</v>
      </c>
    </row>
    <row r="1792" spans="1:8" x14ac:dyDescent="0.3">
      <c r="A1792" t="s">
        <v>6</v>
      </c>
      <c r="B1792" t="s">
        <v>7</v>
      </c>
      <c r="C1792" t="s">
        <v>1338</v>
      </c>
      <c r="D1792" t="s">
        <v>9</v>
      </c>
      <c r="E1792" t="s">
        <v>1365</v>
      </c>
      <c r="F1792" t="str">
        <f>"004280012221"</f>
        <v>004280012221</v>
      </c>
      <c r="G1792" t="s">
        <v>2922</v>
      </c>
      <c r="H1792" s="4">
        <v>3502.431</v>
      </c>
    </row>
    <row r="1793" spans="1:8" x14ac:dyDescent="0.3">
      <c r="A1793" t="s">
        <v>6</v>
      </c>
      <c r="B1793" t="s">
        <v>7</v>
      </c>
      <c r="C1793" t="s">
        <v>616</v>
      </c>
      <c r="D1793" t="s">
        <v>9</v>
      </c>
      <c r="E1793" t="s">
        <v>754</v>
      </c>
      <c r="F1793" t="str">
        <f>"002190850826"</f>
        <v>002190850826</v>
      </c>
      <c r="G1793" t="s">
        <v>3724</v>
      </c>
      <c r="H1793" s="4">
        <v>3489.2</v>
      </c>
    </row>
    <row r="1794" spans="1:8" x14ac:dyDescent="0.3">
      <c r="A1794" t="s">
        <v>6</v>
      </c>
      <c r="B1794" t="s">
        <v>7</v>
      </c>
      <c r="C1794" t="s">
        <v>1577</v>
      </c>
      <c r="D1794" t="s">
        <v>9</v>
      </c>
      <c r="E1794" t="s">
        <v>1587</v>
      </c>
      <c r="F1794" t="str">
        <f>"072534248810"</f>
        <v>072534248810</v>
      </c>
      <c r="G1794" t="s">
        <v>3350</v>
      </c>
      <c r="H1794" s="4">
        <v>3483.5810000000001</v>
      </c>
    </row>
    <row r="1795" spans="1:8" x14ac:dyDescent="0.3">
      <c r="A1795" t="s">
        <v>6</v>
      </c>
      <c r="B1795" t="s">
        <v>7</v>
      </c>
      <c r="C1795" t="s">
        <v>1577</v>
      </c>
      <c r="D1795" t="s">
        <v>9</v>
      </c>
      <c r="E1795" t="s">
        <v>1676</v>
      </c>
      <c r="F1795" t="str">
        <f>"004600013389"</f>
        <v>004600013389</v>
      </c>
      <c r="G1795" t="s">
        <v>2389</v>
      </c>
      <c r="H1795" s="4">
        <v>3445.4</v>
      </c>
    </row>
    <row r="1796" spans="1:8" x14ac:dyDescent="0.3">
      <c r="A1796" t="s">
        <v>6</v>
      </c>
      <c r="B1796" t="s">
        <v>7</v>
      </c>
      <c r="C1796" t="s">
        <v>1786</v>
      </c>
      <c r="D1796" t="s">
        <v>9</v>
      </c>
      <c r="E1796" t="s">
        <v>1800</v>
      </c>
      <c r="F1796" t="str">
        <f>"072534213076"</f>
        <v>072534213076</v>
      </c>
      <c r="G1796" t="s">
        <v>3577</v>
      </c>
      <c r="H1796" s="4">
        <v>3404.77</v>
      </c>
    </row>
    <row r="1797" spans="1:8" x14ac:dyDescent="0.3">
      <c r="A1797" t="s">
        <v>6</v>
      </c>
      <c r="B1797" t="s">
        <v>7</v>
      </c>
      <c r="C1797" t="s">
        <v>616</v>
      </c>
      <c r="D1797" t="s">
        <v>9</v>
      </c>
      <c r="E1797" t="s">
        <v>713</v>
      </c>
      <c r="F1797" t="str">
        <f>"002190851508"</f>
        <v>002190851508</v>
      </c>
      <c r="G1797" t="s">
        <v>3683</v>
      </c>
      <c r="H1797" s="4">
        <v>3277.261</v>
      </c>
    </row>
    <row r="1798" spans="1:8" x14ac:dyDescent="0.3">
      <c r="A1798" t="s">
        <v>6</v>
      </c>
      <c r="B1798" t="s">
        <v>7</v>
      </c>
      <c r="C1798" t="s">
        <v>1577</v>
      </c>
      <c r="D1798" t="s">
        <v>9</v>
      </c>
      <c r="E1798" t="s">
        <v>1650</v>
      </c>
      <c r="F1798" t="str">
        <f>"004600012374"</f>
        <v>004600012374</v>
      </c>
      <c r="G1798" t="s">
        <v>3419</v>
      </c>
      <c r="H1798" s="4">
        <v>3224.9929999999999</v>
      </c>
    </row>
    <row r="1799" spans="1:8" x14ac:dyDescent="0.3">
      <c r="A1799" t="s">
        <v>6</v>
      </c>
      <c r="B1799" t="s">
        <v>7</v>
      </c>
      <c r="C1799" t="s">
        <v>381</v>
      </c>
      <c r="D1799" t="s">
        <v>9</v>
      </c>
      <c r="E1799" t="s">
        <v>487</v>
      </c>
      <c r="F1799" t="str">
        <f>"001600043989"</f>
        <v>001600043989</v>
      </c>
      <c r="G1799" t="s">
        <v>3214</v>
      </c>
      <c r="H1799" s="4">
        <v>3214.174</v>
      </c>
    </row>
    <row r="1800" spans="1:8" x14ac:dyDescent="0.3">
      <c r="A1800" t="s">
        <v>6</v>
      </c>
      <c r="B1800" t="s">
        <v>7</v>
      </c>
      <c r="C1800" t="s">
        <v>1577</v>
      </c>
      <c r="D1800" t="s">
        <v>9</v>
      </c>
      <c r="E1800" t="s">
        <v>1638</v>
      </c>
      <c r="F1800" t="str">
        <f>"004600010147"</f>
        <v>004600010147</v>
      </c>
      <c r="G1800" t="s">
        <v>3407</v>
      </c>
      <c r="H1800" s="4">
        <v>3208.3359999999998</v>
      </c>
    </row>
    <row r="1801" spans="1:8" x14ac:dyDescent="0.3">
      <c r="A1801" t="s">
        <v>6</v>
      </c>
      <c r="B1801" t="s">
        <v>7</v>
      </c>
      <c r="C1801" t="s">
        <v>1695</v>
      </c>
      <c r="D1801" t="s">
        <v>9</v>
      </c>
      <c r="E1801" t="s">
        <v>1717</v>
      </c>
      <c r="F1801" t="str">
        <f>"002190850346"</f>
        <v>002190850346</v>
      </c>
      <c r="G1801" t="s">
        <v>3481</v>
      </c>
      <c r="H1801" s="4">
        <v>3203.8440000000001</v>
      </c>
    </row>
    <row r="1802" spans="1:8" x14ac:dyDescent="0.3">
      <c r="A1802" t="s">
        <v>6</v>
      </c>
      <c r="B1802" t="s">
        <v>7</v>
      </c>
      <c r="C1802" t="s">
        <v>1940</v>
      </c>
      <c r="D1802" t="s">
        <v>9</v>
      </c>
      <c r="E1802" t="s">
        <v>2103</v>
      </c>
      <c r="F1802" t="str">
        <f>"007047019136"</f>
        <v>007047019136</v>
      </c>
      <c r="G1802" t="s">
        <v>3993</v>
      </c>
      <c r="H1802" s="4">
        <v>3189.9110000000001</v>
      </c>
    </row>
    <row r="1803" spans="1:8" x14ac:dyDescent="0.3">
      <c r="A1803" t="s">
        <v>6</v>
      </c>
      <c r="B1803" t="s">
        <v>7</v>
      </c>
      <c r="C1803" t="s">
        <v>1805</v>
      </c>
      <c r="D1803" t="s">
        <v>9</v>
      </c>
      <c r="E1803" t="s">
        <v>1810</v>
      </c>
      <c r="F1803" t="str">
        <f>"001800013597"</f>
        <v>001800013597</v>
      </c>
      <c r="G1803" t="s">
        <v>3743</v>
      </c>
      <c r="H1803" s="4">
        <v>3179.39</v>
      </c>
    </row>
    <row r="1804" spans="1:8" x14ac:dyDescent="0.3">
      <c r="A1804" t="s">
        <v>6</v>
      </c>
      <c r="B1804" t="s">
        <v>7</v>
      </c>
      <c r="C1804" t="s">
        <v>1786</v>
      </c>
      <c r="D1804" t="s">
        <v>9</v>
      </c>
      <c r="E1804" t="s">
        <v>1795</v>
      </c>
      <c r="F1804" t="str">
        <f>"072534228731"</f>
        <v>072534228731</v>
      </c>
      <c r="G1804" t="s">
        <v>3562</v>
      </c>
      <c r="H1804" s="4">
        <v>3157.8</v>
      </c>
    </row>
    <row r="1805" spans="1:8" x14ac:dyDescent="0.3">
      <c r="A1805" t="s">
        <v>6</v>
      </c>
      <c r="B1805" t="s">
        <v>7</v>
      </c>
      <c r="C1805" t="s">
        <v>1122</v>
      </c>
      <c r="D1805" t="s">
        <v>9</v>
      </c>
      <c r="E1805" t="s">
        <v>1154</v>
      </c>
      <c r="F1805" t="str">
        <f>"001356211991"</f>
        <v>001356211991</v>
      </c>
      <c r="G1805" t="s">
        <v>2747</v>
      </c>
      <c r="H1805" s="4">
        <v>3151.114</v>
      </c>
    </row>
    <row r="1806" spans="1:8" x14ac:dyDescent="0.3">
      <c r="A1806" t="s">
        <v>6</v>
      </c>
      <c r="B1806" t="s">
        <v>7</v>
      </c>
      <c r="C1806" t="s">
        <v>1773</v>
      </c>
      <c r="D1806" t="s">
        <v>9</v>
      </c>
      <c r="E1806" t="s">
        <v>1776</v>
      </c>
      <c r="F1806" t="str">
        <f>"001356212205"</f>
        <v>001356212205</v>
      </c>
      <c r="G1806" t="s">
        <v>3538</v>
      </c>
      <c r="H1806" s="4">
        <v>3145.4470000000001</v>
      </c>
    </row>
    <row r="1807" spans="1:8" x14ac:dyDescent="0.3">
      <c r="A1807" t="s">
        <v>6</v>
      </c>
      <c r="B1807" t="s">
        <v>7</v>
      </c>
      <c r="C1807" t="s">
        <v>381</v>
      </c>
      <c r="D1807" t="s">
        <v>9</v>
      </c>
      <c r="E1807" t="s">
        <v>392</v>
      </c>
      <c r="F1807" t="str">
        <f>"001356213388"</f>
        <v>001356213388</v>
      </c>
      <c r="G1807" t="s">
        <v>3120</v>
      </c>
      <c r="H1807" s="4">
        <v>3134.3809999999999</v>
      </c>
    </row>
    <row r="1808" spans="1:8" x14ac:dyDescent="0.3">
      <c r="A1808" t="s">
        <v>6</v>
      </c>
      <c r="B1808" t="s">
        <v>7</v>
      </c>
      <c r="C1808" t="s">
        <v>1786</v>
      </c>
      <c r="D1808" t="s">
        <v>9</v>
      </c>
      <c r="E1808" t="s">
        <v>1801</v>
      </c>
      <c r="F1808" t="str">
        <f>"072534242944"</f>
        <v>072534242944</v>
      </c>
      <c r="G1808" t="s">
        <v>3582</v>
      </c>
      <c r="H1808" s="4">
        <v>3131.0059999999999</v>
      </c>
    </row>
    <row r="1809" spans="1:8" x14ac:dyDescent="0.3">
      <c r="A1809" t="s">
        <v>6</v>
      </c>
      <c r="B1809" t="s">
        <v>7</v>
      </c>
      <c r="C1809" t="s">
        <v>797</v>
      </c>
      <c r="D1809" t="s">
        <v>9</v>
      </c>
      <c r="E1809" t="s">
        <v>873</v>
      </c>
      <c r="F1809" t="str">
        <f>"001600045895"</f>
        <v>001600045895</v>
      </c>
      <c r="G1809" t="s">
        <v>2466</v>
      </c>
      <c r="H1809" s="4">
        <v>3100.4639999999999</v>
      </c>
    </row>
    <row r="1810" spans="1:8" x14ac:dyDescent="0.3">
      <c r="A1810" t="s">
        <v>6</v>
      </c>
      <c r="B1810" t="s">
        <v>7</v>
      </c>
      <c r="C1810" t="s">
        <v>2231</v>
      </c>
      <c r="D1810" t="s">
        <v>9</v>
      </c>
      <c r="E1810" t="s">
        <v>2272</v>
      </c>
      <c r="F1810" t="str">
        <f>"004119691088"</f>
        <v>004119691088</v>
      </c>
      <c r="G1810" t="s">
        <v>2389</v>
      </c>
      <c r="H1810" s="4">
        <v>3051.6</v>
      </c>
    </row>
    <row r="1811" spans="1:8" x14ac:dyDescent="0.3">
      <c r="A1811" t="s">
        <v>6</v>
      </c>
      <c r="B1811" t="s">
        <v>7</v>
      </c>
      <c r="C1811" t="s">
        <v>616</v>
      </c>
      <c r="D1811" t="s">
        <v>9</v>
      </c>
      <c r="E1811" t="s">
        <v>709</v>
      </c>
      <c r="F1811" t="str">
        <f>"002190845302"</f>
        <v>002190845302</v>
      </c>
      <c r="G1811" t="s">
        <v>3679</v>
      </c>
      <c r="H1811" s="4">
        <v>3010.44</v>
      </c>
    </row>
    <row r="1812" spans="1:8" x14ac:dyDescent="0.3">
      <c r="A1812" t="s">
        <v>6</v>
      </c>
      <c r="B1812" t="s">
        <v>7</v>
      </c>
      <c r="C1812" t="s">
        <v>1270</v>
      </c>
      <c r="D1812" t="s">
        <v>9</v>
      </c>
      <c r="E1812" t="s">
        <v>1285</v>
      </c>
      <c r="F1812" t="str">
        <f>"009456206300"</f>
        <v>009456206300</v>
      </c>
      <c r="G1812" t="s">
        <v>2389</v>
      </c>
      <c r="H1812" s="4">
        <v>3003.8319999999999</v>
      </c>
    </row>
    <row r="1813" spans="1:8" x14ac:dyDescent="0.3">
      <c r="A1813" t="s">
        <v>6</v>
      </c>
      <c r="B1813" t="s">
        <v>7</v>
      </c>
      <c r="C1813" t="s">
        <v>1397</v>
      </c>
      <c r="D1813" t="s">
        <v>9</v>
      </c>
      <c r="E1813" t="s">
        <v>1528</v>
      </c>
      <c r="F1813" t="str">
        <f>"004119689021"</f>
        <v>004119689021</v>
      </c>
      <c r="G1813" t="s">
        <v>3072</v>
      </c>
      <c r="H1813" s="4">
        <v>2962.6469999999999</v>
      </c>
    </row>
    <row r="1814" spans="1:8" x14ac:dyDescent="0.3">
      <c r="A1814" t="s">
        <v>6</v>
      </c>
      <c r="B1814" t="s">
        <v>7</v>
      </c>
      <c r="C1814" t="s">
        <v>1786</v>
      </c>
      <c r="D1814" t="s">
        <v>9</v>
      </c>
      <c r="E1814" t="s">
        <v>1795</v>
      </c>
      <c r="F1814" t="str">
        <f>"072534228381"</f>
        <v>072534228381</v>
      </c>
      <c r="G1814" t="s">
        <v>3560</v>
      </c>
      <c r="H1814" s="4">
        <v>2942.0529999999999</v>
      </c>
    </row>
    <row r="1815" spans="1:8" x14ac:dyDescent="0.3">
      <c r="A1815" t="s">
        <v>6</v>
      </c>
      <c r="B1815" t="s">
        <v>7</v>
      </c>
      <c r="C1815" t="s">
        <v>8</v>
      </c>
      <c r="D1815" t="s">
        <v>9</v>
      </c>
      <c r="E1815" t="s">
        <v>76</v>
      </c>
      <c r="F1815" t="str">
        <f>"001600017824"</f>
        <v>001600017824</v>
      </c>
      <c r="G1815" t="s">
        <v>4052</v>
      </c>
      <c r="H1815" s="4">
        <v>2941.165</v>
      </c>
    </row>
    <row r="1816" spans="1:8" x14ac:dyDescent="0.3">
      <c r="A1816" t="s">
        <v>6</v>
      </c>
      <c r="B1816" t="s">
        <v>7</v>
      </c>
      <c r="C1816" t="s">
        <v>1122</v>
      </c>
      <c r="D1816" t="s">
        <v>9</v>
      </c>
      <c r="E1816" t="s">
        <v>1133</v>
      </c>
      <c r="F1816" t="str">
        <f>"001356200126"</f>
        <v>001356200126</v>
      </c>
      <c r="G1816" t="s">
        <v>2728</v>
      </c>
      <c r="H1816" s="4">
        <v>2923.1190000000001</v>
      </c>
    </row>
    <row r="1817" spans="1:8" x14ac:dyDescent="0.3">
      <c r="A1817" t="s">
        <v>6</v>
      </c>
      <c r="B1817" t="s">
        <v>7</v>
      </c>
      <c r="C1817" t="s">
        <v>1397</v>
      </c>
      <c r="D1817" t="s">
        <v>9</v>
      </c>
      <c r="E1817" t="s">
        <v>1425</v>
      </c>
      <c r="F1817" t="str">
        <f>"002190811672"</f>
        <v>002190811672</v>
      </c>
      <c r="G1817" t="s">
        <v>2977</v>
      </c>
      <c r="H1817" s="4">
        <v>2892.2620000000002</v>
      </c>
    </row>
    <row r="1818" spans="1:8" x14ac:dyDescent="0.3">
      <c r="A1818" t="s">
        <v>6</v>
      </c>
      <c r="B1818" t="s">
        <v>7</v>
      </c>
      <c r="C1818" t="s">
        <v>381</v>
      </c>
      <c r="D1818" t="s">
        <v>9</v>
      </c>
      <c r="E1818" t="s">
        <v>612</v>
      </c>
      <c r="F1818" t="str">
        <f>"001600014165"</f>
        <v>001600014165</v>
      </c>
      <c r="G1818" t="s">
        <v>3340</v>
      </c>
      <c r="H1818" s="4">
        <v>2853.17</v>
      </c>
    </row>
    <row r="1819" spans="1:8" x14ac:dyDescent="0.3">
      <c r="A1819" t="s">
        <v>6</v>
      </c>
      <c r="B1819" t="s">
        <v>7</v>
      </c>
      <c r="C1819" t="s">
        <v>616</v>
      </c>
      <c r="D1819" t="s">
        <v>9</v>
      </c>
      <c r="E1819" t="s">
        <v>740</v>
      </c>
      <c r="F1819" t="str">
        <f>"002190849571"</f>
        <v>002190849571</v>
      </c>
      <c r="G1819" t="s">
        <v>3710</v>
      </c>
      <c r="H1819" s="4">
        <v>2833.9879999999998</v>
      </c>
    </row>
    <row r="1820" spans="1:8" x14ac:dyDescent="0.3">
      <c r="A1820" t="s">
        <v>6</v>
      </c>
      <c r="B1820" t="s">
        <v>7</v>
      </c>
      <c r="C1820" t="s">
        <v>1122</v>
      </c>
      <c r="D1820" t="s">
        <v>9</v>
      </c>
      <c r="E1820" t="s">
        <v>1212</v>
      </c>
      <c r="F1820" t="str">
        <f>"001600041909"</f>
        <v>001600041909</v>
      </c>
      <c r="G1820" t="s">
        <v>2389</v>
      </c>
      <c r="H1820" s="4">
        <v>2823.3220000000001</v>
      </c>
    </row>
    <row r="1821" spans="1:8" x14ac:dyDescent="0.3">
      <c r="A1821" t="s">
        <v>6</v>
      </c>
      <c r="B1821" t="s">
        <v>7</v>
      </c>
      <c r="C1821" t="s">
        <v>2113</v>
      </c>
      <c r="D1821" t="s">
        <v>9</v>
      </c>
      <c r="E1821" t="s">
        <v>2218</v>
      </c>
      <c r="F1821" t="str">
        <f>"001600017294"</f>
        <v>001600017294</v>
      </c>
      <c r="G1821" t="s">
        <v>4418</v>
      </c>
      <c r="H1821" s="4">
        <v>2726.732</v>
      </c>
    </row>
    <row r="1822" spans="1:8" x14ac:dyDescent="0.3">
      <c r="A1822" t="s">
        <v>6</v>
      </c>
      <c r="B1822" t="s">
        <v>7</v>
      </c>
      <c r="C1822" t="s">
        <v>797</v>
      </c>
      <c r="D1822" t="s">
        <v>9</v>
      </c>
      <c r="E1822" t="s">
        <v>850</v>
      </c>
      <c r="F1822" t="str">
        <f>"001600017619"</f>
        <v>001600017619</v>
      </c>
      <c r="G1822" t="s">
        <v>2446</v>
      </c>
      <c r="H1822" s="4">
        <v>2711.982</v>
      </c>
    </row>
    <row r="1823" spans="1:8" x14ac:dyDescent="0.3">
      <c r="A1823" t="s">
        <v>6</v>
      </c>
      <c r="B1823" t="s">
        <v>7</v>
      </c>
      <c r="C1823" t="s">
        <v>8</v>
      </c>
      <c r="D1823" t="s">
        <v>9</v>
      </c>
      <c r="E1823" t="s">
        <v>55</v>
      </c>
      <c r="F1823" t="str">
        <f>"002190874331"</f>
        <v>002190874331</v>
      </c>
      <c r="G1823" t="s">
        <v>4032</v>
      </c>
      <c r="H1823" s="4">
        <v>2700.723</v>
      </c>
    </row>
    <row r="1824" spans="1:8" x14ac:dyDescent="0.3">
      <c r="A1824" t="s">
        <v>6</v>
      </c>
      <c r="B1824" t="s">
        <v>7</v>
      </c>
      <c r="C1824" t="s">
        <v>1397</v>
      </c>
      <c r="D1824" t="s">
        <v>9</v>
      </c>
      <c r="E1824" t="s">
        <v>1475</v>
      </c>
      <c r="F1824" t="str">
        <f>"001600084480"</f>
        <v>001600084480</v>
      </c>
      <c r="G1824" t="s">
        <v>3022</v>
      </c>
      <c r="H1824" s="4">
        <v>2693.2449999999999</v>
      </c>
    </row>
    <row r="1825" spans="1:8" x14ac:dyDescent="0.3">
      <c r="A1825" t="s">
        <v>6</v>
      </c>
      <c r="B1825" t="s">
        <v>7</v>
      </c>
      <c r="C1825" t="s">
        <v>8</v>
      </c>
      <c r="D1825" t="s">
        <v>9</v>
      </c>
      <c r="E1825" t="s">
        <v>349</v>
      </c>
      <c r="F1825" t="str">
        <f>"001600018666"</f>
        <v>001600018666</v>
      </c>
      <c r="G1825" t="s">
        <v>2389</v>
      </c>
      <c r="H1825" s="4">
        <v>2664.0160000000001</v>
      </c>
    </row>
    <row r="1826" spans="1:8" x14ac:dyDescent="0.3">
      <c r="A1826" t="s">
        <v>6</v>
      </c>
      <c r="B1826" t="s">
        <v>7</v>
      </c>
      <c r="C1826" t="s">
        <v>1122</v>
      </c>
      <c r="D1826" t="s">
        <v>9</v>
      </c>
      <c r="E1826" t="s">
        <v>1216</v>
      </c>
      <c r="F1826" t="str">
        <f>"001600051528"</f>
        <v>001600051528</v>
      </c>
      <c r="G1826" t="s">
        <v>2389</v>
      </c>
      <c r="H1826" s="4">
        <v>2661.0039999999999</v>
      </c>
    </row>
    <row r="1827" spans="1:8" x14ac:dyDescent="0.3">
      <c r="A1827" t="s">
        <v>6</v>
      </c>
      <c r="B1827" t="s">
        <v>7</v>
      </c>
      <c r="C1827" t="s">
        <v>797</v>
      </c>
      <c r="D1827" t="s">
        <v>9</v>
      </c>
      <c r="E1827" t="s">
        <v>934</v>
      </c>
      <c r="F1827" t="str">
        <f>"001600017814"</f>
        <v>001600017814</v>
      </c>
      <c r="G1827" t="s">
        <v>2525</v>
      </c>
      <c r="H1827" s="4">
        <v>2660.665</v>
      </c>
    </row>
    <row r="1828" spans="1:8" x14ac:dyDescent="0.3">
      <c r="A1828" t="s">
        <v>6</v>
      </c>
      <c r="B1828" t="s">
        <v>7</v>
      </c>
      <c r="C1828" t="s">
        <v>616</v>
      </c>
      <c r="D1828" t="s">
        <v>9</v>
      </c>
      <c r="E1828" t="s">
        <v>732</v>
      </c>
      <c r="F1828" t="str">
        <f>"002190851546"</f>
        <v>002190851546</v>
      </c>
      <c r="G1828" t="s">
        <v>3702</v>
      </c>
      <c r="H1828" s="4">
        <v>2647.4279999999999</v>
      </c>
    </row>
    <row r="1829" spans="1:8" x14ac:dyDescent="0.3">
      <c r="A1829" t="s">
        <v>6</v>
      </c>
      <c r="B1829" t="s">
        <v>7</v>
      </c>
      <c r="C1829" t="s">
        <v>1095</v>
      </c>
      <c r="D1829" t="s">
        <v>9</v>
      </c>
      <c r="E1829" t="s">
        <v>1110</v>
      </c>
      <c r="F1829" t="str">
        <f>"001600010720"</f>
        <v>001600010720</v>
      </c>
      <c r="G1829" t="s">
        <v>2389</v>
      </c>
      <c r="H1829" s="4">
        <v>2631.35</v>
      </c>
    </row>
    <row r="1830" spans="1:8" x14ac:dyDescent="0.3">
      <c r="A1830" t="s">
        <v>6</v>
      </c>
      <c r="B1830" t="s">
        <v>7</v>
      </c>
      <c r="C1830" t="s">
        <v>381</v>
      </c>
      <c r="D1830" t="s">
        <v>9</v>
      </c>
      <c r="E1830" t="s">
        <v>1571</v>
      </c>
      <c r="F1830" t="str">
        <f>"001600050601"</f>
        <v>001600050601</v>
      </c>
      <c r="G1830" t="s">
        <v>3195</v>
      </c>
      <c r="H1830" s="4">
        <v>2604.998</v>
      </c>
    </row>
    <row r="1831" spans="1:8" x14ac:dyDescent="0.3">
      <c r="A1831" t="s">
        <v>6</v>
      </c>
      <c r="B1831" t="s">
        <v>7</v>
      </c>
      <c r="C1831" t="s">
        <v>1122</v>
      </c>
      <c r="D1831" t="s">
        <v>9</v>
      </c>
      <c r="E1831" t="s">
        <v>1144</v>
      </c>
      <c r="F1831" t="str">
        <f>"001356200156"</f>
        <v>001356200156</v>
      </c>
      <c r="G1831" t="s">
        <v>2738</v>
      </c>
      <c r="H1831" s="4">
        <v>2591.4830000000002</v>
      </c>
    </row>
    <row r="1832" spans="1:8" x14ac:dyDescent="0.3">
      <c r="A1832" t="s">
        <v>6</v>
      </c>
      <c r="B1832" t="s">
        <v>7</v>
      </c>
      <c r="C1832" t="s">
        <v>1397</v>
      </c>
      <c r="D1832" t="s">
        <v>9</v>
      </c>
      <c r="E1832" t="s">
        <v>1530</v>
      </c>
      <c r="F1832" t="str">
        <f>"004119602124"</f>
        <v>004119602124</v>
      </c>
      <c r="G1832" t="s">
        <v>3074</v>
      </c>
      <c r="H1832" s="4">
        <v>2584.5259999999998</v>
      </c>
    </row>
    <row r="1833" spans="1:8" x14ac:dyDescent="0.3">
      <c r="A1833" t="s">
        <v>6</v>
      </c>
      <c r="B1833" t="s">
        <v>7</v>
      </c>
      <c r="C1833" t="s">
        <v>616</v>
      </c>
      <c r="D1833" t="s">
        <v>9</v>
      </c>
      <c r="E1833" t="s">
        <v>643</v>
      </c>
      <c r="F1833" t="str">
        <f>"073215312537"</f>
        <v>073215312537</v>
      </c>
      <c r="G1833" t="s">
        <v>3614</v>
      </c>
      <c r="H1833" s="4">
        <v>2583.12</v>
      </c>
    </row>
    <row r="1834" spans="1:8" x14ac:dyDescent="0.3">
      <c r="A1834" t="s">
        <v>6</v>
      </c>
      <c r="B1834" t="s">
        <v>7</v>
      </c>
      <c r="C1834" t="s">
        <v>1397</v>
      </c>
      <c r="D1834" t="s">
        <v>9</v>
      </c>
      <c r="E1834" t="s">
        <v>1434</v>
      </c>
      <c r="F1834" t="str">
        <f>"073215311737"</f>
        <v>073215311737</v>
      </c>
      <c r="G1834" t="s">
        <v>2985</v>
      </c>
      <c r="H1834" s="4">
        <v>2558.14</v>
      </c>
    </row>
    <row r="1835" spans="1:8" x14ac:dyDescent="0.3">
      <c r="A1835" t="s">
        <v>6</v>
      </c>
      <c r="B1835" t="s">
        <v>7</v>
      </c>
      <c r="C1835" t="s">
        <v>797</v>
      </c>
      <c r="D1835" t="s">
        <v>9</v>
      </c>
      <c r="E1835" t="s">
        <v>890</v>
      </c>
      <c r="F1835" t="str">
        <f>"001600020753"</f>
        <v>001600020753</v>
      </c>
      <c r="G1835" t="s">
        <v>2389</v>
      </c>
      <c r="H1835" s="4">
        <v>2555.5309999999999</v>
      </c>
    </row>
    <row r="1836" spans="1:8" x14ac:dyDescent="0.3">
      <c r="A1836" t="s">
        <v>6</v>
      </c>
      <c r="B1836" t="s">
        <v>7</v>
      </c>
      <c r="C1836" t="s">
        <v>2113</v>
      </c>
      <c r="D1836" t="s">
        <v>9</v>
      </c>
      <c r="E1836" t="s">
        <v>2135</v>
      </c>
      <c r="F1836" t="str">
        <f>"001600017734"</f>
        <v>001600017734</v>
      </c>
      <c r="G1836" t="s">
        <v>4344</v>
      </c>
      <c r="H1836" s="4">
        <v>2539.0700000000002</v>
      </c>
    </row>
    <row r="1837" spans="1:8" x14ac:dyDescent="0.3">
      <c r="A1837" t="s">
        <v>6</v>
      </c>
      <c r="B1837" t="s">
        <v>7</v>
      </c>
      <c r="C1837" t="s">
        <v>1577</v>
      </c>
      <c r="D1837" t="s">
        <v>9</v>
      </c>
      <c r="E1837" t="s">
        <v>1596</v>
      </c>
      <c r="F1837" t="str">
        <f>"004600013045"</f>
        <v>004600013045</v>
      </c>
      <c r="G1837" t="s">
        <v>3360</v>
      </c>
      <c r="H1837" s="4">
        <v>2512.62</v>
      </c>
    </row>
    <row r="1838" spans="1:8" x14ac:dyDescent="0.3">
      <c r="A1838" t="s">
        <v>6</v>
      </c>
      <c r="B1838" t="s">
        <v>7</v>
      </c>
      <c r="C1838" t="s">
        <v>616</v>
      </c>
      <c r="D1838" t="s">
        <v>9</v>
      </c>
      <c r="E1838" t="s">
        <v>722</v>
      </c>
      <c r="F1838" t="str">
        <f>"002190845315"</f>
        <v>002190845315</v>
      </c>
      <c r="G1838" t="s">
        <v>3692</v>
      </c>
      <c r="H1838" s="4">
        <v>2463.8000000000002</v>
      </c>
    </row>
    <row r="1839" spans="1:8" x14ac:dyDescent="0.3">
      <c r="A1839" t="s">
        <v>6</v>
      </c>
      <c r="B1839" t="s">
        <v>7</v>
      </c>
      <c r="C1839" t="s">
        <v>381</v>
      </c>
      <c r="D1839" t="s">
        <v>9</v>
      </c>
      <c r="E1839" t="s">
        <v>476</v>
      </c>
      <c r="F1839" t="str">
        <f>"001600050695"</f>
        <v>001600050695</v>
      </c>
      <c r="G1839" t="s">
        <v>3203</v>
      </c>
      <c r="H1839" s="4">
        <v>2460.3739999999998</v>
      </c>
    </row>
    <row r="1840" spans="1:8" x14ac:dyDescent="0.3">
      <c r="A1840" t="s">
        <v>6</v>
      </c>
      <c r="B1840" t="s">
        <v>7</v>
      </c>
      <c r="C1840" t="s">
        <v>797</v>
      </c>
      <c r="D1840" t="s">
        <v>9</v>
      </c>
      <c r="E1840" t="s">
        <v>979</v>
      </c>
      <c r="F1840" t="str">
        <f>"001600014904"</f>
        <v>001600014904</v>
      </c>
      <c r="G1840" t="s">
        <v>2576</v>
      </c>
      <c r="H1840" s="4">
        <v>2424.3510000000001</v>
      </c>
    </row>
    <row r="1841" spans="1:8" x14ac:dyDescent="0.3">
      <c r="A1841" t="s">
        <v>6</v>
      </c>
      <c r="B1841" t="s">
        <v>7</v>
      </c>
      <c r="C1841" t="s">
        <v>2231</v>
      </c>
      <c r="D1841" t="s">
        <v>9</v>
      </c>
      <c r="E1841" t="s">
        <v>2247</v>
      </c>
      <c r="F1841" t="str">
        <f>"004119612365"</f>
        <v>004119612365</v>
      </c>
      <c r="G1841" t="s">
        <v>4445</v>
      </c>
      <c r="H1841" s="4">
        <v>2362.6860000000001</v>
      </c>
    </row>
    <row r="1842" spans="1:8" x14ac:dyDescent="0.3">
      <c r="A1842" t="s">
        <v>6</v>
      </c>
      <c r="B1842" t="s">
        <v>7</v>
      </c>
      <c r="C1842" t="s">
        <v>2113</v>
      </c>
      <c r="D1842" t="s">
        <v>9</v>
      </c>
      <c r="E1842" t="s">
        <v>2145</v>
      </c>
      <c r="F1842" t="str">
        <f>"001600020543"</f>
        <v>001600020543</v>
      </c>
      <c r="G1842" t="s">
        <v>4353</v>
      </c>
      <c r="H1842" s="4">
        <v>2351.25</v>
      </c>
    </row>
    <row r="1843" spans="1:8" x14ac:dyDescent="0.3">
      <c r="A1843" t="s">
        <v>6</v>
      </c>
      <c r="B1843" t="s">
        <v>7</v>
      </c>
      <c r="C1843" t="s">
        <v>1805</v>
      </c>
      <c r="D1843" t="s">
        <v>9</v>
      </c>
      <c r="E1843" t="s">
        <v>1843</v>
      </c>
      <c r="F1843" t="str">
        <f>"001800011938"</f>
        <v>001800011938</v>
      </c>
      <c r="G1843" t="s">
        <v>3770</v>
      </c>
      <c r="H1843" s="4">
        <v>2351.0810000000001</v>
      </c>
    </row>
    <row r="1844" spans="1:8" x14ac:dyDescent="0.3">
      <c r="A1844" t="s">
        <v>6</v>
      </c>
      <c r="B1844" t="s">
        <v>7</v>
      </c>
      <c r="C1844" t="s">
        <v>1397</v>
      </c>
      <c r="D1844" t="s">
        <v>9</v>
      </c>
      <c r="E1844" t="s">
        <v>1491</v>
      </c>
      <c r="F1844" t="str">
        <f>"001800023451"</f>
        <v>001800023451</v>
      </c>
      <c r="G1844" t="s">
        <v>3038</v>
      </c>
      <c r="H1844" s="4">
        <v>2339.5140000000001</v>
      </c>
    </row>
    <row r="1845" spans="1:8" x14ac:dyDescent="0.3">
      <c r="A1845" t="s">
        <v>6</v>
      </c>
      <c r="B1845" t="s">
        <v>7</v>
      </c>
      <c r="C1845" t="s">
        <v>797</v>
      </c>
      <c r="D1845" t="s">
        <v>9</v>
      </c>
      <c r="E1845" t="s">
        <v>798</v>
      </c>
      <c r="F1845" t="str">
        <f>"001356247407"</f>
        <v>001356247407</v>
      </c>
      <c r="G1845" t="s">
        <v>2395</v>
      </c>
      <c r="H1845" s="4">
        <v>2322.17</v>
      </c>
    </row>
    <row r="1846" spans="1:8" x14ac:dyDescent="0.3">
      <c r="A1846" t="s">
        <v>6</v>
      </c>
      <c r="B1846" t="s">
        <v>7</v>
      </c>
      <c r="C1846" t="s">
        <v>1679</v>
      </c>
      <c r="D1846" t="s">
        <v>9</v>
      </c>
      <c r="E1846" t="s">
        <v>1693</v>
      </c>
      <c r="F1846" t="str">
        <f>"002190846611"</f>
        <v>002190846611</v>
      </c>
      <c r="G1846" t="s">
        <v>3458</v>
      </c>
      <c r="H1846" s="4">
        <v>2285.893</v>
      </c>
    </row>
    <row r="1847" spans="1:8" x14ac:dyDescent="0.3">
      <c r="A1847" t="s">
        <v>6</v>
      </c>
      <c r="B1847" t="s">
        <v>7</v>
      </c>
      <c r="C1847" t="s">
        <v>1397</v>
      </c>
      <c r="D1847" t="s">
        <v>9</v>
      </c>
      <c r="E1847" t="s">
        <v>1452</v>
      </c>
      <c r="F1847" t="str">
        <f>"073215310208"</f>
        <v>073215310208</v>
      </c>
      <c r="G1847" t="s">
        <v>3003</v>
      </c>
      <c r="H1847" s="4">
        <v>2281.8229999999999</v>
      </c>
    </row>
    <row r="1848" spans="1:8" x14ac:dyDescent="0.3">
      <c r="A1848" t="s">
        <v>6</v>
      </c>
      <c r="B1848" t="s">
        <v>7</v>
      </c>
      <c r="C1848" t="s">
        <v>8</v>
      </c>
      <c r="D1848" t="s">
        <v>9</v>
      </c>
      <c r="E1848" t="s">
        <v>51</v>
      </c>
      <c r="F1848" t="str">
        <f>"002190840773"</f>
        <v>002190840773</v>
      </c>
      <c r="G1848" t="s">
        <v>4029</v>
      </c>
      <c r="H1848" s="4">
        <v>2281.6790000000001</v>
      </c>
    </row>
    <row r="1849" spans="1:8" x14ac:dyDescent="0.3">
      <c r="A1849" t="s">
        <v>6</v>
      </c>
      <c r="B1849" t="s">
        <v>7</v>
      </c>
      <c r="C1849" t="s">
        <v>1397</v>
      </c>
      <c r="D1849" t="s">
        <v>9</v>
      </c>
      <c r="E1849" t="s">
        <v>1469</v>
      </c>
      <c r="F1849" t="str">
        <f>"001600016609"</f>
        <v>001600016609</v>
      </c>
      <c r="G1849" t="s">
        <v>3018</v>
      </c>
      <c r="H1849" s="4">
        <v>2271.6080000000002</v>
      </c>
    </row>
    <row r="1850" spans="1:8" x14ac:dyDescent="0.3">
      <c r="A1850" t="s">
        <v>6</v>
      </c>
      <c r="B1850" t="s">
        <v>7</v>
      </c>
      <c r="C1850" t="s">
        <v>797</v>
      </c>
      <c r="D1850" t="s">
        <v>9</v>
      </c>
      <c r="E1850" t="s">
        <v>840</v>
      </c>
      <c r="F1850" t="str">
        <f>"001600016113"</f>
        <v>001600016113</v>
      </c>
      <c r="G1850" t="s">
        <v>2435</v>
      </c>
      <c r="H1850" s="4">
        <v>2207.4749999999999</v>
      </c>
    </row>
    <row r="1851" spans="1:8" x14ac:dyDescent="0.3">
      <c r="A1851" t="s">
        <v>6</v>
      </c>
      <c r="B1851" t="s">
        <v>7</v>
      </c>
      <c r="C1851" t="s">
        <v>8</v>
      </c>
      <c r="D1851" t="s">
        <v>9</v>
      </c>
      <c r="E1851" t="s">
        <v>35</v>
      </c>
      <c r="F1851" t="str">
        <f>"647582808325"</f>
        <v>647582808325</v>
      </c>
      <c r="G1851" t="s">
        <v>2389</v>
      </c>
      <c r="H1851" s="4">
        <v>2189.54</v>
      </c>
    </row>
    <row r="1852" spans="1:8" x14ac:dyDescent="0.3">
      <c r="A1852" t="s">
        <v>6</v>
      </c>
      <c r="B1852" t="s">
        <v>7</v>
      </c>
      <c r="C1852" t="s">
        <v>1805</v>
      </c>
      <c r="D1852" t="s">
        <v>9</v>
      </c>
      <c r="E1852" t="s">
        <v>1844</v>
      </c>
      <c r="F1852" t="str">
        <f>"001800000075"</f>
        <v>001800000075</v>
      </c>
      <c r="G1852" t="s">
        <v>3771</v>
      </c>
      <c r="H1852" s="4">
        <v>2176.8270000000002</v>
      </c>
    </row>
    <row r="1853" spans="1:8" x14ac:dyDescent="0.3">
      <c r="A1853" t="s">
        <v>6</v>
      </c>
      <c r="B1853" t="s">
        <v>7</v>
      </c>
      <c r="C1853" t="s">
        <v>1805</v>
      </c>
      <c r="D1853" t="s">
        <v>9</v>
      </c>
      <c r="E1853" t="s">
        <v>1917</v>
      </c>
      <c r="F1853" t="str">
        <f>"001800011934"</f>
        <v>001800011934</v>
      </c>
      <c r="G1853" t="s">
        <v>3802</v>
      </c>
      <c r="H1853" s="4">
        <v>2136.6590000000001</v>
      </c>
    </row>
    <row r="1854" spans="1:8" x14ac:dyDescent="0.3">
      <c r="A1854" t="s">
        <v>6</v>
      </c>
      <c r="B1854" t="s">
        <v>7</v>
      </c>
      <c r="C1854" t="s">
        <v>381</v>
      </c>
      <c r="D1854" t="s">
        <v>9</v>
      </c>
      <c r="E1854" t="s">
        <v>438</v>
      </c>
      <c r="F1854" t="str">
        <f>"001600043616"</f>
        <v>001600043616</v>
      </c>
      <c r="G1854" t="s">
        <v>3164</v>
      </c>
      <c r="H1854" s="4">
        <v>2074.79</v>
      </c>
    </row>
    <row r="1855" spans="1:8" x14ac:dyDescent="0.3">
      <c r="A1855" t="s">
        <v>6</v>
      </c>
      <c r="B1855" t="s">
        <v>7</v>
      </c>
      <c r="C1855" t="s">
        <v>8</v>
      </c>
      <c r="D1855" t="s">
        <v>9</v>
      </c>
      <c r="E1855" t="s">
        <v>331</v>
      </c>
      <c r="F1855" t="str">
        <f>"001600020017"</f>
        <v>001600020017</v>
      </c>
      <c r="G1855" t="s">
        <v>4281</v>
      </c>
      <c r="H1855" s="4">
        <v>2074.5859999999998</v>
      </c>
    </row>
    <row r="1856" spans="1:8" x14ac:dyDescent="0.3">
      <c r="A1856" t="s">
        <v>6</v>
      </c>
      <c r="B1856" t="s">
        <v>7</v>
      </c>
      <c r="C1856" t="s">
        <v>8</v>
      </c>
      <c r="D1856" t="s">
        <v>9</v>
      </c>
      <c r="E1856" t="s">
        <v>337</v>
      </c>
      <c r="F1856" t="str">
        <f>"001600014391"</f>
        <v>001600014391</v>
      </c>
      <c r="G1856" t="s">
        <v>4287</v>
      </c>
      <c r="H1856" s="4">
        <v>2040.4359999999999</v>
      </c>
    </row>
    <row r="1857" spans="1:8" x14ac:dyDescent="0.3">
      <c r="A1857" t="s">
        <v>6</v>
      </c>
      <c r="B1857" s="3" t="s">
        <v>7</v>
      </c>
      <c r="C1857" s="3" t="s">
        <v>1397</v>
      </c>
      <c r="D1857" s="3" t="s">
        <v>9</v>
      </c>
      <c r="E1857" s="3" t="s">
        <v>1408</v>
      </c>
      <c r="F1857" t="str">
        <f>"009232522222"</f>
        <v>009232522222</v>
      </c>
      <c r="G1857" t="s">
        <v>2961</v>
      </c>
      <c r="H1857" s="3" t="s">
        <v>1409</v>
      </c>
    </row>
    <row r="1858" spans="1:8" x14ac:dyDescent="0.3">
      <c r="A1858" t="s">
        <v>6</v>
      </c>
      <c r="B1858" t="s">
        <v>7</v>
      </c>
      <c r="C1858" t="s">
        <v>616</v>
      </c>
      <c r="D1858" t="s">
        <v>9</v>
      </c>
      <c r="E1858" t="s">
        <v>742</v>
      </c>
      <c r="F1858" t="str">
        <f>"002190851373"</f>
        <v>002190851373</v>
      </c>
      <c r="G1858" t="s">
        <v>3712</v>
      </c>
      <c r="H1858" s="4">
        <v>2018.8219999999999</v>
      </c>
    </row>
    <row r="1859" spans="1:8" x14ac:dyDescent="0.3">
      <c r="A1859" t="s">
        <v>6</v>
      </c>
      <c r="B1859" t="s">
        <v>7</v>
      </c>
      <c r="C1859" t="s">
        <v>2113</v>
      </c>
      <c r="D1859" t="s">
        <v>9</v>
      </c>
      <c r="E1859" t="s">
        <v>2227</v>
      </c>
      <c r="F1859" t="str">
        <f>"001600020001"</f>
        <v>001600020001</v>
      </c>
      <c r="G1859" t="s">
        <v>4427</v>
      </c>
      <c r="H1859" s="4">
        <v>2005.49</v>
      </c>
    </row>
    <row r="1860" spans="1:8" x14ac:dyDescent="0.3">
      <c r="A1860" t="s">
        <v>6</v>
      </c>
      <c r="B1860" t="s">
        <v>7</v>
      </c>
      <c r="C1860" t="s">
        <v>1805</v>
      </c>
      <c r="D1860" t="s">
        <v>9</v>
      </c>
      <c r="E1860" t="s">
        <v>1828</v>
      </c>
      <c r="F1860" t="str">
        <f>"001800043599"</f>
        <v>001800043599</v>
      </c>
      <c r="G1860" t="s">
        <v>3760</v>
      </c>
      <c r="H1860" s="4">
        <v>2004.585</v>
      </c>
    </row>
    <row r="1861" spans="1:8" x14ac:dyDescent="0.3">
      <c r="A1861" t="s">
        <v>6</v>
      </c>
      <c r="B1861" t="s">
        <v>7</v>
      </c>
      <c r="C1861" t="s">
        <v>985</v>
      </c>
      <c r="D1861" t="s">
        <v>9</v>
      </c>
      <c r="E1861" t="s">
        <v>1011</v>
      </c>
      <c r="F1861" t="str">
        <f>"001356211825"</f>
        <v>001356211825</v>
      </c>
      <c r="G1861" t="s">
        <v>2610</v>
      </c>
      <c r="H1861" s="4">
        <v>1996.771</v>
      </c>
    </row>
    <row r="1862" spans="1:8" x14ac:dyDescent="0.3">
      <c r="A1862" t="s">
        <v>6</v>
      </c>
      <c r="B1862" t="s">
        <v>7</v>
      </c>
      <c r="C1862" t="s">
        <v>1729</v>
      </c>
      <c r="D1862" t="s">
        <v>9</v>
      </c>
      <c r="E1862" t="s">
        <v>1742</v>
      </c>
      <c r="F1862" t="str">
        <f>"072534213221"</f>
        <v>072534213221</v>
      </c>
      <c r="G1862" t="s">
        <v>3505</v>
      </c>
      <c r="H1862" s="4">
        <v>1994.06</v>
      </c>
    </row>
    <row r="1863" spans="1:8" x14ac:dyDescent="0.3">
      <c r="A1863" t="s">
        <v>6</v>
      </c>
      <c r="B1863" t="s">
        <v>7</v>
      </c>
      <c r="C1863" t="s">
        <v>2231</v>
      </c>
      <c r="D1863" t="s">
        <v>9</v>
      </c>
      <c r="E1863" t="s">
        <v>2262</v>
      </c>
      <c r="F1863" t="str">
        <f>"004119613103"</f>
        <v>004119613103</v>
      </c>
      <c r="G1863" t="s">
        <v>4461</v>
      </c>
      <c r="H1863" s="4">
        <v>1981.23</v>
      </c>
    </row>
    <row r="1864" spans="1:8" x14ac:dyDescent="0.3">
      <c r="A1864" t="s">
        <v>6</v>
      </c>
      <c r="B1864" t="s">
        <v>7</v>
      </c>
      <c r="C1864" t="s">
        <v>1695</v>
      </c>
      <c r="D1864" t="s">
        <v>9</v>
      </c>
      <c r="E1864" t="s">
        <v>1702</v>
      </c>
      <c r="F1864" t="str">
        <f>"002190812807"</f>
        <v>002190812807</v>
      </c>
      <c r="G1864" t="s">
        <v>3466</v>
      </c>
      <c r="H1864" s="4">
        <v>1975.287</v>
      </c>
    </row>
    <row r="1865" spans="1:8" x14ac:dyDescent="0.3">
      <c r="A1865" t="s">
        <v>6</v>
      </c>
      <c r="B1865" t="s">
        <v>7</v>
      </c>
      <c r="C1865" t="s">
        <v>616</v>
      </c>
      <c r="D1865" t="s">
        <v>9</v>
      </c>
      <c r="E1865" t="s">
        <v>638</v>
      </c>
      <c r="F1865" t="str">
        <f>"073215324119"</f>
        <v>073215324119</v>
      </c>
      <c r="G1865" t="s">
        <v>3609</v>
      </c>
      <c r="H1865" s="4">
        <v>1965.2829999999999</v>
      </c>
    </row>
    <row r="1866" spans="1:8" x14ac:dyDescent="0.3">
      <c r="A1866" t="s">
        <v>6</v>
      </c>
      <c r="B1866" t="s">
        <v>7</v>
      </c>
      <c r="C1866" t="s">
        <v>1786</v>
      </c>
      <c r="D1866" t="s">
        <v>9</v>
      </c>
      <c r="E1866" t="s">
        <v>1804</v>
      </c>
      <c r="F1866" t="str">
        <f>"072534229033"</f>
        <v>072534229033</v>
      </c>
      <c r="G1866" t="s">
        <v>3588</v>
      </c>
      <c r="H1866" s="4">
        <v>1961.3869999999999</v>
      </c>
    </row>
    <row r="1867" spans="1:8" x14ac:dyDescent="0.3">
      <c r="A1867" t="s">
        <v>6</v>
      </c>
      <c r="B1867" t="s">
        <v>7</v>
      </c>
      <c r="C1867" t="s">
        <v>2113</v>
      </c>
      <c r="D1867" t="s">
        <v>9</v>
      </c>
      <c r="E1867" t="s">
        <v>2167</v>
      </c>
      <c r="F1867" t="str">
        <f>"001600020551"</f>
        <v>001600020551</v>
      </c>
      <c r="G1867" t="s">
        <v>4375</v>
      </c>
      <c r="H1867" s="4">
        <v>1957.54</v>
      </c>
    </row>
    <row r="1868" spans="1:8" x14ac:dyDescent="0.3">
      <c r="A1868" t="s">
        <v>6</v>
      </c>
      <c r="B1868" t="s">
        <v>7</v>
      </c>
      <c r="C1868" t="s">
        <v>1122</v>
      </c>
      <c r="D1868" t="s">
        <v>9</v>
      </c>
      <c r="E1868" t="s">
        <v>1155</v>
      </c>
      <c r="F1868" t="str">
        <f>"001356212325"</f>
        <v>001356212325</v>
      </c>
      <c r="G1868" t="s">
        <v>2389</v>
      </c>
      <c r="H1868" s="4">
        <v>1933.71</v>
      </c>
    </row>
    <row r="1869" spans="1:8" x14ac:dyDescent="0.3">
      <c r="A1869" t="s">
        <v>6</v>
      </c>
      <c r="B1869" t="s">
        <v>7</v>
      </c>
      <c r="C1869" t="s">
        <v>616</v>
      </c>
      <c r="D1869" t="s">
        <v>9</v>
      </c>
      <c r="E1869" t="s">
        <v>736</v>
      </c>
      <c r="F1869" t="str">
        <f>"002190845311"</f>
        <v>002190845311</v>
      </c>
      <c r="G1869" t="s">
        <v>3706</v>
      </c>
      <c r="H1869" s="4">
        <v>1920.57</v>
      </c>
    </row>
    <row r="1870" spans="1:8" x14ac:dyDescent="0.3">
      <c r="A1870" t="s">
        <v>6</v>
      </c>
      <c r="B1870" t="s">
        <v>7</v>
      </c>
      <c r="C1870" t="s">
        <v>8</v>
      </c>
      <c r="D1870" t="s">
        <v>9</v>
      </c>
      <c r="E1870" t="s">
        <v>118</v>
      </c>
      <c r="F1870" t="str">
        <f>"001600018406"</f>
        <v>001600018406</v>
      </c>
      <c r="G1870" t="s">
        <v>4086</v>
      </c>
      <c r="H1870" s="4">
        <v>1913.67</v>
      </c>
    </row>
    <row r="1871" spans="1:8" ht="28.8" x14ac:dyDescent="0.3">
      <c r="A1871" t="s">
        <v>6</v>
      </c>
      <c r="B1871" s="1" t="s">
        <v>7</v>
      </c>
      <c r="C1871" s="1" t="s">
        <v>797</v>
      </c>
      <c r="D1871" s="1" t="s">
        <v>9</v>
      </c>
      <c r="E1871" s="3" t="s">
        <v>967</v>
      </c>
      <c r="F1871" t="str">
        <f>"001600040983"</f>
        <v>001600040983</v>
      </c>
      <c r="G1871" t="s">
        <v>2561</v>
      </c>
      <c r="H1871" s="3" t="s">
        <v>968</v>
      </c>
    </row>
    <row r="1872" spans="1:8" x14ac:dyDescent="0.3">
      <c r="A1872" t="s">
        <v>6</v>
      </c>
      <c r="B1872" t="s">
        <v>7</v>
      </c>
      <c r="C1872" t="s">
        <v>1286</v>
      </c>
      <c r="D1872" t="s">
        <v>9</v>
      </c>
      <c r="E1872" t="s">
        <v>1287</v>
      </c>
      <c r="F1872" t="str">
        <f>"001356213062"</f>
        <v>001356213062</v>
      </c>
      <c r="G1872" t="s">
        <v>2853</v>
      </c>
      <c r="H1872" s="4">
        <v>1853.6990000000001</v>
      </c>
    </row>
    <row r="1873" spans="1:8" x14ac:dyDescent="0.3">
      <c r="A1873" t="s">
        <v>6</v>
      </c>
      <c r="B1873" t="s">
        <v>7</v>
      </c>
      <c r="C1873" t="s">
        <v>381</v>
      </c>
      <c r="D1873" t="s">
        <v>9</v>
      </c>
      <c r="E1873" t="s">
        <v>569</v>
      </c>
      <c r="F1873" t="str">
        <f>"001600051369"</f>
        <v>001600051369</v>
      </c>
      <c r="G1873" t="s">
        <v>3292</v>
      </c>
      <c r="H1873" s="4">
        <v>1840.66</v>
      </c>
    </row>
    <row r="1874" spans="1:8" x14ac:dyDescent="0.3">
      <c r="A1874" t="s">
        <v>6</v>
      </c>
      <c r="B1874" t="s">
        <v>7</v>
      </c>
      <c r="C1874" t="s">
        <v>8</v>
      </c>
      <c r="D1874" t="s">
        <v>9</v>
      </c>
      <c r="E1874" t="s">
        <v>222</v>
      </c>
      <c r="F1874" t="str">
        <f>"001600020614"</f>
        <v>001600020614</v>
      </c>
      <c r="G1874" t="s">
        <v>4181</v>
      </c>
      <c r="H1874" s="4">
        <v>1830.5920000000001</v>
      </c>
    </row>
    <row r="1875" spans="1:8" x14ac:dyDescent="0.3">
      <c r="A1875" t="s">
        <v>6</v>
      </c>
      <c r="B1875" t="s">
        <v>7</v>
      </c>
      <c r="C1875" t="s">
        <v>2113</v>
      </c>
      <c r="D1875" t="s">
        <v>9</v>
      </c>
      <c r="E1875" t="s">
        <v>2178</v>
      </c>
      <c r="F1875" t="str">
        <f>"001600016699"</f>
        <v>001600016699</v>
      </c>
      <c r="G1875" t="s">
        <v>4384</v>
      </c>
      <c r="H1875" s="4">
        <v>1817.4590000000001</v>
      </c>
    </row>
    <row r="1876" spans="1:8" x14ac:dyDescent="0.3">
      <c r="A1876" t="s">
        <v>6</v>
      </c>
      <c r="B1876" t="s">
        <v>7</v>
      </c>
      <c r="C1876" t="s">
        <v>1577</v>
      </c>
      <c r="D1876" t="s">
        <v>9</v>
      </c>
      <c r="E1876" t="s">
        <v>1578</v>
      </c>
      <c r="F1876" t="str">
        <f>"004600013352"</f>
        <v>004600013352</v>
      </c>
      <c r="G1876" t="s">
        <v>2389</v>
      </c>
      <c r="H1876" s="4">
        <v>1789.12</v>
      </c>
    </row>
    <row r="1877" spans="1:8" x14ac:dyDescent="0.3">
      <c r="A1877" t="s">
        <v>6</v>
      </c>
      <c r="B1877" t="s">
        <v>7</v>
      </c>
      <c r="C1877" t="s">
        <v>1397</v>
      </c>
      <c r="D1877" t="s">
        <v>9</v>
      </c>
      <c r="E1877" t="s">
        <v>1413</v>
      </c>
      <c r="F1877" t="str">
        <f>"009232522224"</f>
        <v>009232522224</v>
      </c>
      <c r="G1877" t="s">
        <v>2964</v>
      </c>
      <c r="H1877" s="4">
        <v>1770.0619999999999</v>
      </c>
    </row>
    <row r="1878" spans="1:8" x14ac:dyDescent="0.3">
      <c r="A1878" t="s">
        <v>6</v>
      </c>
      <c r="B1878" t="s">
        <v>7</v>
      </c>
      <c r="C1878" t="s">
        <v>616</v>
      </c>
      <c r="D1878" t="s">
        <v>9</v>
      </c>
      <c r="E1878" t="s">
        <v>637</v>
      </c>
      <c r="F1878" t="str">
        <f>"073215302534"</f>
        <v>073215302534</v>
      </c>
      <c r="G1878" t="s">
        <v>3608</v>
      </c>
      <c r="H1878" s="4">
        <v>1764.63</v>
      </c>
    </row>
    <row r="1879" spans="1:8" x14ac:dyDescent="0.3">
      <c r="A1879" t="s">
        <v>6</v>
      </c>
      <c r="B1879" t="s">
        <v>7</v>
      </c>
      <c r="C1879" t="s">
        <v>985</v>
      </c>
      <c r="D1879" t="s">
        <v>9</v>
      </c>
      <c r="E1879" t="s">
        <v>1012</v>
      </c>
      <c r="F1879" t="str">
        <f>"001356211824"</f>
        <v>001356211824</v>
      </c>
      <c r="G1879" t="s">
        <v>2611</v>
      </c>
      <c r="H1879" s="4">
        <v>1764.2919999999999</v>
      </c>
    </row>
    <row r="1880" spans="1:8" x14ac:dyDescent="0.3">
      <c r="A1880" t="s">
        <v>6</v>
      </c>
      <c r="B1880" t="s">
        <v>7</v>
      </c>
      <c r="C1880" t="s">
        <v>616</v>
      </c>
      <c r="D1880" t="s">
        <v>9</v>
      </c>
      <c r="E1880" t="s">
        <v>700</v>
      </c>
      <c r="F1880" t="str">
        <f>"002190845306"</f>
        <v>002190845306</v>
      </c>
      <c r="G1880" t="s">
        <v>3670</v>
      </c>
      <c r="H1880" s="4">
        <v>1740.78</v>
      </c>
    </row>
    <row r="1881" spans="1:8" x14ac:dyDescent="0.3">
      <c r="A1881" t="s">
        <v>6</v>
      </c>
      <c r="B1881" t="s">
        <v>7</v>
      </c>
      <c r="C1881" t="s">
        <v>2113</v>
      </c>
      <c r="D1881" t="s">
        <v>9</v>
      </c>
      <c r="E1881" t="s">
        <v>2229</v>
      </c>
      <c r="F1881" t="str">
        <f>"789109503111"</f>
        <v>789109503111</v>
      </c>
      <c r="G1881" t="s">
        <v>2389</v>
      </c>
      <c r="H1881" s="4">
        <v>1713.2909999999999</v>
      </c>
    </row>
    <row r="1882" spans="1:8" x14ac:dyDescent="0.3">
      <c r="A1882" t="s">
        <v>6</v>
      </c>
      <c r="B1882" t="s">
        <v>7</v>
      </c>
      <c r="C1882" t="s">
        <v>2231</v>
      </c>
      <c r="D1882" t="s">
        <v>9</v>
      </c>
      <c r="E1882" t="s">
        <v>2318</v>
      </c>
      <c r="F1882" t="str">
        <f>"004119613283"</f>
        <v>004119613283</v>
      </c>
      <c r="G1882" t="s">
        <v>2389</v>
      </c>
      <c r="H1882" s="4">
        <v>1701.96</v>
      </c>
    </row>
    <row r="1883" spans="1:8" x14ac:dyDescent="0.3">
      <c r="A1883" t="s">
        <v>6</v>
      </c>
      <c r="B1883" t="s">
        <v>7</v>
      </c>
      <c r="C1883" t="s">
        <v>616</v>
      </c>
      <c r="D1883" t="s">
        <v>9</v>
      </c>
      <c r="E1883" t="s">
        <v>650</v>
      </c>
      <c r="F1883" t="str">
        <f>"073215312524"</f>
        <v>073215312524</v>
      </c>
      <c r="G1883" t="s">
        <v>3621</v>
      </c>
      <c r="H1883" s="4">
        <v>1700.25</v>
      </c>
    </row>
    <row r="1884" spans="1:8" x14ac:dyDescent="0.3">
      <c r="A1884" t="s">
        <v>6</v>
      </c>
      <c r="B1884" t="s">
        <v>7</v>
      </c>
      <c r="C1884" t="s">
        <v>1679</v>
      </c>
      <c r="D1884" t="s">
        <v>9</v>
      </c>
      <c r="E1884" t="s">
        <v>1681</v>
      </c>
      <c r="F1884" t="str">
        <f>"002190847796"</f>
        <v>002190847796</v>
      </c>
      <c r="G1884" t="s">
        <v>3447</v>
      </c>
      <c r="H1884" s="4">
        <v>1697.51</v>
      </c>
    </row>
    <row r="1885" spans="1:8" x14ac:dyDescent="0.3">
      <c r="A1885" t="s">
        <v>6</v>
      </c>
      <c r="B1885" t="s">
        <v>7</v>
      </c>
      <c r="C1885" t="s">
        <v>616</v>
      </c>
      <c r="D1885" t="s">
        <v>9</v>
      </c>
      <c r="E1885" t="s">
        <v>760</v>
      </c>
      <c r="F1885" t="str">
        <f>"002190810963"</f>
        <v>002190810963</v>
      </c>
      <c r="G1885" t="s">
        <v>3729</v>
      </c>
      <c r="H1885" s="4">
        <v>1689.43</v>
      </c>
    </row>
    <row r="1886" spans="1:8" x14ac:dyDescent="0.3">
      <c r="A1886" t="s">
        <v>6</v>
      </c>
      <c r="B1886" t="s">
        <v>7</v>
      </c>
      <c r="C1886" t="s">
        <v>797</v>
      </c>
      <c r="D1886" t="s">
        <v>9</v>
      </c>
      <c r="E1886" t="s">
        <v>813</v>
      </c>
      <c r="F1886" t="str">
        <f>"001600017649"</f>
        <v>001600017649</v>
      </c>
      <c r="G1886" t="s">
        <v>2410</v>
      </c>
      <c r="H1886" s="4">
        <v>1678.28</v>
      </c>
    </row>
    <row r="1887" spans="1:8" x14ac:dyDescent="0.3">
      <c r="A1887" t="s">
        <v>6</v>
      </c>
      <c r="B1887" t="s">
        <v>7</v>
      </c>
      <c r="C1887" t="s">
        <v>2113</v>
      </c>
      <c r="D1887" t="s">
        <v>9</v>
      </c>
      <c r="E1887" t="s">
        <v>2177</v>
      </c>
      <c r="F1887" t="str">
        <f>"001600016749"</f>
        <v>001600016749</v>
      </c>
      <c r="G1887" t="s">
        <v>4383</v>
      </c>
      <c r="H1887" s="4">
        <v>1670.7719999999999</v>
      </c>
    </row>
    <row r="1888" spans="1:8" x14ac:dyDescent="0.3">
      <c r="A1888" t="s">
        <v>6</v>
      </c>
      <c r="B1888" t="s">
        <v>7</v>
      </c>
      <c r="C1888" t="s">
        <v>616</v>
      </c>
      <c r="D1888" t="s">
        <v>9</v>
      </c>
      <c r="E1888" t="s">
        <v>725</v>
      </c>
      <c r="F1888" t="str">
        <f>"002190845338"</f>
        <v>002190845338</v>
      </c>
      <c r="G1888" t="s">
        <v>3695</v>
      </c>
      <c r="H1888" s="4">
        <v>1659.72</v>
      </c>
    </row>
    <row r="1889" spans="1:8" x14ac:dyDescent="0.3">
      <c r="A1889" t="s">
        <v>6</v>
      </c>
      <c r="B1889" t="s">
        <v>7</v>
      </c>
      <c r="C1889" t="s">
        <v>1577</v>
      </c>
      <c r="D1889" t="s">
        <v>9</v>
      </c>
      <c r="E1889" t="s">
        <v>1595</v>
      </c>
      <c r="F1889" t="str">
        <f>"004600013048"</f>
        <v>004600013048</v>
      </c>
      <c r="G1889" t="s">
        <v>3359</v>
      </c>
      <c r="H1889" s="4">
        <v>1639.9290000000001</v>
      </c>
    </row>
    <row r="1890" spans="1:8" x14ac:dyDescent="0.3">
      <c r="A1890" t="s">
        <v>6</v>
      </c>
      <c r="B1890" t="s">
        <v>7</v>
      </c>
      <c r="C1890" t="s">
        <v>616</v>
      </c>
      <c r="D1890" t="s">
        <v>9</v>
      </c>
      <c r="E1890" t="s">
        <v>716</v>
      </c>
      <c r="F1890" t="str">
        <f>"002190840516"</f>
        <v>002190840516</v>
      </c>
      <c r="G1890" t="s">
        <v>3686</v>
      </c>
      <c r="H1890" s="4">
        <v>1637.2840000000001</v>
      </c>
    </row>
    <row r="1891" spans="1:8" x14ac:dyDescent="0.3">
      <c r="A1891" t="s">
        <v>6</v>
      </c>
      <c r="B1891" t="s">
        <v>7</v>
      </c>
      <c r="C1891" t="s">
        <v>1338</v>
      </c>
      <c r="D1891" t="s">
        <v>9</v>
      </c>
      <c r="E1891" t="s">
        <v>1348</v>
      </c>
      <c r="F1891" t="str">
        <f>"004600013534"</f>
        <v>004600013534</v>
      </c>
      <c r="G1891" t="s">
        <v>2908</v>
      </c>
      <c r="H1891" s="4">
        <v>1630.67</v>
      </c>
    </row>
    <row r="1892" spans="1:8" x14ac:dyDescent="0.3">
      <c r="A1892" t="s">
        <v>6</v>
      </c>
      <c r="B1892" t="s">
        <v>7</v>
      </c>
      <c r="C1892" t="s">
        <v>1577</v>
      </c>
      <c r="D1892" t="s">
        <v>9</v>
      </c>
      <c r="E1892" t="s">
        <v>1579</v>
      </c>
      <c r="F1892" t="str">
        <f>"004600013356"</f>
        <v>004600013356</v>
      </c>
      <c r="G1892" t="s">
        <v>2389</v>
      </c>
      <c r="H1892" s="4">
        <v>1630.05</v>
      </c>
    </row>
    <row r="1893" spans="1:8" x14ac:dyDescent="0.3">
      <c r="A1893" t="s">
        <v>6</v>
      </c>
      <c r="B1893" t="s">
        <v>7</v>
      </c>
      <c r="C1893" t="s">
        <v>1577</v>
      </c>
      <c r="D1893" t="s">
        <v>9</v>
      </c>
      <c r="E1893" t="s">
        <v>1578</v>
      </c>
      <c r="F1893" t="str">
        <f>"004600013357"</f>
        <v>004600013357</v>
      </c>
      <c r="G1893" t="s">
        <v>2389</v>
      </c>
      <c r="H1893" s="4">
        <v>1626.85</v>
      </c>
    </row>
    <row r="1894" spans="1:8" x14ac:dyDescent="0.3">
      <c r="A1894" t="s">
        <v>6</v>
      </c>
      <c r="B1894" t="s">
        <v>7</v>
      </c>
      <c r="C1894" t="s">
        <v>1397</v>
      </c>
      <c r="D1894" t="s">
        <v>9</v>
      </c>
      <c r="E1894" t="s">
        <v>1431</v>
      </c>
      <c r="F1894" t="str">
        <f>"001600018093"</f>
        <v>001600018093</v>
      </c>
      <c r="G1894" t="s">
        <v>2983</v>
      </c>
      <c r="H1894" s="4">
        <v>1601.433</v>
      </c>
    </row>
    <row r="1895" spans="1:8" x14ac:dyDescent="0.3">
      <c r="A1895" t="s">
        <v>6</v>
      </c>
      <c r="B1895" t="s">
        <v>7</v>
      </c>
      <c r="C1895" t="s">
        <v>8</v>
      </c>
      <c r="D1895" t="s">
        <v>9</v>
      </c>
      <c r="E1895" t="s">
        <v>330</v>
      </c>
      <c r="F1895" t="str">
        <f>"001600019327"</f>
        <v>001600019327</v>
      </c>
      <c r="G1895" t="s">
        <v>4280</v>
      </c>
      <c r="H1895" s="4">
        <v>1584.018</v>
      </c>
    </row>
    <row r="1896" spans="1:8" x14ac:dyDescent="0.3">
      <c r="A1896" t="s">
        <v>6</v>
      </c>
      <c r="B1896" t="s">
        <v>7</v>
      </c>
      <c r="C1896" t="s">
        <v>1122</v>
      </c>
      <c r="D1896" t="s">
        <v>9</v>
      </c>
      <c r="E1896" t="s">
        <v>1145</v>
      </c>
      <c r="F1896" t="str">
        <f>"001356211492"</f>
        <v>001356211492</v>
      </c>
      <c r="G1896" t="s">
        <v>2739</v>
      </c>
      <c r="H1896" s="4">
        <v>1520.357</v>
      </c>
    </row>
    <row r="1897" spans="1:8" x14ac:dyDescent="0.3">
      <c r="A1897" t="s">
        <v>6</v>
      </c>
      <c r="B1897" t="s">
        <v>7</v>
      </c>
      <c r="C1897" t="s">
        <v>8</v>
      </c>
      <c r="D1897" t="s">
        <v>9</v>
      </c>
      <c r="E1897" t="s">
        <v>338</v>
      </c>
      <c r="F1897" t="str">
        <f>"001600018014"</f>
        <v>001600018014</v>
      </c>
      <c r="G1897" t="s">
        <v>2389</v>
      </c>
      <c r="H1897" s="4">
        <v>1515.79</v>
      </c>
    </row>
    <row r="1898" spans="1:8" x14ac:dyDescent="0.3">
      <c r="A1898" t="s">
        <v>6</v>
      </c>
      <c r="B1898" t="s">
        <v>7</v>
      </c>
      <c r="C1898" t="s">
        <v>8</v>
      </c>
      <c r="D1898" t="s">
        <v>9</v>
      </c>
      <c r="E1898" t="s">
        <v>71</v>
      </c>
      <c r="F1898" t="str">
        <f>"002190840772"</f>
        <v>002190840772</v>
      </c>
      <c r="G1898" t="s">
        <v>4048</v>
      </c>
      <c r="H1898" s="4">
        <v>1512.838</v>
      </c>
    </row>
    <row r="1899" spans="1:8" x14ac:dyDescent="0.3">
      <c r="A1899" t="s">
        <v>6</v>
      </c>
      <c r="B1899" t="s">
        <v>7</v>
      </c>
      <c r="C1899" t="s">
        <v>2231</v>
      </c>
      <c r="D1899" t="s">
        <v>9</v>
      </c>
      <c r="E1899" t="s">
        <v>2302</v>
      </c>
      <c r="F1899" t="str">
        <f>"004119691112"</f>
        <v>004119691112</v>
      </c>
      <c r="G1899" t="s">
        <v>2389</v>
      </c>
      <c r="H1899" s="4">
        <v>1496.04</v>
      </c>
    </row>
    <row r="1900" spans="1:8" x14ac:dyDescent="0.3">
      <c r="A1900" t="s">
        <v>6</v>
      </c>
      <c r="B1900" t="s">
        <v>7</v>
      </c>
      <c r="C1900" t="s">
        <v>2231</v>
      </c>
      <c r="D1900" t="s">
        <v>9</v>
      </c>
      <c r="E1900" t="s">
        <v>2365</v>
      </c>
      <c r="F1900" t="str">
        <f>"004119691013"</f>
        <v>004119691013</v>
      </c>
      <c r="G1900" t="s">
        <v>2389</v>
      </c>
      <c r="H1900" s="4">
        <v>1466.58</v>
      </c>
    </row>
    <row r="1901" spans="1:8" x14ac:dyDescent="0.3">
      <c r="A1901" t="s">
        <v>6</v>
      </c>
      <c r="B1901" t="s">
        <v>7</v>
      </c>
      <c r="C1901" t="s">
        <v>1122</v>
      </c>
      <c r="D1901" t="s">
        <v>9</v>
      </c>
      <c r="E1901" t="s">
        <v>1195</v>
      </c>
      <c r="F1901" t="str">
        <f>"001600018198"</f>
        <v>001600018198</v>
      </c>
      <c r="G1901" t="s">
        <v>2782</v>
      </c>
      <c r="H1901" s="4">
        <v>1459.1669999999999</v>
      </c>
    </row>
    <row r="1902" spans="1:8" x14ac:dyDescent="0.3">
      <c r="A1902" t="s">
        <v>6</v>
      </c>
      <c r="B1902" t="s">
        <v>7</v>
      </c>
      <c r="C1902" t="s">
        <v>8</v>
      </c>
      <c r="D1902" t="s">
        <v>9</v>
      </c>
      <c r="E1902" t="s">
        <v>102</v>
      </c>
      <c r="F1902" t="str">
        <f>"001600020006"</f>
        <v>001600020006</v>
      </c>
      <c r="G1902" t="s">
        <v>4071</v>
      </c>
      <c r="H1902" s="4">
        <v>1449.38</v>
      </c>
    </row>
    <row r="1903" spans="1:8" x14ac:dyDescent="0.3">
      <c r="A1903" t="s">
        <v>6</v>
      </c>
      <c r="B1903" t="s">
        <v>7</v>
      </c>
      <c r="C1903" t="s">
        <v>1695</v>
      </c>
      <c r="D1903" t="s">
        <v>9</v>
      </c>
      <c r="E1903" t="s">
        <v>1698</v>
      </c>
      <c r="F1903" t="str">
        <f>"002190850025"</f>
        <v>002190850025</v>
      </c>
      <c r="G1903" t="s">
        <v>3462</v>
      </c>
      <c r="H1903" s="4">
        <v>1448.2760000000001</v>
      </c>
    </row>
    <row r="1904" spans="1:8" x14ac:dyDescent="0.3">
      <c r="A1904" t="s">
        <v>6</v>
      </c>
      <c r="B1904" t="s">
        <v>7</v>
      </c>
      <c r="C1904" t="s">
        <v>1338</v>
      </c>
      <c r="D1904" t="s">
        <v>9</v>
      </c>
      <c r="E1904" t="s">
        <v>1345</v>
      </c>
      <c r="F1904" t="str">
        <f>"004600013535"</f>
        <v>004600013535</v>
      </c>
      <c r="G1904" t="s">
        <v>2906</v>
      </c>
      <c r="H1904" s="4">
        <v>1444.83</v>
      </c>
    </row>
    <row r="1905" spans="1:8" x14ac:dyDescent="0.3">
      <c r="A1905" t="s">
        <v>6</v>
      </c>
      <c r="B1905" t="s">
        <v>7</v>
      </c>
      <c r="C1905" t="s">
        <v>1729</v>
      </c>
      <c r="D1905" t="s">
        <v>9</v>
      </c>
      <c r="E1905" t="s">
        <v>1732</v>
      </c>
      <c r="F1905" t="str">
        <f>"072534213228"</f>
        <v>072534213228</v>
      </c>
      <c r="G1905" t="s">
        <v>3495</v>
      </c>
      <c r="H1905" s="4">
        <v>1444.76</v>
      </c>
    </row>
    <row r="1906" spans="1:8" x14ac:dyDescent="0.3">
      <c r="A1906" t="s">
        <v>6</v>
      </c>
      <c r="B1906" t="s">
        <v>7</v>
      </c>
      <c r="C1906" t="s">
        <v>381</v>
      </c>
      <c r="D1906" t="s">
        <v>9</v>
      </c>
      <c r="E1906" t="s">
        <v>413</v>
      </c>
      <c r="F1906" t="str">
        <f>"001600018467"</f>
        <v>001600018467</v>
      </c>
      <c r="G1906" t="s">
        <v>3140</v>
      </c>
      <c r="H1906" s="4">
        <v>1442.4110000000001</v>
      </c>
    </row>
    <row r="1907" spans="1:8" x14ac:dyDescent="0.3">
      <c r="A1907" t="s">
        <v>6</v>
      </c>
      <c r="B1907" t="s">
        <v>7</v>
      </c>
      <c r="C1907" t="s">
        <v>8</v>
      </c>
      <c r="D1907" t="s">
        <v>9</v>
      </c>
      <c r="E1907" t="s">
        <v>41</v>
      </c>
      <c r="F1907" t="str">
        <f>"002190842993"</f>
        <v>002190842993</v>
      </c>
      <c r="G1907" t="s">
        <v>4020</v>
      </c>
      <c r="H1907" s="4">
        <v>1424.3579999999999</v>
      </c>
    </row>
    <row r="1908" spans="1:8" x14ac:dyDescent="0.3">
      <c r="A1908" t="s">
        <v>6</v>
      </c>
      <c r="B1908" t="s">
        <v>7</v>
      </c>
      <c r="C1908" t="s">
        <v>8</v>
      </c>
      <c r="D1908" t="s">
        <v>9</v>
      </c>
      <c r="E1908" t="s">
        <v>255</v>
      </c>
      <c r="F1908" t="str">
        <f>"347582803056"</f>
        <v>347582803056</v>
      </c>
      <c r="G1908" t="s">
        <v>2389</v>
      </c>
      <c r="H1908" s="4">
        <v>1411.81</v>
      </c>
    </row>
    <row r="1909" spans="1:8" x14ac:dyDescent="0.3">
      <c r="A1909" t="s">
        <v>6</v>
      </c>
      <c r="B1909" t="s">
        <v>7</v>
      </c>
      <c r="C1909" t="s">
        <v>1786</v>
      </c>
      <c r="D1909" t="s">
        <v>9</v>
      </c>
      <c r="E1909" t="s">
        <v>1804</v>
      </c>
      <c r="F1909" t="str">
        <f>"072534228363"</f>
        <v>072534228363</v>
      </c>
      <c r="G1909" t="s">
        <v>3587</v>
      </c>
      <c r="H1909" s="4">
        <v>1402.626</v>
      </c>
    </row>
    <row r="1910" spans="1:8" x14ac:dyDescent="0.3">
      <c r="A1910" t="s">
        <v>6</v>
      </c>
      <c r="B1910" t="s">
        <v>7</v>
      </c>
      <c r="C1910" t="s">
        <v>1577</v>
      </c>
      <c r="D1910" t="s">
        <v>9</v>
      </c>
      <c r="E1910" t="s">
        <v>1580</v>
      </c>
      <c r="F1910" t="str">
        <f>"004600013363"</f>
        <v>004600013363</v>
      </c>
      <c r="G1910" t="s">
        <v>2389</v>
      </c>
      <c r="H1910" s="4">
        <v>1390.35</v>
      </c>
    </row>
    <row r="1911" spans="1:8" x14ac:dyDescent="0.3">
      <c r="A1911" t="s">
        <v>6</v>
      </c>
      <c r="B1911" t="s">
        <v>7</v>
      </c>
      <c r="C1911" t="s">
        <v>616</v>
      </c>
      <c r="D1911" t="s">
        <v>9</v>
      </c>
      <c r="E1911" t="s">
        <v>655</v>
      </c>
      <c r="F1911" t="str">
        <f>"001600018475"</f>
        <v>001600018475</v>
      </c>
      <c r="G1911" t="s">
        <v>3626</v>
      </c>
      <c r="H1911" s="4">
        <v>1370.32</v>
      </c>
    </row>
    <row r="1912" spans="1:8" x14ac:dyDescent="0.3">
      <c r="A1912" t="s">
        <v>6</v>
      </c>
      <c r="B1912" t="s">
        <v>7</v>
      </c>
      <c r="C1912" t="s">
        <v>8</v>
      </c>
      <c r="D1912" t="s">
        <v>9</v>
      </c>
      <c r="E1912" t="s">
        <v>294</v>
      </c>
      <c r="F1912" t="str">
        <f>"001600016167"</f>
        <v>001600016167</v>
      </c>
      <c r="G1912" t="s">
        <v>4246</v>
      </c>
      <c r="H1912" s="4">
        <v>1352.951</v>
      </c>
    </row>
    <row r="1913" spans="1:8" x14ac:dyDescent="0.3">
      <c r="A1913" t="s">
        <v>6</v>
      </c>
      <c r="B1913" t="s">
        <v>7</v>
      </c>
      <c r="C1913" t="s">
        <v>1577</v>
      </c>
      <c r="D1913" t="s">
        <v>9</v>
      </c>
      <c r="E1913" t="s">
        <v>1643</v>
      </c>
      <c r="F1913" t="str">
        <f>"004600081051"</f>
        <v>004600081051</v>
      </c>
      <c r="G1913" t="s">
        <v>2389</v>
      </c>
      <c r="H1913" s="4">
        <v>1349.57</v>
      </c>
    </row>
    <row r="1914" spans="1:8" x14ac:dyDescent="0.3">
      <c r="A1914" t="s">
        <v>6</v>
      </c>
      <c r="B1914" t="s">
        <v>7</v>
      </c>
      <c r="C1914" t="s">
        <v>797</v>
      </c>
      <c r="D1914" t="s">
        <v>9</v>
      </c>
      <c r="E1914" t="s">
        <v>978</v>
      </c>
      <c r="F1914" t="str">
        <f>"001600014906"</f>
        <v>001600014906</v>
      </c>
      <c r="G1914" t="s">
        <v>2575</v>
      </c>
      <c r="H1914" s="4">
        <v>1343.4480000000001</v>
      </c>
    </row>
    <row r="1915" spans="1:8" x14ac:dyDescent="0.3">
      <c r="A1915" t="s">
        <v>6</v>
      </c>
      <c r="B1915" t="s">
        <v>7</v>
      </c>
      <c r="C1915" t="s">
        <v>1577</v>
      </c>
      <c r="D1915" t="s">
        <v>9</v>
      </c>
      <c r="E1915" t="s">
        <v>1582</v>
      </c>
      <c r="F1915" t="str">
        <f>"004600013353"</f>
        <v>004600013353</v>
      </c>
      <c r="G1915" t="s">
        <v>3345</v>
      </c>
      <c r="H1915" s="5">
        <v>1339</v>
      </c>
    </row>
    <row r="1916" spans="1:8" x14ac:dyDescent="0.3">
      <c r="A1916" t="s">
        <v>6</v>
      </c>
      <c r="B1916" t="s">
        <v>7</v>
      </c>
      <c r="C1916" t="s">
        <v>1397</v>
      </c>
      <c r="D1916" t="s">
        <v>9</v>
      </c>
      <c r="E1916" t="s">
        <v>1433</v>
      </c>
      <c r="F1916" t="str">
        <f>"073215311738"</f>
        <v>073215311738</v>
      </c>
      <c r="G1916" t="s">
        <v>2984</v>
      </c>
      <c r="H1916" s="4">
        <v>1336.82</v>
      </c>
    </row>
    <row r="1917" spans="1:8" x14ac:dyDescent="0.3">
      <c r="A1917" t="s">
        <v>6</v>
      </c>
      <c r="B1917" t="s">
        <v>7</v>
      </c>
      <c r="C1917" t="s">
        <v>2113</v>
      </c>
      <c r="D1917" t="s">
        <v>9</v>
      </c>
      <c r="E1917" t="s">
        <v>2230</v>
      </c>
      <c r="F1917" t="str">
        <f>"789109503112"</f>
        <v>789109503112</v>
      </c>
      <c r="G1917" t="s">
        <v>2389</v>
      </c>
      <c r="H1917" s="4">
        <v>1313.3130000000001</v>
      </c>
    </row>
    <row r="1918" spans="1:8" x14ac:dyDescent="0.3">
      <c r="A1918" t="s">
        <v>6</v>
      </c>
      <c r="B1918" t="s">
        <v>7</v>
      </c>
      <c r="C1918" t="s">
        <v>1072</v>
      </c>
      <c r="D1918" t="s">
        <v>9</v>
      </c>
      <c r="E1918" t="s">
        <v>1077</v>
      </c>
      <c r="F1918" t="str">
        <f>"001600046148"</f>
        <v>001600046148</v>
      </c>
      <c r="G1918" t="s">
        <v>2680</v>
      </c>
      <c r="H1918" s="4">
        <v>1295.778</v>
      </c>
    </row>
    <row r="1919" spans="1:8" x14ac:dyDescent="0.3">
      <c r="A1919" t="s">
        <v>6</v>
      </c>
      <c r="B1919" t="s">
        <v>7</v>
      </c>
      <c r="C1919" t="s">
        <v>797</v>
      </c>
      <c r="D1919" t="s">
        <v>9</v>
      </c>
      <c r="E1919" t="s">
        <v>937</v>
      </c>
      <c r="F1919" t="str">
        <f>"001600017811"</f>
        <v>001600017811</v>
      </c>
      <c r="G1919" t="s">
        <v>2528</v>
      </c>
      <c r="H1919" s="4">
        <v>1273.6289999999999</v>
      </c>
    </row>
    <row r="1920" spans="1:8" x14ac:dyDescent="0.3">
      <c r="A1920" t="s">
        <v>6</v>
      </c>
      <c r="B1920" t="s">
        <v>7</v>
      </c>
      <c r="C1920" t="s">
        <v>1122</v>
      </c>
      <c r="D1920" t="s">
        <v>9</v>
      </c>
      <c r="E1920" t="s">
        <v>1153</v>
      </c>
      <c r="F1920" t="str">
        <f>"001356211998"</f>
        <v>001356211998</v>
      </c>
      <c r="G1920" t="s">
        <v>2746</v>
      </c>
      <c r="H1920" s="4">
        <v>1272.75</v>
      </c>
    </row>
    <row r="1921" spans="1:8" x14ac:dyDescent="0.3">
      <c r="A1921" t="s">
        <v>6</v>
      </c>
      <c r="B1921" t="s">
        <v>7</v>
      </c>
      <c r="C1921" t="s">
        <v>1729</v>
      </c>
      <c r="D1921" t="s">
        <v>9</v>
      </c>
      <c r="E1921" t="s">
        <v>1746</v>
      </c>
      <c r="F1921" t="str">
        <f>"072534228356"</f>
        <v>072534228356</v>
      </c>
      <c r="G1921" t="s">
        <v>3509</v>
      </c>
      <c r="H1921" s="4">
        <v>1257.326</v>
      </c>
    </row>
    <row r="1922" spans="1:8" x14ac:dyDescent="0.3">
      <c r="A1922" t="s">
        <v>6</v>
      </c>
      <c r="B1922" s="3" t="s">
        <v>7</v>
      </c>
      <c r="C1922" s="3" t="s">
        <v>1397</v>
      </c>
      <c r="D1922" s="3" t="s">
        <v>9</v>
      </c>
      <c r="E1922" s="3" t="s">
        <v>1467</v>
      </c>
      <c r="F1922" t="str">
        <f>"001600017013"</f>
        <v>001600017013</v>
      </c>
      <c r="G1922" t="s">
        <v>3017</v>
      </c>
      <c r="H1922" s="3" t="s">
        <v>1468</v>
      </c>
    </row>
    <row r="1923" spans="1:8" x14ac:dyDescent="0.3">
      <c r="A1923" t="s">
        <v>6</v>
      </c>
      <c r="B1923" t="s">
        <v>7</v>
      </c>
      <c r="C1923" t="s">
        <v>770</v>
      </c>
      <c r="D1923" t="s">
        <v>9</v>
      </c>
      <c r="E1923" t="s">
        <v>774</v>
      </c>
      <c r="F1923" t="str">
        <f>"001600042100"</f>
        <v>001600042100</v>
      </c>
      <c r="G1923" t="s">
        <v>2374</v>
      </c>
      <c r="H1923" s="4">
        <v>1232.2280000000001</v>
      </c>
    </row>
    <row r="1924" spans="1:8" x14ac:dyDescent="0.3">
      <c r="A1924" t="s">
        <v>6</v>
      </c>
      <c r="B1924" t="s">
        <v>7</v>
      </c>
      <c r="C1924" t="s">
        <v>1397</v>
      </c>
      <c r="D1924" t="s">
        <v>9</v>
      </c>
      <c r="E1924" t="s">
        <v>1512</v>
      </c>
      <c r="F1924" t="str">
        <f>"001800023833"</f>
        <v>001800023833</v>
      </c>
      <c r="G1924" t="s">
        <v>3056</v>
      </c>
      <c r="H1924" s="4">
        <v>1222.6079999999999</v>
      </c>
    </row>
    <row r="1925" spans="1:8" x14ac:dyDescent="0.3">
      <c r="A1925" t="s">
        <v>6</v>
      </c>
      <c r="B1925" t="s">
        <v>7</v>
      </c>
      <c r="C1925" t="s">
        <v>1786</v>
      </c>
      <c r="D1925" t="s">
        <v>9</v>
      </c>
      <c r="E1925" t="s">
        <v>1801</v>
      </c>
      <c r="F1925" t="str">
        <f>"072534226928"</f>
        <v>072534226928</v>
      </c>
      <c r="G1925" t="s">
        <v>3579</v>
      </c>
      <c r="H1925" s="4">
        <v>1218.4939999999999</v>
      </c>
    </row>
    <row r="1926" spans="1:8" x14ac:dyDescent="0.3">
      <c r="A1926" t="s">
        <v>6</v>
      </c>
      <c r="B1926" t="s">
        <v>7</v>
      </c>
      <c r="C1926" t="s">
        <v>797</v>
      </c>
      <c r="D1926" t="s">
        <v>9</v>
      </c>
      <c r="E1926" t="s">
        <v>926</v>
      </c>
      <c r="F1926" t="str">
        <f>"001600018801"</f>
        <v>001600018801</v>
      </c>
      <c r="G1926" t="s">
        <v>2517</v>
      </c>
      <c r="H1926" s="4">
        <v>1209.2</v>
      </c>
    </row>
    <row r="1927" spans="1:8" x14ac:dyDescent="0.3">
      <c r="A1927" t="s">
        <v>6</v>
      </c>
      <c r="B1927" t="s">
        <v>7</v>
      </c>
      <c r="C1927" t="s">
        <v>1338</v>
      </c>
      <c r="D1927" t="s">
        <v>9</v>
      </c>
      <c r="E1927" t="s">
        <v>1347</v>
      </c>
      <c r="F1927" t="str">
        <f>"004600013536"</f>
        <v>004600013536</v>
      </c>
      <c r="G1927" t="s">
        <v>2389</v>
      </c>
      <c r="H1927" s="4">
        <v>1206.04</v>
      </c>
    </row>
    <row r="1928" spans="1:8" x14ac:dyDescent="0.3">
      <c r="A1928" t="s">
        <v>6</v>
      </c>
      <c r="B1928" t="s">
        <v>7</v>
      </c>
      <c r="C1928" t="s">
        <v>1397</v>
      </c>
      <c r="D1928" t="s">
        <v>9</v>
      </c>
      <c r="E1928" t="s">
        <v>1442</v>
      </c>
      <c r="F1928" t="str">
        <f>"073215323401"</f>
        <v>073215323401</v>
      </c>
      <c r="G1928" t="s">
        <v>2993</v>
      </c>
      <c r="H1928" s="4">
        <v>1192.3510000000001</v>
      </c>
    </row>
    <row r="1929" spans="1:8" x14ac:dyDescent="0.3">
      <c r="A1929" t="s">
        <v>6</v>
      </c>
      <c r="B1929" t="s">
        <v>7</v>
      </c>
      <c r="C1929" t="s">
        <v>1338</v>
      </c>
      <c r="D1929" t="s">
        <v>9</v>
      </c>
      <c r="E1929" t="s">
        <v>1343</v>
      </c>
      <c r="F1929" t="str">
        <f>"004600013533"</f>
        <v>004600013533</v>
      </c>
      <c r="G1929" t="s">
        <v>2904</v>
      </c>
      <c r="H1929" s="4">
        <v>1158.05</v>
      </c>
    </row>
    <row r="1930" spans="1:8" x14ac:dyDescent="0.3">
      <c r="A1930" t="s">
        <v>6</v>
      </c>
      <c r="B1930" t="s">
        <v>7</v>
      </c>
      <c r="C1930" t="s">
        <v>8</v>
      </c>
      <c r="D1930" t="s">
        <v>9</v>
      </c>
      <c r="E1930" t="s">
        <v>223</v>
      </c>
      <c r="F1930" t="str">
        <f>"001600020615"</f>
        <v>001600020615</v>
      </c>
      <c r="G1930" t="s">
        <v>2389</v>
      </c>
      <c r="H1930" s="4">
        <v>1131.33</v>
      </c>
    </row>
    <row r="1931" spans="1:8" x14ac:dyDescent="0.3">
      <c r="A1931" t="s">
        <v>6</v>
      </c>
      <c r="B1931" t="s">
        <v>7</v>
      </c>
      <c r="C1931" t="s">
        <v>1122</v>
      </c>
      <c r="D1931" t="s">
        <v>9</v>
      </c>
      <c r="E1931" t="s">
        <v>1148</v>
      </c>
      <c r="F1931" t="str">
        <f>"001356210928"</f>
        <v>001356210928</v>
      </c>
      <c r="G1931" t="s">
        <v>2389</v>
      </c>
      <c r="H1931" s="4">
        <v>1112.298</v>
      </c>
    </row>
    <row r="1932" spans="1:8" x14ac:dyDescent="0.3">
      <c r="A1932" t="s">
        <v>6</v>
      </c>
      <c r="B1932" t="s">
        <v>7</v>
      </c>
      <c r="C1932" t="s">
        <v>1122</v>
      </c>
      <c r="D1932" t="s">
        <v>9</v>
      </c>
      <c r="E1932" t="s">
        <v>1130</v>
      </c>
      <c r="F1932" t="str">
        <f>"001356213442"</f>
        <v>001356213442</v>
      </c>
      <c r="G1932" t="s">
        <v>2725</v>
      </c>
      <c r="H1932" s="4">
        <v>1090.4000000000001</v>
      </c>
    </row>
    <row r="1933" spans="1:8" x14ac:dyDescent="0.3">
      <c r="A1933" t="s">
        <v>6</v>
      </c>
      <c r="B1933" t="s">
        <v>7</v>
      </c>
      <c r="C1933" t="s">
        <v>797</v>
      </c>
      <c r="D1933" t="s">
        <v>9</v>
      </c>
      <c r="E1933" t="s">
        <v>801</v>
      </c>
      <c r="F1933" t="str">
        <f>"001356247406"</f>
        <v>001356247406</v>
      </c>
      <c r="G1933" t="s">
        <v>2398</v>
      </c>
      <c r="H1933" s="4">
        <v>1090.3679999999999</v>
      </c>
    </row>
    <row r="1934" spans="1:8" x14ac:dyDescent="0.3">
      <c r="A1934" t="s">
        <v>6</v>
      </c>
      <c r="B1934" t="s">
        <v>7</v>
      </c>
      <c r="C1934" t="s">
        <v>8</v>
      </c>
      <c r="D1934" t="s">
        <v>9</v>
      </c>
      <c r="E1934" t="s">
        <v>56</v>
      </c>
      <c r="F1934" t="str">
        <f>"002190811563"</f>
        <v>002190811563</v>
      </c>
      <c r="G1934" t="s">
        <v>4033</v>
      </c>
      <c r="H1934" s="4">
        <v>1060.991</v>
      </c>
    </row>
    <row r="1935" spans="1:8" x14ac:dyDescent="0.3">
      <c r="A1935" t="s">
        <v>6</v>
      </c>
      <c r="B1935" t="s">
        <v>7</v>
      </c>
      <c r="C1935" t="s">
        <v>1577</v>
      </c>
      <c r="D1935" t="s">
        <v>9</v>
      </c>
      <c r="E1935" t="s">
        <v>1597</v>
      </c>
      <c r="F1935" t="str">
        <f>"004600013046"</f>
        <v>004600013046</v>
      </c>
      <c r="G1935" t="s">
        <v>3361</v>
      </c>
      <c r="H1935" s="4">
        <v>1060.1410000000001</v>
      </c>
    </row>
    <row r="1936" spans="1:8" x14ac:dyDescent="0.3">
      <c r="A1936" t="s">
        <v>6</v>
      </c>
      <c r="B1936" t="s">
        <v>7</v>
      </c>
      <c r="C1936" t="s">
        <v>2113</v>
      </c>
      <c r="D1936" t="s">
        <v>9</v>
      </c>
      <c r="E1936" t="s">
        <v>2152</v>
      </c>
      <c r="F1936" t="str">
        <f>"001600050582"</f>
        <v>001600050582</v>
      </c>
      <c r="G1936" t="s">
        <v>4360</v>
      </c>
      <c r="H1936" s="4">
        <v>1058.6389999999999</v>
      </c>
    </row>
    <row r="1937" spans="1:8" x14ac:dyDescent="0.3">
      <c r="A1937" t="s">
        <v>6</v>
      </c>
      <c r="B1937" t="s">
        <v>7</v>
      </c>
      <c r="C1937" t="s">
        <v>8</v>
      </c>
      <c r="D1937" t="s">
        <v>9</v>
      </c>
      <c r="E1937" t="s">
        <v>339</v>
      </c>
      <c r="F1937" t="str">
        <f>"001600019633"</f>
        <v>001600019633</v>
      </c>
      <c r="G1937" t="s">
        <v>2389</v>
      </c>
      <c r="H1937" s="4">
        <v>1049.634</v>
      </c>
    </row>
    <row r="1938" spans="1:8" x14ac:dyDescent="0.3">
      <c r="A1938" t="s">
        <v>6</v>
      </c>
      <c r="B1938" t="s">
        <v>7</v>
      </c>
      <c r="C1938" t="s">
        <v>2113</v>
      </c>
      <c r="D1938" t="s">
        <v>9</v>
      </c>
      <c r="E1938" t="s">
        <v>2120</v>
      </c>
      <c r="F1938" t="str">
        <f>"001600015098"</f>
        <v>001600015098</v>
      </c>
      <c r="G1938" t="s">
        <v>4329</v>
      </c>
      <c r="H1938" s="4">
        <v>1044.67</v>
      </c>
    </row>
    <row r="1939" spans="1:8" x14ac:dyDescent="0.3">
      <c r="A1939" t="s">
        <v>6</v>
      </c>
      <c r="B1939" t="s">
        <v>7</v>
      </c>
      <c r="C1939" t="s">
        <v>8</v>
      </c>
      <c r="D1939" t="s">
        <v>9</v>
      </c>
      <c r="E1939" t="s">
        <v>190</v>
      </c>
      <c r="F1939" t="str">
        <f>"001600014153"</f>
        <v>001600014153</v>
      </c>
      <c r="G1939" t="s">
        <v>4149</v>
      </c>
      <c r="H1939" s="4">
        <v>1043.7919999999999</v>
      </c>
    </row>
    <row r="1940" spans="1:8" x14ac:dyDescent="0.3">
      <c r="A1940" t="s">
        <v>6</v>
      </c>
      <c r="B1940" t="s">
        <v>7</v>
      </c>
      <c r="C1940" t="s">
        <v>381</v>
      </c>
      <c r="D1940" t="s">
        <v>9</v>
      </c>
      <c r="E1940" t="s">
        <v>590</v>
      </c>
      <c r="F1940" t="str">
        <f>"001600044281"</f>
        <v>001600044281</v>
      </c>
      <c r="G1940" t="s">
        <v>3318</v>
      </c>
      <c r="H1940" s="4">
        <v>1029.961</v>
      </c>
    </row>
    <row r="1941" spans="1:8" x14ac:dyDescent="0.3">
      <c r="A1941" t="s">
        <v>6</v>
      </c>
      <c r="B1941" t="s">
        <v>7</v>
      </c>
      <c r="C1941" t="s">
        <v>381</v>
      </c>
      <c r="D1941" t="s">
        <v>9</v>
      </c>
      <c r="E1941" t="s">
        <v>523</v>
      </c>
      <c r="F1941" t="str">
        <f>"001600026479"</f>
        <v>001600026479</v>
      </c>
      <c r="G1941" t="s">
        <v>3247</v>
      </c>
      <c r="H1941" s="4">
        <v>1015.596</v>
      </c>
    </row>
    <row r="1942" spans="1:8" x14ac:dyDescent="0.3">
      <c r="A1942" t="s">
        <v>6</v>
      </c>
      <c r="B1942" t="s">
        <v>7</v>
      </c>
      <c r="C1942" t="s">
        <v>1338</v>
      </c>
      <c r="D1942" t="s">
        <v>9</v>
      </c>
      <c r="E1942" t="s">
        <v>1384</v>
      </c>
      <c r="F1942" t="str">
        <f>"004280012018"</f>
        <v>004280012018</v>
      </c>
      <c r="G1942" t="s">
        <v>2940</v>
      </c>
      <c r="H1942" s="4">
        <v>1005.506</v>
      </c>
    </row>
    <row r="1943" spans="1:8" x14ac:dyDescent="0.3">
      <c r="A1943" t="s">
        <v>6</v>
      </c>
      <c r="B1943" t="s">
        <v>7</v>
      </c>
      <c r="C1943" t="s">
        <v>797</v>
      </c>
      <c r="D1943" t="s">
        <v>9</v>
      </c>
      <c r="E1943" t="s">
        <v>845</v>
      </c>
      <c r="F1943" t="str">
        <f>"001600017513"</f>
        <v>001600017513</v>
      </c>
      <c r="G1943" t="s">
        <v>2440</v>
      </c>
      <c r="H1943" s="4">
        <v>999.74699999999996</v>
      </c>
    </row>
    <row r="1944" spans="1:8" x14ac:dyDescent="0.3">
      <c r="A1944" t="s">
        <v>6</v>
      </c>
      <c r="B1944" t="s">
        <v>7</v>
      </c>
      <c r="C1944" t="s">
        <v>616</v>
      </c>
      <c r="D1944" t="s">
        <v>9</v>
      </c>
      <c r="E1944" t="s">
        <v>731</v>
      </c>
      <c r="F1944" t="str">
        <f>"002190848817"</f>
        <v>002190848817</v>
      </c>
      <c r="G1944" t="s">
        <v>3701</v>
      </c>
      <c r="H1944">
        <v>997.13</v>
      </c>
    </row>
    <row r="1945" spans="1:8" x14ac:dyDescent="0.3">
      <c r="A1945" t="s">
        <v>6</v>
      </c>
      <c r="B1945" t="s">
        <v>7</v>
      </c>
      <c r="C1945" t="s">
        <v>616</v>
      </c>
      <c r="D1945" t="s">
        <v>9</v>
      </c>
      <c r="E1945" t="s">
        <v>703</v>
      </c>
      <c r="F1945" t="str">
        <f>"002190843575"</f>
        <v>002190843575</v>
      </c>
      <c r="G1945" t="s">
        <v>3673</v>
      </c>
      <c r="H1945">
        <v>991.38</v>
      </c>
    </row>
    <row r="1946" spans="1:8" x14ac:dyDescent="0.3">
      <c r="A1946" t="s">
        <v>6</v>
      </c>
      <c r="B1946" t="s">
        <v>7</v>
      </c>
      <c r="C1946" t="s">
        <v>8</v>
      </c>
      <c r="D1946" t="s">
        <v>9</v>
      </c>
      <c r="E1946" t="s">
        <v>116</v>
      </c>
      <c r="F1946" t="str">
        <f>"001600027528"</f>
        <v>001600027528</v>
      </c>
      <c r="G1946" t="s">
        <v>4084</v>
      </c>
      <c r="H1946">
        <v>987.45699999999999</v>
      </c>
    </row>
    <row r="1947" spans="1:8" x14ac:dyDescent="0.3">
      <c r="A1947" t="s">
        <v>6</v>
      </c>
      <c r="B1947" t="s">
        <v>7</v>
      </c>
      <c r="C1947" t="s">
        <v>616</v>
      </c>
      <c r="D1947" t="s">
        <v>9</v>
      </c>
      <c r="E1947" t="s">
        <v>743</v>
      </c>
      <c r="F1947" t="str">
        <f>"002190849085"</f>
        <v>002190849085</v>
      </c>
      <c r="G1947" t="s">
        <v>3713</v>
      </c>
      <c r="H1947">
        <v>977.01</v>
      </c>
    </row>
    <row r="1948" spans="1:8" x14ac:dyDescent="0.3">
      <c r="A1948" t="s">
        <v>6</v>
      </c>
      <c r="B1948" t="s">
        <v>7</v>
      </c>
      <c r="C1948" t="s">
        <v>616</v>
      </c>
      <c r="D1948" t="s">
        <v>9</v>
      </c>
      <c r="E1948" t="s">
        <v>707</v>
      </c>
      <c r="F1948" t="str">
        <f>"002190823793"</f>
        <v>002190823793</v>
      </c>
      <c r="G1948" t="s">
        <v>3677</v>
      </c>
      <c r="H1948">
        <v>976.49599999999998</v>
      </c>
    </row>
    <row r="1949" spans="1:8" x14ac:dyDescent="0.3">
      <c r="A1949" t="s">
        <v>6</v>
      </c>
      <c r="B1949" t="s">
        <v>7</v>
      </c>
      <c r="C1949" t="s">
        <v>8</v>
      </c>
      <c r="D1949" t="s">
        <v>9</v>
      </c>
      <c r="E1949" t="s">
        <v>37</v>
      </c>
      <c r="F1949" t="str">
        <f>"002190874329"</f>
        <v>002190874329</v>
      </c>
      <c r="G1949" t="s">
        <v>4017</v>
      </c>
      <c r="H1949">
        <v>974.54899999999998</v>
      </c>
    </row>
    <row r="1950" spans="1:8" x14ac:dyDescent="0.3">
      <c r="A1950" t="s">
        <v>6</v>
      </c>
      <c r="B1950" t="s">
        <v>7</v>
      </c>
      <c r="C1950" t="s">
        <v>2113</v>
      </c>
      <c r="D1950" t="s">
        <v>9</v>
      </c>
      <c r="E1950" t="s">
        <v>2191</v>
      </c>
      <c r="F1950" t="str">
        <f>"001600013609"</f>
        <v>001600013609</v>
      </c>
      <c r="G1950" t="s">
        <v>4396</v>
      </c>
      <c r="H1950">
        <v>966.10799999999995</v>
      </c>
    </row>
    <row r="1951" spans="1:8" x14ac:dyDescent="0.3">
      <c r="A1951" t="s">
        <v>6</v>
      </c>
      <c r="B1951" t="s">
        <v>7</v>
      </c>
      <c r="C1951" t="s">
        <v>1397</v>
      </c>
      <c r="D1951" t="s">
        <v>9</v>
      </c>
      <c r="E1951" t="s">
        <v>1477</v>
      </c>
      <c r="F1951" t="str">
        <f>"001600029759"</f>
        <v>001600029759</v>
      </c>
      <c r="G1951" t="s">
        <v>3024</v>
      </c>
      <c r="H1951">
        <v>962.87800000000004</v>
      </c>
    </row>
    <row r="1952" spans="1:8" x14ac:dyDescent="0.3">
      <c r="A1952" t="s">
        <v>6</v>
      </c>
      <c r="B1952" t="s">
        <v>7</v>
      </c>
      <c r="C1952" t="s">
        <v>2113</v>
      </c>
      <c r="D1952" t="s">
        <v>9</v>
      </c>
      <c r="E1952" t="s">
        <v>2221</v>
      </c>
      <c r="F1952" t="str">
        <f>"001600019595"</f>
        <v>001600019595</v>
      </c>
      <c r="G1952" t="s">
        <v>4421</v>
      </c>
      <c r="H1952">
        <v>952.41</v>
      </c>
    </row>
    <row r="1953" spans="1:8" x14ac:dyDescent="0.3">
      <c r="A1953" t="s">
        <v>6</v>
      </c>
      <c r="B1953" t="s">
        <v>7</v>
      </c>
      <c r="C1953" t="s">
        <v>1786</v>
      </c>
      <c r="D1953" t="s">
        <v>9</v>
      </c>
      <c r="E1953" t="s">
        <v>1796</v>
      </c>
      <c r="F1953" t="str">
        <f>"072534243002"</f>
        <v>072534243002</v>
      </c>
      <c r="G1953" t="s">
        <v>3567</v>
      </c>
      <c r="H1953">
        <v>921.3</v>
      </c>
    </row>
    <row r="1954" spans="1:8" x14ac:dyDescent="0.3">
      <c r="A1954" t="s">
        <v>6</v>
      </c>
      <c r="B1954" t="s">
        <v>7</v>
      </c>
      <c r="C1954" t="s">
        <v>1397</v>
      </c>
      <c r="D1954" t="s">
        <v>9</v>
      </c>
      <c r="E1954" t="s">
        <v>1470</v>
      </c>
      <c r="F1954" t="str">
        <f>"001600017271"</f>
        <v>001600017271</v>
      </c>
      <c r="G1954" t="s">
        <v>3019</v>
      </c>
      <c r="H1954">
        <v>917.21799999999996</v>
      </c>
    </row>
    <row r="1955" spans="1:8" x14ac:dyDescent="0.3">
      <c r="A1955" t="s">
        <v>6</v>
      </c>
      <c r="B1955" t="s">
        <v>7</v>
      </c>
      <c r="C1955" t="s">
        <v>1397</v>
      </c>
      <c r="D1955" t="s">
        <v>9</v>
      </c>
      <c r="E1955" t="s">
        <v>1550</v>
      </c>
      <c r="F1955" t="str">
        <f>"007047017988"</f>
        <v>007047017988</v>
      </c>
      <c r="G1955" t="s">
        <v>3094</v>
      </c>
      <c r="H1955">
        <v>917.19200000000001</v>
      </c>
    </row>
    <row r="1956" spans="1:8" x14ac:dyDescent="0.3">
      <c r="A1956" t="s">
        <v>6</v>
      </c>
      <c r="B1956" t="s">
        <v>7</v>
      </c>
      <c r="C1956" t="s">
        <v>1397</v>
      </c>
      <c r="D1956" t="s">
        <v>9</v>
      </c>
      <c r="E1956" t="s">
        <v>1429</v>
      </c>
      <c r="F1956" t="str">
        <f>"001600013880"</f>
        <v>001600013880</v>
      </c>
      <c r="G1956" t="s">
        <v>2981</v>
      </c>
      <c r="H1956">
        <v>914.17</v>
      </c>
    </row>
    <row r="1957" spans="1:8" x14ac:dyDescent="0.3">
      <c r="A1957" t="s">
        <v>6</v>
      </c>
      <c r="B1957" t="s">
        <v>7</v>
      </c>
      <c r="C1957" t="s">
        <v>1122</v>
      </c>
      <c r="D1957" t="s">
        <v>9</v>
      </c>
      <c r="E1957" t="s">
        <v>1213</v>
      </c>
      <c r="F1957" t="str">
        <f>"001600017884"</f>
        <v>001600017884</v>
      </c>
      <c r="G1957" t="s">
        <v>2389</v>
      </c>
      <c r="H1957" s="4">
        <v>893.93399999999997</v>
      </c>
    </row>
    <row r="1958" spans="1:8" x14ac:dyDescent="0.3">
      <c r="A1958" t="s">
        <v>6</v>
      </c>
      <c r="B1958" t="s">
        <v>7</v>
      </c>
      <c r="C1958" t="s">
        <v>1695</v>
      </c>
      <c r="D1958" t="s">
        <v>9</v>
      </c>
      <c r="E1958" t="s">
        <v>1727</v>
      </c>
      <c r="F1958" t="str">
        <f>"002190828924"</f>
        <v>002190828924</v>
      </c>
      <c r="G1958" t="s">
        <v>3493</v>
      </c>
      <c r="H1958">
        <v>885.24699999999996</v>
      </c>
    </row>
    <row r="1959" spans="1:8" x14ac:dyDescent="0.3">
      <c r="A1959" t="s">
        <v>6</v>
      </c>
      <c r="B1959" t="s">
        <v>7</v>
      </c>
      <c r="C1959" t="s">
        <v>1397</v>
      </c>
      <c r="D1959" t="s">
        <v>9</v>
      </c>
      <c r="E1959" t="s">
        <v>1444</v>
      </c>
      <c r="F1959" t="str">
        <f>"073215302857"</f>
        <v>073215302857</v>
      </c>
      <c r="G1959" t="s">
        <v>2995</v>
      </c>
      <c r="H1959">
        <v>878.01400000000001</v>
      </c>
    </row>
    <row r="1960" spans="1:8" x14ac:dyDescent="0.3">
      <c r="A1960" t="s">
        <v>6</v>
      </c>
      <c r="B1960" t="s">
        <v>7</v>
      </c>
      <c r="C1960" t="s">
        <v>1072</v>
      </c>
      <c r="D1960" t="s">
        <v>9</v>
      </c>
      <c r="E1960" t="s">
        <v>1073</v>
      </c>
      <c r="F1960" t="str">
        <f>"001600046147"</f>
        <v>001600046147</v>
      </c>
      <c r="G1960" t="s">
        <v>2669</v>
      </c>
      <c r="H1960" s="4">
        <v>867.553</v>
      </c>
    </row>
    <row r="1961" spans="1:8" x14ac:dyDescent="0.3">
      <c r="A1961" t="s">
        <v>6</v>
      </c>
      <c r="B1961" t="s">
        <v>7</v>
      </c>
      <c r="C1961" t="s">
        <v>616</v>
      </c>
      <c r="D1961" t="s">
        <v>9</v>
      </c>
      <c r="E1961" t="s">
        <v>706</v>
      </c>
      <c r="F1961" t="str">
        <f>"002190810283"</f>
        <v>002190810283</v>
      </c>
      <c r="G1961" t="s">
        <v>3676</v>
      </c>
      <c r="H1961">
        <v>867.18</v>
      </c>
    </row>
    <row r="1962" spans="1:8" x14ac:dyDescent="0.3">
      <c r="A1962" t="s">
        <v>6</v>
      </c>
      <c r="B1962" t="s">
        <v>7</v>
      </c>
      <c r="C1962" t="s">
        <v>2113</v>
      </c>
      <c r="D1962" t="s">
        <v>9</v>
      </c>
      <c r="E1962" t="s">
        <v>2126</v>
      </c>
      <c r="F1962" t="str">
        <f>"001600051235"</f>
        <v>001600051235</v>
      </c>
      <c r="G1962" t="s">
        <v>4335</v>
      </c>
      <c r="H1962">
        <v>860.99699999999996</v>
      </c>
    </row>
    <row r="1963" spans="1:8" x14ac:dyDescent="0.3">
      <c r="A1963" t="s">
        <v>6</v>
      </c>
      <c r="B1963" t="s">
        <v>7</v>
      </c>
      <c r="C1963" t="s">
        <v>1805</v>
      </c>
      <c r="D1963" t="s">
        <v>9</v>
      </c>
      <c r="E1963" t="s">
        <v>1938</v>
      </c>
      <c r="F1963" t="str">
        <f>"001800012467"</f>
        <v>001800012467</v>
      </c>
      <c r="G1963" t="s">
        <v>3819</v>
      </c>
      <c r="H1963">
        <v>849.15</v>
      </c>
    </row>
    <row r="1964" spans="1:8" x14ac:dyDescent="0.3">
      <c r="A1964" t="s">
        <v>6</v>
      </c>
      <c r="B1964" t="s">
        <v>7</v>
      </c>
      <c r="C1964" t="s">
        <v>381</v>
      </c>
      <c r="D1964" t="s">
        <v>9</v>
      </c>
      <c r="E1964" t="s">
        <v>571</v>
      </c>
      <c r="F1964" t="str">
        <f>"001600046863"</f>
        <v>001600046863</v>
      </c>
      <c r="G1964" t="s">
        <v>3297</v>
      </c>
      <c r="H1964">
        <v>830.79</v>
      </c>
    </row>
    <row r="1965" spans="1:8" x14ac:dyDescent="0.3">
      <c r="A1965" t="s">
        <v>6</v>
      </c>
      <c r="B1965" t="s">
        <v>7</v>
      </c>
      <c r="C1965" t="s">
        <v>985</v>
      </c>
      <c r="D1965" t="s">
        <v>9</v>
      </c>
      <c r="E1965" t="s">
        <v>1017</v>
      </c>
      <c r="F1965" t="str">
        <f>"001356200006"</f>
        <v>001356200006</v>
      </c>
      <c r="G1965" t="s">
        <v>2616</v>
      </c>
      <c r="H1965" s="4">
        <v>828.19799999999998</v>
      </c>
    </row>
    <row r="1966" spans="1:8" x14ac:dyDescent="0.3">
      <c r="A1966" t="s">
        <v>6</v>
      </c>
      <c r="B1966" t="s">
        <v>7</v>
      </c>
      <c r="C1966" t="s">
        <v>797</v>
      </c>
      <c r="D1966" t="s">
        <v>9</v>
      </c>
      <c r="E1966" t="s">
        <v>817</v>
      </c>
      <c r="F1966" t="str">
        <f>"001600013562"</f>
        <v>001600013562</v>
      </c>
      <c r="G1966" t="s">
        <v>2414</v>
      </c>
      <c r="H1966" s="4">
        <v>824.702</v>
      </c>
    </row>
    <row r="1967" spans="1:8" x14ac:dyDescent="0.3">
      <c r="A1967" t="s">
        <v>6</v>
      </c>
      <c r="B1967" t="s">
        <v>7</v>
      </c>
      <c r="C1967" t="s">
        <v>797</v>
      </c>
      <c r="D1967" t="s">
        <v>9</v>
      </c>
      <c r="E1967" t="s">
        <v>802</v>
      </c>
      <c r="F1967" t="str">
        <f>"001356247409"</f>
        <v>001356247409</v>
      </c>
      <c r="G1967" t="s">
        <v>2399</v>
      </c>
      <c r="H1967" s="4">
        <v>819.65700000000004</v>
      </c>
    </row>
    <row r="1968" spans="1:8" x14ac:dyDescent="0.3">
      <c r="A1968" t="s">
        <v>6</v>
      </c>
      <c r="B1968" t="s">
        <v>7</v>
      </c>
      <c r="C1968" t="s">
        <v>8</v>
      </c>
      <c r="D1968" t="s">
        <v>9</v>
      </c>
      <c r="E1968" t="s">
        <v>333</v>
      </c>
      <c r="F1968" t="str">
        <f>"001600016832"</f>
        <v>001600016832</v>
      </c>
      <c r="G1968" t="s">
        <v>4283</v>
      </c>
      <c r="H1968">
        <v>817.58399999999995</v>
      </c>
    </row>
    <row r="1969" spans="1:8" x14ac:dyDescent="0.3">
      <c r="A1969" t="s">
        <v>6</v>
      </c>
      <c r="B1969" t="s">
        <v>7</v>
      </c>
      <c r="C1969" t="s">
        <v>1338</v>
      </c>
      <c r="D1969" t="s">
        <v>9</v>
      </c>
      <c r="E1969" t="s">
        <v>1346</v>
      </c>
      <c r="F1969" t="str">
        <f>"004600013538"</f>
        <v>004600013538</v>
      </c>
      <c r="G1969" t="s">
        <v>2907</v>
      </c>
      <c r="H1969" s="4">
        <v>811.35</v>
      </c>
    </row>
    <row r="1970" spans="1:8" x14ac:dyDescent="0.3">
      <c r="A1970" t="s">
        <v>6</v>
      </c>
      <c r="B1970" t="s">
        <v>7</v>
      </c>
      <c r="C1970" t="s">
        <v>1577</v>
      </c>
      <c r="D1970" t="s">
        <v>9</v>
      </c>
      <c r="E1970" t="s">
        <v>1583</v>
      </c>
      <c r="F1970" t="str">
        <f>"004600013361"</f>
        <v>004600013361</v>
      </c>
      <c r="G1970" t="s">
        <v>3346</v>
      </c>
      <c r="H1970">
        <v>809.71</v>
      </c>
    </row>
    <row r="1971" spans="1:8" x14ac:dyDescent="0.3">
      <c r="A1971" t="s">
        <v>6</v>
      </c>
      <c r="B1971" t="s">
        <v>7</v>
      </c>
      <c r="C1971" t="s">
        <v>2113</v>
      </c>
      <c r="D1971" t="s">
        <v>9</v>
      </c>
      <c r="E1971" t="s">
        <v>2148</v>
      </c>
      <c r="F1971" t="str">
        <f>"001600016891"</f>
        <v>001600016891</v>
      </c>
      <c r="G1971" t="s">
        <v>4356</v>
      </c>
      <c r="H1971">
        <v>797.13199999999995</v>
      </c>
    </row>
    <row r="1972" spans="1:8" x14ac:dyDescent="0.3">
      <c r="A1972" t="s">
        <v>6</v>
      </c>
      <c r="B1972" t="s">
        <v>7</v>
      </c>
      <c r="C1972" t="s">
        <v>2113</v>
      </c>
      <c r="D1972" t="s">
        <v>9</v>
      </c>
      <c r="E1972" t="s">
        <v>2130</v>
      </c>
      <c r="F1972" t="str">
        <f>"001600020429"</f>
        <v>001600020429</v>
      </c>
      <c r="G1972" t="s">
        <v>4339</v>
      </c>
      <c r="H1972">
        <v>787.923</v>
      </c>
    </row>
    <row r="1973" spans="1:8" x14ac:dyDescent="0.3">
      <c r="A1973" t="s">
        <v>6</v>
      </c>
      <c r="B1973" t="s">
        <v>7</v>
      </c>
      <c r="C1973" t="s">
        <v>1397</v>
      </c>
      <c r="D1973" t="s">
        <v>9</v>
      </c>
      <c r="E1973" t="s">
        <v>1482</v>
      </c>
      <c r="F1973" t="str">
        <f>"001600032392"</f>
        <v>001600032392</v>
      </c>
      <c r="G1973" t="s">
        <v>3029</v>
      </c>
      <c r="H1973">
        <v>782.70100000000002</v>
      </c>
    </row>
    <row r="1974" spans="1:8" x14ac:dyDescent="0.3">
      <c r="A1974" t="s">
        <v>6</v>
      </c>
      <c r="B1974" t="s">
        <v>7</v>
      </c>
      <c r="C1974" t="s">
        <v>8</v>
      </c>
      <c r="D1974" t="s">
        <v>9</v>
      </c>
      <c r="E1974" t="s">
        <v>317</v>
      </c>
      <c r="F1974" t="str">
        <f>"001600019566"</f>
        <v>001600019566</v>
      </c>
      <c r="G1974" t="s">
        <v>4267</v>
      </c>
      <c r="H1974">
        <v>775.03</v>
      </c>
    </row>
    <row r="1975" spans="1:8" x14ac:dyDescent="0.3">
      <c r="A1975" t="s">
        <v>6</v>
      </c>
      <c r="B1975" t="s">
        <v>7</v>
      </c>
      <c r="C1975" t="s">
        <v>1095</v>
      </c>
      <c r="D1975" t="s">
        <v>9</v>
      </c>
      <c r="E1975" t="s">
        <v>1104</v>
      </c>
      <c r="F1975" t="str">
        <f>"001600011710"</f>
        <v>001600011710</v>
      </c>
      <c r="G1975" t="s">
        <v>2705</v>
      </c>
      <c r="H1975" s="4">
        <v>773.73</v>
      </c>
    </row>
    <row r="1976" spans="1:8" x14ac:dyDescent="0.3">
      <c r="A1976" t="s">
        <v>6</v>
      </c>
      <c r="B1976" t="s">
        <v>7</v>
      </c>
      <c r="C1976" t="s">
        <v>8</v>
      </c>
      <c r="D1976" t="s">
        <v>9</v>
      </c>
      <c r="E1976" t="s">
        <v>242</v>
      </c>
      <c r="F1976" t="str">
        <f>"001600012315"</f>
        <v>001600012315</v>
      </c>
      <c r="G1976" t="s">
        <v>4199</v>
      </c>
      <c r="H1976">
        <v>772.54600000000005</v>
      </c>
    </row>
    <row r="1977" spans="1:8" x14ac:dyDescent="0.3">
      <c r="A1977" t="s">
        <v>6</v>
      </c>
      <c r="B1977" t="s">
        <v>7</v>
      </c>
      <c r="C1977" t="s">
        <v>1338</v>
      </c>
      <c r="D1977" t="s">
        <v>9</v>
      </c>
      <c r="E1977" t="s">
        <v>1344</v>
      </c>
      <c r="F1977" t="str">
        <f>"004600013531"</f>
        <v>004600013531</v>
      </c>
      <c r="G1977" t="s">
        <v>2905</v>
      </c>
      <c r="H1977" s="4">
        <v>772.37</v>
      </c>
    </row>
    <row r="1978" spans="1:8" x14ac:dyDescent="0.3">
      <c r="A1978" t="s">
        <v>6</v>
      </c>
      <c r="B1978" t="s">
        <v>7</v>
      </c>
      <c r="C1978" t="s">
        <v>381</v>
      </c>
      <c r="D1978" t="s">
        <v>9</v>
      </c>
      <c r="E1978" t="s">
        <v>558</v>
      </c>
      <c r="F1978" t="str">
        <f>"001600047196"</f>
        <v>001600047196</v>
      </c>
      <c r="G1978" t="s">
        <v>3281</v>
      </c>
      <c r="H1978">
        <v>763.43100000000004</v>
      </c>
    </row>
    <row r="1979" spans="1:8" x14ac:dyDescent="0.3">
      <c r="A1979" t="s">
        <v>6</v>
      </c>
      <c r="B1979" t="s">
        <v>7</v>
      </c>
      <c r="C1979" t="s">
        <v>1122</v>
      </c>
      <c r="D1979" t="s">
        <v>9</v>
      </c>
      <c r="E1979" t="s">
        <v>1180</v>
      </c>
      <c r="F1979" t="str">
        <f>"001600018992"</f>
        <v>001600018992</v>
      </c>
      <c r="G1979" t="s">
        <v>2768</v>
      </c>
      <c r="H1979" s="4">
        <v>759.82399999999996</v>
      </c>
    </row>
    <row r="1980" spans="1:8" x14ac:dyDescent="0.3">
      <c r="A1980" t="s">
        <v>6</v>
      </c>
      <c r="B1980" t="s">
        <v>7</v>
      </c>
      <c r="C1980" t="s">
        <v>381</v>
      </c>
      <c r="D1980" t="s">
        <v>9</v>
      </c>
      <c r="E1980" t="s">
        <v>451</v>
      </c>
      <c r="F1980" t="str">
        <f>"337582866939"</f>
        <v>337582866939</v>
      </c>
      <c r="G1980" t="s">
        <v>2389</v>
      </c>
      <c r="H1980">
        <v>755.98</v>
      </c>
    </row>
    <row r="1981" spans="1:8" x14ac:dyDescent="0.3">
      <c r="A1981" t="s">
        <v>6</v>
      </c>
      <c r="B1981" t="s">
        <v>7</v>
      </c>
      <c r="C1981" t="s">
        <v>1397</v>
      </c>
      <c r="D1981" t="s">
        <v>9</v>
      </c>
      <c r="E1981" t="s">
        <v>1422</v>
      </c>
      <c r="F1981" t="str">
        <f>"002190811675"</f>
        <v>002190811675</v>
      </c>
      <c r="G1981" t="s">
        <v>2974</v>
      </c>
      <c r="H1981">
        <v>751.58</v>
      </c>
    </row>
    <row r="1982" spans="1:8" x14ac:dyDescent="0.3">
      <c r="A1982" t="s">
        <v>6</v>
      </c>
      <c r="B1982" t="s">
        <v>7</v>
      </c>
      <c r="C1982" t="s">
        <v>616</v>
      </c>
      <c r="D1982" t="s">
        <v>9</v>
      </c>
      <c r="E1982" t="s">
        <v>625</v>
      </c>
      <c r="F1982" t="str">
        <f>"001600016435"</f>
        <v>001600016435</v>
      </c>
      <c r="G1982" t="s">
        <v>3597</v>
      </c>
      <c r="H1982">
        <v>751.29</v>
      </c>
    </row>
    <row r="1983" spans="1:8" x14ac:dyDescent="0.3">
      <c r="A1983" t="s">
        <v>6</v>
      </c>
      <c r="B1983" t="s">
        <v>7</v>
      </c>
      <c r="C1983" t="s">
        <v>1786</v>
      </c>
      <c r="D1983" t="s">
        <v>9</v>
      </c>
      <c r="E1983" t="s">
        <v>1801</v>
      </c>
      <c r="F1983" t="str">
        <f>"072534226927"</f>
        <v>072534226927</v>
      </c>
      <c r="G1983" t="s">
        <v>3578</v>
      </c>
      <c r="H1983">
        <v>736.18499999999995</v>
      </c>
    </row>
    <row r="1984" spans="1:8" x14ac:dyDescent="0.3">
      <c r="A1984" t="s">
        <v>6</v>
      </c>
      <c r="B1984" t="s">
        <v>7</v>
      </c>
      <c r="C1984" t="s">
        <v>1577</v>
      </c>
      <c r="D1984" t="s">
        <v>9</v>
      </c>
      <c r="E1984" t="s">
        <v>1616</v>
      </c>
      <c r="F1984" t="str">
        <f>"004600011632"</f>
        <v>004600011632</v>
      </c>
      <c r="G1984" t="s">
        <v>3380</v>
      </c>
      <c r="H1984">
        <v>733.77599999999995</v>
      </c>
    </row>
    <row r="1985" spans="1:8" x14ac:dyDescent="0.3">
      <c r="A1985" t="s">
        <v>6</v>
      </c>
      <c r="B1985" t="s">
        <v>7</v>
      </c>
      <c r="C1985" t="s">
        <v>1729</v>
      </c>
      <c r="D1985" t="s">
        <v>9</v>
      </c>
      <c r="E1985" t="s">
        <v>1737</v>
      </c>
      <c r="F1985" t="str">
        <f>"072534244192"</f>
        <v>072534244192</v>
      </c>
      <c r="G1985" t="s">
        <v>3500</v>
      </c>
      <c r="H1985">
        <v>728.89700000000005</v>
      </c>
    </row>
    <row r="1986" spans="1:8" x14ac:dyDescent="0.3">
      <c r="A1986" t="s">
        <v>6</v>
      </c>
      <c r="B1986" t="s">
        <v>7</v>
      </c>
      <c r="C1986" t="s">
        <v>1729</v>
      </c>
      <c r="D1986" t="s">
        <v>9</v>
      </c>
      <c r="E1986" t="s">
        <v>1730</v>
      </c>
      <c r="F1986" t="str">
        <f>"072534213217"</f>
        <v>072534213217</v>
      </c>
      <c r="G1986" t="s">
        <v>2389</v>
      </c>
      <c r="H1986">
        <v>723.49800000000005</v>
      </c>
    </row>
    <row r="1987" spans="1:8" x14ac:dyDescent="0.3">
      <c r="A1987" t="s">
        <v>6</v>
      </c>
      <c r="B1987" t="s">
        <v>7</v>
      </c>
      <c r="C1987" t="s">
        <v>2231</v>
      </c>
      <c r="D1987" t="s">
        <v>9</v>
      </c>
      <c r="E1987" t="s">
        <v>2352</v>
      </c>
      <c r="F1987" t="str">
        <f>"004119691138"</f>
        <v>004119691138</v>
      </c>
      <c r="G1987" t="s">
        <v>4544</v>
      </c>
      <c r="H1987">
        <v>710.52599999999995</v>
      </c>
    </row>
    <row r="1988" spans="1:8" x14ac:dyDescent="0.3">
      <c r="A1988" t="s">
        <v>6</v>
      </c>
      <c r="B1988" t="s">
        <v>7</v>
      </c>
      <c r="C1988" t="s">
        <v>1577</v>
      </c>
      <c r="D1988" t="s">
        <v>9</v>
      </c>
      <c r="E1988" t="s">
        <v>1578</v>
      </c>
      <c r="F1988" t="str">
        <f>"004600013355"</f>
        <v>004600013355</v>
      </c>
      <c r="G1988" t="s">
        <v>2389</v>
      </c>
      <c r="H1988">
        <v>708.12</v>
      </c>
    </row>
    <row r="1989" spans="1:8" x14ac:dyDescent="0.3">
      <c r="A1989" t="s">
        <v>6</v>
      </c>
      <c r="B1989" t="s">
        <v>7</v>
      </c>
      <c r="C1989" t="s">
        <v>1679</v>
      </c>
      <c r="D1989" t="s">
        <v>9</v>
      </c>
      <c r="E1989" t="s">
        <v>1689</v>
      </c>
      <c r="F1989" t="str">
        <f>"002190847795"</f>
        <v>002190847795</v>
      </c>
      <c r="G1989" t="s">
        <v>3455</v>
      </c>
      <c r="H1989">
        <v>691.81399999999996</v>
      </c>
    </row>
    <row r="1990" spans="1:8" x14ac:dyDescent="0.3">
      <c r="A1990" t="s">
        <v>6</v>
      </c>
      <c r="B1990" t="s">
        <v>7</v>
      </c>
      <c r="C1990" t="s">
        <v>8</v>
      </c>
      <c r="D1990" t="s">
        <v>9</v>
      </c>
      <c r="E1990" t="s">
        <v>185</v>
      </c>
      <c r="F1990" t="str">
        <f>"001600017251"</f>
        <v>001600017251</v>
      </c>
      <c r="G1990" t="s">
        <v>4144</v>
      </c>
      <c r="H1990">
        <v>690.03200000000004</v>
      </c>
    </row>
    <row r="1991" spans="1:8" x14ac:dyDescent="0.3">
      <c r="A1991" t="s">
        <v>6</v>
      </c>
      <c r="B1991" t="s">
        <v>7</v>
      </c>
      <c r="C1991" t="s">
        <v>1122</v>
      </c>
      <c r="D1991" t="s">
        <v>9</v>
      </c>
      <c r="E1991" t="s">
        <v>1185</v>
      </c>
      <c r="F1991" t="str">
        <f>"001600016063"</f>
        <v>001600016063</v>
      </c>
      <c r="G1991" t="s">
        <v>2773</v>
      </c>
      <c r="H1991" s="4">
        <v>679.08799999999997</v>
      </c>
    </row>
    <row r="1992" spans="1:8" x14ac:dyDescent="0.3">
      <c r="A1992" t="s">
        <v>6</v>
      </c>
      <c r="B1992" t="s">
        <v>7</v>
      </c>
      <c r="C1992" t="s">
        <v>381</v>
      </c>
      <c r="D1992" t="s">
        <v>9</v>
      </c>
      <c r="E1992" t="s">
        <v>585</v>
      </c>
      <c r="F1992" t="str">
        <f>"001600050666"</f>
        <v>001600050666</v>
      </c>
      <c r="G1992" t="s">
        <v>3313</v>
      </c>
      <c r="H1992">
        <v>677.31</v>
      </c>
    </row>
    <row r="1993" spans="1:8" x14ac:dyDescent="0.3">
      <c r="A1993" t="s">
        <v>6</v>
      </c>
      <c r="B1993" t="s">
        <v>7</v>
      </c>
      <c r="C1993" t="s">
        <v>381</v>
      </c>
      <c r="D1993" t="s">
        <v>9</v>
      </c>
      <c r="E1993" t="s">
        <v>437</v>
      </c>
      <c r="F1993" t="str">
        <f>"001600050462"</f>
        <v>001600050462</v>
      </c>
      <c r="G1993" t="s">
        <v>3163</v>
      </c>
      <c r="H1993">
        <v>666.16499999999996</v>
      </c>
    </row>
    <row r="1994" spans="1:8" x14ac:dyDescent="0.3">
      <c r="A1994" t="s">
        <v>6</v>
      </c>
      <c r="B1994" t="s">
        <v>7</v>
      </c>
      <c r="C1994" t="s">
        <v>1095</v>
      </c>
      <c r="D1994" t="s">
        <v>9</v>
      </c>
      <c r="E1994" t="s">
        <v>1097</v>
      </c>
      <c r="F1994" t="str">
        <f>"002190813039"</f>
        <v>002190813039</v>
      </c>
      <c r="G1994" t="s">
        <v>2699</v>
      </c>
      <c r="H1994" s="4">
        <v>666.1</v>
      </c>
    </row>
    <row r="1995" spans="1:8" x14ac:dyDescent="0.3">
      <c r="A1995" t="s">
        <v>6</v>
      </c>
      <c r="B1995" t="s">
        <v>7</v>
      </c>
      <c r="C1995" t="s">
        <v>1729</v>
      </c>
      <c r="D1995" t="s">
        <v>9</v>
      </c>
      <c r="E1995" t="s">
        <v>1740</v>
      </c>
      <c r="F1995" t="str">
        <f>"072534228676"</f>
        <v>072534228676</v>
      </c>
      <c r="G1995" t="s">
        <v>3503</v>
      </c>
      <c r="H1995">
        <v>663.495</v>
      </c>
    </row>
    <row r="1996" spans="1:8" x14ac:dyDescent="0.3">
      <c r="A1996" t="s">
        <v>6</v>
      </c>
      <c r="B1996" t="s">
        <v>7</v>
      </c>
      <c r="C1996" t="s">
        <v>1397</v>
      </c>
      <c r="D1996" t="s">
        <v>9</v>
      </c>
      <c r="E1996" t="s">
        <v>1500</v>
      </c>
      <c r="F1996" t="str">
        <f>"001600031052"</f>
        <v>001600031052</v>
      </c>
      <c r="G1996" t="s">
        <v>2389</v>
      </c>
      <c r="H1996">
        <v>655.88</v>
      </c>
    </row>
    <row r="1997" spans="1:8" x14ac:dyDescent="0.3">
      <c r="A1997" t="s">
        <v>6</v>
      </c>
      <c r="B1997" t="s">
        <v>7</v>
      </c>
      <c r="C1997" t="s">
        <v>2113</v>
      </c>
      <c r="D1997" t="s">
        <v>9</v>
      </c>
      <c r="E1997" t="s">
        <v>2189</v>
      </c>
      <c r="F1997" t="str">
        <f>"001600050731"</f>
        <v>001600050731</v>
      </c>
      <c r="G1997" t="s">
        <v>4394</v>
      </c>
      <c r="H1997">
        <v>654.654</v>
      </c>
    </row>
    <row r="1998" spans="1:8" x14ac:dyDescent="0.3">
      <c r="A1998" t="s">
        <v>6</v>
      </c>
      <c r="B1998" t="s">
        <v>7</v>
      </c>
      <c r="C1998" t="s">
        <v>1122</v>
      </c>
      <c r="D1998" t="s">
        <v>9</v>
      </c>
      <c r="E1998" t="s">
        <v>1131</v>
      </c>
      <c r="F1998" t="str">
        <f>"001356213267"</f>
        <v>001356213267</v>
      </c>
      <c r="G1998" t="s">
        <v>2726</v>
      </c>
      <c r="H1998" s="4">
        <v>653.49400000000003</v>
      </c>
    </row>
    <row r="1999" spans="1:8" x14ac:dyDescent="0.3">
      <c r="A1999" t="s">
        <v>6</v>
      </c>
      <c r="B1999" t="s">
        <v>7</v>
      </c>
      <c r="C1999" t="s">
        <v>1095</v>
      </c>
      <c r="D1999" t="s">
        <v>9</v>
      </c>
      <c r="E1999" t="s">
        <v>1121</v>
      </c>
      <c r="F1999" t="str">
        <f>"789109530048"</f>
        <v>789109530048</v>
      </c>
      <c r="G1999" t="s">
        <v>2389</v>
      </c>
      <c r="H1999" s="4">
        <v>650.42899999999997</v>
      </c>
    </row>
    <row r="2000" spans="1:8" x14ac:dyDescent="0.3">
      <c r="A2000" t="s">
        <v>6</v>
      </c>
      <c r="B2000" t="s">
        <v>7</v>
      </c>
      <c r="C2000" t="s">
        <v>616</v>
      </c>
      <c r="D2000" t="s">
        <v>9</v>
      </c>
      <c r="E2000" t="s">
        <v>685</v>
      </c>
      <c r="F2000" t="str">
        <f>"002190845994"</f>
        <v>002190845994</v>
      </c>
      <c r="G2000" t="s">
        <v>3655</v>
      </c>
      <c r="H2000">
        <v>639.6</v>
      </c>
    </row>
    <row r="2001" spans="1:8" x14ac:dyDescent="0.3">
      <c r="A2001" t="s">
        <v>6</v>
      </c>
      <c r="B2001" t="s">
        <v>7</v>
      </c>
      <c r="C2001" t="s">
        <v>8</v>
      </c>
      <c r="D2001" t="s">
        <v>9</v>
      </c>
      <c r="E2001" t="s">
        <v>96</v>
      </c>
      <c r="F2001" t="str">
        <f>"001600044107"</f>
        <v>001600044107</v>
      </c>
      <c r="G2001" t="s">
        <v>2389</v>
      </c>
      <c r="H2001">
        <v>639.20000000000005</v>
      </c>
    </row>
    <row r="2002" spans="1:8" x14ac:dyDescent="0.3">
      <c r="A2002" t="s">
        <v>6</v>
      </c>
      <c r="B2002" t="s">
        <v>7</v>
      </c>
      <c r="C2002" t="s">
        <v>8</v>
      </c>
      <c r="D2002" t="s">
        <v>9</v>
      </c>
      <c r="E2002" t="s">
        <v>352</v>
      </c>
      <c r="F2002" t="str">
        <f>"001600016543"</f>
        <v>001600016543</v>
      </c>
      <c r="G2002" t="s">
        <v>2389</v>
      </c>
      <c r="H2002">
        <v>638.68600000000004</v>
      </c>
    </row>
    <row r="2003" spans="1:8" x14ac:dyDescent="0.3">
      <c r="A2003" t="s">
        <v>6</v>
      </c>
      <c r="B2003" t="s">
        <v>7</v>
      </c>
      <c r="C2003" t="s">
        <v>1577</v>
      </c>
      <c r="D2003" t="s">
        <v>9</v>
      </c>
      <c r="E2003" t="s">
        <v>1659</v>
      </c>
      <c r="F2003" t="str">
        <f>"004600012315"</f>
        <v>004600012315</v>
      </c>
      <c r="G2003" t="s">
        <v>3428</v>
      </c>
      <c r="H2003">
        <v>638.60900000000004</v>
      </c>
    </row>
    <row r="2004" spans="1:8" x14ac:dyDescent="0.3">
      <c r="A2004" t="s">
        <v>6</v>
      </c>
      <c r="B2004" t="s">
        <v>7</v>
      </c>
      <c r="C2004" t="s">
        <v>1122</v>
      </c>
      <c r="D2004" t="s">
        <v>9</v>
      </c>
      <c r="E2004" t="s">
        <v>1141</v>
      </c>
      <c r="F2004" t="str">
        <f>"001356211084"</f>
        <v>001356211084</v>
      </c>
      <c r="G2004" t="s">
        <v>2736</v>
      </c>
      <c r="H2004" s="4">
        <v>630.29</v>
      </c>
    </row>
    <row r="2005" spans="1:8" x14ac:dyDescent="0.3">
      <c r="A2005" t="s">
        <v>6</v>
      </c>
      <c r="B2005" t="s">
        <v>7</v>
      </c>
      <c r="C2005" t="s">
        <v>1397</v>
      </c>
      <c r="D2005" t="s">
        <v>9</v>
      </c>
      <c r="E2005" t="s">
        <v>1489</v>
      </c>
      <c r="F2005" t="str">
        <f>"001600017948"</f>
        <v>001600017948</v>
      </c>
      <c r="G2005" t="s">
        <v>3037</v>
      </c>
      <c r="H2005">
        <v>628.81200000000001</v>
      </c>
    </row>
    <row r="2006" spans="1:8" x14ac:dyDescent="0.3">
      <c r="A2006" t="s">
        <v>6</v>
      </c>
      <c r="B2006" t="s">
        <v>7</v>
      </c>
      <c r="C2006" t="s">
        <v>770</v>
      </c>
      <c r="D2006" t="s">
        <v>9</v>
      </c>
      <c r="E2006" t="s">
        <v>790</v>
      </c>
      <c r="F2006" t="str">
        <f>"001600017843"</f>
        <v>001600017843</v>
      </c>
      <c r="G2006" t="s">
        <v>2390</v>
      </c>
      <c r="H2006" s="4">
        <v>625.80600000000004</v>
      </c>
    </row>
    <row r="2007" spans="1:8" x14ac:dyDescent="0.3">
      <c r="A2007" t="s">
        <v>6</v>
      </c>
      <c r="B2007" t="s">
        <v>7</v>
      </c>
      <c r="C2007" t="s">
        <v>1397</v>
      </c>
      <c r="D2007" t="s">
        <v>9</v>
      </c>
      <c r="E2007" t="s">
        <v>1495</v>
      </c>
      <c r="F2007" t="str">
        <f>"001800012932"</f>
        <v>001800012932</v>
      </c>
      <c r="G2007" t="s">
        <v>2389</v>
      </c>
      <c r="H2007">
        <v>620.31899999999996</v>
      </c>
    </row>
    <row r="2008" spans="1:8" x14ac:dyDescent="0.3">
      <c r="A2008" t="s">
        <v>6</v>
      </c>
      <c r="B2008" t="s">
        <v>7</v>
      </c>
      <c r="C2008" t="s">
        <v>797</v>
      </c>
      <c r="D2008" t="s">
        <v>9</v>
      </c>
      <c r="E2008" t="s">
        <v>935</v>
      </c>
      <c r="F2008" t="str">
        <f>"001600017812"</f>
        <v>001600017812</v>
      </c>
      <c r="G2008" t="s">
        <v>2526</v>
      </c>
      <c r="H2008" s="4">
        <v>617.71900000000005</v>
      </c>
    </row>
    <row r="2009" spans="1:8" x14ac:dyDescent="0.3">
      <c r="A2009" t="s">
        <v>6</v>
      </c>
      <c r="B2009" t="s">
        <v>7</v>
      </c>
      <c r="C2009" t="s">
        <v>8</v>
      </c>
      <c r="D2009" t="s">
        <v>9</v>
      </c>
      <c r="E2009" t="s">
        <v>141</v>
      </c>
      <c r="F2009" t="str">
        <f>"001600016716"</f>
        <v>001600016716</v>
      </c>
      <c r="G2009" t="s">
        <v>4105</v>
      </c>
      <c r="H2009">
        <v>616.83799999999997</v>
      </c>
    </row>
    <row r="2010" spans="1:8" x14ac:dyDescent="0.3">
      <c r="A2010" t="s">
        <v>6</v>
      </c>
      <c r="B2010" t="s">
        <v>7</v>
      </c>
      <c r="C2010" t="s">
        <v>770</v>
      </c>
      <c r="D2010" t="s">
        <v>9</v>
      </c>
      <c r="E2010" t="s">
        <v>779</v>
      </c>
      <c r="F2010" t="str">
        <f>"001600015704"</f>
        <v>001600015704</v>
      </c>
      <c r="G2010" t="s">
        <v>2379</v>
      </c>
      <c r="H2010" s="4">
        <v>613.72500000000002</v>
      </c>
    </row>
    <row r="2011" spans="1:8" x14ac:dyDescent="0.3">
      <c r="A2011" t="s">
        <v>6</v>
      </c>
      <c r="B2011" t="s">
        <v>7</v>
      </c>
      <c r="C2011" t="s">
        <v>8</v>
      </c>
      <c r="D2011" t="s">
        <v>9</v>
      </c>
      <c r="E2011" t="s">
        <v>379</v>
      </c>
      <c r="F2011" t="str">
        <f>"001600016706"</f>
        <v>001600016706</v>
      </c>
      <c r="G2011" t="s">
        <v>4322</v>
      </c>
      <c r="H2011">
        <v>611.17999999999995</v>
      </c>
    </row>
    <row r="2012" spans="1:8" x14ac:dyDescent="0.3">
      <c r="A2012" t="s">
        <v>6</v>
      </c>
      <c r="B2012" t="s">
        <v>7</v>
      </c>
      <c r="C2012" t="s">
        <v>2113</v>
      </c>
      <c r="D2012" t="s">
        <v>9</v>
      </c>
      <c r="E2012" t="s">
        <v>2123</v>
      </c>
      <c r="F2012" t="str">
        <f>"001600050791"</f>
        <v>001600050791</v>
      </c>
      <c r="G2012" t="s">
        <v>4332</v>
      </c>
      <c r="H2012">
        <v>611.16</v>
      </c>
    </row>
    <row r="2013" spans="1:8" x14ac:dyDescent="0.3">
      <c r="A2013" t="s">
        <v>6</v>
      </c>
      <c r="B2013" t="s">
        <v>7</v>
      </c>
      <c r="C2013" t="s">
        <v>1679</v>
      </c>
      <c r="D2013" t="s">
        <v>9</v>
      </c>
      <c r="E2013" t="s">
        <v>1692</v>
      </c>
      <c r="F2013" t="str">
        <f>"002190853001"</f>
        <v>002190853001</v>
      </c>
      <c r="G2013" t="s">
        <v>2389</v>
      </c>
      <c r="H2013">
        <v>608.85</v>
      </c>
    </row>
    <row r="2014" spans="1:8" x14ac:dyDescent="0.3">
      <c r="A2014" t="s">
        <v>6</v>
      </c>
      <c r="B2014" t="s">
        <v>7</v>
      </c>
      <c r="C2014" t="s">
        <v>1397</v>
      </c>
      <c r="D2014" t="s">
        <v>9</v>
      </c>
      <c r="E2014" t="s">
        <v>1514</v>
      </c>
      <c r="F2014" t="str">
        <f>"001800012226"</f>
        <v>001800012226</v>
      </c>
      <c r="G2014" t="s">
        <v>3057</v>
      </c>
      <c r="H2014">
        <v>604.68200000000002</v>
      </c>
    </row>
    <row r="2015" spans="1:8" x14ac:dyDescent="0.3">
      <c r="A2015" t="s">
        <v>6</v>
      </c>
      <c r="B2015" t="s">
        <v>7</v>
      </c>
      <c r="C2015" t="s">
        <v>381</v>
      </c>
      <c r="D2015" t="s">
        <v>9</v>
      </c>
      <c r="E2015" t="s">
        <v>560</v>
      </c>
      <c r="F2015" t="str">
        <f>"001600050766"</f>
        <v>001600050766</v>
      </c>
      <c r="G2015" t="s">
        <v>3283</v>
      </c>
      <c r="H2015">
        <v>600.70000000000005</v>
      </c>
    </row>
    <row r="2016" spans="1:8" x14ac:dyDescent="0.3">
      <c r="A2016" t="s">
        <v>6</v>
      </c>
      <c r="B2016" t="s">
        <v>7</v>
      </c>
      <c r="C2016" t="s">
        <v>616</v>
      </c>
      <c r="D2016" t="s">
        <v>9</v>
      </c>
      <c r="E2016" t="s">
        <v>744</v>
      </c>
      <c r="F2016" t="str">
        <f>"002190843265"</f>
        <v>002190843265</v>
      </c>
      <c r="G2016" t="s">
        <v>3714</v>
      </c>
      <c r="H2016">
        <v>593.97</v>
      </c>
    </row>
    <row r="2017" spans="1:8" x14ac:dyDescent="0.3">
      <c r="A2017" t="s">
        <v>6</v>
      </c>
      <c r="B2017" t="s">
        <v>7</v>
      </c>
      <c r="C2017" t="s">
        <v>1805</v>
      </c>
      <c r="D2017" t="s">
        <v>9</v>
      </c>
      <c r="E2017" t="s">
        <v>1807</v>
      </c>
      <c r="F2017" t="str">
        <f>"001356246976"</f>
        <v>001356246976</v>
      </c>
      <c r="G2017" t="s">
        <v>3739</v>
      </c>
      <c r="H2017">
        <v>591.21299999999997</v>
      </c>
    </row>
    <row r="2018" spans="1:8" x14ac:dyDescent="0.3">
      <c r="A2018" t="s">
        <v>6</v>
      </c>
      <c r="B2018" t="s">
        <v>7</v>
      </c>
      <c r="C2018" t="s">
        <v>2113</v>
      </c>
      <c r="D2018" t="s">
        <v>9</v>
      </c>
      <c r="E2018" t="s">
        <v>2146</v>
      </c>
      <c r="F2018" t="str">
        <f>"001600020549"</f>
        <v>001600020549</v>
      </c>
      <c r="G2018" t="s">
        <v>4354</v>
      </c>
      <c r="H2018">
        <v>579.09799999999996</v>
      </c>
    </row>
    <row r="2019" spans="1:8" x14ac:dyDescent="0.3">
      <c r="A2019" t="s">
        <v>6</v>
      </c>
      <c r="B2019" t="s">
        <v>7</v>
      </c>
      <c r="C2019" t="s">
        <v>1072</v>
      </c>
      <c r="D2019" t="s">
        <v>9</v>
      </c>
      <c r="E2019" t="s">
        <v>1073</v>
      </c>
      <c r="F2019" t="str">
        <f>"001600046144"</f>
        <v>001600046144</v>
      </c>
      <c r="G2019" t="s">
        <v>2666</v>
      </c>
      <c r="H2019" s="4">
        <v>569.745</v>
      </c>
    </row>
    <row r="2020" spans="1:8" x14ac:dyDescent="0.3">
      <c r="A2020" t="s">
        <v>6</v>
      </c>
      <c r="B2020" t="s">
        <v>7</v>
      </c>
      <c r="C2020" t="s">
        <v>1577</v>
      </c>
      <c r="D2020" t="s">
        <v>9</v>
      </c>
      <c r="E2020" t="s">
        <v>1581</v>
      </c>
      <c r="F2020" t="str">
        <f>"004600013359"</f>
        <v>004600013359</v>
      </c>
      <c r="G2020" t="s">
        <v>3344</v>
      </c>
      <c r="H2020">
        <v>562.47</v>
      </c>
    </row>
    <row r="2021" spans="1:8" x14ac:dyDescent="0.3">
      <c r="A2021" t="s">
        <v>6</v>
      </c>
      <c r="B2021" t="s">
        <v>7</v>
      </c>
      <c r="C2021" t="s">
        <v>797</v>
      </c>
      <c r="D2021" t="s">
        <v>9</v>
      </c>
      <c r="E2021" t="s">
        <v>818</v>
      </c>
      <c r="F2021" t="str">
        <f>"001600013561"</f>
        <v>001600013561</v>
      </c>
      <c r="G2021" t="s">
        <v>2415</v>
      </c>
      <c r="H2021" s="4">
        <v>557.48599999999999</v>
      </c>
    </row>
    <row r="2022" spans="1:8" x14ac:dyDescent="0.3">
      <c r="A2022" t="s">
        <v>6</v>
      </c>
      <c r="B2022" t="s">
        <v>7</v>
      </c>
      <c r="C2022" t="s">
        <v>616</v>
      </c>
      <c r="D2022" t="s">
        <v>9</v>
      </c>
      <c r="E2022" t="s">
        <v>712</v>
      </c>
      <c r="F2022" t="str">
        <f>"002190849575"</f>
        <v>002190849575</v>
      </c>
      <c r="G2022" t="s">
        <v>3682</v>
      </c>
      <c r="H2022">
        <v>555.98</v>
      </c>
    </row>
    <row r="2023" spans="1:8" x14ac:dyDescent="0.3">
      <c r="A2023" t="s">
        <v>6</v>
      </c>
      <c r="B2023" t="s">
        <v>7</v>
      </c>
      <c r="C2023" t="s">
        <v>797</v>
      </c>
      <c r="D2023" t="s">
        <v>9</v>
      </c>
      <c r="E2023" t="s">
        <v>869</v>
      </c>
      <c r="F2023" t="str">
        <f>"001600020003"</f>
        <v>001600020003</v>
      </c>
      <c r="G2023" t="s">
        <v>2462</v>
      </c>
      <c r="H2023" s="4">
        <v>555.08699999999999</v>
      </c>
    </row>
    <row r="2024" spans="1:8" x14ac:dyDescent="0.3">
      <c r="A2024" t="s">
        <v>6</v>
      </c>
      <c r="B2024" t="s">
        <v>7</v>
      </c>
      <c r="C2024" t="s">
        <v>1805</v>
      </c>
      <c r="D2024" t="s">
        <v>9</v>
      </c>
      <c r="E2024" t="s">
        <v>1859</v>
      </c>
      <c r="F2024" t="str">
        <f>"001800000468"</f>
        <v>001800000468</v>
      </c>
      <c r="G2024" t="s">
        <v>2389</v>
      </c>
      <c r="H2024">
        <v>551.50099999999998</v>
      </c>
    </row>
    <row r="2025" spans="1:8" x14ac:dyDescent="0.3">
      <c r="A2025" t="s">
        <v>6</v>
      </c>
      <c r="B2025" t="s">
        <v>7</v>
      </c>
      <c r="C2025" t="s">
        <v>2231</v>
      </c>
      <c r="D2025" t="s">
        <v>9</v>
      </c>
      <c r="E2025" t="s">
        <v>2294</v>
      </c>
      <c r="F2025" t="str">
        <f>"004119691111"</f>
        <v>004119691111</v>
      </c>
      <c r="G2025" t="s">
        <v>2389</v>
      </c>
      <c r="H2025">
        <v>538.79999999999995</v>
      </c>
    </row>
    <row r="2026" spans="1:8" x14ac:dyDescent="0.3">
      <c r="A2026" t="s">
        <v>6</v>
      </c>
      <c r="B2026" t="s">
        <v>7</v>
      </c>
      <c r="C2026" t="s">
        <v>1122</v>
      </c>
      <c r="D2026" t="s">
        <v>9</v>
      </c>
      <c r="E2026" t="s">
        <v>1137</v>
      </c>
      <c r="F2026" t="str">
        <f>"001356211082"</f>
        <v>001356211082</v>
      </c>
      <c r="G2026" t="s">
        <v>2732</v>
      </c>
      <c r="H2026" s="4">
        <v>533.88</v>
      </c>
    </row>
    <row r="2027" spans="1:8" x14ac:dyDescent="0.3">
      <c r="A2027" t="s">
        <v>6</v>
      </c>
      <c r="B2027" t="s">
        <v>7</v>
      </c>
      <c r="C2027" t="s">
        <v>1397</v>
      </c>
      <c r="D2027" t="s">
        <v>9</v>
      </c>
      <c r="E2027" t="s">
        <v>1551</v>
      </c>
      <c r="F2027" t="str">
        <f>"007047018158"</f>
        <v>007047018158</v>
      </c>
      <c r="G2027" t="s">
        <v>2389</v>
      </c>
      <c r="H2027">
        <v>527.52</v>
      </c>
    </row>
    <row r="2028" spans="1:8" x14ac:dyDescent="0.3">
      <c r="A2028" t="s">
        <v>6</v>
      </c>
      <c r="B2028" t="s">
        <v>7</v>
      </c>
      <c r="C2028" t="s">
        <v>381</v>
      </c>
      <c r="D2028" t="s">
        <v>9</v>
      </c>
      <c r="E2028" t="s">
        <v>424</v>
      </c>
      <c r="F2028" t="str">
        <f>"001600019943"</f>
        <v>001600019943</v>
      </c>
      <c r="G2028" t="s">
        <v>3150</v>
      </c>
      <c r="H2028">
        <v>524.54399999999998</v>
      </c>
    </row>
    <row r="2029" spans="1:8" x14ac:dyDescent="0.3">
      <c r="A2029" t="s">
        <v>6</v>
      </c>
      <c r="B2029" t="s">
        <v>7</v>
      </c>
      <c r="C2029" t="s">
        <v>2113</v>
      </c>
      <c r="D2029" t="s">
        <v>9</v>
      </c>
      <c r="E2029" t="s">
        <v>2132</v>
      </c>
      <c r="F2029" t="str">
        <f>"001600011855"</f>
        <v>001600011855</v>
      </c>
      <c r="G2029" t="s">
        <v>4341</v>
      </c>
      <c r="H2029">
        <v>523.20699999999999</v>
      </c>
    </row>
    <row r="2030" spans="1:8" x14ac:dyDescent="0.3">
      <c r="A2030" t="s">
        <v>6</v>
      </c>
      <c r="B2030" t="s">
        <v>7</v>
      </c>
      <c r="C2030" t="s">
        <v>2113</v>
      </c>
      <c r="D2030" t="s">
        <v>9</v>
      </c>
      <c r="E2030" t="s">
        <v>2139</v>
      </c>
      <c r="F2030" t="str">
        <f>"001600012407"</f>
        <v>001600012407</v>
      </c>
      <c r="G2030" t="s">
        <v>2389</v>
      </c>
      <c r="H2030">
        <v>520.48</v>
      </c>
    </row>
    <row r="2031" spans="1:8" x14ac:dyDescent="0.3">
      <c r="A2031" t="s">
        <v>6</v>
      </c>
      <c r="B2031" t="s">
        <v>7</v>
      </c>
      <c r="C2031" t="s">
        <v>2231</v>
      </c>
      <c r="D2031" t="s">
        <v>9</v>
      </c>
      <c r="E2031" t="s">
        <v>2303</v>
      </c>
      <c r="F2031" t="str">
        <f>"004119691012"</f>
        <v>004119691012</v>
      </c>
      <c r="G2031" t="s">
        <v>2389</v>
      </c>
      <c r="H2031">
        <v>518.52</v>
      </c>
    </row>
    <row r="2032" spans="1:8" x14ac:dyDescent="0.3">
      <c r="A2032" t="s">
        <v>6</v>
      </c>
      <c r="B2032" t="s">
        <v>7</v>
      </c>
      <c r="C2032" t="s">
        <v>1805</v>
      </c>
      <c r="D2032" t="s">
        <v>9</v>
      </c>
      <c r="E2032" t="s">
        <v>1819</v>
      </c>
      <c r="F2032" t="str">
        <f>"001800013325"</f>
        <v>001800013325</v>
      </c>
      <c r="G2032" t="s">
        <v>3752</v>
      </c>
      <c r="H2032">
        <v>511.31</v>
      </c>
    </row>
    <row r="2033" spans="1:8" x14ac:dyDescent="0.3">
      <c r="A2033" t="s">
        <v>6</v>
      </c>
      <c r="B2033" t="s">
        <v>7</v>
      </c>
      <c r="C2033" t="s">
        <v>1122</v>
      </c>
      <c r="D2033" t="s">
        <v>9</v>
      </c>
      <c r="E2033" t="s">
        <v>1242</v>
      </c>
      <c r="F2033" t="str">
        <f>"001600016474"</f>
        <v>001600016474</v>
      </c>
      <c r="G2033" t="s">
        <v>2814</v>
      </c>
      <c r="H2033" s="4">
        <v>510.3</v>
      </c>
    </row>
    <row r="2034" spans="1:8" x14ac:dyDescent="0.3">
      <c r="A2034" t="s">
        <v>6</v>
      </c>
      <c r="B2034" t="s">
        <v>7</v>
      </c>
      <c r="C2034" t="s">
        <v>2113</v>
      </c>
      <c r="D2034" t="s">
        <v>9</v>
      </c>
      <c r="E2034" t="s">
        <v>2179</v>
      </c>
      <c r="F2034" t="str">
        <f>"001600016886"</f>
        <v>001600016886</v>
      </c>
      <c r="G2034" t="s">
        <v>4385</v>
      </c>
      <c r="H2034">
        <v>508.48399999999998</v>
      </c>
    </row>
    <row r="2035" spans="1:8" x14ac:dyDescent="0.3">
      <c r="A2035" t="s">
        <v>6</v>
      </c>
      <c r="B2035" t="s">
        <v>7</v>
      </c>
      <c r="C2035" t="s">
        <v>1072</v>
      </c>
      <c r="D2035" t="s">
        <v>9</v>
      </c>
      <c r="E2035" t="s">
        <v>1073</v>
      </c>
      <c r="F2035" t="str">
        <f>"001600046145"</f>
        <v>001600046145</v>
      </c>
      <c r="G2035" t="s">
        <v>2667</v>
      </c>
      <c r="H2035" s="4">
        <v>507.12099999999998</v>
      </c>
    </row>
    <row r="2036" spans="1:8" x14ac:dyDescent="0.3">
      <c r="A2036" t="s">
        <v>6</v>
      </c>
      <c r="B2036" t="s">
        <v>7</v>
      </c>
      <c r="C2036" t="s">
        <v>797</v>
      </c>
      <c r="D2036" t="s">
        <v>9</v>
      </c>
      <c r="E2036" t="s">
        <v>800</v>
      </c>
      <c r="F2036" t="str">
        <f>"001356210294"</f>
        <v>001356210294</v>
      </c>
      <c r="G2036" t="s">
        <v>2397</v>
      </c>
      <c r="H2036" s="4">
        <v>505.18900000000002</v>
      </c>
    </row>
    <row r="2037" spans="1:8" x14ac:dyDescent="0.3">
      <c r="A2037" t="s">
        <v>6</v>
      </c>
      <c r="B2037" t="s">
        <v>7</v>
      </c>
      <c r="C2037" t="s">
        <v>797</v>
      </c>
      <c r="D2037" t="s">
        <v>9</v>
      </c>
      <c r="E2037" t="s">
        <v>928</v>
      </c>
      <c r="F2037" t="str">
        <f>"001600018803"</f>
        <v>001600018803</v>
      </c>
      <c r="G2037" t="s">
        <v>2519</v>
      </c>
      <c r="H2037" s="4">
        <v>487.21</v>
      </c>
    </row>
    <row r="2038" spans="1:8" x14ac:dyDescent="0.3">
      <c r="A2038" t="s">
        <v>6</v>
      </c>
      <c r="B2038" t="s">
        <v>7</v>
      </c>
      <c r="C2038" t="s">
        <v>381</v>
      </c>
      <c r="D2038" t="s">
        <v>9</v>
      </c>
      <c r="E2038" t="s">
        <v>422</v>
      </c>
      <c r="F2038" t="str">
        <f>"001600020083"</f>
        <v>001600020083</v>
      </c>
      <c r="G2038" t="s">
        <v>3148</v>
      </c>
      <c r="H2038">
        <v>480.65199999999999</v>
      </c>
    </row>
    <row r="2039" spans="1:8" x14ac:dyDescent="0.3">
      <c r="A2039" t="s">
        <v>6</v>
      </c>
      <c r="B2039" t="s">
        <v>7</v>
      </c>
      <c r="C2039" t="s">
        <v>1397</v>
      </c>
      <c r="D2039" t="s">
        <v>9</v>
      </c>
      <c r="E2039" t="s">
        <v>1537</v>
      </c>
      <c r="F2039" t="str">
        <f>"004119613041"</f>
        <v>004119613041</v>
      </c>
      <c r="G2039" t="s">
        <v>3081</v>
      </c>
      <c r="H2039">
        <v>477.16199999999998</v>
      </c>
    </row>
    <row r="2040" spans="1:8" x14ac:dyDescent="0.3">
      <c r="A2040" t="s">
        <v>6</v>
      </c>
      <c r="B2040" t="s">
        <v>7</v>
      </c>
      <c r="C2040" t="s">
        <v>1122</v>
      </c>
      <c r="D2040" t="s">
        <v>9</v>
      </c>
      <c r="E2040" t="s">
        <v>1138</v>
      </c>
      <c r="F2040" t="str">
        <f>"001356211054"</f>
        <v>001356211054</v>
      </c>
      <c r="G2040" t="s">
        <v>2733</v>
      </c>
      <c r="H2040" s="4">
        <v>464.61</v>
      </c>
    </row>
    <row r="2041" spans="1:8" x14ac:dyDescent="0.3">
      <c r="A2041" t="s">
        <v>6</v>
      </c>
      <c r="B2041" t="s">
        <v>7</v>
      </c>
      <c r="C2041" t="s">
        <v>1122</v>
      </c>
      <c r="D2041" t="s">
        <v>9</v>
      </c>
      <c r="E2041" t="s">
        <v>1147</v>
      </c>
      <c r="F2041" t="str">
        <f>"001356210385"</f>
        <v>001356210385</v>
      </c>
      <c r="G2041" t="s">
        <v>2741</v>
      </c>
      <c r="H2041" s="4">
        <v>454.79</v>
      </c>
    </row>
    <row r="2042" spans="1:8" x14ac:dyDescent="0.3">
      <c r="A2042" t="s">
        <v>6</v>
      </c>
      <c r="B2042" t="s">
        <v>7</v>
      </c>
      <c r="C2042" t="s">
        <v>1577</v>
      </c>
      <c r="D2042" t="s">
        <v>9</v>
      </c>
      <c r="E2042" t="s">
        <v>1619</v>
      </c>
      <c r="F2042" t="str">
        <f>"004600011605"</f>
        <v>004600011605</v>
      </c>
      <c r="G2042" t="s">
        <v>3383</v>
      </c>
      <c r="H2042">
        <v>449.5</v>
      </c>
    </row>
    <row r="2043" spans="1:8" x14ac:dyDescent="0.3">
      <c r="A2043" t="s">
        <v>6</v>
      </c>
      <c r="B2043" t="s">
        <v>7</v>
      </c>
      <c r="C2043" t="s">
        <v>797</v>
      </c>
      <c r="D2043" t="s">
        <v>9</v>
      </c>
      <c r="E2043" t="s">
        <v>936</v>
      </c>
      <c r="F2043" t="str">
        <f>"001600017815"</f>
        <v>001600017815</v>
      </c>
      <c r="G2043" t="s">
        <v>2527</v>
      </c>
      <c r="H2043" s="4">
        <v>448.2</v>
      </c>
    </row>
    <row r="2044" spans="1:8" x14ac:dyDescent="0.3">
      <c r="A2044" t="s">
        <v>6</v>
      </c>
      <c r="B2044" t="s">
        <v>7</v>
      </c>
      <c r="C2044" t="s">
        <v>8</v>
      </c>
      <c r="D2044" t="s">
        <v>9</v>
      </c>
      <c r="E2044" t="s">
        <v>332</v>
      </c>
      <c r="F2044" t="str">
        <f>"001600019328"</f>
        <v>001600019328</v>
      </c>
      <c r="G2044" t="s">
        <v>4282</v>
      </c>
      <c r="H2044">
        <v>445.77</v>
      </c>
    </row>
    <row r="2045" spans="1:8" x14ac:dyDescent="0.3">
      <c r="A2045" t="s">
        <v>6</v>
      </c>
      <c r="B2045" t="s">
        <v>7</v>
      </c>
      <c r="C2045" t="s">
        <v>616</v>
      </c>
      <c r="D2045" t="s">
        <v>9</v>
      </c>
      <c r="E2045" t="s">
        <v>657</v>
      </c>
      <c r="F2045" t="str">
        <f>"001600018481"</f>
        <v>001600018481</v>
      </c>
      <c r="G2045" t="s">
        <v>3628</v>
      </c>
      <c r="H2045">
        <v>445.22</v>
      </c>
    </row>
    <row r="2046" spans="1:8" x14ac:dyDescent="0.3">
      <c r="A2046" t="s">
        <v>6</v>
      </c>
      <c r="B2046" t="s">
        <v>7</v>
      </c>
      <c r="C2046" t="s">
        <v>1805</v>
      </c>
      <c r="D2046" t="s">
        <v>9</v>
      </c>
      <c r="E2046" t="s">
        <v>1820</v>
      </c>
      <c r="F2046" t="str">
        <f>"001800013326"</f>
        <v>001800013326</v>
      </c>
      <c r="G2046" t="s">
        <v>3753</v>
      </c>
      <c r="H2046">
        <v>441.64</v>
      </c>
    </row>
    <row r="2047" spans="1:8" x14ac:dyDescent="0.3">
      <c r="A2047" t="s">
        <v>6</v>
      </c>
      <c r="B2047" t="s">
        <v>7</v>
      </c>
      <c r="C2047" t="s">
        <v>985</v>
      </c>
      <c r="D2047" t="s">
        <v>9</v>
      </c>
      <c r="E2047" t="s">
        <v>1001</v>
      </c>
      <c r="F2047" t="str">
        <f>"001356212889"</f>
        <v>001356212889</v>
      </c>
      <c r="G2047" t="s">
        <v>2599</v>
      </c>
      <c r="H2047" s="4">
        <v>440.911</v>
      </c>
    </row>
    <row r="2048" spans="1:8" x14ac:dyDescent="0.3">
      <c r="A2048" t="s">
        <v>6</v>
      </c>
      <c r="B2048" t="s">
        <v>7</v>
      </c>
      <c r="C2048" t="s">
        <v>1397</v>
      </c>
      <c r="D2048" t="s">
        <v>9</v>
      </c>
      <c r="E2048" t="s">
        <v>1485</v>
      </c>
      <c r="F2048" t="str">
        <f>"001600029761"</f>
        <v>001600029761</v>
      </c>
      <c r="G2048" t="s">
        <v>3033</v>
      </c>
      <c r="H2048">
        <v>438.73</v>
      </c>
    </row>
    <row r="2049" spans="1:8" x14ac:dyDescent="0.3">
      <c r="A2049" t="s">
        <v>6</v>
      </c>
      <c r="B2049" t="s">
        <v>7</v>
      </c>
      <c r="C2049" t="s">
        <v>8</v>
      </c>
      <c r="D2049" t="s">
        <v>9</v>
      </c>
      <c r="E2049" t="s">
        <v>340</v>
      </c>
      <c r="F2049" t="str">
        <f>"001600019635"</f>
        <v>001600019635</v>
      </c>
      <c r="G2049" t="s">
        <v>2389</v>
      </c>
      <c r="H2049">
        <v>438.62700000000001</v>
      </c>
    </row>
    <row r="2050" spans="1:8" x14ac:dyDescent="0.3">
      <c r="A2050" t="s">
        <v>6</v>
      </c>
      <c r="B2050" t="s">
        <v>7</v>
      </c>
      <c r="C2050" t="s">
        <v>381</v>
      </c>
      <c r="D2050" t="s">
        <v>9</v>
      </c>
      <c r="E2050" t="s">
        <v>569</v>
      </c>
      <c r="F2050" t="str">
        <f>"001600051368"</f>
        <v>001600051368</v>
      </c>
      <c r="G2050" t="s">
        <v>3291</v>
      </c>
      <c r="H2050">
        <v>435.16</v>
      </c>
    </row>
    <row r="2051" spans="1:8" x14ac:dyDescent="0.3">
      <c r="A2051" t="s">
        <v>6</v>
      </c>
      <c r="B2051" t="s">
        <v>7</v>
      </c>
      <c r="C2051" t="s">
        <v>1072</v>
      </c>
      <c r="D2051" t="s">
        <v>9</v>
      </c>
      <c r="E2051" t="s">
        <v>1073</v>
      </c>
      <c r="F2051" t="str">
        <f>"001600046146"</f>
        <v>001600046146</v>
      </c>
      <c r="G2051" t="s">
        <v>2668</v>
      </c>
      <c r="H2051" s="4">
        <v>429.43700000000001</v>
      </c>
    </row>
    <row r="2052" spans="1:8" x14ac:dyDescent="0.3">
      <c r="A2052" t="s">
        <v>6</v>
      </c>
      <c r="B2052" t="s">
        <v>7</v>
      </c>
      <c r="C2052" t="s">
        <v>1397</v>
      </c>
      <c r="D2052" t="s">
        <v>9</v>
      </c>
      <c r="E2052" t="s">
        <v>1520</v>
      </c>
      <c r="F2052" t="str">
        <f>"004119646808"</f>
        <v>004119646808</v>
      </c>
      <c r="G2052" t="s">
        <v>2389</v>
      </c>
      <c r="H2052">
        <v>425.64</v>
      </c>
    </row>
    <row r="2053" spans="1:8" x14ac:dyDescent="0.3">
      <c r="A2053" t="s">
        <v>6</v>
      </c>
      <c r="B2053" t="s">
        <v>7</v>
      </c>
      <c r="C2053" t="s">
        <v>8</v>
      </c>
      <c r="D2053" t="s">
        <v>9</v>
      </c>
      <c r="E2053" t="s">
        <v>261</v>
      </c>
      <c r="F2053" t="str">
        <f>"001600016264"</f>
        <v>001600016264</v>
      </c>
      <c r="G2053" t="s">
        <v>4214</v>
      </c>
      <c r="H2053">
        <v>418.01499999999999</v>
      </c>
    </row>
    <row r="2054" spans="1:8" x14ac:dyDescent="0.3">
      <c r="A2054" t="s">
        <v>6</v>
      </c>
      <c r="B2054" t="s">
        <v>7</v>
      </c>
      <c r="C2054" t="s">
        <v>1786</v>
      </c>
      <c r="D2054" t="s">
        <v>9</v>
      </c>
      <c r="E2054" t="s">
        <v>1798</v>
      </c>
      <c r="F2054" t="str">
        <f>"072534212915"</f>
        <v>072534212915</v>
      </c>
      <c r="G2054" t="s">
        <v>3574</v>
      </c>
      <c r="H2054">
        <v>414.18</v>
      </c>
    </row>
    <row r="2055" spans="1:8" x14ac:dyDescent="0.3">
      <c r="A2055" t="s">
        <v>6</v>
      </c>
      <c r="B2055" t="s">
        <v>7</v>
      </c>
      <c r="C2055" t="s">
        <v>1729</v>
      </c>
      <c r="D2055" t="s">
        <v>9</v>
      </c>
      <c r="E2055" t="s">
        <v>1741</v>
      </c>
      <c r="F2055" t="str">
        <f>"072534228266"</f>
        <v>072534228266</v>
      </c>
      <c r="G2055" t="s">
        <v>3504</v>
      </c>
      <c r="H2055">
        <v>410.82600000000002</v>
      </c>
    </row>
    <row r="2056" spans="1:8" x14ac:dyDescent="0.3">
      <c r="A2056" t="s">
        <v>6</v>
      </c>
      <c r="B2056" t="s">
        <v>7</v>
      </c>
      <c r="C2056" t="s">
        <v>2113</v>
      </c>
      <c r="D2056" t="s">
        <v>9</v>
      </c>
      <c r="E2056" t="s">
        <v>2225</v>
      </c>
      <c r="F2056" t="str">
        <f>"001600019388"</f>
        <v>001600019388</v>
      </c>
      <c r="G2056" t="s">
        <v>4425</v>
      </c>
      <c r="H2056">
        <v>406.82299999999998</v>
      </c>
    </row>
    <row r="2057" spans="1:8" x14ac:dyDescent="0.3">
      <c r="A2057" t="s">
        <v>6</v>
      </c>
      <c r="B2057" t="s">
        <v>7</v>
      </c>
      <c r="C2057" t="s">
        <v>2231</v>
      </c>
      <c r="D2057" t="s">
        <v>9</v>
      </c>
      <c r="E2057" t="s">
        <v>2334</v>
      </c>
      <c r="F2057" t="str">
        <f>"004119610192"</f>
        <v>004119610192</v>
      </c>
      <c r="G2057" t="s">
        <v>4525</v>
      </c>
      <c r="H2057">
        <v>403.83499999999998</v>
      </c>
    </row>
    <row r="2058" spans="1:8" x14ac:dyDescent="0.3">
      <c r="A2058" t="s">
        <v>6</v>
      </c>
      <c r="B2058" t="s">
        <v>7</v>
      </c>
      <c r="C2058" t="s">
        <v>2231</v>
      </c>
      <c r="D2058" t="s">
        <v>9</v>
      </c>
      <c r="E2058" t="s">
        <v>2281</v>
      </c>
      <c r="F2058" t="str">
        <f>"004119611664"</f>
        <v>004119611664</v>
      </c>
      <c r="G2058" t="s">
        <v>4479</v>
      </c>
      <c r="H2058">
        <v>397.10899999999998</v>
      </c>
    </row>
    <row r="2059" spans="1:8" x14ac:dyDescent="0.3">
      <c r="A2059" t="s">
        <v>6</v>
      </c>
      <c r="B2059" t="s">
        <v>7</v>
      </c>
      <c r="C2059" t="s">
        <v>797</v>
      </c>
      <c r="D2059" t="s">
        <v>9</v>
      </c>
      <c r="E2059" t="s">
        <v>899</v>
      </c>
      <c r="F2059" t="str">
        <f>"001600048896"</f>
        <v>001600048896</v>
      </c>
      <c r="G2059" t="s">
        <v>2490</v>
      </c>
      <c r="H2059" s="4">
        <v>393.67599999999999</v>
      </c>
    </row>
    <row r="2060" spans="1:8" x14ac:dyDescent="0.3">
      <c r="A2060" t="s">
        <v>6</v>
      </c>
      <c r="B2060" t="s">
        <v>7</v>
      </c>
      <c r="C2060" t="s">
        <v>1805</v>
      </c>
      <c r="D2060" t="s">
        <v>9</v>
      </c>
      <c r="E2060" t="s">
        <v>1920</v>
      </c>
      <c r="F2060" t="str">
        <f>"001800011935"</f>
        <v>001800011935</v>
      </c>
      <c r="G2060" t="s">
        <v>3805</v>
      </c>
      <c r="H2060">
        <v>384.11599999999999</v>
      </c>
    </row>
    <row r="2061" spans="1:8" x14ac:dyDescent="0.3">
      <c r="A2061" t="s">
        <v>6</v>
      </c>
      <c r="B2061" t="s">
        <v>7</v>
      </c>
      <c r="C2061" t="s">
        <v>1095</v>
      </c>
      <c r="D2061" t="s">
        <v>9</v>
      </c>
      <c r="E2061" t="s">
        <v>1096</v>
      </c>
      <c r="F2061" t="str">
        <f>"001600045896"</f>
        <v>001600045896</v>
      </c>
      <c r="G2061" t="s">
        <v>2698</v>
      </c>
      <c r="H2061" s="4">
        <v>375.858</v>
      </c>
    </row>
    <row r="2062" spans="1:8" x14ac:dyDescent="0.3">
      <c r="A2062" t="s">
        <v>6</v>
      </c>
      <c r="B2062" t="s">
        <v>7</v>
      </c>
      <c r="C2062" t="s">
        <v>770</v>
      </c>
      <c r="D2062" t="s">
        <v>9</v>
      </c>
      <c r="E2062" t="s">
        <v>777</v>
      </c>
      <c r="F2062" t="str">
        <f>"001600015705"</f>
        <v>001600015705</v>
      </c>
      <c r="G2062" t="s">
        <v>2377</v>
      </c>
      <c r="H2062" s="4">
        <v>374.37599999999998</v>
      </c>
    </row>
    <row r="2063" spans="1:8" x14ac:dyDescent="0.3">
      <c r="A2063" t="s">
        <v>6</v>
      </c>
      <c r="B2063" t="s">
        <v>7</v>
      </c>
      <c r="C2063" t="s">
        <v>1805</v>
      </c>
      <c r="D2063" t="s">
        <v>9</v>
      </c>
      <c r="E2063" t="s">
        <v>1911</v>
      </c>
      <c r="F2063" t="str">
        <f>"001800012196"</f>
        <v>001800012196</v>
      </c>
      <c r="G2063" t="s">
        <v>3795</v>
      </c>
      <c r="H2063">
        <v>372.55799999999999</v>
      </c>
    </row>
    <row r="2064" spans="1:8" x14ac:dyDescent="0.3">
      <c r="A2064" t="s">
        <v>6</v>
      </c>
      <c r="B2064" t="s">
        <v>7</v>
      </c>
      <c r="C2064" t="s">
        <v>1577</v>
      </c>
      <c r="D2064" t="s">
        <v>9</v>
      </c>
      <c r="E2064" t="s">
        <v>1589</v>
      </c>
      <c r="F2064" t="str">
        <f>"004600012311"</f>
        <v>004600012311</v>
      </c>
      <c r="G2064" t="s">
        <v>3353</v>
      </c>
      <c r="H2064">
        <v>371.03100000000001</v>
      </c>
    </row>
    <row r="2065" spans="1:8" x14ac:dyDescent="0.3">
      <c r="A2065" t="s">
        <v>6</v>
      </c>
      <c r="B2065" t="s">
        <v>7</v>
      </c>
      <c r="C2065" t="s">
        <v>1321</v>
      </c>
      <c r="D2065" t="s">
        <v>9</v>
      </c>
      <c r="E2065" t="s">
        <v>1325</v>
      </c>
      <c r="F2065" t="str">
        <f>"004280011500"</f>
        <v>004280011500</v>
      </c>
      <c r="G2065" t="s">
        <v>2887</v>
      </c>
      <c r="H2065" s="4">
        <v>363.63900000000001</v>
      </c>
    </row>
    <row r="2066" spans="1:8" x14ac:dyDescent="0.3">
      <c r="A2066" t="s">
        <v>6</v>
      </c>
      <c r="B2066" t="s">
        <v>7</v>
      </c>
      <c r="C2066" t="s">
        <v>1679</v>
      </c>
      <c r="D2066" t="s">
        <v>9</v>
      </c>
      <c r="E2066" t="s">
        <v>1684</v>
      </c>
      <c r="F2066" t="str">
        <f>"002190849335"</f>
        <v>002190849335</v>
      </c>
      <c r="G2066" t="s">
        <v>3450</v>
      </c>
      <c r="H2066">
        <v>362.50299999999999</v>
      </c>
    </row>
    <row r="2067" spans="1:8" x14ac:dyDescent="0.3">
      <c r="A2067" t="s">
        <v>6</v>
      </c>
      <c r="B2067" t="s">
        <v>7</v>
      </c>
      <c r="C2067" t="s">
        <v>1695</v>
      </c>
      <c r="D2067" t="s">
        <v>9</v>
      </c>
      <c r="E2067" t="s">
        <v>1709</v>
      </c>
      <c r="F2067" t="str">
        <f>"002190846527"</f>
        <v>002190846527</v>
      </c>
      <c r="G2067" t="s">
        <v>3473</v>
      </c>
      <c r="H2067">
        <v>359.68599999999998</v>
      </c>
    </row>
    <row r="2068" spans="1:8" x14ac:dyDescent="0.3">
      <c r="A2068" t="s">
        <v>6</v>
      </c>
      <c r="B2068" t="s">
        <v>7</v>
      </c>
      <c r="C2068" t="s">
        <v>381</v>
      </c>
      <c r="D2068" t="s">
        <v>9</v>
      </c>
      <c r="E2068" t="s">
        <v>433</v>
      </c>
      <c r="F2068" t="str">
        <f>"001600045696"</f>
        <v>001600045696</v>
      </c>
      <c r="G2068" t="s">
        <v>3159</v>
      </c>
      <c r="H2068">
        <v>357.404</v>
      </c>
    </row>
    <row r="2069" spans="1:8" x14ac:dyDescent="0.3">
      <c r="A2069" t="s">
        <v>6</v>
      </c>
      <c r="B2069" t="s">
        <v>7</v>
      </c>
      <c r="C2069" t="s">
        <v>2113</v>
      </c>
      <c r="D2069" t="s">
        <v>9</v>
      </c>
      <c r="E2069" t="s">
        <v>2186</v>
      </c>
      <c r="F2069" t="str">
        <f>"001600015603"</f>
        <v>001600015603</v>
      </c>
      <c r="G2069" t="s">
        <v>4391</v>
      </c>
      <c r="H2069">
        <v>356.39</v>
      </c>
    </row>
    <row r="2070" spans="1:8" x14ac:dyDescent="0.3">
      <c r="A2070" t="s">
        <v>6</v>
      </c>
      <c r="B2070" t="s">
        <v>7</v>
      </c>
      <c r="C2070" t="s">
        <v>2113</v>
      </c>
      <c r="D2070" t="s">
        <v>9</v>
      </c>
      <c r="E2070" t="s">
        <v>2219</v>
      </c>
      <c r="F2070" t="str">
        <f>"001600019387"</f>
        <v>001600019387</v>
      </c>
      <c r="G2070" t="s">
        <v>4419</v>
      </c>
      <c r="H2070">
        <v>348.92099999999999</v>
      </c>
    </row>
    <row r="2071" spans="1:8" x14ac:dyDescent="0.3">
      <c r="A2071" t="s">
        <v>6</v>
      </c>
      <c r="B2071" t="s">
        <v>7</v>
      </c>
      <c r="C2071" t="s">
        <v>985</v>
      </c>
      <c r="D2071" t="s">
        <v>9</v>
      </c>
      <c r="E2071" t="s">
        <v>1030</v>
      </c>
      <c r="F2071" t="str">
        <f>"001356211743"</f>
        <v>001356211743</v>
      </c>
      <c r="G2071" t="s">
        <v>2629</v>
      </c>
      <c r="H2071" s="4">
        <v>342.483</v>
      </c>
    </row>
    <row r="2072" spans="1:8" x14ac:dyDescent="0.3">
      <c r="A2072" t="s">
        <v>6</v>
      </c>
      <c r="B2072" t="s">
        <v>7</v>
      </c>
      <c r="C2072" t="s">
        <v>616</v>
      </c>
      <c r="D2072" t="s">
        <v>9</v>
      </c>
      <c r="E2072" t="s">
        <v>647</v>
      </c>
      <c r="F2072" t="str">
        <f>"073215311777"</f>
        <v>073215311777</v>
      </c>
      <c r="G2072" t="s">
        <v>3618</v>
      </c>
      <c r="H2072">
        <v>342.14</v>
      </c>
    </row>
    <row r="2073" spans="1:8" x14ac:dyDescent="0.3">
      <c r="A2073" t="s">
        <v>6</v>
      </c>
      <c r="B2073" t="s">
        <v>7</v>
      </c>
      <c r="C2073" t="s">
        <v>1397</v>
      </c>
      <c r="D2073" t="s">
        <v>9</v>
      </c>
      <c r="E2073" t="s">
        <v>1480</v>
      </c>
      <c r="F2073" t="str">
        <f>"001600017947"</f>
        <v>001600017947</v>
      </c>
      <c r="G2073" t="s">
        <v>3027</v>
      </c>
      <c r="H2073">
        <v>339.59</v>
      </c>
    </row>
    <row r="2074" spans="1:8" x14ac:dyDescent="0.3">
      <c r="A2074" t="s">
        <v>6</v>
      </c>
      <c r="B2074" t="s">
        <v>7</v>
      </c>
      <c r="C2074" t="s">
        <v>1805</v>
      </c>
      <c r="D2074" t="s">
        <v>9</v>
      </c>
      <c r="E2074" t="s">
        <v>1907</v>
      </c>
      <c r="F2074" t="str">
        <f>"001800012449"</f>
        <v>001800012449</v>
      </c>
      <c r="G2074" t="s">
        <v>3791</v>
      </c>
      <c r="H2074">
        <v>338.90600000000001</v>
      </c>
    </row>
    <row r="2075" spans="1:8" x14ac:dyDescent="0.3">
      <c r="A2075" t="s">
        <v>6</v>
      </c>
      <c r="B2075" t="s">
        <v>7</v>
      </c>
      <c r="C2075" t="s">
        <v>616</v>
      </c>
      <c r="D2075" t="s">
        <v>9</v>
      </c>
      <c r="E2075" t="s">
        <v>664</v>
      </c>
      <c r="F2075" t="str">
        <f>"002190850934"</f>
        <v>002190850934</v>
      </c>
      <c r="G2075" t="s">
        <v>3634</v>
      </c>
      <c r="H2075">
        <v>333.17500000000001</v>
      </c>
    </row>
    <row r="2076" spans="1:8" x14ac:dyDescent="0.3">
      <c r="A2076" t="s">
        <v>6</v>
      </c>
      <c r="B2076" t="s">
        <v>7</v>
      </c>
      <c r="C2076" t="s">
        <v>8</v>
      </c>
      <c r="D2076" t="s">
        <v>9</v>
      </c>
      <c r="E2076" t="s">
        <v>273</v>
      </c>
      <c r="F2076" t="str">
        <f>"001600012683"</f>
        <v>001600012683</v>
      </c>
      <c r="G2076" t="s">
        <v>4225</v>
      </c>
      <c r="H2076">
        <v>332.35300000000001</v>
      </c>
    </row>
    <row r="2077" spans="1:8" x14ac:dyDescent="0.3">
      <c r="A2077" t="s">
        <v>6</v>
      </c>
      <c r="B2077" t="s">
        <v>7</v>
      </c>
      <c r="C2077" t="s">
        <v>2113</v>
      </c>
      <c r="D2077" t="s">
        <v>9</v>
      </c>
      <c r="E2077" t="s">
        <v>2222</v>
      </c>
      <c r="F2077" t="str">
        <f>"001600019383"</f>
        <v>001600019383</v>
      </c>
      <c r="G2077" t="s">
        <v>4422</v>
      </c>
      <c r="H2077">
        <v>332.03800000000001</v>
      </c>
    </row>
    <row r="2078" spans="1:8" x14ac:dyDescent="0.3">
      <c r="A2078" t="s">
        <v>6</v>
      </c>
      <c r="B2078" t="s">
        <v>7</v>
      </c>
      <c r="C2078" t="s">
        <v>381</v>
      </c>
      <c r="D2078" t="s">
        <v>9</v>
      </c>
      <c r="E2078" t="s">
        <v>416</v>
      </c>
      <c r="F2078" t="str">
        <f>"001600032441"</f>
        <v>001600032441</v>
      </c>
      <c r="G2078" t="s">
        <v>2389</v>
      </c>
      <c r="H2078">
        <v>329.08800000000002</v>
      </c>
    </row>
    <row r="2079" spans="1:8" x14ac:dyDescent="0.3">
      <c r="A2079" t="s">
        <v>6</v>
      </c>
      <c r="B2079" t="s">
        <v>7</v>
      </c>
      <c r="C2079" t="s">
        <v>1122</v>
      </c>
      <c r="D2079" t="s">
        <v>9</v>
      </c>
      <c r="E2079" t="s">
        <v>1181</v>
      </c>
      <c r="F2079" t="str">
        <f>"001600015227"</f>
        <v>001600015227</v>
      </c>
      <c r="G2079" t="s">
        <v>2769</v>
      </c>
      <c r="H2079" s="4">
        <v>326.685</v>
      </c>
    </row>
    <row r="2080" spans="1:8" x14ac:dyDescent="0.3">
      <c r="A2080" t="s">
        <v>6</v>
      </c>
      <c r="B2080" t="s">
        <v>7</v>
      </c>
      <c r="C2080" t="s">
        <v>1397</v>
      </c>
      <c r="D2080" t="s">
        <v>9</v>
      </c>
      <c r="E2080" t="s">
        <v>1423</v>
      </c>
      <c r="F2080" t="str">
        <f>"002190811673"</f>
        <v>002190811673</v>
      </c>
      <c r="G2080" t="s">
        <v>2975</v>
      </c>
      <c r="H2080">
        <v>326.29000000000002</v>
      </c>
    </row>
    <row r="2081" spans="1:8" x14ac:dyDescent="0.3">
      <c r="A2081" t="s">
        <v>6</v>
      </c>
      <c r="B2081" t="s">
        <v>7</v>
      </c>
      <c r="C2081" t="s">
        <v>381</v>
      </c>
      <c r="D2081" t="s">
        <v>9</v>
      </c>
      <c r="E2081" t="s">
        <v>552</v>
      </c>
      <c r="F2081" t="str">
        <f>"001600048982"</f>
        <v>001600048982</v>
      </c>
      <c r="G2081" t="s">
        <v>3275</v>
      </c>
      <c r="H2081">
        <v>324.52699999999999</v>
      </c>
    </row>
    <row r="2082" spans="1:8" x14ac:dyDescent="0.3">
      <c r="A2082" t="s">
        <v>6</v>
      </c>
      <c r="B2082" t="s">
        <v>7</v>
      </c>
      <c r="C2082" t="s">
        <v>797</v>
      </c>
      <c r="D2082" t="s">
        <v>9</v>
      </c>
      <c r="E2082" t="s">
        <v>977</v>
      </c>
      <c r="F2082" t="str">
        <f>"001600014905"</f>
        <v>001600014905</v>
      </c>
      <c r="G2082" t="s">
        <v>2574</v>
      </c>
      <c r="H2082" s="4">
        <v>320.85000000000002</v>
      </c>
    </row>
    <row r="2083" spans="1:8" x14ac:dyDescent="0.3">
      <c r="A2083" t="s">
        <v>6</v>
      </c>
      <c r="B2083" t="s">
        <v>7</v>
      </c>
      <c r="C2083" t="s">
        <v>797</v>
      </c>
      <c r="D2083" t="s">
        <v>9</v>
      </c>
      <c r="E2083" t="s">
        <v>975</v>
      </c>
      <c r="F2083" t="str">
        <f>"001600043130"</f>
        <v>001600043130</v>
      </c>
      <c r="G2083" t="s">
        <v>2389</v>
      </c>
      <c r="H2083" s="4">
        <v>320.74</v>
      </c>
    </row>
    <row r="2084" spans="1:8" x14ac:dyDescent="0.3">
      <c r="A2084" t="s">
        <v>6</v>
      </c>
      <c r="B2084" t="s">
        <v>7</v>
      </c>
      <c r="C2084" t="s">
        <v>1397</v>
      </c>
      <c r="D2084" t="s">
        <v>9</v>
      </c>
      <c r="E2084" t="s">
        <v>1481</v>
      </c>
      <c r="F2084" t="str">
        <f>"001600018929"</f>
        <v>001600018929</v>
      </c>
      <c r="G2084" t="s">
        <v>3028</v>
      </c>
      <c r="H2084">
        <v>318.41500000000002</v>
      </c>
    </row>
    <row r="2085" spans="1:8" x14ac:dyDescent="0.3">
      <c r="A2085" t="s">
        <v>6</v>
      </c>
      <c r="B2085" t="s">
        <v>7</v>
      </c>
      <c r="C2085" t="s">
        <v>2113</v>
      </c>
      <c r="D2085" t="s">
        <v>9</v>
      </c>
      <c r="E2085" t="s">
        <v>2119</v>
      </c>
      <c r="F2085" t="str">
        <f>"001600015084"</f>
        <v>001600015084</v>
      </c>
      <c r="G2085" t="s">
        <v>4328</v>
      </c>
      <c r="H2085">
        <v>316.74</v>
      </c>
    </row>
    <row r="2086" spans="1:8" x14ac:dyDescent="0.3">
      <c r="A2086" t="s">
        <v>6</v>
      </c>
      <c r="B2086" t="s">
        <v>7</v>
      </c>
      <c r="C2086" t="s">
        <v>2113</v>
      </c>
      <c r="D2086" t="s">
        <v>9</v>
      </c>
      <c r="E2086" t="s">
        <v>2150</v>
      </c>
      <c r="F2086" t="str">
        <f>"001600014424"</f>
        <v>001600014424</v>
      </c>
      <c r="G2086" t="s">
        <v>4358</v>
      </c>
      <c r="H2086">
        <v>316.00099999999998</v>
      </c>
    </row>
    <row r="2087" spans="1:8" x14ac:dyDescent="0.3">
      <c r="A2087" t="s">
        <v>6</v>
      </c>
      <c r="B2087" t="s">
        <v>7</v>
      </c>
      <c r="C2087" t="s">
        <v>1805</v>
      </c>
      <c r="D2087" t="s">
        <v>9</v>
      </c>
      <c r="E2087" t="s">
        <v>1913</v>
      </c>
      <c r="F2087" t="str">
        <f>"001800012625"</f>
        <v>001800012625</v>
      </c>
      <c r="G2087" t="s">
        <v>3797</v>
      </c>
      <c r="H2087">
        <v>314.20100000000002</v>
      </c>
    </row>
    <row r="2088" spans="1:8" x14ac:dyDescent="0.3">
      <c r="A2088" t="s">
        <v>6</v>
      </c>
      <c r="B2088" t="s">
        <v>7</v>
      </c>
      <c r="C2088" t="s">
        <v>1805</v>
      </c>
      <c r="D2088" t="s">
        <v>9</v>
      </c>
      <c r="E2088" t="s">
        <v>1827</v>
      </c>
      <c r="F2088" t="str">
        <f>"001800011761"</f>
        <v>001800011761</v>
      </c>
      <c r="G2088" t="s">
        <v>3759</v>
      </c>
      <c r="H2088">
        <v>310.32100000000003</v>
      </c>
    </row>
    <row r="2089" spans="1:8" x14ac:dyDescent="0.3">
      <c r="A2089" t="s">
        <v>6</v>
      </c>
      <c r="B2089" t="s">
        <v>7</v>
      </c>
      <c r="C2089" t="s">
        <v>1072</v>
      </c>
      <c r="D2089" t="s">
        <v>9</v>
      </c>
      <c r="E2089" t="s">
        <v>1074</v>
      </c>
      <c r="F2089" t="str">
        <f>"001600046141"</f>
        <v>001600046141</v>
      </c>
      <c r="G2089" t="s">
        <v>2670</v>
      </c>
      <c r="H2089" s="4">
        <v>306.23899999999998</v>
      </c>
    </row>
    <row r="2090" spans="1:8" x14ac:dyDescent="0.3">
      <c r="A2090" t="s">
        <v>6</v>
      </c>
      <c r="B2090" t="s">
        <v>7</v>
      </c>
      <c r="C2090" t="s">
        <v>2113</v>
      </c>
      <c r="D2090" t="s">
        <v>9</v>
      </c>
      <c r="E2090" t="s">
        <v>2166</v>
      </c>
      <c r="F2090" t="str">
        <f>"001600016195"</f>
        <v>001600016195</v>
      </c>
      <c r="G2090" t="s">
        <v>4374</v>
      </c>
      <c r="H2090">
        <v>293.613</v>
      </c>
    </row>
    <row r="2091" spans="1:8" x14ac:dyDescent="0.3">
      <c r="A2091" t="s">
        <v>6</v>
      </c>
      <c r="B2091" t="s">
        <v>7</v>
      </c>
      <c r="C2091" t="s">
        <v>8</v>
      </c>
      <c r="D2091" t="s">
        <v>9</v>
      </c>
      <c r="E2091" t="s">
        <v>22</v>
      </c>
      <c r="F2091" t="str">
        <f>"001356211684"</f>
        <v>001356211684</v>
      </c>
      <c r="G2091" t="s">
        <v>4008</v>
      </c>
      <c r="H2091">
        <v>290.49599999999998</v>
      </c>
    </row>
    <row r="2092" spans="1:8" x14ac:dyDescent="0.3">
      <c r="A2092" t="s">
        <v>6</v>
      </c>
      <c r="B2092" t="s">
        <v>7</v>
      </c>
      <c r="C2092" t="s">
        <v>8</v>
      </c>
      <c r="D2092" t="s">
        <v>9</v>
      </c>
      <c r="E2092" t="s">
        <v>84</v>
      </c>
      <c r="F2092" t="str">
        <f>"001600016935"</f>
        <v>001600016935</v>
      </c>
      <c r="G2092" t="s">
        <v>4059</v>
      </c>
      <c r="H2092">
        <v>287.24</v>
      </c>
    </row>
    <row r="2093" spans="1:8" x14ac:dyDescent="0.3">
      <c r="A2093" t="s">
        <v>6</v>
      </c>
      <c r="B2093" t="s">
        <v>7</v>
      </c>
      <c r="C2093" t="s">
        <v>1397</v>
      </c>
      <c r="D2093" t="s">
        <v>9</v>
      </c>
      <c r="E2093" t="s">
        <v>1405</v>
      </c>
      <c r="F2093" t="str">
        <f>"001356200258"</f>
        <v>001356200258</v>
      </c>
      <c r="G2093" t="s">
        <v>2958</v>
      </c>
      <c r="H2093">
        <v>282.51</v>
      </c>
    </row>
    <row r="2094" spans="1:8" x14ac:dyDescent="0.3">
      <c r="A2094" t="s">
        <v>6</v>
      </c>
      <c r="B2094" t="s">
        <v>7</v>
      </c>
      <c r="C2094" t="s">
        <v>1748</v>
      </c>
      <c r="D2094" t="s">
        <v>9</v>
      </c>
      <c r="E2094" t="s">
        <v>1756</v>
      </c>
      <c r="F2094" t="str">
        <f>"009232533345"</f>
        <v>009232533345</v>
      </c>
      <c r="G2094" t="s">
        <v>3518</v>
      </c>
      <c r="H2094">
        <v>274.74200000000002</v>
      </c>
    </row>
    <row r="2095" spans="1:8" x14ac:dyDescent="0.3">
      <c r="A2095" t="s">
        <v>6</v>
      </c>
      <c r="B2095" t="s">
        <v>7</v>
      </c>
      <c r="C2095" t="s">
        <v>1122</v>
      </c>
      <c r="D2095" t="s">
        <v>9</v>
      </c>
      <c r="E2095" t="s">
        <v>1238</v>
      </c>
      <c r="F2095" t="str">
        <f>"001600020721"</f>
        <v>001600020721</v>
      </c>
      <c r="G2095" t="s">
        <v>2810</v>
      </c>
      <c r="H2095" s="4">
        <v>270.81</v>
      </c>
    </row>
    <row r="2096" spans="1:8" x14ac:dyDescent="0.3">
      <c r="A2096" t="s">
        <v>6</v>
      </c>
      <c r="B2096" t="s">
        <v>7</v>
      </c>
      <c r="C2096" t="s">
        <v>1805</v>
      </c>
      <c r="D2096" t="s">
        <v>9</v>
      </c>
      <c r="E2096" t="s">
        <v>1836</v>
      </c>
      <c r="F2096" t="str">
        <f>"001800011759"</f>
        <v>001800011759</v>
      </c>
      <c r="G2096" t="s">
        <v>3766</v>
      </c>
      <c r="H2096">
        <v>267.86399999999998</v>
      </c>
    </row>
    <row r="2097" spans="1:8" x14ac:dyDescent="0.3">
      <c r="A2097" t="s">
        <v>6</v>
      </c>
      <c r="B2097" t="s">
        <v>7</v>
      </c>
      <c r="C2097" t="s">
        <v>1940</v>
      </c>
      <c r="D2097" t="s">
        <v>9</v>
      </c>
      <c r="E2097" t="s">
        <v>2056</v>
      </c>
      <c r="F2097" t="str">
        <f>"007047015413"</f>
        <v>007047015413</v>
      </c>
      <c r="G2097" t="s">
        <v>3943</v>
      </c>
      <c r="H2097">
        <v>266.928</v>
      </c>
    </row>
    <row r="2098" spans="1:8" x14ac:dyDescent="0.3">
      <c r="A2098" t="s">
        <v>6</v>
      </c>
      <c r="B2098" t="s">
        <v>7</v>
      </c>
      <c r="C2098" t="s">
        <v>1095</v>
      </c>
      <c r="D2098" t="s">
        <v>9</v>
      </c>
      <c r="E2098" t="s">
        <v>1103</v>
      </c>
      <c r="F2098" t="str">
        <f>"001600058472"</f>
        <v>001600058472</v>
      </c>
      <c r="G2098" t="s">
        <v>2389</v>
      </c>
      <c r="H2098" s="4">
        <v>262.83999999999997</v>
      </c>
    </row>
    <row r="2099" spans="1:8" x14ac:dyDescent="0.3">
      <c r="A2099" t="s">
        <v>6</v>
      </c>
      <c r="B2099" t="s">
        <v>7</v>
      </c>
      <c r="C2099" t="s">
        <v>2113</v>
      </c>
      <c r="D2099" t="s">
        <v>9</v>
      </c>
      <c r="E2099" t="s">
        <v>2210</v>
      </c>
      <c r="F2099" t="str">
        <f>"001600018438"</f>
        <v>001600018438</v>
      </c>
      <c r="G2099" t="s">
        <v>2389</v>
      </c>
      <c r="H2099">
        <v>260.39100000000002</v>
      </c>
    </row>
    <row r="2100" spans="1:8" x14ac:dyDescent="0.3">
      <c r="A2100" t="s">
        <v>6</v>
      </c>
      <c r="B2100" t="s">
        <v>7</v>
      </c>
      <c r="C2100" t="s">
        <v>985</v>
      </c>
      <c r="D2100" t="s">
        <v>9</v>
      </c>
      <c r="E2100" t="s">
        <v>1024</v>
      </c>
      <c r="F2100" t="str">
        <f>"001356212945"</f>
        <v>001356212945</v>
      </c>
      <c r="G2100" t="s">
        <v>2623</v>
      </c>
      <c r="H2100" s="4">
        <v>260.19</v>
      </c>
    </row>
    <row r="2101" spans="1:8" x14ac:dyDescent="0.3">
      <c r="A2101" t="s">
        <v>6</v>
      </c>
      <c r="B2101" t="s">
        <v>7</v>
      </c>
      <c r="C2101" t="s">
        <v>1577</v>
      </c>
      <c r="D2101" t="s">
        <v>9</v>
      </c>
      <c r="E2101" t="s">
        <v>1628</v>
      </c>
      <c r="F2101" t="str">
        <f>"004600083254"</f>
        <v>004600083254</v>
      </c>
      <c r="G2101" t="s">
        <v>2389</v>
      </c>
      <c r="H2101">
        <v>259.23</v>
      </c>
    </row>
    <row r="2102" spans="1:8" x14ac:dyDescent="0.3">
      <c r="A2102" t="s">
        <v>6</v>
      </c>
      <c r="B2102" t="s">
        <v>7</v>
      </c>
      <c r="C2102" t="s">
        <v>8</v>
      </c>
      <c r="D2102" t="s">
        <v>9</v>
      </c>
      <c r="E2102" t="s">
        <v>142</v>
      </c>
      <c r="F2102" t="str">
        <f>"001600018005"</f>
        <v>001600018005</v>
      </c>
      <c r="G2102" t="s">
        <v>2389</v>
      </c>
      <c r="H2102">
        <v>258.69</v>
      </c>
    </row>
    <row r="2103" spans="1:8" x14ac:dyDescent="0.3">
      <c r="A2103" t="s">
        <v>6</v>
      </c>
      <c r="B2103" t="s">
        <v>7</v>
      </c>
      <c r="C2103" t="s">
        <v>797</v>
      </c>
      <c r="D2103" t="s">
        <v>9</v>
      </c>
      <c r="E2103" t="s">
        <v>848</v>
      </c>
      <c r="F2103" t="str">
        <f>"001600017524"</f>
        <v>001600017524</v>
      </c>
      <c r="G2103" t="s">
        <v>2443</v>
      </c>
      <c r="H2103" s="4">
        <v>257.101</v>
      </c>
    </row>
    <row r="2104" spans="1:8" x14ac:dyDescent="0.3">
      <c r="A2104" t="s">
        <v>6</v>
      </c>
      <c r="B2104" t="s">
        <v>7</v>
      </c>
      <c r="C2104" t="s">
        <v>381</v>
      </c>
      <c r="D2104" t="s">
        <v>9</v>
      </c>
      <c r="E2104" t="s">
        <v>478</v>
      </c>
      <c r="F2104" t="str">
        <f>"001600048983"</f>
        <v>001600048983</v>
      </c>
      <c r="G2104" t="s">
        <v>3206</v>
      </c>
      <c r="H2104">
        <v>256.99099999999999</v>
      </c>
    </row>
    <row r="2105" spans="1:8" x14ac:dyDescent="0.3">
      <c r="A2105" t="s">
        <v>6</v>
      </c>
      <c r="B2105" t="s">
        <v>7</v>
      </c>
      <c r="C2105" t="s">
        <v>381</v>
      </c>
      <c r="D2105" t="s">
        <v>9</v>
      </c>
      <c r="E2105" t="s">
        <v>563</v>
      </c>
      <c r="F2105" t="str">
        <f>"001600049554"</f>
        <v>001600049554</v>
      </c>
      <c r="G2105" t="s">
        <v>3285</v>
      </c>
      <c r="H2105">
        <v>253.06200000000001</v>
      </c>
    </row>
    <row r="2106" spans="1:8" x14ac:dyDescent="0.3">
      <c r="A2106" t="s">
        <v>6</v>
      </c>
      <c r="B2106" t="s">
        <v>7</v>
      </c>
      <c r="C2106" t="s">
        <v>381</v>
      </c>
      <c r="D2106" t="s">
        <v>9</v>
      </c>
      <c r="E2106" t="s">
        <v>449</v>
      </c>
      <c r="F2106" t="str">
        <f>"001600045682"</f>
        <v>001600045682</v>
      </c>
      <c r="G2106" t="s">
        <v>3175</v>
      </c>
      <c r="H2106">
        <v>249.363</v>
      </c>
    </row>
    <row r="2107" spans="1:8" x14ac:dyDescent="0.3">
      <c r="A2107" t="s">
        <v>6</v>
      </c>
      <c r="B2107" t="s">
        <v>7</v>
      </c>
      <c r="C2107" t="s">
        <v>1748</v>
      </c>
      <c r="D2107" t="s">
        <v>9</v>
      </c>
      <c r="E2107" t="s">
        <v>1763</v>
      </c>
      <c r="F2107" t="str">
        <f>"009232533320"</f>
        <v>009232533320</v>
      </c>
      <c r="G2107" t="s">
        <v>3525</v>
      </c>
      <c r="H2107">
        <v>245.273</v>
      </c>
    </row>
    <row r="2108" spans="1:8" x14ac:dyDescent="0.3">
      <c r="A2108" t="s">
        <v>6</v>
      </c>
      <c r="B2108" t="s">
        <v>7</v>
      </c>
      <c r="C2108" t="s">
        <v>1122</v>
      </c>
      <c r="D2108" t="s">
        <v>9</v>
      </c>
      <c r="E2108" t="s">
        <v>1259</v>
      </c>
      <c r="F2108" t="str">
        <f>"001600028544"</f>
        <v>001600028544</v>
      </c>
      <c r="G2108" t="s">
        <v>2389</v>
      </c>
      <c r="H2108" s="4">
        <v>243.96700000000001</v>
      </c>
    </row>
    <row r="2109" spans="1:8" x14ac:dyDescent="0.3">
      <c r="A2109" t="s">
        <v>6</v>
      </c>
      <c r="B2109" t="s">
        <v>7</v>
      </c>
      <c r="C2109" t="s">
        <v>8</v>
      </c>
      <c r="D2109" t="s">
        <v>9</v>
      </c>
      <c r="E2109" t="s">
        <v>170</v>
      </c>
      <c r="F2109" t="str">
        <f>"001600012253"</f>
        <v>001600012253</v>
      </c>
      <c r="G2109" t="s">
        <v>4130</v>
      </c>
      <c r="H2109">
        <v>243.43100000000001</v>
      </c>
    </row>
    <row r="2110" spans="1:8" x14ac:dyDescent="0.3">
      <c r="A2110" t="s">
        <v>6</v>
      </c>
      <c r="B2110" t="s">
        <v>7</v>
      </c>
      <c r="C2110" t="s">
        <v>2113</v>
      </c>
      <c r="D2110" t="s">
        <v>9</v>
      </c>
      <c r="E2110" t="s">
        <v>2213</v>
      </c>
      <c r="F2110" t="str">
        <f>"001600018393"</f>
        <v>001600018393</v>
      </c>
      <c r="G2110" t="s">
        <v>4414</v>
      </c>
      <c r="H2110">
        <v>241.91499999999999</v>
      </c>
    </row>
    <row r="2111" spans="1:8" x14ac:dyDescent="0.3">
      <c r="A2111" t="s">
        <v>6</v>
      </c>
      <c r="B2111" t="s">
        <v>7</v>
      </c>
      <c r="C2111" t="s">
        <v>616</v>
      </c>
      <c r="D2111" t="s">
        <v>9</v>
      </c>
      <c r="E2111" t="s">
        <v>714</v>
      </c>
      <c r="F2111" t="str">
        <f>"002190810051"</f>
        <v>002190810051</v>
      </c>
      <c r="G2111" t="s">
        <v>3684</v>
      </c>
      <c r="H2111">
        <v>239.95</v>
      </c>
    </row>
    <row r="2112" spans="1:8" x14ac:dyDescent="0.3">
      <c r="A2112" t="s">
        <v>6</v>
      </c>
      <c r="B2112" t="s">
        <v>7</v>
      </c>
      <c r="C2112" t="s">
        <v>797</v>
      </c>
      <c r="D2112" t="s">
        <v>9</v>
      </c>
      <c r="E2112" t="s">
        <v>830</v>
      </c>
      <c r="F2112" t="str">
        <f>"001600016109"</f>
        <v>001600016109</v>
      </c>
      <c r="G2112" t="s">
        <v>2426</v>
      </c>
      <c r="H2112" s="4">
        <v>238.94</v>
      </c>
    </row>
    <row r="2113" spans="1:8" x14ac:dyDescent="0.3">
      <c r="A2113" t="s">
        <v>6</v>
      </c>
      <c r="B2113" t="s">
        <v>7</v>
      </c>
      <c r="C2113" t="s">
        <v>1805</v>
      </c>
      <c r="D2113" t="s">
        <v>9</v>
      </c>
      <c r="E2113" t="s">
        <v>1893</v>
      </c>
      <c r="F2113" t="str">
        <f>"001800011624"</f>
        <v>001800011624</v>
      </c>
      <c r="G2113" t="s">
        <v>3782</v>
      </c>
      <c r="H2113">
        <v>238.39500000000001</v>
      </c>
    </row>
    <row r="2114" spans="1:8" x14ac:dyDescent="0.3">
      <c r="A2114" t="s">
        <v>6</v>
      </c>
      <c r="B2114" t="s">
        <v>7</v>
      </c>
      <c r="C2114" t="s">
        <v>381</v>
      </c>
      <c r="D2114" t="s">
        <v>9</v>
      </c>
      <c r="E2114" t="s">
        <v>481</v>
      </c>
      <c r="F2114" t="str">
        <f>"001600027288"</f>
        <v>001600027288</v>
      </c>
      <c r="G2114" t="s">
        <v>3208</v>
      </c>
      <c r="H2114">
        <v>235.95099999999999</v>
      </c>
    </row>
    <row r="2115" spans="1:8" x14ac:dyDescent="0.3">
      <c r="A2115" t="s">
        <v>6</v>
      </c>
      <c r="B2115" t="s">
        <v>7</v>
      </c>
      <c r="C2115" t="s">
        <v>1695</v>
      </c>
      <c r="D2115" t="s">
        <v>9</v>
      </c>
      <c r="E2115" t="s">
        <v>1711</v>
      </c>
      <c r="F2115" t="str">
        <f>"002190812811"</f>
        <v>002190812811</v>
      </c>
      <c r="G2115" t="s">
        <v>3475</v>
      </c>
      <c r="H2115">
        <v>233.10499999999999</v>
      </c>
    </row>
    <row r="2116" spans="1:8" x14ac:dyDescent="0.3">
      <c r="A2116" t="s">
        <v>6</v>
      </c>
      <c r="B2116" t="s">
        <v>7</v>
      </c>
      <c r="C2116" t="s">
        <v>1397</v>
      </c>
      <c r="D2116" t="s">
        <v>9</v>
      </c>
      <c r="E2116" t="s">
        <v>1519</v>
      </c>
      <c r="F2116" t="str">
        <f>"004119627747"</f>
        <v>004119627747</v>
      </c>
      <c r="G2116" t="s">
        <v>3063</v>
      </c>
      <c r="H2116">
        <v>233.01400000000001</v>
      </c>
    </row>
    <row r="2117" spans="1:8" x14ac:dyDescent="0.3">
      <c r="A2117" t="s">
        <v>6</v>
      </c>
      <c r="B2117" t="s">
        <v>7</v>
      </c>
      <c r="C2117" t="s">
        <v>1072</v>
      </c>
      <c r="D2117" t="s">
        <v>9</v>
      </c>
      <c r="E2117" t="s">
        <v>1073</v>
      </c>
      <c r="F2117" t="str">
        <f>"001600046143"</f>
        <v>001600046143</v>
      </c>
      <c r="G2117" t="s">
        <v>2665</v>
      </c>
      <c r="H2117" s="4">
        <v>228.26300000000001</v>
      </c>
    </row>
    <row r="2118" spans="1:8" x14ac:dyDescent="0.3">
      <c r="A2118" t="s">
        <v>6</v>
      </c>
      <c r="B2118" t="s">
        <v>7</v>
      </c>
      <c r="C2118" t="s">
        <v>797</v>
      </c>
      <c r="D2118" t="s">
        <v>9</v>
      </c>
      <c r="E2118" t="s">
        <v>799</v>
      </c>
      <c r="F2118" t="str">
        <f>"001356210295"</f>
        <v>001356210295</v>
      </c>
      <c r="G2118" t="s">
        <v>2396</v>
      </c>
      <c r="H2118" s="4">
        <v>225.91</v>
      </c>
    </row>
    <row r="2119" spans="1:8" x14ac:dyDescent="0.3">
      <c r="A2119" t="s">
        <v>6</v>
      </c>
      <c r="B2119" t="s">
        <v>7</v>
      </c>
      <c r="C2119" t="s">
        <v>1729</v>
      </c>
      <c r="D2119" t="s">
        <v>9</v>
      </c>
      <c r="E2119" t="s">
        <v>1738</v>
      </c>
      <c r="F2119" t="str">
        <f>"072534229346"</f>
        <v>072534229346</v>
      </c>
      <c r="G2119" t="s">
        <v>3501</v>
      </c>
      <c r="H2119">
        <v>224.852</v>
      </c>
    </row>
    <row r="2120" spans="1:8" x14ac:dyDescent="0.3">
      <c r="A2120" t="s">
        <v>6</v>
      </c>
      <c r="B2120" t="s">
        <v>7</v>
      </c>
      <c r="C2120" t="s">
        <v>1786</v>
      </c>
      <c r="D2120" t="s">
        <v>9</v>
      </c>
      <c r="E2120" t="s">
        <v>1798</v>
      </c>
      <c r="F2120" t="str">
        <f>"072534212942"</f>
        <v>072534212942</v>
      </c>
      <c r="G2120" t="s">
        <v>3575</v>
      </c>
      <c r="H2120">
        <v>224.3</v>
      </c>
    </row>
    <row r="2121" spans="1:8" x14ac:dyDescent="0.3">
      <c r="A2121" t="s">
        <v>6</v>
      </c>
      <c r="B2121" t="s">
        <v>7</v>
      </c>
      <c r="C2121" t="s">
        <v>616</v>
      </c>
      <c r="D2121" t="s">
        <v>9</v>
      </c>
      <c r="E2121" t="s">
        <v>681</v>
      </c>
      <c r="F2121" t="str">
        <f>"002190812986"</f>
        <v>002190812986</v>
      </c>
      <c r="G2121" t="s">
        <v>3651</v>
      </c>
      <c r="H2121">
        <v>223.31</v>
      </c>
    </row>
    <row r="2122" spans="1:8" x14ac:dyDescent="0.3">
      <c r="A2122" t="s">
        <v>6</v>
      </c>
      <c r="B2122" t="s">
        <v>7</v>
      </c>
      <c r="C2122" t="s">
        <v>1072</v>
      </c>
      <c r="D2122" t="s">
        <v>9</v>
      </c>
      <c r="E2122" t="s">
        <v>1077</v>
      </c>
      <c r="F2122" t="str">
        <f>"001600046149"</f>
        <v>001600046149</v>
      </c>
      <c r="G2122" t="s">
        <v>2681</v>
      </c>
      <c r="H2122" s="4">
        <v>221.917</v>
      </c>
    </row>
    <row r="2123" spans="1:8" x14ac:dyDescent="0.3">
      <c r="A2123" t="s">
        <v>6</v>
      </c>
      <c r="B2123" t="s">
        <v>7</v>
      </c>
      <c r="C2123" t="s">
        <v>8</v>
      </c>
      <c r="D2123" t="s">
        <v>9</v>
      </c>
      <c r="E2123" t="s">
        <v>327</v>
      </c>
      <c r="F2123" t="str">
        <f>"016000487949"</f>
        <v>016000487949</v>
      </c>
      <c r="G2123" t="s">
        <v>4274</v>
      </c>
      <c r="H2123">
        <v>221.19</v>
      </c>
    </row>
    <row r="2124" spans="1:8" x14ac:dyDescent="0.3">
      <c r="A2124" t="s">
        <v>6</v>
      </c>
      <c r="B2124" t="s">
        <v>7</v>
      </c>
      <c r="C2124" t="s">
        <v>985</v>
      </c>
      <c r="D2124" t="s">
        <v>9</v>
      </c>
      <c r="E2124" t="s">
        <v>1031</v>
      </c>
      <c r="F2124" t="str">
        <f>"001356200062"</f>
        <v>001356200062</v>
      </c>
      <c r="G2124" t="s">
        <v>2630</v>
      </c>
      <c r="H2124" s="4">
        <v>214.6</v>
      </c>
    </row>
    <row r="2125" spans="1:8" x14ac:dyDescent="0.3">
      <c r="A2125" t="s">
        <v>6</v>
      </c>
      <c r="B2125" t="s">
        <v>7</v>
      </c>
      <c r="C2125" t="s">
        <v>1397</v>
      </c>
      <c r="D2125" t="s">
        <v>9</v>
      </c>
      <c r="E2125" t="s">
        <v>1508</v>
      </c>
      <c r="F2125" t="str">
        <f>"001800013409"</f>
        <v>001800013409</v>
      </c>
      <c r="G2125" t="s">
        <v>3053</v>
      </c>
      <c r="H2125">
        <v>213.93799999999999</v>
      </c>
    </row>
    <row r="2126" spans="1:8" x14ac:dyDescent="0.3">
      <c r="A2126" t="s">
        <v>6</v>
      </c>
      <c r="B2126" t="s">
        <v>7</v>
      </c>
      <c r="C2126" t="s">
        <v>1072</v>
      </c>
      <c r="D2126" t="s">
        <v>9</v>
      </c>
      <c r="E2126" t="s">
        <v>1073</v>
      </c>
      <c r="F2126" t="str">
        <f>"001600046142"</f>
        <v>001600046142</v>
      </c>
      <c r="G2126" t="s">
        <v>2664</v>
      </c>
      <c r="H2126" s="4">
        <v>213.75399999999999</v>
      </c>
    </row>
    <row r="2127" spans="1:8" x14ac:dyDescent="0.3">
      <c r="A2127" t="s">
        <v>6</v>
      </c>
      <c r="B2127" t="s">
        <v>7</v>
      </c>
      <c r="C2127" t="s">
        <v>8</v>
      </c>
      <c r="D2127" t="s">
        <v>9</v>
      </c>
      <c r="E2127" t="s">
        <v>167</v>
      </c>
      <c r="F2127" t="str">
        <f>"016000122543"</f>
        <v>016000122543</v>
      </c>
      <c r="G2127" t="s">
        <v>4128</v>
      </c>
      <c r="H2127">
        <v>213.69</v>
      </c>
    </row>
    <row r="2128" spans="1:8" x14ac:dyDescent="0.3">
      <c r="A2128" t="s">
        <v>6</v>
      </c>
      <c r="B2128" t="s">
        <v>7</v>
      </c>
      <c r="C2128" t="s">
        <v>8</v>
      </c>
      <c r="D2128" t="s">
        <v>9</v>
      </c>
      <c r="E2128" t="s">
        <v>232</v>
      </c>
      <c r="F2128" t="str">
        <f>"001600013973"</f>
        <v>001600013973</v>
      </c>
      <c r="G2128" t="s">
        <v>4190</v>
      </c>
      <c r="H2128">
        <v>211.65700000000001</v>
      </c>
    </row>
    <row r="2129" spans="1:8" x14ac:dyDescent="0.3">
      <c r="A2129" t="s">
        <v>6</v>
      </c>
      <c r="B2129" t="s">
        <v>7</v>
      </c>
      <c r="C2129" t="s">
        <v>381</v>
      </c>
      <c r="D2129" t="s">
        <v>9</v>
      </c>
      <c r="E2129" t="s">
        <v>461</v>
      </c>
      <c r="F2129" t="str">
        <f>"001600018191"</f>
        <v>001600018191</v>
      </c>
      <c r="G2129" t="s">
        <v>3186</v>
      </c>
      <c r="H2129">
        <v>211.20099999999999</v>
      </c>
    </row>
    <row r="2130" spans="1:8" x14ac:dyDescent="0.3">
      <c r="A2130" t="s">
        <v>6</v>
      </c>
      <c r="B2130" t="s">
        <v>7</v>
      </c>
      <c r="C2130" t="s">
        <v>1748</v>
      </c>
      <c r="D2130" t="s">
        <v>9</v>
      </c>
      <c r="E2130" t="s">
        <v>1760</v>
      </c>
      <c r="F2130" t="str">
        <f>"009232533310"</f>
        <v>009232533310</v>
      </c>
      <c r="G2130" t="s">
        <v>3522</v>
      </c>
      <c r="H2130">
        <v>209.65700000000001</v>
      </c>
    </row>
    <row r="2131" spans="1:8" x14ac:dyDescent="0.3">
      <c r="A2131" t="s">
        <v>6</v>
      </c>
      <c r="B2131" t="s">
        <v>7</v>
      </c>
      <c r="C2131" t="s">
        <v>1397</v>
      </c>
      <c r="D2131" t="s">
        <v>9</v>
      </c>
      <c r="E2131" t="s">
        <v>1506</v>
      </c>
      <c r="F2131" t="str">
        <f>"001800013377"</f>
        <v>001800013377</v>
      </c>
      <c r="G2131" t="s">
        <v>3051</v>
      </c>
      <c r="H2131">
        <v>208.999</v>
      </c>
    </row>
    <row r="2132" spans="1:8" x14ac:dyDescent="0.3">
      <c r="A2132" t="s">
        <v>6</v>
      </c>
      <c r="B2132" t="s">
        <v>7</v>
      </c>
      <c r="C2132" t="s">
        <v>8</v>
      </c>
      <c r="D2132" t="s">
        <v>9</v>
      </c>
      <c r="E2132" t="s">
        <v>241</v>
      </c>
      <c r="F2132" t="str">
        <f>"016000169685"</f>
        <v>016000169685</v>
      </c>
      <c r="G2132" t="s">
        <v>4198</v>
      </c>
      <c r="H2132">
        <v>206.61</v>
      </c>
    </row>
    <row r="2133" spans="1:8" x14ac:dyDescent="0.3">
      <c r="A2133" t="s">
        <v>6</v>
      </c>
      <c r="B2133" t="s">
        <v>7</v>
      </c>
      <c r="C2133" t="s">
        <v>1397</v>
      </c>
      <c r="D2133" t="s">
        <v>9</v>
      </c>
      <c r="E2133" t="s">
        <v>1490</v>
      </c>
      <c r="F2133" t="str">
        <f>"001600017032"</f>
        <v>001600017032</v>
      </c>
      <c r="G2133" t="s">
        <v>2389</v>
      </c>
      <c r="H2133">
        <v>206.47499999999999</v>
      </c>
    </row>
    <row r="2134" spans="1:8" x14ac:dyDescent="0.3">
      <c r="A2134" t="s">
        <v>6</v>
      </c>
      <c r="B2134" t="s">
        <v>7</v>
      </c>
      <c r="C2134" t="s">
        <v>616</v>
      </c>
      <c r="D2134" t="s">
        <v>9</v>
      </c>
      <c r="E2134" t="s">
        <v>634</v>
      </c>
      <c r="F2134" t="str">
        <f>"073215312058"</f>
        <v>073215312058</v>
      </c>
      <c r="G2134" t="s">
        <v>2389</v>
      </c>
      <c r="H2134">
        <v>205.83</v>
      </c>
    </row>
    <row r="2135" spans="1:8" x14ac:dyDescent="0.3">
      <c r="A2135" t="s">
        <v>6</v>
      </c>
      <c r="B2135" t="s">
        <v>7</v>
      </c>
      <c r="C2135" t="s">
        <v>1729</v>
      </c>
      <c r="D2135" t="s">
        <v>9</v>
      </c>
      <c r="E2135" t="s">
        <v>1739</v>
      </c>
      <c r="F2135" t="str">
        <f>"072534228986"</f>
        <v>072534228986</v>
      </c>
      <c r="G2135" t="s">
        <v>3502</v>
      </c>
      <c r="H2135">
        <v>205.42099999999999</v>
      </c>
    </row>
    <row r="2136" spans="1:8" x14ac:dyDescent="0.3">
      <c r="A2136" t="s">
        <v>6</v>
      </c>
      <c r="B2136" t="s">
        <v>7</v>
      </c>
      <c r="C2136" t="s">
        <v>8</v>
      </c>
      <c r="D2136" t="s">
        <v>9</v>
      </c>
      <c r="E2136" t="s">
        <v>26</v>
      </c>
      <c r="F2136" t="str">
        <f>"009999980300"</f>
        <v>009999980300</v>
      </c>
      <c r="G2136" t="s">
        <v>2389</v>
      </c>
      <c r="H2136">
        <v>204.3</v>
      </c>
    </row>
    <row r="2137" spans="1:8" x14ac:dyDescent="0.3">
      <c r="A2137" t="s">
        <v>6</v>
      </c>
      <c r="B2137" t="s">
        <v>7</v>
      </c>
      <c r="C2137" t="s">
        <v>1122</v>
      </c>
      <c r="D2137" t="s">
        <v>9</v>
      </c>
      <c r="E2137" t="s">
        <v>1225</v>
      </c>
      <c r="F2137" t="str">
        <f>"016000147324"</f>
        <v>016000147324</v>
      </c>
      <c r="G2137" t="s">
        <v>2800</v>
      </c>
      <c r="H2137" s="4">
        <v>203.74</v>
      </c>
    </row>
    <row r="2138" spans="1:8" x14ac:dyDescent="0.3">
      <c r="A2138" t="s">
        <v>6</v>
      </c>
      <c r="B2138" t="s">
        <v>7</v>
      </c>
      <c r="C2138" t="s">
        <v>2231</v>
      </c>
      <c r="D2138" t="s">
        <v>9</v>
      </c>
      <c r="E2138" t="s">
        <v>2323</v>
      </c>
      <c r="F2138" t="str">
        <f>"004119611678"</f>
        <v>004119611678</v>
      </c>
      <c r="G2138" t="s">
        <v>4514</v>
      </c>
      <c r="H2138">
        <v>202.81299999999999</v>
      </c>
    </row>
    <row r="2139" spans="1:8" x14ac:dyDescent="0.3">
      <c r="A2139" t="s">
        <v>6</v>
      </c>
      <c r="B2139" t="s">
        <v>7</v>
      </c>
      <c r="C2139" t="s">
        <v>1397</v>
      </c>
      <c r="D2139" t="s">
        <v>9</v>
      </c>
      <c r="E2139" t="s">
        <v>1545</v>
      </c>
      <c r="F2139" t="str">
        <f>"004119610113"</f>
        <v>004119610113</v>
      </c>
      <c r="G2139" t="s">
        <v>3089</v>
      </c>
      <c r="H2139">
        <v>202.23099999999999</v>
      </c>
    </row>
    <row r="2140" spans="1:8" x14ac:dyDescent="0.3">
      <c r="A2140" t="s">
        <v>6</v>
      </c>
      <c r="B2140" t="s">
        <v>7</v>
      </c>
      <c r="C2140" t="s">
        <v>1397</v>
      </c>
      <c r="D2140" t="s">
        <v>9</v>
      </c>
      <c r="E2140" t="s">
        <v>1446</v>
      </c>
      <c r="F2140" t="str">
        <f>"073215323398"</f>
        <v>073215323398</v>
      </c>
      <c r="G2140" t="s">
        <v>2997</v>
      </c>
      <c r="H2140">
        <v>198.34800000000001</v>
      </c>
    </row>
    <row r="2141" spans="1:8" x14ac:dyDescent="0.3">
      <c r="A2141" t="s">
        <v>6</v>
      </c>
      <c r="B2141" t="s">
        <v>7</v>
      </c>
      <c r="C2141" t="s">
        <v>985</v>
      </c>
      <c r="D2141" t="s">
        <v>9</v>
      </c>
      <c r="E2141" t="s">
        <v>1025</v>
      </c>
      <c r="F2141" t="str">
        <f>"001356212119"</f>
        <v>001356212119</v>
      </c>
      <c r="G2141" t="s">
        <v>2624</v>
      </c>
      <c r="H2141" s="4">
        <v>196.1</v>
      </c>
    </row>
    <row r="2142" spans="1:8" x14ac:dyDescent="0.3">
      <c r="A2142" t="s">
        <v>6</v>
      </c>
      <c r="B2142" t="s">
        <v>7</v>
      </c>
      <c r="C2142" t="s">
        <v>2113</v>
      </c>
      <c r="D2142" t="s">
        <v>9</v>
      </c>
      <c r="E2142" t="s">
        <v>2134</v>
      </c>
      <c r="F2142" t="str">
        <f>"001600018834"</f>
        <v>001600018834</v>
      </c>
      <c r="G2142" t="s">
        <v>4343</v>
      </c>
      <c r="H2142">
        <v>194.85</v>
      </c>
    </row>
    <row r="2143" spans="1:8" x14ac:dyDescent="0.3">
      <c r="A2143" t="s">
        <v>6</v>
      </c>
      <c r="B2143" t="s">
        <v>7</v>
      </c>
      <c r="C2143" t="s">
        <v>1321</v>
      </c>
      <c r="D2143" t="s">
        <v>9</v>
      </c>
      <c r="E2143" t="s">
        <v>1324</v>
      </c>
      <c r="F2143" t="str">
        <f>"004280047491"</f>
        <v>004280047491</v>
      </c>
      <c r="G2143" t="s">
        <v>2886</v>
      </c>
      <c r="H2143" s="4">
        <v>194.76900000000001</v>
      </c>
    </row>
    <row r="2144" spans="1:8" x14ac:dyDescent="0.3">
      <c r="A2144" t="s">
        <v>6</v>
      </c>
      <c r="B2144" t="s">
        <v>7</v>
      </c>
      <c r="C2144" t="s">
        <v>8</v>
      </c>
      <c r="D2144" t="s">
        <v>9</v>
      </c>
      <c r="E2144" t="s">
        <v>30</v>
      </c>
      <c r="F2144" t="str">
        <f>"002190812023"</f>
        <v>002190812023</v>
      </c>
      <c r="G2144" t="s">
        <v>4012</v>
      </c>
      <c r="H2144">
        <v>194.03100000000001</v>
      </c>
    </row>
    <row r="2145" spans="1:8" x14ac:dyDescent="0.3">
      <c r="A2145" t="s">
        <v>6</v>
      </c>
      <c r="B2145" t="s">
        <v>7</v>
      </c>
      <c r="C2145" t="s">
        <v>616</v>
      </c>
      <c r="D2145" t="s">
        <v>9</v>
      </c>
      <c r="E2145" t="s">
        <v>737</v>
      </c>
      <c r="F2145" t="str">
        <f>"002190851545"</f>
        <v>002190851545</v>
      </c>
      <c r="G2145" t="s">
        <v>3707</v>
      </c>
      <c r="H2145">
        <v>189.91</v>
      </c>
    </row>
    <row r="2146" spans="1:8" x14ac:dyDescent="0.3">
      <c r="A2146" t="s">
        <v>6</v>
      </c>
      <c r="B2146" t="s">
        <v>7</v>
      </c>
      <c r="C2146" t="s">
        <v>8</v>
      </c>
      <c r="D2146" t="s">
        <v>9</v>
      </c>
      <c r="E2146" t="s">
        <v>189</v>
      </c>
      <c r="F2146" t="str">
        <f>"001600020621"</f>
        <v>001600020621</v>
      </c>
      <c r="G2146" t="s">
        <v>4148</v>
      </c>
      <c r="H2146">
        <v>185.17</v>
      </c>
    </row>
    <row r="2147" spans="1:8" x14ac:dyDescent="0.3">
      <c r="A2147" t="s">
        <v>6</v>
      </c>
      <c r="B2147" t="s">
        <v>7</v>
      </c>
      <c r="C2147" t="s">
        <v>8</v>
      </c>
      <c r="D2147" t="s">
        <v>9</v>
      </c>
      <c r="E2147" t="s">
        <v>308</v>
      </c>
      <c r="F2147" t="str">
        <f>"001600018459"</f>
        <v>001600018459</v>
      </c>
      <c r="G2147" t="s">
        <v>4257</v>
      </c>
      <c r="H2147">
        <v>183.82599999999999</v>
      </c>
    </row>
    <row r="2148" spans="1:8" x14ac:dyDescent="0.3">
      <c r="A2148" t="s">
        <v>6</v>
      </c>
      <c r="B2148" t="s">
        <v>7</v>
      </c>
      <c r="C2148" t="s">
        <v>381</v>
      </c>
      <c r="D2148" t="s">
        <v>9</v>
      </c>
      <c r="E2148" t="s">
        <v>509</v>
      </c>
      <c r="F2148" t="str">
        <f>"001600050725"</f>
        <v>001600050725</v>
      </c>
      <c r="G2148" t="s">
        <v>3235</v>
      </c>
      <c r="H2148">
        <v>182.91200000000001</v>
      </c>
    </row>
    <row r="2149" spans="1:8" x14ac:dyDescent="0.3">
      <c r="A2149" t="s">
        <v>6</v>
      </c>
      <c r="B2149" t="s">
        <v>7</v>
      </c>
      <c r="C2149" t="s">
        <v>8</v>
      </c>
      <c r="D2149" t="s">
        <v>9</v>
      </c>
      <c r="E2149" t="s">
        <v>270</v>
      </c>
      <c r="F2149" t="str">
        <f>"001600012756"</f>
        <v>001600012756</v>
      </c>
      <c r="G2149" t="s">
        <v>4223</v>
      </c>
      <c r="H2149">
        <v>181.03</v>
      </c>
    </row>
    <row r="2150" spans="1:8" x14ac:dyDescent="0.3">
      <c r="A2150" t="s">
        <v>6</v>
      </c>
      <c r="B2150" t="s">
        <v>7</v>
      </c>
      <c r="C2150" t="s">
        <v>8</v>
      </c>
      <c r="D2150" t="s">
        <v>9</v>
      </c>
      <c r="E2150" t="s">
        <v>301</v>
      </c>
      <c r="F2150" t="str">
        <f>"001600018457"</f>
        <v>001600018457</v>
      </c>
      <c r="G2150" t="s">
        <v>2389</v>
      </c>
      <c r="H2150">
        <v>179.70599999999999</v>
      </c>
    </row>
    <row r="2151" spans="1:8" x14ac:dyDescent="0.3">
      <c r="A2151" t="s">
        <v>6</v>
      </c>
      <c r="B2151" t="s">
        <v>7</v>
      </c>
      <c r="C2151" t="s">
        <v>616</v>
      </c>
      <c r="D2151" t="s">
        <v>9</v>
      </c>
      <c r="E2151" t="s">
        <v>630</v>
      </c>
      <c r="F2151" t="str">
        <f>"073215312536"</f>
        <v>073215312536</v>
      </c>
      <c r="G2151" t="s">
        <v>3602</v>
      </c>
      <c r="H2151">
        <v>179.24</v>
      </c>
    </row>
    <row r="2152" spans="1:8" x14ac:dyDescent="0.3">
      <c r="A2152" t="s">
        <v>6</v>
      </c>
      <c r="B2152" t="s">
        <v>7</v>
      </c>
      <c r="C2152" t="s">
        <v>1729</v>
      </c>
      <c r="D2152" t="s">
        <v>9</v>
      </c>
      <c r="E2152" t="s">
        <v>1743</v>
      </c>
      <c r="F2152" t="str">
        <f>"072534228976"</f>
        <v>072534228976</v>
      </c>
      <c r="G2152" t="s">
        <v>3506</v>
      </c>
      <c r="H2152">
        <v>178.40700000000001</v>
      </c>
    </row>
    <row r="2153" spans="1:8" x14ac:dyDescent="0.3">
      <c r="A2153" t="s">
        <v>6</v>
      </c>
      <c r="B2153" t="s">
        <v>7</v>
      </c>
      <c r="C2153" t="s">
        <v>1729</v>
      </c>
      <c r="D2153" t="s">
        <v>9</v>
      </c>
      <c r="E2153" t="s">
        <v>1736</v>
      </c>
      <c r="F2153" t="str">
        <f>"072534228246"</f>
        <v>072534228246</v>
      </c>
      <c r="G2153" t="s">
        <v>3499</v>
      </c>
      <c r="H2153">
        <v>178.12899999999999</v>
      </c>
    </row>
    <row r="2154" spans="1:8" x14ac:dyDescent="0.3">
      <c r="A2154" t="s">
        <v>6</v>
      </c>
      <c r="B2154" t="s">
        <v>7</v>
      </c>
      <c r="C2154" t="s">
        <v>381</v>
      </c>
      <c r="D2154" t="s">
        <v>9</v>
      </c>
      <c r="E2154" t="s">
        <v>538</v>
      </c>
      <c r="F2154" t="str">
        <f>"001600071432"</f>
        <v>001600071432</v>
      </c>
      <c r="G2154" t="s">
        <v>3261</v>
      </c>
      <c r="H2154">
        <v>175.03299999999999</v>
      </c>
    </row>
    <row r="2155" spans="1:8" x14ac:dyDescent="0.3">
      <c r="A2155" t="s">
        <v>6</v>
      </c>
      <c r="B2155" t="s">
        <v>7</v>
      </c>
      <c r="C2155" t="s">
        <v>8</v>
      </c>
      <c r="D2155" t="s">
        <v>9</v>
      </c>
      <c r="E2155" t="s">
        <v>285</v>
      </c>
      <c r="F2155" t="str">
        <f>"001600019638"</f>
        <v>001600019638</v>
      </c>
      <c r="G2155" t="s">
        <v>4237</v>
      </c>
      <c r="H2155">
        <v>174.99</v>
      </c>
    </row>
    <row r="2156" spans="1:8" x14ac:dyDescent="0.3">
      <c r="A2156" t="s">
        <v>6</v>
      </c>
      <c r="B2156" t="s">
        <v>7</v>
      </c>
      <c r="C2156" t="s">
        <v>1286</v>
      </c>
      <c r="D2156" t="s">
        <v>9</v>
      </c>
      <c r="E2156" t="s">
        <v>1290</v>
      </c>
      <c r="F2156" t="str">
        <f>"001356213063"</f>
        <v>001356213063</v>
      </c>
      <c r="G2156" t="s">
        <v>2856</v>
      </c>
      <c r="H2156" s="4">
        <v>170.48099999999999</v>
      </c>
    </row>
    <row r="2157" spans="1:8" x14ac:dyDescent="0.3">
      <c r="A2157" t="s">
        <v>6</v>
      </c>
      <c r="B2157" t="s">
        <v>7</v>
      </c>
      <c r="C2157" t="s">
        <v>1805</v>
      </c>
      <c r="D2157" t="s">
        <v>9</v>
      </c>
      <c r="E2157" t="s">
        <v>1903</v>
      </c>
      <c r="F2157" t="str">
        <f>"001800000317"</f>
        <v>001800000317</v>
      </c>
      <c r="G2157" t="s">
        <v>2389</v>
      </c>
      <c r="H2157">
        <v>168.99700000000001</v>
      </c>
    </row>
    <row r="2158" spans="1:8" x14ac:dyDescent="0.3">
      <c r="A2158" t="s">
        <v>6</v>
      </c>
      <c r="B2158" t="s">
        <v>7</v>
      </c>
      <c r="C2158" t="s">
        <v>381</v>
      </c>
      <c r="D2158" t="s">
        <v>9</v>
      </c>
      <c r="E2158" t="s">
        <v>423</v>
      </c>
      <c r="F2158" t="str">
        <f>"001600020082"</f>
        <v>001600020082</v>
      </c>
      <c r="G2158" t="s">
        <v>3149</v>
      </c>
      <c r="H2158">
        <v>166.58600000000001</v>
      </c>
    </row>
    <row r="2159" spans="1:8" x14ac:dyDescent="0.3">
      <c r="A2159" t="s">
        <v>6</v>
      </c>
      <c r="B2159" t="s">
        <v>7</v>
      </c>
      <c r="C2159" t="s">
        <v>1397</v>
      </c>
      <c r="D2159" t="s">
        <v>9</v>
      </c>
      <c r="E2159" t="s">
        <v>1415</v>
      </c>
      <c r="F2159" t="str">
        <f>"001600018708"</f>
        <v>001600018708</v>
      </c>
      <c r="G2159" t="s">
        <v>2967</v>
      </c>
      <c r="H2159">
        <v>164.97300000000001</v>
      </c>
    </row>
    <row r="2160" spans="1:8" x14ac:dyDescent="0.3">
      <c r="A2160" t="s">
        <v>6</v>
      </c>
      <c r="B2160" t="s">
        <v>7</v>
      </c>
      <c r="C2160" t="s">
        <v>616</v>
      </c>
      <c r="D2160" t="s">
        <v>9</v>
      </c>
      <c r="E2160" t="s">
        <v>734</v>
      </c>
      <c r="F2160" t="str">
        <f>"002190850897"</f>
        <v>002190850897</v>
      </c>
      <c r="G2160" t="s">
        <v>3704</v>
      </c>
      <c r="H2160">
        <v>163.56</v>
      </c>
    </row>
    <row r="2161" spans="1:8" x14ac:dyDescent="0.3">
      <c r="A2161" t="s">
        <v>6</v>
      </c>
      <c r="B2161" t="s">
        <v>7</v>
      </c>
      <c r="C2161" t="s">
        <v>1805</v>
      </c>
      <c r="D2161" t="s">
        <v>9</v>
      </c>
      <c r="E2161" t="s">
        <v>1863</v>
      </c>
      <c r="F2161" t="str">
        <f>"001800000315"</f>
        <v>001800000315</v>
      </c>
      <c r="G2161" t="s">
        <v>2389</v>
      </c>
      <c r="H2161">
        <v>163.39599999999999</v>
      </c>
    </row>
    <row r="2162" spans="1:8" x14ac:dyDescent="0.3">
      <c r="A2162" t="s">
        <v>6</v>
      </c>
      <c r="B2162" t="s">
        <v>7</v>
      </c>
      <c r="C2162" t="s">
        <v>381</v>
      </c>
      <c r="D2162" t="s">
        <v>9</v>
      </c>
      <c r="E2162" t="s">
        <v>412</v>
      </c>
      <c r="F2162" t="str">
        <f>"001600018474"</f>
        <v>001600018474</v>
      </c>
      <c r="G2162" t="s">
        <v>3139</v>
      </c>
      <c r="H2162">
        <v>160.41999999999999</v>
      </c>
    </row>
    <row r="2163" spans="1:8" x14ac:dyDescent="0.3">
      <c r="A2163" t="s">
        <v>6</v>
      </c>
      <c r="B2163" t="s">
        <v>7</v>
      </c>
      <c r="C2163" t="s">
        <v>1805</v>
      </c>
      <c r="D2163" t="s">
        <v>9</v>
      </c>
      <c r="E2163" t="s">
        <v>1818</v>
      </c>
      <c r="F2163" t="str">
        <f>"066559609993"</f>
        <v>066559609993</v>
      </c>
      <c r="G2163" t="s">
        <v>3751</v>
      </c>
      <c r="H2163">
        <v>158.98500000000001</v>
      </c>
    </row>
    <row r="2164" spans="1:8" x14ac:dyDescent="0.3">
      <c r="A2164" t="s">
        <v>6</v>
      </c>
      <c r="B2164" t="s">
        <v>7</v>
      </c>
      <c r="C2164" t="s">
        <v>1397</v>
      </c>
      <c r="D2164" t="s">
        <v>9</v>
      </c>
      <c r="E2164" t="s">
        <v>1426</v>
      </c>
      <c r="F2164" t="str">
        <f>"002190896516"</f>
        <v>002190896516</v>
      </c>
      <c r="G2164" t="s">
        <v>2978</v>
      </c>
      <c r="H2164">
        <v>157.75399999999999</v>
      </c>
    </row>
    <row r="2165" spans="1:8" x14ac:dyDescent="0.3">
      <c r="A2165" t="s">
        <v>6</v>
      </c>
      <c r="B2165" t="s">
        <v>7</v>
      </c>
      <c r="C2165" t="s">
        <v>2113</v>
      </c>
      <c r="D2165" t="s">
        <v>9</v>
      </c>
      <c r="E2165" t="s">
        <v>2149</v>
      </c>
      <c r="F2165" t="str">
        <f>"001600016239"</f>
        <v>001600016239</v>
      </c>
      <c r="G2165" t="s">
        <v>4357</v>
      </c>
      <c r="H2165">
        <v>154.297</v>
      </c>
    </row>
    <row r="2166" spans="1:8" x14ac:dyDescent="0.3">
      <c r="A2166" t="s">
        <v>6</v>
      </c>
      <c r="B2166" t="s">
        <v>7</v>
      </c>
      <c r="C2166" t="s">
        <v>1122</v>
      </c>
      <c r="D2166" t="s">
        <v>9</v>
      </c>
      <c r="E2166" t="s">
        <v>1200</v>
      </c>
      <c r="F2166" t="str">
        <f>"001600044561"</f>
        <v>001600044561</v>
      </c>
      <c r="G2166" t="s">
        <v>2389</v>
      </c>
      <c r="H2166" s="4">
        <v>154.09100000000001</v>
      </c>
    </row>
    <row r="2167" spans="1:8" x14ac:dyDescent="0.3">
      <c r="A2167" t="s">
        <v>6</v>
      </c>
      <c r="B2167" t="s">
        <v>7</v>
      </c>
      <c r="C2167" t="s">
        <v>770</v>
      </c>
      <c r="D2167" t="s">
        <v>9</v>
      </c>
      <c r="E2167" t="s">
        <v>789</v>
      </c>
      <c r="F2167" t="str">
        <f>"001600018692"</f>
        <v>001600018692</v>
      </c>
      <c r="G2167" t="s">
        <v>2389</v>
      </c>
      <c r="H2167" s="4">
        <v>153.55799999999999</v>
      </c>
    </row>
    <row r="2168" spans="1:8" x14ac:dyDescent="0.3">
      <c r="A2168" t="s">
        <v>6</v>
      </c>
      <c r="B2168" t="s">
        <v>7</v>
      </c>
      <c r="C2168" t="s">
        <v>1805</v>
      </c>
      <c r="D2168" t="s">
        <v>9</v>
      </c>
      <c r="E2168" t="s">
        <v>1837</v>
      </c>
      <c r="F2168" t="str">
        <f>"001800000509"</f>
        <v>001800000509</v>
      </c>
      <c r="G2168" t="s">
        <v>2389</v>
      </c>
      <c r="H2168">
        <v>153.51300000000001</v>
      </c>
    </row>
    <row r="2169" spans="1:8" x14ac:dyDescent="0.3">
      <c r="A2169" t="s">
        <v>6</v>
      </c>
      <c r="B2169" t="s">
        <v>7</v>
      </c>
      <c r="C2169" t="s">
        <v>1940</v>
      </c>
      <c r="D2169" t="s">
        <v>9</v>
      </c>
      <c r="E2169" t="s">
        <v>2041</v>
      </c>
      <c r="F2169" t="str">
        <f>"007047000214"</f>
        <v>007047000214</v>
      </c>
      <c r="G2169" t="s">
        <v>2389</v>
      </c>
      <c r="H2169">
        <v>153.12200000000001</v>
      </c>
    </row>
    <row r="2170" spans="1:8" x14ac:dyDescent="0.3">
      <c r="A2170" t="s">
        <v>6</v>
      </c>
      <c r="B2170" t="s">
        <v>7</v>
      </c>
      <c r="C2170" t="s">
        <v>1286</v>
      </c>
      <c r="D2170" t="s">
        <v>9</v>
      </c>
      <c r="E2170" t="s">
        <v>1294</v>
      </c>
      <c r="F2170" t="str">
        <f>"001800051410"</f>
        <v>001800051410</v>
      </c>
      <c r="G2170" t="s">
        <v>2858</v>
      </c>
      <c r="H2170" s="4">
        <v>146.376</v>
      </c>
    </row>
    <row r="2171" spans="1:8" x14ac:dyDescent="0.3">
      <c r="A2171" t="s">
        <v>6</v>
      </c>
      <c r="B2171" t="s">
        <v>7</v>
      </c>
      <c r="C2171" t="s">
        <v>1695</v>
      </c>
      <c r="D2171" t="s">
        <v>9</v>
      </c>
      <c r="E2171" t="s">
        <v>1718</v>
      </c>
      <c r="F2171" t="str">
        <f>"002190850347"</f>
        <v>002190850347</v>
      </c>
      <c r="G2171" t="s">
        <v>3482</v>
      </c>
      <c r="H2171">
        <v>139.886</v>
      </c>
    </row>
    <row r="2172" spans="1:8" x14ac:dyDescent="0.3">
      <c r="A2172" t="s">
        <v>6</v>
      </c>
      <c r="B2172" t="s">
        <v>7</v>
      </c>
      <c r="C2172" t="s">
        <v>616</v>
      </c>
      <c r="D2172" t="s">
        <v>9</v>
      </c>
      <c r="E2172" t="s">
        <v>675</v>
      </c>
      <c r="F2172" t="str">
        <f>"002190825439"</f>
        <v>002190825439</v>
      </c>
      <c r="G2172" t="s">
        <v>3645</v>
      </c>
      <c r="H2172">
        <v>137.66999999999999</v>
      </c>
    </row>
    <row r="2173" spans="1:8" x14ac:dyDescent="0.3">
      <c r="A2173" t="s">
        <v>6</v>
      </c>
      <c r="B2173" t="s">
        <v>7</v>
      </c>
      <c r="C2173" t="s">
        <v>2113</v>
      </c>
      <c r="D2173" t="s">
        <v>9</v>
      </c>
      <c r="E2173" t="s">
        <v>2168</v>
      </c>
      <c r="F2173" t="str">
        <f>"001600020552"</f>
        <v>001600020552</v>
      </c>
      <c r="G2173" t="s">
        <v>4376</v>
      </c>
      <c r="H2173">
        <v>131.93899999999999</v>
      </c>
    </row>
    <row r="2174" spans="1:8" x14ac:dyDescent="0.3">
      <c r="A2174" t="s">
        <v>6</v>
      </c>
      <c r="B2174" s="3" t="s">
        <v>7</v>
      </c>
      <c r="C2174" s="3" t="s">
        <v>1122</v>
      </c>
      <c r="D2174" s="3" t="s">
        <v>9</v>
      </c>
      <c r="E2174" s="3" t="s">
        <v>1229</v>
      </c>
      <c r="F2174" t="str">
        <f>"001600045472"</f>
        <v>001600045472</v>
      </c>
      <c r="G2174" t="s">
        <v>2803</v>
      </c>
      <c r="H2174" s="3" t="s">
        <v>1230</v>
      </c>
    </row>
    <row r="2175" spans="1:8" x14ac:dyDescent="0.3">
      <c r="A2175" t="s">
        <v>6</v>
      </c>
      <c r="B2175" t="s">
        <v>7</v>
      </c>
      <c r="C2175" t="s">
        <v>1805</v>
      </c>
      <c r="D2175" t="s">
        <v>9</v>
      </c>
      <c r="E2175" t="s">
        <v>1872</v>
      </c>
      <c r="F2175" t="str">
        <f>"001800000017"</f>
        <v>001800000017</v>
      </c>
      <c r="G2175" t="s">
        <v>2389</v>
      </c>
      <c r="H2175">
        <v>131.28800000000001</v>
      </c>
    </row>
    <row r="2176" spans="1:8" x14ac:dyDescent="0.3">
      <c r="A2176" t="s">
        <v>6</v>
      </c>
      <c r="B2176" t="s">
        <v>7</v>
      </c>
      <c r="C2176" t="s">
        <v>8</v>
      </c>
      <c r="D2176" t="s">
        <v>9</v>
      </c>
      <c r="E2176" t="s">
        <v>263</v>
      </c>
      <c r="F2176" t="str">
        <f>"001600018523"</f>
        <v>001600018523</v>
      </c>
      <c r="G2176" t="s">
        <v>4216</v>
      </c>
      <c r="H2176">
        <v>124.3</v>
      </c>
    </row>
    <row r="2177" spans="1:8" x14ac:dyDescent="0.3">
      <c r="A2177" t="s">
        <v>6</v>
      </c>
      <c r="B2177" t="s">
        <v>7</v>
      </c>
      <c r="C2177" t="s">
        <v>1397</v>
      </c>
      <c r="D2177" t="s">
        <v>9</v>
      </c>
      <c r="E2177" t="s">
        <v>1420</v>
      </c>
      <c r="F2177" t="str">
        <f>"001600017272"</f>
        <v>001600017272</v>
      </c>
      <c r="G2177" t="s">
        <v>2972</v>
      </c>
      <c r="H2177">
        <v>123.77</v>
      </c>
    </row>
    <row r="2178" spans="1:8" x14ac:dyDescent="0.3">
      <c r="A2178" t="s">
        <v>6</v>
      </c>
      <c r="B2178" t="s">
        <v>7</v>
      </c>
      <c r="C2178" t="s">
        <v>1940</v>
      </c>
      <c r="D2178" t="s">
        <v>9</v>
      </c>
      <c r="E2178" t="s">
        <v>2070</v>
      </c>
      <c r="F2178" t="str">
        <f>"007047018164"</f>
        <v>007047018164</v>
      </c>
      <c r="G2178" t="s">
        <v>3956</v>
      </c>
      <c r="H2178">
        <v>123.354</v>
      </c>
    </row>
    <row r="2179" spans="1:8" x14ac:dyDescent="0.3">
      <c r="A2179" t="s">
        <v>6</v>
      </c>
      <c r="B2179" t="s">
        <v>7</v>
      </c>
      <c r="C2179" t="s">
        <v>8</v>
      </c>
      <c r="D2179" t="s">
        <v>9</v>
      </c>
      <c r="E2179" t="s">
        <v>163</v>
      </c>
      <c r="F2179" t="str">
        <f>"016000171138"</f>
        <v>016000171138</v>
      </c>
      <c r="G2179" t="s">
        <v>4124</v>
      </c>
      <c r="H2179">
        <v>122.78</v>
      </c>
    </row>
    <row r="2180" spans="1:8" x14ac:dyDescent="0.3">
      <c r="A2180" t="s">
        <v>6</v>
      </c>
      <c r="B2180" t="s">
        <v>7</v>
      </c>
      <c r="C2180" t="s">
        <v>381</v>
      </c>
      <c r="D2180" t="s">
        <v>9</v>
      </c>
      <c r="E2180" t="s">
        <v>484</v>
      </c>
      <c r="F2180" t="str">
        <f>"001600027308"</f>
        <v>001600027308</v>
      </c>
      <c r="G2180" t="s">
        <v>3211</v>
      </c>
      <c r="H2180">
        <v>122.53400000000001</v>
      </c>
    </row>
    <row r="2181" spans="1:8" x14ac:dyDescent="0.3">
      <c r="A2181" t="s">
        <v>6</v>
      </c>
      <c r="B2181" t="s">
        <v>7</v>
      </c>
      <c r="C2181" t="s">
        <v>616</v>
      </c>
      <c r="D2181" t="s">
        <v>9</v>
      </c>
      <c r="E2181" t="s">
        <v>641</v>
      </c>
      <c r="F2181" t="str">
        <f>"073215302512"</f>
        <v>073215302512</v>
      </c>
      <c r="G2181" t="s">
        <v>3612</v>
      </c>
      <c r="H2181">
        <v>120.41</v>
      </c>
    </row>
    <row r="2182" spans="1:8" x14ac:dyDescent="0.3">
      <c r="A2182" t="s">
        <v>6</v>
      </c>
      <c r="B2182" t="s">
        <v>7</v>
      </c>
      <c r="C2182" t="s">
        <v>381</v>
      </c>
      <c r="D2182" t="s">
        <v>9</v>
      </c>
      <c r="E2182" t="s">
        <v>524</v>
      </c>
      <c r="F2182" t="str">
        <f>"016000264700"</f>
        <v>016000264700</v>
      </c>
      <c r="G2182" t="s">
        <v>3248</v>
      </c>
      <c r="H2182">
        <v>120.16</v>
      </c>
    </row>
    <row r="2183" spans="1:8" x14ac:dyDescent="0.3">
      <c r="A2183" t="s">
        <v>6</v>
      </c>
      <c r="B2183" t="s">
        <v>7</v>
      </c>
      <c r="C2183" t="s">
        <v>8</v>
      </c>
      <c r="D2183" t="s">
        <v>9</v>
      </c>
      <c r="E2183" t="s">
        <v>309</v>
      </c>
      <c r="F2183" t="str">
        <f>"001600018461"</f>
        <v>001600018461</v>
      </c>
      <c r="G2183" t="s">
        <v>2389</v>
      </c>
      <c r="H2183">
        <v>117.77</v>
      </c>
    </row>
    <row r="2184" spans="1:8" x14ac:dyDescent="0.3">
      <c r="A2184" t="s">
        <v>6</v>
      </c>
      <c r="B2184" t="s">
        <v>7</v>
      </c>
      <c r="C2184" t="s">
        <v>8</v>
      </c>
      <c r="D2184" t="s">
        <v>9</v>
      </c>
      <c r="E2184" t="s">
        <v>314</v>
      </c>
      <c r="F2184" t="str">
        <f>"001600012749"</f>
        <v>001600012749</v>
      </c>
      <c r="G2184" t="s">
        <v>4263</v>
      </c>
      <c r="H2184">
        <v>115.93899999999999</v>
      </c>
    </row>
    <row r="2185" spans="1:8" x14ac:dyDescent="0.3">
      <c r="A2185" t="s">
        <v>6</v>
      </c>
      <c r="B2185" t="s">
        <v>7</v>
      </c>
      <c r="C2185" t="s">
        <v>8</v>
      </c>
      <c r="D2185" t="s">
        <v>9</v>
      </c>
      <c r="E2185" t="s">
        <v>99</v>
      </c>
      <c r="F2185" t="str">
        <f>"001600017111"</f>
        <v>001600017111</v>
      </c>
      <c r="G2185" t="s">
        <v>4069</v>
      </c>
      <c r="H2185">
        <v>113.21</v>
      </c>
    </row>
    <row r="2186" spans="1:8" x14ac:dyDescent="0.3">
      <c r="A2186" t="s">
        <v>6</v>
      </c>
      <c r="B2186" t="s">
        <v>7</v>
      </c>
      <c r="C2186" t="s">
        <v>381</v>
      </c>
      <c r="D2186" t="s">
        <v>9</v>
      </c>
      <c r="E2186" t="s">
        <v>605</v>
      </c>
      <c r="F2186" t="str">
        <f>"016000277076"</f>
        <v>016000277076</v>
      </c>
      <c r="G2186" t="s">
        <v>3334</v>
      </c>
      <c r="H2186">
        <v>111.65</v>
      </c>
    </row>
    <row r="2187" spans="1:8" x14ac:dyDescent="0.3">
      <c r="A2187" t="s">
        <v>6</v>
      </c>
      <c r="B2187" t="s">
        <v>7</v>
      </c>
      <c r="C2187" t="s">
        <v>8</v>
      </c>
      <c r="D2187" t="s">
        <v>9</v>
      </c>
      <c r="E2187" t="s">
        <v>125</v>
      </c>
      <c r="F2187" t="str">
        <f>"016000275263"</f>
        <v>016000275263</v>
      </c>
      <c r="G2187" t="s">
        <v>4087</v>
      </c>
      <c r="H2187">
        <v>110.41</v>
      </c>
    </row>
    <row r="2188" spans="1:8" x14ac:dyDescent="0.3">
      <c r="A2188" t="s">
        <v>6</v>
      </c>
      <c r="B2188" t="s">
        <v>7</v>
      </c>
      <c r="C2188" t="s">
        <v>1748</v>
      </c>
      <c r="D2188" t="s">
        <v>9</v>
      </c>
      <c r="E2188" t="s">
        <v>1755</v>
      </c>
      <c r="F2188" t="str">
        <f>"009232533347"</f>
        <v>009232533347</v>
      </c>
      <c r="G2188" t="s">
        <v>3517</v>
      </c>
      <c r="H2188">
        <v>109.277</v>
      </c>
    </row>
    <row r="2189" spans="1:8" x14ac:dyDescent="0.3">
      <c r="A2189" t="s">
        <v>6</v>
      </c>
      <c r="B2189" t="s">
        <v>7</v>
      </c>
      <c r="C2189" t="s">
        <v>8</v>
      </c>
      <c r="D2189" t="s">
        <v>9</v>
      </c>
      <c r="E2189" t="s">
        <v>355</v>
      </c>
      <c r="F2189" t="str">
        <f>"001600015541"</f>
        <v>001600015541</v>
      </c>
      <c r="G2189" t="s">
        <v>4299</v>
      </c>
      <c r="H2189">
        <v>109.133</v>
      </c>
    </row>
    <row r="2190" spans="1:8" x14ac:dyDescent="0.3">
      <c r="A2190" t="s">
        <v>6</v>
      </c>
      <c r="B2190" t="s">
        <v>7</v>
      </c>
      <c r="C2190" t="s">
        <v>1940</v>
      </c>
      <c r="D2190" t="s">
        <v>9</v>
      </c>
      <c r="E2190" t="s">
        <v>1973</v>
      </c>
      <c r="F2190" t="str">
        <f>"007047014229"</f>
        <v>007047014229</v>
      </c>
      <c r="G2190" t="s">
        <v>3862</v>
      </c>
      <c r="H2190">
        <v>108.93300000000001</v>
      </c>
    </row>
    <row r="2191" spans="1:8" x14ac:dyDescent="0.3">
      <c r="A2191" t="s">
        <v>6</v>
      </c>
      <c r="B2191" t="s">
        <v>7</v>
      </c>
      <c r="C2191" t="s">
        <v>1397</v>
      </c>
      <c r="D2191" t="s">
        <v>9</v>
      </c>
      <c r="E2191" t="s">
        <v>1504</v>
      </c>
      <c r="F2191" t="str">
        <f>"001800012323"</f>
        <v>001800012323</v>
      </c>
      <c r="G2191" t="s">
        <v>3049</v>
      </c>
      <c r="H2191">
        <v>108.17100000000001</v>
      </c>
    </row>
    <row r="2192" spans="1:8" x14ac:dyDescent="0.3">
      <c r="A2192" t="s">
        <v>6</v>
      </c>
      <c r="B2192" t="s">
        <v>7</v>
      </c>
      <c r="C2192" t="s">
        <v>1805</v>
      </c>
      <c r="D2192" t="s">
        <v>9</v>
      </c>
      <c r="E2192" t="s">
        <v>1928</v>
      </c>
      <c r="F2192" t="str">
        <f>"001800012784"</f>
        <v>001800012784</v>
      </c>
      <c r="G2192" t="s">
        <v>3813</v>
      </c>
      <c r="H2192">
        <v>104.16200000000001</v>
      </c>
    </row>
    <row r="2193" spans="1:8" x14ac:dyDescent="0.3">
      <c r="A2193" t="s">
        <v>6</v>
      </c>
      <c r="B2193" t="s">
        <v>7</v>
      </c>
      <c r="C2193" t="s">
        <v>2231</v>
      </c>
      <c r="D2193" t="s">
        <v>9</v>
      </c>
      <c r="E2193" t="s">
        <v>2248</v>
      </c>
      <c r="F2193" t="str">
        <f>"004119612366"</f>
        <v>004119612366</v>
      </c>
      <c r="G2193" t="s">
        <v>4446</v>
      </c>
      <c r="H2193">
        <v>103.57899999999999</v>
      </c>
    </row>
    <row r="2194" spans="1:8" x14ac:dyDescent="0.3">
      <c r="A2194" t="s">
        <v>6</v>
      </c>
      <c r="B2194" t="s">
        <v>7</v>
      </c>
      <c r="C2194" t="s">
        <v>1397</v>
      </c>
      <c r="D2194" t="s">
        <v>9</v>
      </c>
      <c r="E2194" t="s">
        <v>1463</v>
      </c>
      <c r="F2194" t="str">
        <f>"001600048037"</f>
        <v>001600048037</v>
      </c>
      <c r="G2194" t="s">
        <v>3013</v>
      </c>
      <c r="H2194">
        <v>103.55</v>
      </c>
    </row>
    <row r="2195" spans="1:8" x14ac:dyDescent="0.3">
      <c r="A2195" t="s">
        <v>6</v>
      </c>
      <c r="B2195" s="3" t="s">
        <v>7</v>
      </c>
      <c r="C2195" s="3" t="s">
        <v>1397</v>
      </c>
      <c r="D2195" s="3" t="s">
        <v>9</v>
      </c>
      <c r="E2195" s="3" t="s">
        <v>1410</v>
      </c>
      <c r="F2195" t="str">
        <f>"009232500001"</f>
        <v>009232500001</v>
      </c>
      <c r="G2195" t="s">
        <v>2962</v>
      </c>
      <c r="H2195" s="3" t="s">
        <v>1411</v>
      </c>
    </row>
    <row r="2196" spans="1:8" x14ac:dyDescent="0.3">
      <c r="A2196" t="s">
        <v>6</v>
      </c>
      <c r="B2196" t="s">
        <v>7</v>
      </c>
      <c r="C2196" t="s">
        <v>8</v>
      </c>
      <c r="D2196" t="s">
        <v>9</v>
      </c>
      <c r="E2196" t="s">
        <v>202</v>
      </c>
      <c r="F2196" t="str">
        <f>"647582899263"</f>
        <v>647582899263</v>
      </c>
      <c r="G2196" t="s">
        <v>2389</v>
      </c>
      <c r="H2196">
        <v>102.31</v>
      </c>
    </row>
    <row r="2197" spans="1:8" x14ac:dyDescent="0.3">
      <c r="A2197" t="s">
        <v>6</v>
      </c>
      <c r="B2197" t="s">
        <v>7</v>
      </c>
      <c r="C2197" t="s">
        <v>8</v>
      </c>
      <c r="D2197" t="s">
        <v>9</v>
      </c>
      <c r="E2197" t="s">
        <v>260</v>
      </c>
      <c r="F2197" t="str">
        <f>"001600012572"</f>
        <v>001600012572</v>
      </c>
      <c r="G2197" t="s">
        <v>4213</v>
      </c>
      <c r="H2197">
        <v>99.57</v>
      </c>
    </row>
    <row r="2198" spans="1:8" x14ac:dyDescent="0.3">
      <c r="A2198" t="s">
        <v>6</v>
      </c>
      <c r="B2198" t="s">
        <v>7</v>
      </c>
      <c r="C2198" t="s">
        <v>1338</v>
      </c>
      <c r="D2198" t="s">
        <v>9</v>
      </c>
      <c r="E2198" t="s">
        <v>1379</v>
      </c>
      <c r="F2198" t="str">
        <f>"004280012512"</f>
        <v>004280012512</v>
      </c>
      <c r="G2198" t="s">
        <v>2935</v>
      </c>
      <c r="H2198">
        <v>98.984999999999999</v>
      </c>
    </row>
    <row r="2199" spans="1:8" x14ac:dyDescent="0.3">
      <c r="A2199" t="s">
        <v>6</v>
      </c>
      <c r="B2199" t="s">
        <v>7</v>
      </c>
      <c r="C2199" t="s">
        <v>1397</v>
      </c>
      <c r="D2199" t="s">
        <v>9</v>
      </c>
      <c r="E2199" t="s">
        <v>1478</v>
      </c>
      <c r="F2199" t="str">
        <f>"001600017845"</f>
        <v>001600017845</v>
      </c>
      <c r="G2199" t="s">
        <v>3025</v>
      </c>
      <c r="H2199">
        <v>97.3</v>
      </c>
    </row>
    <row r="2200" spans="1:8" x14ac:dyDescent="0.3">
      <c r="A2200" t="s">
        <v>6</v>
      </c>
      <c r="B2200" t="s">
        <v>7</v>
      </c>
      <c r="C2200" t="s">
        <v>1286</v>
      </c>
      <c r="D2200" t="s">
        <v>9</v>
      </c>
      <c r="E2200" t="s">
        <v>1293</v>
      </c>
      <c r="F2200" t="str">
        <f>"001800033686"</f>
        <v>001800033686</v>
      </c>
      <c r="G2200" t="s">
        <v>2389</v>
      </c>
      <c r="H2200" s="4">
        <v>91.548000000000002</v>
      </c>
    </row>
    <row r="2201" spans="1:8" x14ac:dyDescent="0.3">
      <c r="A2201" t="s">
        <v>6</v>
      </c>
      <c r="B2201" t="s">
        <v>7</v>
      </c>
      <c r="C2201" t="s">
        <v>1397</v>
      </c>
      <c r="D2201" t="s">
        <v>9</v>
      </c>
      <c r="E2201" t="s">
        <v>1544</v>
      </c>
      <c r="F2201" t="str">
        <f>"004119610116"</f>
        <v>004119610116</v>
      </c>
      <c r="G2201" t="s">
        <v>3088</v>
      </c>
      <c r="H2201">
        <v>90.486999999999995</v>
      </c>
    </row>
    <row r="2202" spans="1:8" x14ac:dyDescent="0.3">
      <c r="A2202" t="s">
        <v>6</v>
      </c>
      <c r="B2202" t="s">
        <v>7</v>
      </c>
      <c r="C2202" t="s">
        <v>2231</v>
      </c>
      <c r="D2202" t="s">
        <v>9</v>
      </c>
      <c r="E2202" t="s">
        <v>2293</v>
      </c>
      <c r="F2202" t="str">
        <f>"004119691022"</f>
        <v>004119691022</v>
      </c>
      <c r="G2202" t="s">
        <v>2389</v>
      </c>
      <c r="H2202">
        <v>89.4</v>
      </c>
    </row>
    <row r="2203" spans="1:8" x14ac:dyDescent="0.3">
      <c r="A2203" t="s">
        <v>6</v>
      </c>
      <c r="B2203" t="s">
        <v>7</v>
      </c>
      <c r="C2203" t="s">
        <v>616</v>
      </c>
      <c r="D2203" t="s">
        <v>9</v>
      </c>
      <c r="E2203" t="s">
        <v>648</v>
      </c>
      <c r="F2203" t="str">
        <f>"073215311784"</f>
        <v>073215311784</v>
      </c>
      <c r="G2203" t="s">
        <v>3619</v>
      </c>
      <c r="H2203">
        <v>88.96</v>
      </c>
    </row>
    <row r="2204" spans="1:8" x14ac:dyDescent="0.3">
      <c r="A2204" t="s">
        <v>6</v>
      </c>
      <c r="B2204" t="s">
        <v>7</v>
      </c>
      <c r="C2204" t="s">
        <v>381</v>
      </c>
      <c r="D2204" t="s">
        <v>9</v>
      </c>
      <c r="E2204" t="s">
        <v>518</v>
      </c>
      <c r="F2204" t="str">
        <f>"001600033530"</f>
        <v>001600033530</v>
      </c>
      <c r="G2204" t="s">
        <v>3242</v>
      </c>
      <c r="H2204">
        <v>87.11</v>
      </c>
    </row>
    <row r="2205" spans="1:8" x14ac:dyDescent="0.3">
      <c r="A2205" t="s">
        <v>6</v>
      </c>
      <c r="B2205" t="s">
        <v>7</v>
      </c>
      <c r="C2205" t="s">
        <v>985</v>
      </c>
      <c r="D2205" t="s">
        <v>9</v>
      </c>
      <c r="E2205" t="s">
        <v>1029</v>
      </c>
      <c r="F2205" t="str">
        <f>"001356211749"</f>
        <v>001356211749</v>
      </c>
      <c r="G2205" t="s">
        <v>2628</v>
      </c>
      <c r="H2205" s="4">
        <v>86.39</v>
      </c>
    </row>
    <row r="2206" spans="1:8" x14ac:dyDescent="0.3">
      <c r="A2206" t="s">
        <v>6</v>
      </c>
      <c r="B2206" t="s">
        <v>7</v>
      </c>
      <c r="C2206" t="s">
        <v>1397</v>
      </c>
      <c r="D2206" t="s">
        <v>9</v>
      </c>
      <c r="E2206" t="s">
        <v>1503</v>
      </c>
      <c r="F2206" t="str">
        <f>"001800012324"</f>
        <v>001800012324</v>
      </c>
      <c r="G2206" t="s">
        <v>3048</v>
      </c>
      <c r="H2206">
        <v>83.771000000000001</v>
      </c>
    </row>
    <row r="2207" spans="1:8" ht="28.8" x14ac:dyDescent="0.3">
      <c r="A2207" t="s">
        <v>6</v>
      </c>
      <c r="B2207" s="1" t="s">
        <v>7</v>
      </c>
      <c r="C2207" s="1" t="s">
        <v>985</v>
      </c>
      <c r="D2207" s="1" t="s">
        <v>9</v>
      </c>
      <c r="E2207" s="3" t="s">
        <v>1034</v>
      </c>
      <c r="F2207" t="str">
        <f>"001356211629"</f>
        <v>001356211629</v>
      </c>
      <c r="G2207" t="s">
        <v>2632</v>
      </c>
      <c r="H2207" s="3" t="s">
        <v>1035</v>
      </c>
    </row>
    <row r="2208" spans="1:8" x14ac:dyDescent="0.3">
      <c r="A2208" t="s">
        <v>6</v>
      </c>
      <c r="B2208" t="s">
        <v>7</v>
      </c>
      <c r="C2208" t="s">
        <v>1805</v>
      </c>
      <c r="D2208" t="s">
        <v>9</v>
      </c>
      <c r="E2208" t="s">
        <v>1916</v>
      </c>
      <c r="F2208" t="str">
        <f>"001800011936"</f>
        <v>001800011936</v>
      </c>
      <c r="G2208" t="s">
        <v>3801</v>
      </c>
      <c r="H2208">
        <v>82.507000000000005</v>
      </c>
    </row>
    <row r="2209" spans="1:8" x14ac:dyDescent="0.3">
      <c r="A2209" t="s">
        <v>6</v>
      </c>
      <c r="B2209" t="s">
        <v>7</v>
      </c>
      <c r="C2209" t="s">
        <v>2231</v>
      </c>
      <c r="D2209" t="s">
        <v>9</v>
      </c>
      <c r="E2209" t="s">
        <v>2316</v>
      </c>
      <c r="F2209" t="str">
        <f>"004119610189"</f>
        <v>004119610189</v>
      </c>
      <c r="G2209" t="s">
        <v>4508</v>
      </c>
      <c r="H2209">
        <v>82.45</v>
      </c>
    </row>
    <row r="2210" spans="1:8" x14ac:dyDescent="0.3">
      <c r="A2210" t="s">
        <v>6</v>
      </c>
      <c r="B2210" t="s">
        <v>7</v>
      </c>
      <c r="C2210" t="s">
        <v>985</v>
      </c>
      <c r="D2210" t="s">
        <v>9</v>
      </c>
      <c r="E2210" t="s">
        <v>1057</v>
      </c>
      <c r="F2210" t="str">
        <f>"001356200257"</f>
        <v>001356200257</v>
      </c>
      <c r="G2210" t="s">
        <v>2651</v>
      </c>
      <c r="H2210" s="4">
        <v>81.63</v>
      </c>
    </row>
    <row r="2211" spans="1:8" x14ac:dyDescent="0.3">
      <c r="A2211" t="s">
        <v>6</v>
      </c>
      <c r="B2211" t="s">
        <v>7</v>
      </c>
      <c r="C2211" t="s">
        <v>8</v>
      </c>
      <c r="D2211" t="s">
        <v>9</v>
      </c>
      <c r="E2211" t="s">
        <v>112</v>
      </c>
      <c r="F2211" t="str">
        <f>"001600019704"</f>
        <v>001600019704</v>
      </c>
      <c r="G2211" t="s">
        <v>4080</v>
      </c>
      <c r="H2211">
        <v>80.91</v>
      </c>
    </row>
    <row r="2212" spans="1:8" x14ac:dyDescent="0.3">
      <c r="A2212" t="s">
        <v>6</v>
      </c>
      <c r="B2212" t="s">
        <v>7</v>
      </c>
      <c r="C2212" t="s">
        <v>8</v>
      </c>
      <c r="D2212" t="s">
        <v>9</v>
      </c>
      <c r="E2212" t="s">
        <v>72</v>
      </c>
      <c r="F2212" t="str">
        <f>"002190874332"</f>
        <v>002190874332</v>
      </c>
      <c r="G2212" t="s">
        <v>4049</v>
      </c>
      <c r="H2212">
        <v>79.656000000000006</v>
      </c>
    </row>
    <row r="2213" spans="1:8" x14ac:dyDescent="0.3">
      <c r="A2213" t="s">
        <v>6</v>
      </c>
      <c r="B2213" t="s">
        <v>7</v>
      </c>
      <c r="C2213" t="s">
        <v>1397</v>
      </c>
      <c r="D2213" t="s">
        <v>9</v>
      </c>
      <c r="E2213" t="s">
        <v>1473</v>
      </c>
      <c r="F2213" t="str">
        <f>"001600036800"</f>
        <v>001600036800</v>
      </c>
      <c r="G2213" t="s">
        <v>2389</v>
      </c>
      <c r="H2213">
        <v>78.5</v>
      </c>
    </row>
    <row r="2214" spans="1:8" x14ac:dyDescent="0.3">
      <c r="A2214" t="s">
        <v>6</v>
      </c>
      <c r="B2214" t="s">
        <v>7</v>
      </c>
      <c r="C2214" t="s">
        <v>1577</v>
      </c>
      <c r="D2214" t="s">
        <v>9</v>
      </c>
      <c r="E2214" t="s">
        <v>1600</v>
      </c>
      <c r="F2214" t="str">
        <f>"004600012358"</f>
        <v>004600012358</v>
      </c>
      <c r="G2214" t="s">
        <v>3364</v>
      </c>
      <c r="H2214">
        <v>78.313000000000002</v>
      </c>
    </row>
    <row r="2215" spans="1:8" x14ac:dyDescent="0.3">
      <c r="A2215" t="s">
        <v>6</v>
      </c>
      <c r="B2215" t="s">
        <v>7</v>
      </c>
      <c r="C2215" t="s">
        <v>381</v>
      </c>
      <c r="D2215" t="s">
        <v>9</v>
      </c>
      <c r="E2215" t="s">
        <v>529</v>
      </c>
      <c r="F2215" t="str">
        <f>"001600050305"</f>
        <v>001600050305</v>
      </c>
      <c r="G2215" t="s">
        <v>3253</v>
      </c>
      <c r="H2215">
        <v>78.209999999999994</v>
      </c>
    </row>
    <row r="2216" spans="1:8" x14ac:dyDescent="0.3">
      <c r="A2216" t="s">
        <v>6</v>
      </c>
      <c r="B2216" t="s">
        <v>7</v>
      </c>
      <c r="C2216" t="s">
        <v>1940</v>
      </c>
      <c r="D2216" t="s">
        <v>9</v>
      </c>
      <c r="E2216" t="s">
        <v>2082</v>
      </c>
      <c r="F2216" t="str">
        <f>"007047018963"</f>
        <v>007047018963</v>
      </c>
      <c r="G2216" t="s">
        <v>3968</v>
      </c>
      <c r="H2216">
        <v>77.97</v>
      </c>
    </row>
    <row r="2217" spans="1:8" x14ac:dyDescent="0.3">
      <c r="A2217" t="s">
        <v>6</v>
      </c>
      <c r="B2217" t="s">
        <v>7</v>
      </c>
      <c r="C2217" t="s">
        <v>1122</v>
      </c>
      <c r="D2217" t="s">
        <v>9</v>
      </c>
      <c r="E2217" t="s">
        <v>1174</v>
      </c>
      <c r="F2217" t="str">
        <f>"001600017888"</f>
        <v>001600017888</v>
      </c>
      <c r="G2217" t="s">
        <v>2762</v>
      </c>
      <c r="H2217" s="4">
        <v>77.622</v>
      </c>
    </row>
    <row r="2218" spans="1:8" x14ac:dyDescent="0.3">
      <c r="A2218" t="s">
        <v>6</v>
      </c>
      <c r="B2218" t="s">
        <v>7</v>
      </c>
      <c r="C2218" t="s">
        <v>2113</v>
      </c>
      <c r="D2218" t="s">
        <v>9</v>
      </c>
      <c r="E2218" t="s">
        <v>2172</v>
      </c>
      <c r="F2218" t="str">
        <f>"016000502789"</f>
        <v>016000502789</v>
      </c>
      <c r="G2218" t="s">
        <v>4379</v>
      </c>
      <c r="H2218">
        <v>75.739999999999995</v>
      </c>
    </row>
    <row r="2219" spans="1:8" x14ac:dyDescent="0.3">
      <c r="A2219" t="s">
        <v>6</v>
      </c>
      <c r="B2219" t="s">
        <v>7</v>
      </c>
      <c r="C2219" t="s">
        <v>1397</v>
      </c>
      <c r="D2219" t="s">
        <v>9</v>
      </c>
      <c r="E2219" t="s">
        <v>1466</v>
      </c>
      <c r="F2219" t="str">
        <f>"001600014523"</f>
        <v>001600014523</v>
      </c>
      <c r="G2219" t="s">
        <v>3016</v>
      </c>
      <c r="H2219">
        <v>74.760000000000005</v>
      </c>
    </row>
    <row r="2220" spans="1:8" x14ac:dyDescent="0.3">
      <c r="A2220" t="s">
        <v>6</v>
      </c>
      <c r="B2220" t="s">
        <v>7</v>
      </c>
      <c r="C2220" t="s">
        <v>2113</v>
      </c>
      <c r="D2220" t="s">
        <v>9</v>
      </c>
      <c r="E2220" t="s">
        <v>2121</v>
      </c>
      <c r="F2220" t="str">
        <f>"001600015088"</f>
        <v>001600015088</v>
      </c>
      <c r="G2220" t="s">
        <v>4330</v>
      </c>
      <c r="H2220">
        <v>73.3</v>
      </c>
    </row>
    <row r="2221" spans="1:8" x14ac:dyDescent="0.3">
      <c r="A2221" t="s">
        <v>6</v>
      </c>
      <c r="B2221" t="s">
        <v>7</v>
      </c>
      <c r="C2221" t="s">
        <v>8</v>
      </c>
      <c r="D2221" t="s">
        <v>9</v>
      </c>
      <c r="E2221" t="s">
        <v>138</v>
      </c>
      <c r="F2221" t="str">
        <f>"001600018149"</f>
        <v>001600018149</v>
      </c>
      <c r="G2221" t="s">
        <v>2389</v>
      </c>
      <c r="H2221">
        <v>71.91</v>
      </c>
    </row>
    <row r="2222" spans="1:8" x14ac:dyDescent="0.3">
      <c r="A2222" t="s">
        <v>6</v>
      </c>
      <c r="B2222" t="s">
        <v>7</v>
      </c>
      <c r="C2222" t="s">
        <v>381</v>
      </c>
      <c r="D2222" t="s">
        <v>9</v>
      </c>
      <c r="E2222" t="s">
        <v>551</v>
      </c>
      <c r="F2222" t="str">
        <f>"001600010613"</f>
        <v>001600010613</v>
      </c>
      <c r="G2222" t="s">
        <v>3274</v>
      </c>
      <c r="H2222">
        <v>70.47</v>
      </c>
    </row>
    <row r="2223" spans="1:8" x14ac:dyDescent="0.3">
      <c r="A2223" t="s">
        <v>6</v>
      </c>
      <c r="B2223" t="s">
        <v>7</v>
      </c>
      <c r="C2223" t="s">
        <v>381</v>
      </c>
      <c r="D2223" t="s">
        <v>9</v>
      </c>
      <c r="E2223" t="s">
        <v>446</v>
      </c>
      <c r="F2223" t="str">
        <f>"001600041148"</f>
        <v>001600041148</v>
      </c>
      <c r="G2223" t="s">
        <v>3172</v>
      </c>
      <c r="H2223">
        <v>68.725999999999999</v>
      </c>
    </row>
    <row r="2224" spans="1:8" x14ac:dyDescent="0.3">
      <c r="A2224" t="s">
        <v>6</v>
      </c>
      <c r="B2224" t="s">
        <v>7</v>
      </c>
      <c r="C2224" t="s">
        <v>381</v>
      </c>
      <c r="D2224" t="s">
        <v>9</v>
      </c>
      <c r="E2224" t="s">
        <v>568</v>
      </c>
      <c r="F2224" t="str">
        <f>"001600044486"</f>
        <v>001600044486</v>
      </c>
      <c r="G2224" t="s">
        <v>3290</v>
      </c>
      <c r="H2224">
        <v>68.725999999999999</v>
      </c>
    </row>
    <row r="2225" spans="1:8" x14ac:dyDescent="0.3">
      <c r="A2225" t="s">
        <v>6</v>
      </c>
      <c r="B2225" t="s">
        <v>7</v>
      </c>
      <c r="C2225" t="s">
        <v>381</v>
      </c>
      <c r="D2225" t="s">
        <v>9</v>
      </c>
      <c r="E2225" t="s">
        <v>575</v>
      </c>
      <c r="F2225" t="str">
        <f>"001600048552"</f>
        <v>001600048552</v>
      </c>
      <c r="G2225" t="s">
        <v>3304</v>
      </c>
      <c r="H2225">
        <v>67.495000000000005</v>
      </c>
    </row>
    <row r="2226" spans="1:8" x14ac:dyDescent="0.3">
      <c r="A2226" t="s">
        <v>6</v>
      </c>
      <c r="B2226" t="s">
        <v>7</v>
      </c>
      <c r="C2226" t="s">
        <v>1338</v>
      </c>
      <c r="D2226" t="s">
        <v>9</v>
      </c>
      <c r="E2226" t="s">
        <v>1388</v>
      </c>
      <c r="F2226" t="str">
        <f>"004280072168"</f>
        <v>004280072168</v>
      </c>
      <c r="G2226" t="s">
        <v>2944</v>
      </c>
      <c r="H2226">
        <v>66.430000000000007</v>
      </c>
    </row>
    <row r="2227" spans="1:8" x14ac:dyDescent="0.3">
      <c r="A2227" t="s">
        <v>6</v>
      </c>
      <c r="B2227" t="s">
        <v>7</v>
      </c>
      <c r="C2227" t="s">
        <v>616</v>
      </c>
      <c r="D2227" t="s">
        <v>9</v>
      </c>
      <c r="E2227" t="s">
        <v>636</v>
      </c>
      <c r="F2227" t="str">
        <f>"073215312399"</f>
        <v>073215312399</v>
      </c>
      <c r="G2227" t="s">
        <v>3607</v>
      </c>
      <c r="H2227">
        <v>64.98</v>
      </c>
    </row>
    <row r="2228" spans="1:8" x14ac:dyDescent="0.3">
      <c r="A2228" t="s">
        <v>6</v>
      </c>
      <c r="B2228" t="s">
        <v>7</v>
      </c>
      <c r="C2228" t="s">
        <v>8</v>
      </c>
      <c r="D2228" t="s">
        <v>9</v>
      </c>
      <c r="E2228" t="s">
        <v>81</v>
      </c>
      <c r="F2228" t="str">
        <f>"001600013975"</f>
        <v>001600013975</v>
      </c>
      <c r="G2228" t="s">
        <v>4055</v>
      </c>
      <c r="H2228">
        <v>64.826999999999998</v>
      </c>
    </row>
    <row r="2229" spans="1:8" x14ac:dyDescent="0.3">
      <c r="A2229" t="s">
        <v>6</v>
      </c>
      <c r="B2229" t="s">
        <v>7</v>
      </c>
      <c r="C2229" t="s">
        <v>8</v>
      </c>
      <c r="D2229" t="s">
        <v>9</v>
      </c>
      <c r="E2229" t="s">
        <v>229</v>
      </c>
      <c r="F2229" t="str">
        <f>"001600017253"</f>
        <v>001600017253</v>
      </c>
      <c r="G2229" t="s">
        <v>4187</v>
      </c>
      <c r="H2229">
        <v>64.826999999999998</v>
      </c>
    </row>
    <row r="2230" spans="1:8" x14ac:dyDescent="0.3">
      <c r="A2230" t="s">
        <v>6</v>
      </c>
      <c r="B2230" t="s">
        <v>7</v>
      </c>
      <c r="C2230" t="s">
        <v>616</v>
      </c>
      <c r="D2230" t="s">
        <v>9</v>
      </c>
      <c r="E2230" t="s">
        <v>761</v>
      </c>
      <c r="F2230" t="str">
        <f>"002190812048"</f>
        <v>002190812048</v>
      </c>
      <c r="G2230" t="s">
        <v>3730</v>
      </c>
      <c r="H2230">
        <v>63.21</v>
      </c>
    </row>
    <row r="2231" spans="1:8" x14ac:dyDescent="0.3">
      <c r="A2231" t="s">
        <v>6</v>
      </c>
      <c r="B2231" t="s">
        <v>7</v>
      </c>
      <c r="C2231" t="s">
        <v>1122</v>
      </c>
      <c r="D2231" t="s">
        <v>9</v>
      </c>
      <c r="E2231" t="s">
        <v>1249</v>
      </c>
      <c r="F2231" t="str">
        <f>"001600017846"</f>
        <v>001600017846</v>
      </c>
      <c r="G2231" t="s">
        <v>2389</v>
      </c>
      <c r="H2231" s="4">
        <v>62.05</v>
      </c>
    </row>
    <row r="2232" spans="1:8" x14ac:dyDescent="0.3">
      <c r="A2232" t="s">
        <v>6</v>
      </c>
      <c r="B2232" t="s">
        <v>7</v>
      </c>
      <c r="C2232" t="s">
        <v>1940</v>
      </c>
      <c r="D2232" t="s">
        <v>9</v>
      </c>
      <c r="E2232" t="s">
        <v>2039</v>
      </c>
      <c r="F2232" t="str">
        <f>"007047015865"</f>
        <v>007047015865</v>
      </c>
      <c r="G2232" t="s">
        <v>3927</v>
      </c>
      <c r="H2232">
        <v>61.335000000000001</v>
      </c>
    </row>
    <row r="2233" spans="1:8" x14ac:dyDescent="0.3">
      <c r="A2233" t="s">
        <v>6</v>
      </c>
      <c r="B2233" t="s">
        <v>7</v>
      </c>
      <c r="C2233" t="s">
        <v>8</v>
      </c>
      <c r="D2233" t="s">
        <v>9</v>
      </c>
      <c r="E2233" t="s">
        <v>272</v>
      </c>
      <c r="F2233" t="str">
        <f>"001600018285"</f>
        <v>001600018285</v>
      </c>
      <c r="G2233" t="s">
        <v>2389</v>
      </c>
      <c r="H2233">
        <v>60.13</v>
      </c>
    </row>
    <row r="2234" spans="1:8" x14ac:dyDescent="0.3">
      <c r="A2234" t="s">
        <v>6</v>
      </c>
      <c r="B2234" t="s">
        <v>7</v>
      </c>
      <c r="C2234" t="s">
        <v>8</v>
      </c>
      <c r="D2234" t="s">
        <v>9</v>
      </c>
      <c r="E2234" t="s">
        <v>183</v>
      </c>
      <c r="F2234" t="str">
        <f>"001600017252"</f>
        <v>001600017252</v>
      </c>
      <c r="G2234" t="s">
        <v>4142</v>
      </c>
      <c r="H2234">
        <v>59.308999999999997</v>
      </c>
    </row>
    <row r="2235" spans="1:8" x14ac:dyDescent="0.3">
      <c r="A2235" t="s">
        <v>6</v>
      </c>
      <c r="B2235" t="s">
        <v>7</v>
      </c>
      <c r="C2235" t="s">
        <v>985</v>
      </c>
      <c r="D2235" t="s">
        <v>9</v>
      </c>
      <c r="E2235" t="s">
        <v>987</v>
      </c>
      <c r="F2235" t="str">
        <f>"001356211782"</f>
        <v>001356211782</v>
      </c>
      <c r="G2235" t="s">
        <v>2583</v>
      </c>
      <c r="H2235" s="4">
        <v>59.26</v>
      </c>
    </row>
    <row r="2236" spans="1:8" x14ac:dyDescent="0.3">
      <c r="A2236" t="s">
        <v>6</v>
      </c>
      <c r="B2236" t="s">
        <v>7</v>
      </c>
      <c r="C2236" t="s">
        <v>2113</v>
      </c>
      <c r="D2236" t="s">
        <v>9</v>
      </c>
      <c r="E2236" t="s">
        <v>2176</v>
      </c>
      <c r="F2236" t="str">
        <f>"001600050538"</f>
        <v>001600050538</v>
      </c>
      <c r="G2236" t="s">
        <v>4382</v>
      </c>
      <c r="H2236">
        <v>58.469000000000001</v>
      </c>
    </row>
    <row r="2237" spans="1:8" x14ac:dyDescent="0.3">
      <c r="A2237" t="s">
        <v>6</v>
      </c>
      <c r="B2237" t="s">
        <v>7</v>
      </c>
      <c r="C2237" t="s">
        <v>1122</v>
      </c>
      <c r="D2237" t="s">
        <v>9</v>
      </c>
      <c r="E2237" t="s">
        <v>1256</v>
      </c>
      <c r="F2237" t="str">
        <f>"001600017804"</f>
        <v>001600017804</v>
      </c>
      <c r="G2237" t="s">
        <v>2389</v>
      </c>
      <c r="H2237" s="4">
        <v>57.95</v>
      </c>
    </row>
    <row r="2238" spans="1:8" x14ac:dyDescent="0.3">
      <c r="A2238" t="s">
        <v>6</v>
      </c>
      <c r="B2238" t="s">
        <v>7</v>
      </c>
      <c r="C2238" t="s">
        <v>1122</v>
      </c>
      <c r="D2238" t="s">
        <v>9</v>
      </c>
      <c r="E2238" t="s">
        <v>1253</v>
      </c>
      <c r="F2238" t="str">
        <f>"001600043164"</f>
        <v>001600043164</v>
      </c>
      <c r="G2238" t="s">
        <v>2826</v>
      </c>
      <c r="H2238" s="4">
        <v>57.741</v>
      </c>
    </row>
    <row r="2239" spans="1:8" x14ac:dyDescent="0.3">
      <c r="A2239" t="s">
        <v>6</v>
      </c>
      <c r="B2239" t="s">
        <v>7</v>
      </c>
      <c r="C2239" t="s">
        <v>1695</v>
      </c>
      <c r="D2239" t="s">
        <v>9</v>
      </c>
      <c r="E2239" t="s">
        <v>1714</v>
      </c>
      <c r="F2239" t="str">
        <f>"002190811441"</f>
        <v>002190811441</v>
      </c>
      <c r="G2239" t="s">
        <v>3478</v>
      </c>
      <c r="H2239">
        <v>57.2</v>
      </c>
    </row>
    <row r="2240" spans="1:8" x14ac:dyDescent="0.3">
      <c r="A2240" t="s">
        <v>6</v>
      </c>
      <c r="B2240" t="s">
        <v>7</v>
      </c>
      <c r="C2240" t="s">
        <v>8</v>
      </c>
      <c r="D2240" t="s">
        <v>9</v>
      </c>
      <c r="E2240" t="s">
        <v>78</v>
      </c>
      <c r="F2240" t="str">
        <f>"001600018039"</f>
        <v>001600018039</v>
      </c>
      <c r="G2240" t="s">
        <v>2389</v>
      </c>
      <c r="H2240">
        <v>57.127000000000002</v>
      </c>
    </row>
    <row r="2241" spans="1:8" x14ac:dyDescent="0.3">
      <c r="A2241" t="s">
        <v>6</v>
      </c>
      <c r="B2241" t="s">
        <v>7</v>
      </c>
      <c r="C2241" t="s">
        <v>1122</v>
      </c>
      <c r="D2241" t="s">
        <v>9</v>
      </c>
      <c r="E2241" t="s">
        <v>1267</v>
      </c>
      <c r="F2241" t="str">
        <f>"081848001556"</f>
        <v>081848001556</v>
      </c>
      <c r="G2241" t="s">
        <v>2837</v>
      </c>
      <c r="H2241" s="4">
        <v>56.485999999999997</v>
      </c>
    </row>
    <row r="2242" spans="1:8" ht="43.2" x14ac:dyDescent="0.3">
      <c r="A2242" t="s">
        <v>6</v>
      </c>
      <c r="B2242" s="1" t="s">
        <v>7</v>
      </c>
      <c r="C2242" s="1" t="s">
        <v>1338</v>
      </c>
      <c r="D2242" s="1" t="s">
        <v>9</v>
      </c>
      <c r="E2242" s="3" t="s">
        <v>1390</v>
      </c>
      <c r="F2242" t="str">
        <f>"004280012511"</f>
        <v>004280012511</v>
      </c>
      <c r="G2242" t="s">
        <v>2946</v>
      </c>
      <c r="H2242" s="3" t="s">
        <v>1391</v>
      </c>
    </row>
    <row r="2243" spans="1:8" x14ac:dyDescent="0.3">
      <c r="A2243" t="s">
        <v>6</v>
      </c>
      <c r="B2243" t="s">
        <v>7</v>
      </c>
      <c r="C2243" t="s">
        <v>770</v>
      </c>
      <c r="D2243" t="s">
        <v>9</v>
      </c>
      <c r="E2243" t="s">
        <v>778</v>
      </c>
      <c r="F2243" t="str">
        <f>"001600015703"</f>
        <v>001600015703</v>
      </c>
      <c r="G2243" t="s">
        <v>2378</v>
      </c>
      <c r="H2243" s="4">
        <v>54.686999999999998</v>
      </c>
    </row>
    <row r="2244" spans="1:8" x14ac:dyDescent="0.3">
      <c r="A2244" t="s">
        <v>6</v>
      </c>
      <c r="B2244" t="s">
        <v>7</v>
      </c>
      <c r="C2244" t="s">
        <v>381</v>
      </c>
      <c r="D2244" t="s">
        <v>9</v>
      </c>
      <c r="E2244" t="s">
        <v>462</v>
      </c>
      <c r="F2244" t="str">
        <f>"001600018207"</f>
        <v>001600018207</v>
      </c>
      <c r="G2244" t="s">
        <v>2389</v>
      </c>
      <c r="H2244">
        <v>54.174999999999997</v>
      </c>
    </row>
    <row r="2245" spans="1:8" x14ac:dyDescent="0.3">
      <c r="A2245" t="s">
        <v>6</v>
      </c>
      <c r="B2245" t="s">
        <v>7</v>
      </c>
      <c r="C2245" t="s">
        <v>1940</v>
      </c>
      <c r="D2245" t="s">
        <v>9</v>
      </c>
      <c r="E2245" t="s">
        <v>1997</v>
      </c>
      <c r="F2245" t="str">
        <f>"007047018165"</f>
        <v>007047018165</v>
      </c>
      <c r="G2245" t="s">
        <v>3892</v>
      </c>
      <c r="H2245">
        <v>54.054000000000002</v>
      </c>
    </row>
    <row r="2246" spans="1:8" x14ac:dyDescent="0.3">
      <c r="A2246" t="s">
        <v>6</v>
      </c>
      <c r="B2246" t="s">
        <v>7</v>
      </c>
      <c r="C2246" t="s">
        <v>2231</v>
      </c>
      <c r="D2246" t="s">
        <v>9</v>
      </c>
      <c r="E2246" t="s">
        <v>2274</v>
      </c>
      <c r="F2246" t="str">
        <f>"004119691000"</f>
        <v>004119691000</v>
      </c>
      <c r="G2246" t="s">
        <v>2389</v>
      </c>
      <c r="H2246">
        <v>53.64</v>
      </c>
    </row>
    <row r="2247" spans="1:8" x14ac:dyDescent="0.3">
      <c r="A2247" t="s">
        <v>6</v>
      </c>
      <c r="B2247" t="s">
        <v>7</v>
      </c>
      <c r="C2247" t="s">
        <v>797</v>
      </c>
      <c r="D2247" t="s">
        <v>9</v>
      </c>
      <c r="E2247" t="s">
        <v>915</v>
      </c>
      <c r="F2247" t="str">
        <f>"001600019343"</f>
        <v>001600019343</v>
      </c>
      <c r="G2247" t="s">
        <v>2506</v>
      </c>
      <c r="H2247" s="4">
        <v>53.38</v>
      </c>
    </row>
    <row r="2248" spans="1:8" x14ac:dyDescent="0.3">
      <c r="A2248" t="s">
        <v>6</v>
      </c>
      <c r="B2248" t="s">
        <v>7</v>
      </c>
      <c r="C2248" t="s">
        <v>1940</v>
      </c>
      <c r="D2248" t="s">
        <v>9</v>
      </c>
      <c r="E2248" t="s">
        <v>2003</v>
      </c>
      <c r="F2248" t="str">
        <f>"007047011414"</f>
        <v>007047011414</v>
      </c>
      <c r="G2248" t="s">
        <v>3897</v>
      </c>
      <c r="H2248">
        <v>53.292999999999999</v>
      </c>
    </row>
    <row r="2249" spans="1:8" x14ac:dyDescent="0.3">
      <c r="A2249" t="s">
        <v>6</v>
      </c>
      <c r="B2249" t="s">
        <v>7</v>
      </c>
      <c r="C2249" t="s">
        <v>1122</v>
      </c>
      <c r="D2249" t="s">
        <v>9</v>
      </c>
      <c r="E2249" t="s">
        <v>1265</v>
      </c>
      <c r="F2249" t="str">
        <f>"001600047695"</f>
        <v>001600047695</v>
      </c>
      <c r="G2249" t="s">
        <v>2835</v>
      </c>
      <c r="H2249" s="4">
        <v>53.276000000000003</v>
      </c>
    </row>
    <row r="2250" spans="1:8" x14ac:dyDescent="0.3">
      <c r="A2250" t="s">
        <v>6</v>
      </c>
      <c r="B2250" t="s">
        <v>7</v>
      </c>
      <c r="C2250" t="s">
        <v>985</v>
      </c>
      <c r="D2250" t="s">
        <v>9</v>
      </c>
      <c r="E2250" t="s">
        <v>1056</v>
      </c>
      <c r="F2250" t="str">
        <f>"001356200256"</f>
        <v>001356200256</v>
      </c>
      <c r="G2250" t="s">
        <v>2650</v>
      </c>
      <c r="H2250" s="4">
        <v>52.69</v>
      </c>
    </row>
    <row r="2251" spans="1:8" x14ac:dyDescent="0.3">
      <c r="A2251" t="s">
        <v>6</v>
      </c>
      <c r="B2251" t="s">
        <v>7</v>
      </c>
      <c r="C2251" t="s">
        <v>8</v>
      </c>
      <c r="D2251" t="s">
        <v>9</v>
      </c>
      <c r="E2251" t="s">
        <v>283</v>
      </c>
      <c r="F2251" t="str">
        <f>"001600016365"</f>
        <v>001600016365</v>
      </c>
      <c r="G2251" t="s">
        <v>4235</v>
      </c>
      <c r="H2251">
        <v>51.220999999999997</v>
      </c>
    </row>
    <row r="2252" spans="1:8" x14ac:dyDescent="0.3">
      <c r="A2252" t="s">
        <v>6</v>
      </c>
      <c r="B2252" t="s">
        <v>7</v>
      </c>
      <c r="C2252" t="s">
        <v>8</v>
      </c>
      <c r="D2252" t="s">
        <v>9</v>
      </c>
      <c r="E2252" t="s">
        <v>136</v>
      </c>
      <c r="F2252" t="str">
        <f>"001600020623"</f>
        <v>001600020623</v>
      </c>
      <c r="G2252" t="s">
        <v>4102</v>
      </c>
      <c r="H2252">
        <v>50.57</v>
      </c>
    </row>
    <row r="2253" spans="1:8" x14ac:dyDescent="0.3">
      <c r="A2253" t="s">
        <v>6</v>
      </c>
      <c r="B2253" t="s">
        <v>7</v>
      </c>
      <c r="C2253" t="s">
        <v>8</v>
      </c>
      <c r="D2253" t="s">
        <v>9</v>
      </c>
      <c r="E2253" t="s">
        <v>333</v>
      </c>
      <c r="F2253" t="str">
        <f>"001600017949"</f>
        <v>001600017949</v>
      </c>
      <c r="G2253" t="s">
        <v>4284</v>
      </c>
      <c r="H2253">
        <v>50.04</v>
      </c>
    </row>
    <row r="2254" spans="1:8" x14ac:dyDescent="0.3">
      <c r="A2254" t="s">
        <v>6</v>
      </c>
      <c r="B2254" t="s">
        <v>7</v>
      </c>
      <c r="C2254" t="s">
        <v>1748</v>
      </c>
      <c r="D2254" t="s">
        <v>9</v>
      </c>
      <c r="E2254" t="s">
        <v>1767</v>
      </c>
      <c r="F2254" t="str">
        <f>"009232533319"</f>
        <v>009232533319</v>
      </c>
      <c r="G2254" t="s">
        <v>3529</v>
      </c>
      <c r="H2254">
        <v>49.82</v>
      </c>
    </row>
    <row r="2255" spans="1:8" x14ac:dyDescent="0.3">
      <c r="A2255" t="s">
        <v>6</v>
      </c>
      <c r="B2255" t="s">
        <v>7</v>
      </c>
      <c r="C2255" t="s">
        <v>381</v>
      </c>
      <c r="D2255" t="s">
        <v>9</v>
      </c>
      <c r="E2255" t="s">
        <v>553</v>
      </c>
      <c r="F2255" t="str">
        <f>"016000458918"</f>
        <v>016000458918</v>
      </c>
      <c r="G2255" t="s">
        <v>3276</v>
      </c>
      <c r="H2255">
        <v>47.96</v>
      </c>
    </row>
    <row r="2256" spans="1:8" x14ac:dyDescent="0.3">
      <c r="A2256" t="s">
        <v>6</v>
      </c>
      <c r="B2256" t="s">
        <v>7</v>
      </c>
      <c r="C2256" t="s">
        <v>985</v>
      </c>
      <c r="D2256" t="s">
        <v>9</v>
      </c>
      <c r="E2256" t="s">
        <v>1028</v>
      </c>
      <c r="F2256" t="str">
        <f>"001356211741"</f>
        <v>001356211741</v>
      </c>
      <c r="G2256" t="s">
        <v>2627</v>
      </c>
      <c r="H2256" s="4">
        <v>47.67</v>
      </c>
    </row>
    <row r="2257" spans="1:8" x14ac:dyDescent="0.3">
      <c r="A2257" t="s">
        <v>6</v>
      </c>
      <c r="B2257" t="s">
        <v>7</v>
      </c>
      <c r="C2257" t="s">
        <v>1940</v>
      </c>
      <c r="D2257" t="s">
        <v>9</v>
      </c>
      <c r="E2257" t="s">
        <v>2038</v>
      </c>
      <c r="F2257" t="str">
        <f>"007047015964"</f>
        <v>007047015964</v>
      </c>
      <c r="G2257" t="s">
        <v>3926</v>
      </c>
      <c r="H2257">
        <v>47.66</v>
      </c>
    </row>
    <row r="2258" spans="1:8" x14ac:dyDescent="0.3">
      <c r="A2258" t="s">
        <v>6</v>
      </c>
      <c r="B2258" t="s">
        <v>7</v>
      </c>
      <c r="C2258" t="s">
        <v>616</v>
      </c>
      <c r="D2258" t="s">
        <v>9</v>
      </c>
      <c r="E2258" t="s">
        <v>639</v>
      </c>
      <c r="F2258" t="str">
        <f>"073215311774"</f>
        <v>073215311774</v>
      </c>
      <c r="G2258" t="s">
        <v>3610</v>
      </c>
      <c r="H2258">
        <v>46.94</v>
      </c>
    </row>
    <row r="2259" spans="1:8" x14ac:dyDescent="0.3">
      <c r="A2259" t="s">
        <v>6</v>
      </c>
      <c r="B2259" t="s">
        <v>7</v>
      </c>
      <c r="C2259" t="s">
        <v>381</v>
      </c>
      <c r="D2259" t="s">
        <v>9</v>
      </c>
      <c r="E2259" t="s">
        <v>459</v>
      </c>
      <c r="F2259" t="str">
        <f>"001600066099"</f>
        <v>001600066099</v>
      </c>
      <c r="G2259" t="s">
        <v>3184</v>
      </c>
      <c r="H2259">
        <v>46.494</v>
      </c>
    </row>
    <row r="2260" spans="1:8" x14ac:dyDescent="0.3">
      <c r="A2260" t="s">
        <v>6</v>
      </c>
      <c r="B2260" t="s">
        <v>7</v>
      </c>
      <c r="C2260" t="s">
        <v>1397</v>
      </c>
      <c r="D2260" t="s">
        <v>9</v>
      </c>
      <c r="E2260" t="s">
        <v>1488</v>
      </c>
      <c r="F2260" t="str">
        <f>"001600017844"</f>
        <v>001600017844</v>
      </c>
      <c r="G2260" t="s">
        <v>3036</v>
      </c>
      <c r="H2260">
        <v>45.24</v>
      </c>
    </row>
    <row r="2261" spans="1:8" x14ac:dyDescent="0.3">
      <c r="A2261" t="s">
        <v>6</v>
      </c>
      <c r="B2261" t="s">
        <v>7</v>
      </c>
      <c r="C2261" t="s">
        <v>8</v>
      </c>
      <c r="D2261" t="s">
        <v>9</v>
      </c>
      <c r="E2261" t="s">
        <v>218</v>
      </c>
      <c r="F2261" t="str">
        <f>"001600017318"</f>
        <v>001600017318</v>
      </c>
      <c r="G2261" t="s">
        <v>4177</v>
      </c>
      <c r="H2261">
        <v>45.182000000000002</v>
      </c>
    </row>
    <row r="2262" spans="1:8" x14ac:dyDescent="0.3">
      <c r="A2262" t="s">
        <v>6</v>
      </c>
      <c r="B2262" t="s">
        <v>7</v>
      </c>
      <c r="C2262" t="s">
        <v>1338</v>
      </c>
      <c r="D2262" t="s">
        <v>9</v>
      </c>
      <c r="E2262" t="s">
        <v>1350</v>
      </c>
      <c r="F2262" t="str">
        <f>"004280012513"</f>
        <v>004280012513</v>
      </c>
      <c r="G2262" t="s">
        <v>2389</v>
      </c>
      <c r="H2262" s="4">
        <v>44.57</v>
      </c>
    </row>
    <row r="2263" spans="1:8" x14ac:dyDescent="0.3">
      <c r="A2263" t="s">
        <v>6</v>
      </c>
      <c r="B2263" s="3" t="s">
        <v>7</v>
      </c>
      <c r="C2263" s="3" t="s">
        <v>1286</v>
      </c>
      <c r="D2263" s="3" t="s">
        <v>9</v>
      </c>
      <c r="E2263" s="3" t="s">
        <v>1317</v>
      </c>
      <c r="F2263" t="str">
        <f>"001800042708"</f>
        <v>001800042708</v>
      </c>
      <c r="G2263" t="s">
        <v>2881</v>
      </c>
      <c r="H2263" s="3" t="s">
        <v>1318</v>
      </c>
    </row>
    <row r="2264" spans="1:8" x14ac:dyDescent="0.3">
      <c r="A2264" t="s">
        <v>6</v>
      </c>
      <c r="B2264" t="s">
        <v>7</v>
      </c>
      <c r="C2264" t="s">
        <v>1397</v>
      </c>
      <c r="D2264" t="s">
        <v>9</v>
      </c>
      <c r="E2264" t="s">
        <v>1490</v>
      </c>
      <c r="F2264" t="str">
        <f>"001600017033"</f>
        <v>001600017033</v>
      </c>
      <c r="G2264" t="s">
        <v>2389</v>
      </c>
      <c r="H2264">
        <v>42.338000000000001</v>
      </c>
    </row>
    <row r="2265" spans="1:8" x14ac:dyDescent="0.3">
      <c r="A2265" t="s">
        <v>6</v>
      </c>
      <c r="B2265" t="s">
        <v>7</v>
      </c>
      <c r="C2265" t="s">
        <v>1286</v>
      </c>
      <c r="D2265" t="s">
        <v>9</v>
      </c>
      <c r="E2265" t="s">
        <v>1320</v>
      </c>
      <c r="F2265" t="str">
        <f>"001800013582"</f>
        <v>001800013582</v>
      </c>
      <c r="G2265" t="s">
        <v>2883</v>
      </c>
      <c r="H2265" s="4">
        <v>41.03</v>
      </c>
    </row>
    <row r="2266" spans="1:8" x14ac:dyDescent="0.3">
      <c r="A2266" t="s">
        <v>6</v>
      </c>
      <c r="B2266" t="s">
        <v>7</v>
      </c>
      <c r="C2266" t="s">
        <v>616</v>
      </c>
      <c r="D2266" t="s">
        <v>9</v>
      </c>
      <c r="E2266" t="s">
        <v>755</v>
      </c>
      <c r="F2266" t="str">
        <f>"002190844063"</f>
        <v>002190844063</v>
      </c>
      <c r="G2266" t="s">
        <v>3725</v>
      </c>
      <c r="H2266">
        <v>40.840000000000003</v>
      </c>
    </row>
    <row r="2267" spans="1:8" x14ac:dyDescent="0.3">
      <c r="A2267" t="s">
        <v>6</v>
      </c>
      <c r="B2267" t="s">
        <v>7</v>
      </c>
      <c r="C2267" t="s">
        <v>1286</v>
      </c>
      <c r="D2267" t="s">
        <v>9</v>
      </c>
      <c r="E2267" t="s">
        <v>1295</v>
      </c>
      <c r="F2267" t="str">
        <f>"001800051460"</f>
        <v>001800051460</v>
      </c>
      <c r="G2267" t="s">
        <v>2859</v>
      </c>
      <c r="H2267" s="4">
        <v>40.281999999999996</v>
      </c>
    </row>
    <row r="2268" spans="1:8" x14ac:dyDescent="0.3">
      <c r="A2268" t="s">
        <v>6</v>
      </c>
      <c r="B2268" t="s">
        <v>7</v>
      </c>
      <c r="C2268" t="s">
        <v>8</v>
      </c>
      <c r="D2268" t="s">
        <v>9</v>
      </c>
      <c r="E2268" t="s">
        <v>145</v>
      </c>
      <c r="F2268" t="str">
        <f>"001600018667"</f>
        <v>001600018667</v>
      </c>
      <c r="G2268" t="s">
        <v>4108</v>
      </c>
      <c r="H2268">
        <v>39.76</v>
      </c>
    </row>
    <row r="2269" spans="1:8" x14ac:dyDescent="0.3">
      <c r="A2269" t="s">
        <v>6</v>
      </c>
      <c r="B2269" t="s">
        <v>7</v>
      </c>
      <c r="C2269" t="s">
        <v>1805</v>
      </c>
      <c r="D2269" t="s">
        <v>9</v>
      </c>
      <c r="E2269" t="s">
        <v>1913</v>
      </c>
      <c r="F2269" t="str">
        <f>"001800013126"</f>
        <v>001800013126</v>
      </c>
      <c r="G2269" t="s">
        <v>3798</v>
      </c>
      <c r="H2269">
        <v>39.500999999999998</v>
      </c>
    </row>
    <row r="2270" spans="1:8" x14ac:dyDescent="0.3">
      <c r="A2270" t="s">
        <v>6</v>
      </c>
      <c r="B2270" t="s">
        <v>7</v>
      </c>
      <c r="C2270" t="s">
        <v>8</v>
      </c>
      <c r="D2270" t="s">
        <v>9</v>
      </c>
      <c r="E2270" t="s">
        <v>157</v>
      </c>
      <c r="F2270" t="str">
        <f>"001600016764"</f>
        <v>001600016764</v>
      </c>
      <c r="G2270" t="s">
        <v>4118</v>
      </c>
      <c r="H2270">
        <v>38.119999999999997</v>
      </c>
    </row>
    <row r="2271" spans="1:8" x14ac:dyDescent="0.3">
      <c r="A2271" t="s">
        <v>6</v>
      </c>
      <c r="B2271" t="s">
        <v>7</v>
      </c>
      <c r="C2271" t="s">
        <v>1338</v>
      </c>
      <c r="D2271" t="s">
        <v>9</v>
      </c>
      <c r="E2271" t="s">
        <v>1370</v>
      </c>
      <c r="F2271" t="str">
        <f>"004280012509"</f>
        <v>004280012509</v>
      </c>
      <c r="G2271" t="s">
        <v>2389</v>
      </c>
      <c r="H2271">
        <v>37.914999999999999</v>
      </c>
    </row>
    <row r="2272" spans="1:8" x14ac:dyDescent="0.3">
      <c r="A2272" t="s">
        <v>6</v>
      </c>
      <c r="B2272" t="s">
        <v>7</v>
      </c>
      <c r="C2272" t="s">
        <v>8</v>
      </c>
      <c r="D2272" t="s">
        <v>9</v>
      </c>
      <c r="E2272" t="s">
        <v>184</v>
      </c>
      <c r="F2272" t="str">
        <f>"001600018635"</f>
        <v>001600018635</v>
      </c>
      <c r="G2272" t="s">
        <v>4143</v>
      </c>
      <c r="H2272">
        <v>37.65</v>
      </c>
    </row>
    <row r="2273" spans="1:8" x14ac:dyDescent="0.3">
      <c r="A2273" t="s">
        <v>6</v>
      </c>
      <c r="B2273" t="s">
        <v>7</v>
      </c>
      <c r="C2273" t="s">
        <v>8</v>
      </c>
      <c r="D2273" t="s">
        <v>9</v>
      </c>
      <c r="E2273" t="s">
        <v>39</v>
      </c>
      <c r="F2273" t="str">
        <f>"002190811562"</f>
        <v>002190811562</v>
      </c>
      <c r="G2273" t="s">
        <v>4019</v>
      </c>
      <c r="H2273">
        <v>37.42</v>
      </c>
    </row>
    <row r="2274" spans="1:8" x14ac:dyDescent="0.3">
      <c r="A2274" t="s">
        <v>6</v>
      </c>
      <c r="B2274" t="s">
        <v>7</v>
      </c>
      <c r="C2274" t="s">
        <v>1122</v>
      </c>
      <c r="D2274" t="s">
        <v>9</v>
      </c>
      <c r="E2274" t="s">
        <v>1232</v>
      </c>
      <c r="F2274" t="str">
        <f>"001600039840"</f>
        <v>001600039840</v>
      </c>
      <c r="G2274" t="s">
        <v>2805</v>
      </c>
      <c r="H2274" s="4">
        <v>37.33</v>
      </c>
    </row>
    <row r="2275" spans="1:8" x14ac:dyDescent="0.3">
      <c r="A2275" t="s">
        <v>6</v>
      </c>
      <c r="B2275" t="s">
        <v>7</v>
      </c>
      <c r="C2275" t="s">
        <v>1786</v>
      </c>
      <c r="D2275" t="s">
        <v>9</v>
      </c>
      <c r="E2275" t="s">
        <v>1799</v>
      </c>
      <c r="F2275" t="str">
        <f>"072534228183"</f>
        <v>072534228183</v>
      </c>
      <c r="G2275" t="s">
        <v>3576</v>
      </c>
      <c r="H2275">
        <v>37.253</v>
      </c>
    </row>
    <row r="2276" spans="1:8" x14ac:dyDescent="0.3">
      <c r="A2276" t="s">
        <v>6</v>
      </c>
      <c r="B2276" t="s">
        <v>7</v>
      </c>
      <c r="C2276" t="s">
        <v>1122</v>
      </c>
      <c r="D2276" t="s">
        <v>9</v>
      </c>
      <c r="E2276" t="s">
        <v>1151</v>
      </c>
      <c r="F2276" t="str">
        <f>"001356212195"</f>
        <v>001356212195</v>
      </c>
      <c r="G2276" t="s">
        <v>2744</v>
      </c>
      <c r="H2276" s="4">
        <v>37.021000000000001</v>
      </c>
    </row>
    <row r="2277" spans="1:8" x14ac:dyDescent="0.3">
      <c r="A2277" t="s">
        <v>6</v>
      </c>
      <c r="B2277" t="s">
        <v>7</v>
      </c>
      <c r="C2277" t="s">
        <v>8</v>
      </c>
      <c r="D2277" t="s">
        <v>9</v>
      </c>
      <c r="E2277" t="s">
        <v>209</v>
      </c>
      <c r="F2277" t="str">
        <f>"001600017125"</f>
        <v>001600017125</v>
      </c>
      <c r="G2277" t="s">
        <v>4168</v>
      </c>
      <c r="H2277">
        <v>36.023000000000003</v>
      </c>
    </row>
    <row r="2278" spans="1:8" x14ac:dyDescent="0.3">
      <c r="A2278" t="s">
        <v>6</v>
      </c>
      <c r="B2278" t="s">
        <v>7</v>
      </c>
      <c r="C2278" t="s">
        <v>2231</v>
      </c>
      <c r="D2278" t="s">
        <v>9</v>
      </c>
      <c r="E2278" t="s">
        <v>2312</v>
      </c>
      <c r="F2278" t="str">
        <f>"004119691095"</f>
        <v>004119691095</v>
      </c>
      <c r="G2278" t="s">
        <v>2389</v>
      </c>
      <c r="H2278">
        <v>35.76</v>
      </c>
    </row>
    <row r="2279" spans="1:8" x14ac:dyDescent="0.3">
      <c r="A2279" t="s">
        <v>6</v>
      </c>
      <c r="B2279" t="s">
        <v>7</v>
      </c>
      <c r="C2279" t="s">
        <v>2231</v>
      </c>
      <c r="D2279" t="s">
        <v>9</v>
      </c>
      <c r="E2279" t="s">
        <v>2358</v>
      </c>
      <c r="F2279" t="str">
        <f>"004119691051"</f>
        <v>004119691051</v>
      </c>
      <c r="G2279" t="s">
        <v>2389</v>
      </c>
      <c r="H2279">
        <v>35.76</v>
      </c>
    </row>
    <row r="2280" spans="1:8" x14ac:dyDescent="0.3">
      <c r="A2280" t="s">
        <v>6</v>
      </c>
      <c r="B2280" t="s">
        <v>7</v>
      </c>
      <c r="C2280" t="s">
        <v>8</v>
      </c>
      <c r="D2280" t="s">
        <v>9</v>
      </c>
      <c r="E2280" t="s">
        <v>363</v>
      </c>
      <c r="F2280" t="str">
        <f>"001600017284"</f>
        <v>001600017284</v>
      </c>
      <c r="G2280" t="s">
        <v>4307</v>
      </c>
      <c r="H2280">
        <v>35.46</v>
      </c>
    </row>
    <row r="2281" spans="1:8" x14ac:dyDescent="0.3">
      <c r="A2281" t="s">
        <v>6</v>
      </c>
      <c r="B2281" t="s">
        <v>7</v>
      </c>
      <c r="C2281" t="s">
        <v>1122</v>
      </c>
      <c r="D2281" t="s">
        <v>9</v>
      </c>
      <c r="E2281" t="s">
        <v>1252</v>
      </c>
      <c r="F2281" t="str">
        <f>"001600044261"</f>
        <v>001600044261</v>
      </c>
      <c r="G2281" t="s">
        <v>2825</v>
      </c>
      <c r="H2281" s="4">
        <v>32.841000000000001</v>
      </c>
    </row>
    <row r="2282" spans="1:8" x14ac:dyDescent="0.3">
      <c r="A2282" t="s">
        <v>6</v>
      </c>
      <c r="B2282" t="s">
        <v>7</v>
      </c>
      <c r="C2282" t="s">
        <v>1397</v>
      </c>
      <c r="D2282" t="s">
        <v>9</v>
      </c>
      <c r="E2282" t="s">
        <v>1449</v>
      </c>
      <c r="F2282" t="str">
        <f>"073215302961"</f>
        <v>073215302961</v>
      </c>
      <c r="G2282" t="s">
        <v>3000</v>
      </c>
      <c r="H2282">
        <v>31.49</v>
      </c>
    </row>
    <row r="2283" spans="1:8" x14ac:dyDescent="0.3">
      <c r="A2283" t="s">
        <v>6</v>
      </c>
      <c r="B2283" t="s">
        <v>7</v>
      </c>
      <c r="C2283" t="s">
        <v>1397</v>
      </c>
      <c r="D2283" t="s">
        <v>9</v>
      </c>
      <c r="E2283" t="s">
        <v>1460</v>
      </c>
      <c r="F2283" t="str">
        <f>"073215302964"</f>
        <v>073215302964</v>
      </c>
      <c r="G2283" t="s">
        <v>3010</v>
      </c>
      <c r="H2283">
        <v>31.49</v>
      </c>
    </row>
    <row r="2284" spans="1:8" x14ac:dyDescent="0.3">
      <c r="A2284" t="s">
        <v>6</v>
      </c>
      <c r="B2284" t="s">
        <v>7</v>
      </c>
      <c r="C2284" t="s">
        <v>1940</v>
      </c>
      <c r="D2284" t="s">
        <v>9</v>
      </c>
      <c r="E2284" t="s">
        <v>2006</v>
      </c>
      <c r="F2284" t="str">
        <f>"007047017316"</f>
        <v>007047017316</v>
      </c>
      <c r="G2284" t="s">
        <v>2389</v>
      </c>
      <c r="H2284">
        <v>31.274999999999999</v>
      </c>
    </row>
    <row r="2285" spans="1:8" x14ac:dyDescent="0.3">
      <c r="A2285" t="s">
        <v>6</v>
      </c>
      <c r="B2285" t="s">
        <v>7</v>
      </c>
      <c r="C2285" t="s">
        <v>381</v>
      </c>
      <c r="D2285" t="s">
        <v>9</v>
      </c>
      <c r="E2285" t="s">
        <v>541</v>
      </c>
      <c r="F2285" t="str">
        <f>"001600031237"</f>
        <v>001600031237</v>
      </c>
      <c r="G2285" t="s">
        <v>3264</v>
      </c>
      <c r="H2285">
        <v>31.048999999999999</v>
      </c>
    </row>
    <row r="2286" spans="1:8" x14ac:dyDescent="0.3">
      <c r="A2286" t="s">
        <v>6</v>
      </c>
      <c r="B2286" t="s">
        <v>7</v>
      </c>
      <c r="C2286" t="s">
        <v>8</v>
      </c>
      <c r="D2286" t="s">
        <v>9</v>
      </c>
      <c r="E2286" t="s">
        <v>77</v>
      </c>
      <c r="F2286" t="str">
        <f>"001600017823"</f>
        <v>001600017823</v>
      </c>
      <c r="G2286" t="s">
        <v>4053</v>
      </c>
      <c r="H2286">
        <v>30.76</v>
      </c>
    </row>
    <row r="2287" spans="1:8" x14ac:dyDescent="0.3">
      <c r="A2287" t="s">
        <v>6</v>
      </c>
      <c r="B2287" t="s">
        <v>7</v>
      </c>
      <c r="C2287" t="s">
        <v>1397</v>
      </c>
      <c r="D2287" t="s">
        <v>9</v>
      </c>
      <c r="E2287" t="s">
        <v>1465</v>
      </c>
      <c r="F2287" t="str">
        <f>"001600014526"</f>
        <v>001600014526</v>
      </c>
      <c r="G2287" t="s">
        <v>3015</v>
      </c>
      <c r="H2287">
        <v>30.62</v>
      </c>
    </row>
    <row r="2288" spans="1:8" x14ac:dyDescent="0.3">
      <c r="A2288" t="s">
        <v>6</v>
      </c>
      <c r="B2288" t="s">
        <v>7</v>
      </c>
      <c r="C2288" t="s">
        <v>985</v>
      </c>
      <c r="D2288" t="s">
        <v>9</v>
      </c>
      <c r="E2288" t="s">
        <v>1020</v>
      </c>
      <c r="F2288" t="str">
        <f>"001356211779"</f>
        <v>001356211779</v>
      </c>
      <c r="G2288" t="s">
        <v>2619</v>
      </c>
      <c r="H2288" s="4">
        <v>28.63</v>
      </c>
    </row>
    <row r="2289" spans="1:8" x14ac:dyDescent="0.3">
      <c r="A2289" t="s">
        <v>6</v>
      </c>
      <c r="B2289" t="s">
        <v>7</v>
      </c>
      <c r="C2289" t="s">
        <v>8</v>
      </c>
      <c r="D2289" t="s">
        <v>9</v>
      </c>
      <c r="E2289" t="s">
        <v>220</v>
      </c>
      <c r="F2289" t="str">
        <f>"001600019133"</f>
        <v>001600019133</v>
      </c>
      <c r="G2289" t="s">
        <v>4179</v>
      </c>
      <c r="H2289">
        <v>28.010999999999999</v>
      </c>
    </row>
    <row r="2290" spans="1:8" x14ac:dyDescent="0.3">
      <c r="A2290" t="s">
        <v>6</v>
      </c>
      <c r="B2290" t="s">
        <v>7</v>
      </c>
      <c r="C2290" t="s">
        <v>1397</v>
      </c>
      <c r="D2290" t="s">
        <v>9</v>
      </c>
      <c r="E2290" t="s">
        <v>1464</v>
      </c>
      <c r="F2290" t="str">
        <f>"001600048035"</f>
        <v>001600048035</v>
      </c>
      <c r="G2290" t="s">
        <v>3014</v>
      </c>
      <c r="H2290">
        <v>27.247</v>
      </c>
    </row>
    <row r="2291" spans="1:8" x14ac:dyDescent="0.3">
      <c r="A2291" t="s">
        <v>6</v>
      </c>
      <c r="B2291" t="s">
        <v>7</v>
      </c>
      <c r="C2291" t="s">
        <v>1095</v>
      </c>
      <c r="D2291" t="s">
        <v>9</v>
      </c>
      <c r="E2291" t="s">
        <v>1102</v>
      </c>
      <c r="F2291" t="str">
        <f>"001600058355"</f>
        <v>001600058355</v>
      </c>
      <c r="G2291" t="s">
        <v>2704</v>
      </c>
      <c r="H2291" s="4">
        <v>26.58</v>
      </c>
    </row>
    <row r="2292" spans="1:8" x14ac:dyDescent="0.3">
      <c r="A2292" t="s">
        <v>6</v>
      </c>
      <c r="B2292" t="s">
        <v>7</v>
      </c>
      <c r="C2292" t="s">
        <v>797</v>
      </c>
      <c r="D2292" t="s">
        <v>9</v>
      </c>
      <c r="E2292" t="s">
        <v>884</v>
      </c>
      <c r="F2292" t="str">
        <f>"001600047737"</f>
        <v>001600047737</v>
      </c>
      <c r="G2292" t="s">
        <v>2477</v>
      </c>
      <c r="H2292" s="4">
        <v>25.22</v>
      </c>
    </row>
    <row r="2293" spans="1:8" x14ac:dyDescent="0.3">
      <c r="A2293" t="s">
        <v>6</v>
      </c>
      <c r="B2293" t="s">
        <v>7</v>
      </c>
      <c r="C2293" t="s">
        <v>381</v>
      </c>
      <c r="D2293" t="s">
        <v>9</v>
      </c>
      <c r="E2293" t="s">
        <v>475</v>
      </c>
      <c r="F2293" t="str">
        <f>"001600032393"</f>
        <v>001600032393</v>
      </c>
      <c r="G2293" t="s">
        <v>3202</v>
      </c>
      <c r="H2293">
        <v>24.957000000000001</v>
      </c>
    </row>
    <row r="2294" spans="1:8" x14ac:dyDescent="0.3">
      <c r="A2294" t="s">
        <v>6</v>
      </c>
      <c r="B2294" t="s">
        <v>7</v>
      </c>
      <c r="C2294" t="s">
        <v>1577</v>
      </c>
      <c r="D2294" t="s">
        <v>9</v>
      </c>
      <c r="E2294" t="s">
        <v>1657</v>
      </c>
      <c r="F2294" t="str">
        <f>"004600047764"</f>
        <v>004600047764</v>
      </c>
      <c r="G2294" t="s">
        <v>3426</v>
      </c>
      <c r="H2294">
        <v>24.893000000000001</v>
      </c>
    </row>
    <row r="2295" spans="1:8" x14ac:dyDescent="0.3">
      <c r="A2295" t="s">
        <v>6</v>
      </c>
      <c r="B2295" t="s">
        <v>7</v>
      </c>
      <c r="C2295" t="s">
        <v>616</v>
      </c>
      <c r="D2295" t="s">
        <v>9</v>
      </c>
      <c r="E2295" t="s">
        <v>768</v>
      </c>
      <c r="F2295" t="str">
        <f>"002190825438"</f>
        <v>002190825438</v>
      </c>
      <c r="G2295" t="s">
        <v>3736</v>
      </c>
      <c r="H2295">
        <v>24.71</v>
      </c>
    </row>
    <row r="2296" spans="1:8" x14ac:dyDescent="0.3">
      <c r="A2296" t="s">
        <v>6</v>
      </c>
      <c r="B2296" t="s">
        <v>7</v>
      </c>
      <c r="C2296" t="s">
        <v>1397</v>
      </c>
      <c r="D2296" t="s">
        <v>9</v>
      </c>
      <c r="E2296" t="s">
        <v>1497</v>
      </c>
      <c r="F2296" t="str">
        <f>"001800013412"</f>
        <v>001800013412</v>
      </c>
      <c r="G2296" t="s">
        <v>3043</v>
      </c>
      <c r="H2296">
        <v>24.6</v>
      </c>
    </row>
    <row r="2297" spans="1:8" x14ac:dyDescent="0.3">
      <c r="A2297" t="s">
        <v>6</v>
      </c>
      <c r="B2297" t="s">
        <v>7</v>
      </c>
      <c r="C2297" t="s">
        <v>1940</v>
      </c>
      <c r="D2297" t="s">
        <v>9</v>
      </c>
      <c r="E2297" t="s">
        <v>2015</v>
      </c>
      <c r="F2297" t="str">
        <f>"007047015364"</f>
        <v>007047015364</v>
      </c>
      <c r="G2297" t="s">
        <v>3906</v>
      </c>
      <c r="H2297">
        <v>23.468</v>
      </c>
    </row>
    <row r="2298" spans="1:8" x14ac:dyDescent="0.3">
      <c r="A2298" t="s">
        <v>6</v>
      </c>
      <c r="B2298" t="s">
        <v>7</v>
      </c>
      <c r="C2298" t="s">
        <v>797</v>
      </c>
      <c r="D2298" t="s">
        <v>9</v>
      </c>
      <c r="E2298" t="s">
        <v>852</v>
      </c>
      <c r="F2298" t="str">
        <f>"001600020719"</f>
        <v>001600020719</v>
      </c>
      <c r="G2298" t="s">
        <v>2448</v>
      </c>
      <c r="H2298" s="4">
        <v>23.44</v>
      </c>
    </row>
    <row r="2299" spans="1:8" x14ac:dyDescent="0.3">
      <c r="A2299" t="s">
        <v>6</v>
      </c>
      <c r="B2299" t="s">
        <v>7</v>
      </c>
      <c r="C2299" t="s">
        <v>1940</v>
      </c>
      <c r="D2299" t="s">
        <v>9</v>
      </c>
      <c r="E2299" t="s">
        <v>2096</v>
      </c>
      <c r="F2299" t="str">
        <f>"007047018961"</f>
        <v>007047018961</v>
      </c>
      <c r="G2299" t="s">
        <v>3985</v>
      </c>
      <c r="H2299">
        <v>23.14</v>
      </c>
    </row>
    <row r="2300" spans="1:8" x14ac:dyDescent="0.3">
      <c r="A2300" t="s">
        <v>6</v>
      </c>
      <c r="B2300" t="s">
        <v>7</v>
      </c>
      <c r="C2300" t="s">
        <v>1122</v>
      </c>
      <c r="D2300" t="s">
        <v>9</v>
      </c>
      <c r="E2300" t="s">
        <v>1217</v>
      </c>
      <c r="F2300" t="str">
        <f>"001600015605"</f>
        <v>001600015605</v>
      </c>
      <c r="G2300" t="s">
        <v>2795</v>
      </c>
      <c r="H2300" s="4">
        <v>22.99</v>
      </c>
    </row>
    <row r="2301" spans="1:8" x14ac:dyDescent="0.3">
      <c r="A2301" t="s">
        <v>6</v>
      </c>
      <c r="B2301" t="s">
        <v>7</v>
      </c>
      <c r="C2301" t="s">
        <v>1397</v>
      </c>
      <c r="D2301" t="s">
        <v>9</v>
      </c>
      <c r="E2301" t="s">
        <v>1471</v>
      </c>
      <c r="F2301" t="str">
        <f>"001600011332"</f>
        <v>001600011332</v>
      </c>
      <c r="G2301" t="s">
        <v>2389</v>
      </c>
      <c r="H2301">
        <v>22.8</v>
      </c>
    </row>
    <row r="2302" spans="1:8" x14ac:dyDescent="0.3">
      <c r="A2302" t="s">
        <v>6</v>
      </c>
      <c r="B2302" t="s">
        <v>7</v>
      </c>
      <c r="C2302" t="s">
        <v>1397</v>
      </c>
      <c r="D2302" t="s">
        <v>9</v>
      </c>
      <c r="E2302" t="s">
        <v>1486</v>
      </c>
      <c r="F2302" t="str">
        <f>"001600017615"</f>
        <v>001600017615</v>
      </c>
      <c r="G2302" t="s">
        <v>3034</v>
      </c>
      <c r="H2302">
        <v>22.65</v>
      </c>
    </row>
    <row r="2303" spans="1:8" x14ac:dyDescent="0.3">
      <c r="A2303" t="s">
        <v>6</v>
      </c>
      <c r="B2303" t="s">
        <v>7</v>
      </c>
      <c r="C2303" t="s">
        <v>8</v>
      </c>
      <c r="D2303" t="s">
        <v>9</v>
      </c>
      <c r="E2303" t="s">
        <v>231</v>
      </c>
      <c r="F2303" t="str">
        <f>"001600015854"</f>
        <v>001600015854</v>
      </c>
      <c r="G2303" t="s">
        <v>4189</v>
      </c>
      <c r="H2303">
        <v>22.41</v>
      </c>
    </row>
    <row r="2304" spans="1:8" x14ac:dyDescent="0.3">
      <c r="A2304" t="s">
        <v>6</v>
      </c>
      <c r="B2304" t="s">
        <v>7</v>
      </c>
      <c r="C2304" t="s">
        <v>381</v>
      </c>
      <c r="D2304" t="s">
        <v>9</v>
      </c>
      <c r="E2304" t="s">
        <v>533</v>
      </c>
      <c r="F2304" t="str">
        <f>"001600050733"</f>
        <v>001600050733</v>
      </c>
      <c r="G2304" t="s">
        <v>3257</v>
      </c>
      <c r="H2304">
        <v>22.204999999999998</v>
      </c>
    </row>
    <row r="2305" spans="1:8" x14ac:dyDescent="0.3">
      <c r="A2305" t="s">
        <v>6</v>
      </c>
      <c r="B2305" t="s">
        <v>7</v>
      </c>
      <c r="C2305" t="s">
        <v>616</v>
      </c>
      <c r="D2305" t="s">
        <v>9</v>
      </c>
      <c r="E2305" t="s">
        <v>733</v>
      </c>
      <c r="F2305" t="str">
        <f>"002190849574"</f>
        <v>002190849574</v>
      </c>
      <c r="G2305" t="s">
        <v>3703</v>
      </c>
      <c r="H2305">
        <v>21.99</v>
      </c>
    </row>
    <row r="2306" spans="1:8" x14ac:dyDescent="0.3">
      <c r="A2306" t="s">
        <v>6</v>
      </c>
      <c r="B2306" t="s">
        <v>7</v>
      </c>
      <c r="C2306" t="s">
        <v>2113</v>
      </c>
      <c r="D2306" t="s">
        <v>9</v>
      </c>
      <c r="E2306" t="s">
        <v>2125</v>
      </c>
      <c r="F2306" t="str">
        <f>"001600042445"</f>
        <v>001600042445</v>
      </c>
      <c r="G2306" t="s">
        <v>4334</v>
      </c>
      <c r="H2306">
        <v>21.681999999999999</v>
      </c>
    </row>
    <row r="2307" spans="1:8" x14ac:dyDescent="0.3">
      <c r="A2307" t="s">
        <v>6</v>
      </c>
      <c r="B2307" t="s">
        <v>7</v>
      </c>
      <c r="C2307" t="s">
        <v>2113</v>
      </c>
      <c r="D2307" t="s">
        <v>9</v>
      </c>
      <c r="E2307" t="s">
        <v>2171</v>
      </c>
      <c r="F2307" t="str">
        <f>"001600016430"</f>
        <v>001600016430</v>
      </c>
      <c r="G2307" t="s">
        <v>4378</v>
      </c>
      <c r="H2307">
        <v>21.33</v>
      </c>
    </row>
    <row r="2308" spans="1:8" x14ac:dyDescent="0.3">
      <c r="A2308" t="s">
        <v>6</v>
      </c>
      <c r="B2308" t="s">
        <v>7</v>
      </c>
      <c r="C2308" t="s">
        <v>797</v>
      </c>
      <c r="D2308" t="s">
        <v>9</v>
      </c>
      <c r="E2308" t="s">
        <v>923</v>
      </c>
      <c r="F2308" t="str">
        <f>"001600018672"</f>
        <v>001600018672</v>
      </c>
      <c r="G2308" t="s">
        <v>2514</v>
      </c>
      <c r="H2308" s="4">
        <v>20.420000000000002</v>
      </c>
    </row>
    <row r="2309" spans="1:8" x14ac:dyDescent="0.3">
      <c r="A2309" t="s">
        <v>6</v>
      </c>
      <c r="B2309" t="s">
        <v>7</v>
      </c>
      <c r="C2309" t="s">
        <v>1940</v>
      </c>
      <c r="D2309" t="s">
        <v>9</v>
      </c>
      <c r="E2309" t="s">
        <v>2018</v>
      </c>
      <c r="F2309" t="str">
        <f>"007047013704"</f>
        <v>007047013704</v>
      </c>
      <c r="G2309" t="s">
        <v>3909</v>
      </c>
      <c r="H2309">
        <v>20.079000000000001</v>
      </c>
    </row>
    <row r="2310" spans="1:8" x14ac:dyDescent="0.3">
      <c r="A2310" t="s">
        <v>6</v>
      </c>
      <c r="B2310" t="s">
        <v>7</v>
      </c>
      <c r="C2310" t="s">
        <v>8</v>
      </c>
      <c r="D2310" t="s">
        <v>9</v>
      </c>
      <c r="E2310" t="s">
        <v>67</v>
      </c>
      <c r="F2310" t="str">
        <f>"002190811997"</f>
        <v>002190811997</v>
      </c>
      <c r="G2310" t="s">
        <v>4044</v>
      </c>
      <c r="H2310">
        <v>19.914000000000001</v>
      </c>
    </row>
    <row r="2311" spans="1:8" x14ac:dyDescent="0.3">
      <c r="A2311" t="s">
        <v>6</v>
      </c>
      <c r="B2311" t="s">
        <v>7</v>
      </c>
      <c r="C2311" t="s">
        <v>2231</v>
      </c>
      <c r="D2311" t="s">
        <v>9</v>
      </c>
      <c r="E2311" t="s">
        <v>2291</v>
      </c>
      <c r="F2311" t="str">
        <f>"004119610149"</f>
        <v>004119610149</v>
      </c>
      <c r="G2311" t="s">
        <v>4489</v>
      </c>
      <c r="H2311">
        <v>19.864000000000001</v>
      </c>
    </row>
    <row r="2312" spans="1:8" x14ac:dyDescent="0.3">
      <c r="A2312" t="s">
        <v>6</v>
      </c>
      <c r="B2312" t="s">
        <v>7</v>
      </c>
      <c r="C2312" t="s">
        <v>8</v>
      </c>
      <c r="D2312" t="s">
        <v>9</v>
      </c>
      <c r="E2312" t="s">
        <v>248</v>
      </c>
      <c r="F2312" t="str">
        <f>"001600068290"</f>
        <v>001600068290</v>
      </c>
      <c r="G2312" t="s">
        <v>2389</v>
      </c>
      <c r="H2312">
        <v>19.72</v>
      </c>
    </row>
    <row r="2313" spans="1:8" x14ac:dyDescent="0.3">
      <c r="A2313" t="s">
        <v>6</v>
      </c>
      <c r="B2313" t="s">
        <v>7</v>
      </c>
      <c r="C2313" t="s">
        <v>797</v>
      </c>
      <c r="D2313" t="s">
        <v>9</v>
      </c>
      <c r="E2313" t="s">
        <v>916</v>
      </c>
      <c r="F2313" t="str">
        <f>"001600015015"</f>
        <v>001600015015</v>
      </c>
      <c r="G2313" t="s">
        <v>2507</v>
      </c>
      <c r="H2313" s="4">
        <v>18.952999999999999</v>
      </c>
    </row>
    <row r="2314" spans="1:8" x14ac:dyDescent="0.3">
      <c r="A2314" t="s">
        <v>6</v>
      </c>
      <c r="B2314" t="s">
        <v>7</v>
      </c>
      <c r="C2314" t="s">
        <v>1397</v>
      </c>
      <c r="D2314" t="s">
        <v>9</v>
      </c>
      <c r="E2314" t="s">
        <v>1517</v>
      </c>
      <c r="F2314" t="str">
        <f>"004119628927"</f>
        <v>004119628927</v>
      </c>
      <c r="G2314" t="s">
        <v>3061</v>
      </c>
      <c r="H2314">
        <v>18.789000000000001</v>
      </c>
    </row>
    <row r="2315" spans="1:8" x14ac:dyDescent="0.3">
      <c r="A2315" t="s">
        <v>6</v>
      </c>
      <c r="B2315" t="s">
        <v>7</v>
      </c>
      <c r="C2315" t="s">
        <v>8</v>
      </c>
      <c r="D2315" t="s">
        <v>9</v>
      </c>
      <c r="E2315" t="s">
        <v>329</v>
      </c>
      <c r="F2315" t="str">
        <f>"001600017011"</f>
        <v>001600017011</v>
      </c>
      <c r="G2315" t="s">
        <v>4278</v>
      </c>
      <c r="H2315">
        <v>18.765000000000001</v>
      </c>
    </row>
    <row r="2316" spans="1:8" x14ac:dyDescent="0.3">
      <c r="A2316" t="s">
        <v>6</v>
      </c>
      <c r="B2316" t="s">
        <v>7</v>
      </c>
      <c r="C2316" t="s">
        <v>1286</v>
      </c>
      <c r="D2316" t="s">
        <v>9</v>
      </c>
      <c r="E2316" t="s">
        <v>1302</v>
      </c>
      <c r="F2316" t="str">
        <f>"001800047741"</f>
        <v>001800047741</v>
      </c>
      <c r="G2316" t="s">
        <v>2866</v>
      </c>
      <c r="H2316" s="4">
        <v>18.16</v>
      </c>
    </row>
    <row r="2317" spans="1:8" x14ac:dyDescent="0.3">
      <c r="A2317" t="s">
        <v>6</v>
      </c>
      <c r="B2317" t="s">
        <v>7</v>
      </c>
      <c r="C2317" t="s">
        <v>985</v>
      </c>
      <c r="D2317" t="s">
        <v>9</v>
      </c>
      <c r="E2317" t="s">
        <v>989</v>
      </c>
      <c r="F2317" t="str">
        <f>"001356211666"</f>
        <v>001356211666</v>
      </c>
      <c r="G2317" t="s">
        <v>2389</v>
      </c>
      <c r="H2317" s="4">
        <v>17.96</v>
      </c>
    </row>
    <row r="2318" spans="1:8" x14ac:dyDescent="0.3">
      <c r="A2318" t="s">
        <v>6</v>
      </c>
      <c r="B2318" t="s">
        <v>7</v>
      </c>
      <c r="C2318" t="s">
        <v>1940</v>
      </c>
      <c r="D2318" t="s">
        <v>9</v>
      </c>
      <c r="E2318" t="s">
        <v>2036</v>
      </c>
      <c r="F2318" t="str">
        <f>"007047048336"</f>
        <v>007047048336</v>
      </c>
      <c r="G2318" t="s">
        <v>2389</v>
      </c>
      <c r="H2318">
        <v>17.88</v>
      </c>
    </row>
    <row r="2319" spans="1:8" x14ac:dyDescent="0.3">
      <c r="A2319" t="s">
        <v>6</v>
      </c>
      <c r="B2319" t="s">
        <v>7</v>
      </c>
      <c r="C2319" t="s">
        <v>2113</v>
      </c>
      <c r="D2319" t="s">
        <v>9</v>
      </c>
      <c r="E2319" t="s">
        <v>2212</v>
      </c>
      <c r="F2319" t="str">
        <f>"001600018437"</f>
        <v>001600018437</v>
      </c>
      <c r="G2319" t="s">
        <v>2389</v>
      </c>
      <c r="H2319">
        <v>17.77</v>
      </c>
    </row>
    <row r="2320" spans="1:8" x14ac:dyDescent="0.3">
      <c r="A2320" t="s">
        <v>6</v>
      </c>
      <c r="B2320" t="s">
        <v>7</v>
      </c>
      <c r="C2320" t="s">
        <v>1940</v>
      </c>
      <c r="D2320" t="s">
        <v>9</v>
      </c>
      <c r="E2320" t="s">
        <v>2050</v>
      </c>
      <c r="F2320" t="str">
        <f>"007047014784"</f>
        <v>007047014784</v>
      </c>
      <c r="G2320" t="s">
        <v>3937</v>
      </c>
      <c r="H2320">
        <v>17.263999999999999</v>
      </c>
    </row>
    <row r="2321" spans="1:8" x14ac:dyDescent="0.3">
      <c r="A2321" t="s">
        <v>6</v>
      </c>
      <c r="B2321" t="s">
        <v>7</v>
      </c>
      <c r="C2321" t="s">
        <v>1940</v>
      </c>
      <c r="D2321" t="s">
        <v>9</v>
      </c>
      <c r="E2321" t="s">
        <v>2060</v>
      </c>
      <c r="F2321" t="str">
        <f>"007047018959"</f>
        <v>007047018959</v>
      </c>
      <c r="G2321" t="s">
        <v>3947</v>
      </c>
      <c r="H2321">
        <v>16.908999999999999</v>
      </c>
    </row>
    <row r="2322" spans="1:8" x14ac:dyDescent="0.3">
      <c r="A2322" t="s">
        <v>6</v>
      </c>
      <c r="B2322" t="s">
        <v>7</v>
      </c>
      <c r="C2322" t="s">
        <v>1577</v>
      </c>
      <c r="D2322" t="s">
        <v>9</v>
      </c>
      <c r="E2322" t="s">
        <v>1668</v>
      </c>
      <c r="F2322" t="str">
        <f>"004600011636"</f>
        <v>004600011636</v>
      </c>
      <c r="G2322" t="s">
        <v>3436</v>
      </c>
      <c r="H2322">
        <v>16.157</v>
      </c>
    </row>
    <row r="2323" spans="1:8" x14ac:dyDescent="0.3">
      <c r="A2323" t="s">
        <v>6</v>
      </c>
      <c r="B2323" t="s">
        <v>7</v>
      </c>
      <c r="C2323" t="s">
        <v>1397</v>
      </c>
      <c r="D2323" t="s">
        <v>9</v>
      </c>
      <c r="E2323" t="s">
        <v>1474</v>
      </c>
      <c r="F2323" t="str">
        <f>"001600047036"</f>
        <v>001600047036</v>
      </c>
      <c r="G2323" t="s">
        <v>3021</v>
      </c>
      <c r="H2323">
        <v>16.149999999999999</v>
      </c>
    </row>
    <row r="2324" spans="1:8" x14ac:dyDescent="0.3">
      <c r="A2324" t="s">
        <v>6</v>
      </c>
      <c r="B2324" t="s">
        <v>7</v>
      </c>
      <c r="C2324" t="s">
        <v>8</v>
      </c>
      <c r="D2324" t="s">
        <v>9</v>
      </c>
      <c r="E2324" t="s">
        <v>300</v>
      </c>
      <c r="F2324" t="str">
        <f>"617582872346"</f>
        <v>617582872346</v>
      </c>
      <c r="G2324" t="s">
        <v>2389</v>
      </c>
      <c r="H2324">
        <v>15.88</v>
      </c>
    </row>
    <row r="2325" spans="1:8" x14ac:dyDescent="0.3">
      <c r="A2325" t="s">
        <v>6</v>
      </c>
      <c r="B2325" t="s">
        <v>7</v>
      </c>
      <c r="C2325" t="s">
        <v>1286</v>
      </c>
      <c r="D2325" t="s">
        <v>9</v>
      </c>
      <c r="E2325" t="s">
        <v>1315</v>
      </c>
      <c r="F2325" t="str">
        <f>"001800065520"</f>
        <v>001800065520</v>
      </c>
      <c r="G2325" t="s">
        <v>2879</v>
      </c>
      <c r="H2325" s="4">
        <v>15.83</v>
      </c>
    </row>
    <row r="2326" spans="1:8" x14ac:dyDescent="0.3">
      <c r="A2326" t="s">
        <v>6</v>
      </c>
      <c r="B2326" t="s">
        <v>7</v>
      </c>
      <c r="C2326" t="s">
        <v>797</v>
      </c>
      <c r="D2326" t="s">
        <v>9</v>
      </c>
      <c r="E2326" t="s">
        <v>828</v>
      </c>
      <c r="F2326" t="str">
        <f>"001600016406"</f>
        <v>001600016406</v>
      </c>
      <c r="G2326" t="s">
        <v>2424</v>
      </c>
      <c r="H2326" s="4">
        <v>15.36</v>
      </c>
    </row>
    <row r="2327" spans="1:8" x14ac:dyDescent="0.3">
      <c r="A2327" t="s">
        <v>6</v>
      </c>
      <c r="B2327" t="s">
        <v>7</v>
      </c>
      <c r="C2327" t="s">
        <v>1786</v>
      </c>
      <c r="D2327" t="s">
        <v>9</v>
      </c>
      <c r="E2327" t="s">
        <v>1803</v>
      </c>
      <c r="F2327" t="str">
        <f>"072534228371"</f>
        <v>072534228371</v>
      </c>
      <c r="G2327" t="s">
        <v>3585</v>
      </c>
      <c r="H2327">
        <v>15.23</v>
      </c>
    </row>
    <row r="2328" spans="1:8" x14ac:dyDescent="0.3">
      <c r="A2328" t="s">
        <v>6</v>
      </c>
      <c r="B2328" t="s">
        <v>7</v>
      </c>
      <c r="C2328" t="s">
        <v>8</v>
      </c>
      <c r="D2328" t="s">
        <v>9</v>
      </c>
      <c r="E2328" t="s">
        <v>243</v>
      </c>
      <c r="F2328" t="str">
        <f>"001600048366"</f>
        <v>001600048366</v>
      </c>
      <c r="G2328" t="s">
        <v>4200</v>
      </c>
      <c r="H2328">
        <v>14.79</v>
      </c>
    </row>
    <row r="2329" spans="1:8" x14ac:dyDescent="0.3">
      <c r="A2329" t="s">
        <v>6</v>
      </c>
      <c r="B2329" t="s">
        <v>7</v>
      </c>
      <c r="C2329" t="s">
        <v>1805</v>
      </c>
      <c r="D2329" t="s">
        <v>9</v>
      </c>
      <c r="E2329" t="s">
        <v>1918</v>
      </c>
      <c r="F2329" t="str">
        <f>"001800012437"</f>
        <v>001800012437</v>
      </c>
      <c r="G2329" t="s">
        <v>3803</v>
      </c>
      <c r="H2329">
        <v>14</v>
      </c>
    </row>
    <row r="2330" spans="1:8" x14ac:dyDescent="0.3">
      <c r="A2330" t="s">
        <v>6</v>
      </c>
      <c r="B2330" t="s">
        <v>7</v>
      </c>
      <c r="C2330" t="s">
        <v>8</v>
      </c>
      <c r="D2330" t="s">
        <v>9</v>
      </c>
      <c r="E2330" t="s">
        <v>325</v>
      </c>
      <c r="F2330" t="str">
        <f>"001600020696"</f>
        <v>001600020696</v>
      </c>
      <c r="G2330" t="s">
        <v>2389</v>
      </c>
      <c r="H2330">
        <v>13.98</v>
      </c>
    </row>
    <row r="2331" spans="1:8" x14ac:dyDescent="0.3">
      <c r="A2331" t="s">
        <v>6</v>
      </c>
      <c r="B2331" t="s">
        <v>7</v>
      </c>
      <c r="C2331" t="s">
        <v>1397</v>
      </c>
      <c r="D2331" t="s">
        <v>9</v>
      </c>
      <c r="E2331" t="s">
        <v>1472</v>
      </c>
      <c r="F2331" t="str">
        <f>"001600061270"</f>
        <v>001600061270</v>
      </c>
      <c r="G2331" t="s">
        <v>3020</v>
      </c>
      <c r="H2331">
        <v>13.96</v>
      </c>
    </row>
    <row r="2332" spans="1:8" x14ac:dyDescent="0.3">
      <c r="A2332" t="s">
        <v>6</v>
      </c>
      <c r="B2332" t="s">
        <v>7</v>
      </c>
      <c r="C2332" t="s">
        <v>1940</v>
      </c>
      <c r="D2332" t="s">
        <v>9</v>
      </c>
      <c r="E2332" t="s">
        <v>1984</v>
      </c>
      <c r="F2332" t="str">
        <f>"007047045947"</f>
        <v>007047045947</v>
      </c>
      <c r="G2332" t="s">
        <v>2389</v>
      </c>
      <c r="H2332">
        <v>13.96</v>
      </c>
    </row>
    <row r="2333" spans="1:8" x14ac:dyDescent="0.3">
      <c r="A2333" t="s">
        <v>6</v>
      </c>
      <c r="B2333" t="s">
        <v>7</v>
      </c>
      <c r="C2333" t="s">
        <v>8</v>
      </c>
      <c r="D2333" t="s">
        <v>9</v>
      </c>
      <c r="E2333" t="s">
        <v>267</v>
      </c>
      <c r="F2333" t="str">
        <f>"001600017935"</f>
        <v>001600017935</v>
      </c>
      <c r="G2333" t="s">
        <v>4220</v>
      </c>
      <c r="H2333">
        <v>13.94</v>
      </c>
    </row>
    <row r="2334" spans="1:8" x14ac:dyDescent="0.3">
      <c r="A2334" t="s">
        <v>6</v>
      </c>
      <c r="B2334" t="s">
        <v>7</v>
      </c>
      <c r="C2334" t="s">
        <v>1397</v>
      </c>
      <c r="D2334" t="s">
        <v>9</v>
      </c>
      <c r="E2334" t="s">
        <v>1505</v>
      </c>
      <c r="F2334" t="str">
        <f>"001800012386"</f>
        <v>001800012386</v>
      </c>
      <c r="G2334" t="s">
        <v>3050</v>
      </c>
      <c r="H2334">
        <v>13.57</v>
      </c>
    </row>
    <row r="2335" spans="1:8" x14ac:dyDescent="0.3">
      <c r="A2335" t="s">
        <v>6</v>
      </c>
      <c r="B2335" t="s">
        <v>7</v>
      </c>
      <c r="C2335" t="s">
        <v>1695</v>
      </c>
      <c r="D2335" t="s">
        <v>9</v>
      </c>
      <c r="E2335" t="s">
        <v>1716</v>
      </c>
      <c r="F2335" t="str">
        <f>"002190810853"</f>
        <v>002190810853</v>
      </c>
      <c r="G2335" t="s">
        <v>3480</v>
      </c>
      <c r="H2335">
        <v>13.47</v>
      </c>
    </row>
    <row r="2336" spans="1:8" x14ac:dyDescent="0.3">
      <c r="A2336" t="s">
        <v>6</v>
      </c>
      <c r="B2336" t="s">
        <v>7</v>
      </c>
      <c r="C2336" t="s">
        <v>381</v>
      </c>
      <c r="D2336" t="s">
        <v>9</v>
      </c>
      <c r="E2336" t="s">
        <v>465</v>
      </c>
      <c r="F2336" t="str">
        <f>"001600044512"</f>
        <v>001600044512</v>
      </c>
      <c r="G2336" t="s">
        <v>3190</v>
      </c>
      <c r="H2336">
        <v>12.98</v>
      </c>
    </row>
    <row r="2337" spans="1:8" x14ac:dyDescent="0.3">
      <c r="A2337" t="s">
        <v>6</v>
      </c>
      <c r="B2337" t="s">
        <v>7</v>
      </c>
      <c r="C2337" t="s">
        <v>1338</v>
      </c>
      <c r="D2337" t="s">
        <v>9</v>
      </c>
      <c r="E2337" t="s">
        <v>1369</v>
      </c>
      <c r="F2337" t="str">
        <f>"004280011603"</f>
        <v>004280011603</v>
      </c>
      <c r="G2337" t="s">
        <v>2926</v>
      </c>
      <c r="H2337">
        <v>12.85</v>
      </c>
    </row>
    <row r="2338" spans="1:8" x14ac:dyDescent="0.3">
      <c r="A2338" t="s">
        <v>6</v>
      </c>
      <c r="B2338" s="3" t="s">
        <v>7</v>
      </c>
      <c r="C2338" s="3" t="s">
        <v>1122</v>
      </c>
      <c r="D2338" s="3" t="s">
        <v>9</v>
      </c>
      <c r="E2338" s="3" t="s">
        <v>1163</v>
      </c>
      <c r="F2338" t="str">
        <f>"001600016453"</f>
        <v>001600016453</v>
      </c>
      <c r="G2338" t="s">
        <v>2753</v>
      </c>
      <c r="H2338" s="3" t="s">
        <v>1164</v>
      </c>
    </row>
    <row r="2339" spans="1:8" x14ac:dyDescent="0.3">
      <c r="A2339" t="s">
        <v>6</v>
      </c>
      <c r="B2339" t="s">
        <v>7</v>
      </c>
      <c r="C2339" t="s">
        <v>8</v>
      </c>
      <c r="D2339" t="s">
        <v>9</v>
      </c>
      <c r="E2339" t="s">
        <v>329</v>
      </c>
      <c r="F2339" t="str">
        <f>"001600017012"</f>
        <v>001600017012</v>
      </c>
      <c r="G2339" t="s">
        <v>4279</v>
      </c>
      <c r="H2339">
        <v>12.51</v>
      </c>
    </row>
    <row r="2340" spans="1:8" x14ac:dyDescent="0.3">
      <c r="A2340" t="s">
        <v>6</v>
      </c>
      <c r="B2340" t="s">
        <v>7</v>
      </c>
      <c r="C2340" t="s">
        <v>1122</v>
      </c>
      <c r="D2340" t="s">
        <v>9</v>
      </c>
      <c r="E2340" t="s">
        <v>1201</v>
      </c>
      <c r="F2340" t="str">
        <f>"001600017154"</f>
        <v>001600017154</v>
      </c>
      <c r="G2340" t="s">
        <v>2784</v>
      </c>
      <c r="H2340" s="4">
        <v>12.47</v>
      </c>
    </row>
    <row r="2341" spans="1:8" x14ac:dyDescent="0.3">
      <c r="A2341" t="s">
        <v>6</v>
      </c>
      <c r="B2341" t="s">
        <v>7</v>
      </c>
      <c r="C2341" t="s">
        <v>1122</v>
      </c>
      <c r="D2341" t="s">
        <v>9</v>
      </c>
      <c r="E2341" t="s">
        <v>1193</v>
      </c>
      <c r="F2341" t="str">
        <f>"001600014571"</f>
        <v>001600014571</v>
      </c>
      <c r="G2341" t="s">
        <v>2780</v>
      </c>
      <c r="H2341" s="4">
        <v>12.36</v>
      </c>
    </row>
    <row r="2342" spans="1:8" x14ac:dyDescent="0.3">
      <c r="A2342" t="s">
        <v>6</v>
      </c>
      <c r="B2342" t="s">
        <v>7</v>
      </c>
      <c r="C2342" t="s">
        <v>8</v>
      </c>
      <c r="D2342" t="s">
        <v>9</v>
      </c>
      <c r="E2342" t="s">
        <v>186</v>
      </c>
      <c r="F2342" t="str">
        <f>"001600015947"</f>
        <v>001600015947</v>
      </c>
      <c r="G2342" t="s">
        <v>4145</v>
      </c>
      <c r="H2342">
        <v>12</v>
      </c>
    </row>
    <row r="2343" spans="1:8" x14ac:dyDescent="0.3">
      <c r="A2343" t="s">
        <v>6</v>
      </c>
      <c r="B2343" t="s">
        <v>7</v>
      </c>
      <c r="C2343" t="s">
        <v>1748</v>
      </c>
      <c r="D2343" t="s">
        <v>9</v>
      </c>
      <c r="E2343" t="s">
        <v>1768</v>
      </c>
      <c r="F2343" t="str">
        <f>"009232533354"</f>
        <v>009232533354</v>
      </c>
      <c r="G2343" t="s">
        <v>3530</v>
      </c>
      <c r="H2343">
        <v>11.58</v>
      </c>
    </row>
    <row r="2344" spans="1:8" x14ac:dyDescent="0.3">
      <c r="A2344" t="s">
        <v>6</v>
      </c>
      <c r="B2344" t="s">
        <v>7</v>
      </c>
      <c r="C2344" t="s">
        <v>2231</v>
      </c>
      <c r="D2344" t="s">
        <v>9</v>
      </c>
      <c r="E2344" t="s">
        <v>2313</v>
      </c>
      <c r="F2344" t="str">
        <f>"004119644187"</f>
        <v>004119644187</v>
      </c>
      <c r="G2344" t="s">
        <v>2389</v>
      </c>
      <c r="H2344">
        <v>10.9</v>
      </c>
    </row>
    <row r="2345" spans="1:8" x14ac:dyDescent="0.3">
      <c r="A2345" t="s">
        <v>6</v>
      </c>
      <c r="B2345" t="s">
        <v>7</v>
      </c>
      <c r="C2345" t="s">
        <v>985</v>
      </c>
      <c r="D2345" t="s">
        <v>9</v>
      </c>
      <c r="E2345" t="s">
        <v>1070</v>
      </c>
      <c r="F2345" t="str">
        <f>"001356200176"</f>
        <v>001356200176</v>
      </c>
      <c r="G2345" t="s">
        <v>2663</v>
      </c>
      <c r="H2345" s="4">
        <v>10.83</v>
      </c>
    </row>
    <row r="2346" spans="1:8" x14ac:dyDescent="0.3">
      <c r="A2346" t="s">
        <v>6</v>
      </c>
      <c r="B2346" t="s">
        <v>7</v>
      </c>
      <c r="C2346" t="s">
        <v>1338</v>
      </c>
      <c r="D2346" t="s">
        <v>9</v>
      </c>
      <c r="E2346" t="s">
        <v>1373</v>
      </c>
      <c r="F2346" t="str">
        <f>"004280010957"</f>
        <v>004280010957</v>
      </c>
      <c r="G2346" t="s">
        <v>2929</v>
      </c>
      <c r="H2346">
        <v>10.64</v>
      </c>
    </row>
    <row r="2347" spans="1:8" x14ac:dyDescent="0.3">
      <c r="A2347" t="s">
        <v>6</v>
      </c>
      <c r="B2347" t="s">
        <v>7</v>
      </c>
      <c r="C2347" t="s">
        <v>616</v>
      </c>
      <c r="D2347" t="s">
        <v>9</v>
      </c>
      <c r="E2347" t="s">
        <v>652</v>
      </c>
      <c r="F2347" t="str">
        <f>"073215310621"</f>
        <v>073215310621</v>
      </c>
      <c r="G2347" t="s">
        <v>3623</v>
      </c>
      <c r="H2347">
        <v>10.59</v>
      </c>
    </row>
    <row r="2348" spans="1:8" x14ac:dyDescent="0.3">
      <c r="A2348" t="s">
        <v>6</v>
      </c>
      <c r="B2348" t="s">
        <v>7</v>
      </c>
      <c r="C2348" t="s">
        <v>381</v>
      </c>
      <c r="D2348" t="s">
        <v>9</v>
      </c>
      <c r="E2348" t="s">
        <v>398</v>
      </c>
      <c r="F2348" t="str">
        <f>"001356210884"</f>
        <v>001356210884</v>
      </c>
      <c r="G2348" t="s">
        <v>3126</v>
      </c>
      <c r="H2348">
        <v>10.58</v>
      </c>
    </row>
    <row r="2349" spans="1:8" x14ac:dyDescent="0.3">
      <c r="A2349" t="s">
        <v>6</v>
      </c>
      <c r="B2349" t="s">
        <v>7</v>
      </c>
      <c r="C2349" t="s">
        <v>1338</v>
      </c>
      <c r="D2349" t="s">
        <v>9</v>
      </c>
      <c r="E2349" t="s">
        <v>1353</v>
      </c>
      <c r="F2349" t="str">
        <f>"004280049497"</f>
        <v>004280049497</v>
      </c>
      <c r="G2349" t="s">
        <v>2389</v>
      </c>
      <c r="H2349">
        <v>10.47</v>
      </c>
    </row>
    <row r="2350" spans="1:8" x14ac:dyDescent="0.3">
      <c r="A2350" t="s">
        <v>6</v>
      </c>
      <c r="B2350" t="s">
        <v>7</v>
      </c>
      <c r="C2350" t="s">
        <v>797</v>
      </c>
      <c r="D2350" t="s">
        <v>9</v>
      </c>
      <c r="E2350" t="s">
        <v>860</v>
      </c>
      <c r="F2350" t="str">
        <f>"001600047364"</f>
        <v>001600047364</v>
      </c>
      <c r="G2350" t="s">
        <v>2455</v>
      </c>
      <c r="H2350" s="4">
        <v>10.4</v>
      </c>
    </row>
    <row r="2351" spans="1:8" x14ac:dyDescent="0.3">
      <c r="A2351" t="s">
        <v>6</v>
      </c>
      <c r="B2351" t="s">
        <v>7</v>
      </c>
      <c r="C2351" t="s">
        <v>1122</v>
      </c>
      <c r="D2351" t="s">
        <v>9</v>
      </c>
      <c r="E2351" t="s">
        <v>1237</v>
      </c>
      <c r="F2351" t="str">
        <f>"001600016759"</f>
        <v>001600016759</v>
      </c>
      <c r="G2351" t="s">
        <v>2809</v>
      </c>
      <c r="H2351" s="4">
        <v>10.02</v>
      </c>
    </row>
    <row r="2352" spans="1:8" x14ac:dyDescent="0.3">
      <c r="A2352" t="s">
        <v>6</v>
      </c>
      <c r="B2352" t="s">
        <v>7</v>
      </c>
      <c r="C2352" t="s">
        <v>1748</v>
      </c>
      <c r="D2352" t="s">
        <v>9</v>
      </c>
      <c r="E2352" t="s">
        <v>1769</v>
      </c>
      <c r="F2352" t="str">
        <f>"009232533355"</f>
        <v>009232533355</v>
      </c>
      <c r="G2352" t="s">
        <v>3531</v>
      </c>
      <c r="H2352">
        <v>9.7799999999999994</v>
      </c>
    </row>
    <row r="2353" spans="1:8" x14ac:dyDescent="0.3">
      <c r="A2353" t="s">
        <v>6</v>
      </c>
      <c r="B2353" t="s">
        <v>7</v>
      </c>
      <c r="C2353" t="s">
        <v>1122</v>
      </c>
      <c r="D2353" t="s">
        <v>9</v>
      </c>
      <c r="E2353" t="s">
        <v>1206</v>
      </c>
      <c r="F2353" t="str">
        <f>"001600016758"</f>
        <v>001600016758</v>
      </c>
      <c r="G2353" t="s">
        <v>2788</v>
      </c>
      <c r="H2353" s="4">
        <v>9.68</v>
      </c>
    </row>
    <row r="2354" spans="1:8" x14ac:dyDescent="0.3">
      <c r="A2354" t="s">
        <v>6</v>
      </c>
      <c r="B2354" t="s">
        <v>7</v>
      </c>
      <c r="C2354" t="s">
        <v>8</v>
      </c>
      <c r="D2354" t="s">
        <v>9</v>
      </c>
      <c r="E2354" t="s">
        <v>318</v>
      </c>
      <c r="F2354" t="str">
        <f>"001600012725"</f>
        <v>001600012725</v>
      </c>
      <c r="G2354" t="s">
        <v>4268</v>
      </c>
      <c r="H2354">
        <v>9.65</v>
      </c>
    </row>
    <row r="2355" spans="1:8" x14ac:dyDescent="0.3">
      <c r="A2355" t="s">
        <v>6</v>
      </c>
      <c r="B2355" t="s">
        <v>7</v>
      </c>
      <c r="C2355" t="s">
        <v>2113</v>
      </c>
      <c r="D2355" t="s">
        <v>9</v>
      </c>
      <c r="E2355" t="s">
        <v>2216</v>
      </c>
      <c r="F2355" t="str">
        <f>"001600049702"</f>
        <v>001600049702</v>
      </c>
      <c r="G2355" t="s">
        <v>2389</v>
      </c>
      <c r="H2355">
        <v>9.49</v>
      </c>
    </row>
    <row r="2356" spans="1:8" x14ac:dyDescent="0.3">
      <c r="A2356" t="s">
        <v>6</v>
      </c>
      <c r="B2356" t="s">
        <v>7</v>
      </c>
      <c r="C2356" t="s">
        <v>616</v>
      </c>
      <c r="D2356" t="s">
        <v>9</v>
      </c>
      <c r="E2356" t="s">
        <v>645</v>
      </c>
      <c r="F2356" t="str">
        <f>"073215310628"</f>
        <v>073215310628</v>
      </c>
      <c r="G2356" t="s">
        <v>3616</v>
      </c>
      <c r="H2356">
        <v>9.39</v>
      </c>
    </row>
    <row r="2357" spans="1:8" x14ac:dyDescent="0.3">
      <c r="A2357" t="s">
        <v>6</v>
      </c>
      <c r="B2357" t="s">
        <v>7</v>
      </c>
      <c r="C2357" t="s">
        <v>1940</v>
      </c>
      <c r="D2357" t="s">
        <v>9</v>
      </c>
      <c r="E2357" t="s">
        <v>2095</v>
      </c>
      <c r="F2357" t="str">
        <f>"007047016423"</f>
        <v>007047016423</v>
      </c>
      <c r="G2357" t="s">
        <v>3984</v>
      </c>
      <c r="H2357">
        <v>9.3759999999999994</v>
      </c>
    </row>
    <row r="2358" spans="1:8" x14ac:dyDescent="0.3">
      <c r="A2358" t="s">
        <v>6</v>
      </c>
      <c r="B2358" t="s">
        <v>7</v>
      </c>
      <c r="C2358" t="s">
        <v>1940</v>
      </c>
      <c r="D2358" t="s">
        <v>9</v>
      </c>
      <c r="E2358" t="s">
        <v>2097</v>
      </c>
      <c r="F2358" t="str">
        <f>"007047018118"</f>
        <v>007047018118</v>
      </c>
      <c r="G2358" t="s">
        <v>3986</v>
      </c>
      <c r="H2358">
        <v>9.35</v>
      </c>
    </row>
    <row r="2359" spans="1:8" x14ac:dyDescent="0.3">
      <c r="A2359" t="s">
        <v>6</v>
      </c>
      <c r="B2359" t="s">
        <v>7</v>
      </c>
      <c r="C2359" t="s">
        <v>1397</v>
      </c>
      <c r="D2359" t="s">
        <v>9</v>
      </c>
      <c r="E2359" t="s">
        <v>1502</v>
      </c>
      <c r="F2359" t="str">
        <f>"001800012387"</f>
        <v>001800012387</v>
      </c>
      <c r="G2359" t="s">
        <v>3047</v>
      </c>
      <c r="H2359">
        <v>9.06</v>
      </c>
    </row>
    <row r="2360" spans="1:8" x14ac:dyDescent="0.3">
      <c r="A2360" t="s">
        <v>6</v>
      </c>
      <c r="B2360" t="s">
        <v>7</v>
      </c>
      <c r="C2360" t="s">
        <v>1397</v>
      </c>
      <c r="D2360" t="s">
        <v>9</v>
      </c>
      <c r="E2360" t="s">
        <v>1514</v>
      </c>
      <c r="F2360" t="str">
        <f>"001800012837"</f>
        <v>001800012837</v>
      </c>
      <c r="G2360" t="s">
        <v>3058</v>
      </c>
      <c r="H2360">
        <v>8.94</v>
      </c>
    </row>
    <row r="2361" spans="1:8" x14ac:dyDescent="0.3">
      <c r="A2361" t="s">
        <v>6</v>
      </c>
      <c r="B2361" t="s">
        <v>7</v>
      </c>
      <c r="C2361" t="s">
        <v>1122</v>
      </c>
      <c r="D2361" t="s">
        <v>9</v>
      </c>
      <c r="E2361" t="s">
        <v>1167</v>
      </c>
      <c r="F2361" t="str">
        <f>"001600023760"</f>
        <v>001600023760</v>
      </c>
      <c r="G2361" t="s">
        <v>2389</v>
      </c>
      <c r="H2361" s="4">
        <v>8.8800000000000008</v>
      </c>
    </row>
    <row r="2362" spans="1:8" x14ac:dyDescent="0.3">
      <c r="A2362" t="s">
        <v>6</v>
      </c>
      <c r="B2362" t="s">
        <v>7</v>
      </c>
      <c r="C2362" t="s">
        <v>1577</v>
      </c>
      <c r="D2362" t="s">
        <v>9</v>
      </c>
      <c r="E2362" t="s">
        <v>1626</v>
      </c>
      <c r="F2362" t="str">
        <f>"004600010287"</f>
        <v>004600010287</v>
      </c>
      <c r="G2362" t="s">
        <v>3391</v>
      </c>
      <c r="H2362">
        <v>8.6479999999999997</v>
      </c>
    </row>
    <row r="2363" spans="1:8" x14ac:dyDescent="0.3">
      <c r="A2363" t="s">
        <v>6</v>
      </c>
      <c r="B2363" t="s">
        <v>7</v>
      </c>
      <c r="C2363" t="s">
        <v>797</v>
      </c>
      <c r="D2363" t="s">
        <v>9</v>
      </c>
      <c r="E2363" t="s">
        <v>969</v>
      </c>
      <c r="F2363" t="str">
        <f>"001600043230"</f>
        <v>001600043230</v>
      </c>
      <c r="G2363" t="s">
        <v>2389</v>
      </c>
      <c r="H2363" s="4">
        <v>8.6199999999999992</v>
      </c>
    </row>
    <row r="2364" spans="1:8" x14ac:dyDescent="0.3">
      <c r="A2364" t="s">
        <v>6</v>
      </c>
      <c r="B2364" t="s">
        <v>7</v>
      </c>
      <c r="C2364" t="s">
        <v>985</v>
      </c>
      <c r="D2364" t="s">
        <v>9</v>
      </c>
      <c r="E2364" t="s">
        <v>1033</v>
      </c>
      <c r="F2364" t="str">
        <f>"001356211627"</f>
        <v>001356211627</v>
      </c>
      <c r="G2364" t="s">
        <v>2389</v>
      </c>
      <c r="H2364" s="4">
        <v>8.36</v>
      </c>
    </row>
    <row r="2365" spans="1:8" x14ac:dyDescent="0.3">
      <c r="A2365" t="s">
        <v>6</v>
      </c>
      <c r="B2365" t="s">
        <v>7</v>
      </c>
      <c r="C2365" t="s">
        <v>616</v>
      </c>
      <c r="D2365" t="s">
        <v>9</v>
      </c>
      <c r="E2365" t="s">
        <v>679</v>
      </c>
      <c r="F2365" t="str">
        <f>"002190825437"</f>
        <v>002190825437</v>
      </c>
      <c r="G2365" t="s">
        <v>3649</v>
      </c>
      <c r="H2365">
        <v>8.35</v>
      </c>
    </row>
    <row r="2366" spans="1:8" x14ac:dyDescent="0.3">
      <c r="A2366" t="s">
        <v>6</v>
      </c>
      <c r="B2366" t="s">
        <v>7</v>
      </c>
      <c r="C2366" t="s">
        <v>8</v>
      </c>
      <c r="D2366" t="s">
        <v>9</v>
      </c>
      <c r="E2366" t="s">
        <v>276</v>
      </c>
      <c r="F2366" t="str">
        <f>"001600027569"</f>
        <v>001600027569</v>
      </c>
      <c r="G2366" t="s">
        <v>4228</v>
      </c>
      <c r="H2366">
        <v>8.33</v>
      </c>
    </row>
    <row r="2367" spans="1:8" x14ac:dyDescent="0.3">
      <c r="A2367" t="s">
        <v>6</v>
      </c>
      <c r="B2367" t="s">
        <v>7</v>
      </c>
      <c r="C2367" t="s">
        <v>2113</v>
      </c>
      <c r="D2367" t="s">
        <v>9</v>
      </c>
      <c r="E2367" t="s">
        <v>2202</v>
      </c>
      <c r="F2367" t="str">
        <f>"001600016553"</f>
        <v>001600016553</v>
      </c>
      <c r="G2367" t="s">
        <v>2389</v>
      </c>
      <c r="H2367">
        <v>8.32</v>
      </c>
    </row>
    <row r="2368" spans="1:8" x14ac:dyDescent="0.3">
      <c r="A2368" t="s">
        <v>6</v>
      </c>
      <c r="B2368" t="s">
        <v>7</v>
      </c>
      <c r="C2368" t="s">
        <v>2231</v>
      </c>
      <c r="D2368" t="s">
        <v>9</v>
      </c>
      <c r="E2368" t="s">
        <v>2314</v>
      </c>
      <c r="F2368" t="str">
        <f>"004119649282"</f>
        <v>004119649282</v>
      </c>
      <c r="G2368" t="s">
        <v>4506</v>
      </c>
      <c r="H2368">
        <v>8.07</v>
      </c>
    </row>
    <row r="2369" spans="1:8" x14ac:dyDescent="0.3">
      <c r="A2369" t="s">
        <v>6</v>
      </c>
      <c r="B2369" t="s">
        <v>7</v>
      </c>
      <c r="C2369" t="s">
        <v>2113</v>
      </c>
      <c r="D2369" t="s">
        <v>9</v>
      </c>
      <c r="E2369" t="s">
        <v>2185</v>
      </c>
      <c r="F2369" t="str">
        <f>"001600041995"</f>
        <v>001600041995</v>
      </c>
      <c r="G2369" t="s">
        <v>2389</v>
      </c>
      <c r="H2369">
        <v>7.92</v>
      </c>
    </row>
    <row r="2370" spans="1:8" x14ac:dyDescent="0.3">
      <c r="A2370" t="s">
        <v>6</v>
      </c>
      <c r="B2370" t="s">
        <v>7</v>
      </c>
      <c r="C2370" t="s">
        <v>8</v>
      </c>
      <c r="D2370" t="s">
        <v>9</v>
      </c>
      <c r="E2370" t="s">
        <v>245</v>
      </c>
      <c r="F2370" t="str">
        <f>"001600027527"</f>
        <v>001600027527</v>
      </c>
      <c r="G2370" t="s">
        <v>4202</v>
      </c>
      <c r="H2370">
        <v>7.9</v>
      </c>
    </row>
    <row r="2371" spans="1:8" x14ac:dyDescent="0.3">
      <c r="A2371" t="s">
        <v>6</v>
      </c>
      <c r="B2371" t="s">
        <v>7</v>
      </c>
      <c r="C2371" t="s">
        <v>797</v>
      </c>
      <c r="D2371" t="s">
        <v>9</v>
      </c>
      <c r="E2371" t="s">
        <v>853</v>
      </c>
      <c r="F2371" t="str">
        <f>"001600016754"</f>
        <v>001600016754</v>
      </c>
      <c r="G2371" t="s">
        <v>2449</v>
      </c>
      <c r="H2371" s="4">
        <v>7.7</v>
      </c>
    </row>
    <row r="2372" spans="1:8" x14ac:dyDescent="0.3">
      <c r="A2372" t="s">
        <v>6</v>
      </c>
      <c r="B2372" t="s">
        <v>7</v>
      </c>
      <c r="C2372" t="s">
        <v>797</v>
      </c>
      <c r="D2372" t="s">
        <v>9</v>
      </c>
      <c r="E2372" t="s">
        <v>833</v>
      </c>
      <c r="F2372" t="str">
        <f>"001600047363"</f>
        <v>001600047363</v>
      </c>
      <c r="G2372" t="s">
        <v>2429</v>
      </c>
      <c r="H2372" s="4">
        <v>7.5</v>
      </c>
    </row>
    <row r="2373" spans="1:8" x14ac:dyDescent="0.3">
      <c r="A2373" t="s">
        <v>6</v>
      </c>
      <c r="B2373" t="s">
        <v>7</v>
      </c>
      <c r="C2373" t="s">
        <v>8</v>
      </c>
      <c r="D2373" t="s">
        <v>9</v>
      </c>
      <c r="E2373" t="s">
        <v>151</v>
      </c>
      <c r="F2373" t="str">
        <f>"001600013782"</f>
        <v>001600013782</v>
      </c>
      <c r="G2373" t="s">
        <v>4113</v>
      </c>
      <c r="H2373">
        <v>7.48</v>
      </c>
    </row>
    <row r="2374" spans="1:8" x14ac:dyDescent="0.3">
      <c r="A2374" t="s">
        <v>6</v>
      </c>
      <c r="B2374" t="s">
        <v>7</v>
      </c>
      <c r="C2374" t="s">
        <v>1095</v>
      </c>
      <c r="D2374" t="s">
        <v>9</v>
      </c>
      <c r="E2374" t="s">
        <v>1116</v>
      </c>
      <c r="F2374" t="str">
        <f>"001600014475"</f>
        <v>001600014475</v>
      </c>
      <c r="G2374" t="s">
        <v>2389</v>
      </c>
      <c r="H2374" s="4">
        <v>7.47</v>
      </c>
    </row>
    <row r="2375" spans="1:8" x14ac:dyDescent="0.3">
      <c r="A2375" t="s">
        <v>6</v>
      </c>
      <c r="B2375" t="s">
        <v>7</v>
      </c>
      <c r="C2375" t="s">
        <v>381</v>
      </c>
      <c r="D2375" t="s">
        <v>9</v>
      </c>
      <c r="E2375" t="s">
        <v>506</v>
      </c>
      <c r="F2375" t="str">
        <f>"001600026599"</f>
        <v>001600026599</v>
      </c>
      <c r="G2375" t="s">
        <v>3232</v>
      </c>
      <c r="H2375">
        <v>7.1230000000000002</v>
      </c>
    </row>
    <row r="2376" spans="1:8" x14ac:dyDescent="0.3">
      <c r="A2376" t="s">
        <v>6</v>
      </c>
      <c r="B2376" t="s">
        <v>7</v>
      </c>
      <c r="C2376" t="s">
        <v>8</v>
      </c>
      <c r="D2376" t="s">
        <v>9</v>
      </c>
      <c r="E2376" t="s">
        <v>317</v>
      </c>
      <c r="F2376" t="str">
        <f>"001600018483"</f>
        <v>001600018483</v>
      </c>
      <c r="G2376" t="s">
        <v>2389</v>
      </c>
      <c r="H2376">
        <v>7</v>
      </c>
    </row>
    <row r="2377" spans="1:8" x14ac:dyDescent="0.3">
      <c r="A2377" t="s">
        <v>6</v>
      </c>
      <c r="B2377" t="s">
        <v>7</v>
      </c>
      <c r="C2377" t="s">
        <v>1122</v>
      </c>
      <c r="D2377" t="s">
        <v>9</v>
      </c>
      <c r="E2377" t="s">
        <v>1198</v>
      </c>
      <c r="F2377" t="str">
        <f>"001600017065"</f>
        <v>001600017065</v>
      </c>
      <c r="G2377" t="s">
        <v>2389</v>
      </c>
      <c r="H2377" s="4">
        <v>6.99</v>
      </c>
    </row>
    <row r="2378" spans="1:8" x14ac:dyDescent="0.3">
      <c r="A2378" t="s">
        <v>6</v>
      </c>
      <c r="B2378" t="s">
        <v>7</v>
      </c>
      <c r="C2378" t="s">
        <v>2113</v>
      </c>
      <c r="D2378" t="s">
        <v>9</v>
      </c>
      <c r="E2378" t="s">
        <v>2165</v>
      </c>
      <c r="F2378" t="str">
        <f>"001600016194"</f>
        <v>001600016194</v>
      </c>
      <c r="G2378" t="s">
        <v>4373</v>
      </c>
      <c r="H2378">
        <v>6.86</v>
      </c>
    </row>
    <row r="2379" spans="1:8" x14ac:dyDescent="0.3">
      <c r="A2379" t="s">
        <v>6</v>
      </c>
      <c r="B2379" t="s">
        <v>7</v>
      </c>
      <c r="C2379" t="s">
        <v>985</v>
      </c>
      <c r="D2379" t="s">
        <v>9</v>
      </c>
      <c r="E2379" t="s">
        <v>1059</v>
      </c>
      <c r="F2379" t="str">
        <f>"001356261010"</f>
        <v>001356261010</v>
      </c>
      <c r="G2379" t="s">
        <v>2653</v>
      </c>
      <c r="H2379" s="4">
        <v>6.84</v>
      </c>
    </row>
    <row r="2380" spans="1:8" x14ac:dyDescent="0.3">
      <c r="A2380" t="s">
        <v>6</v>
      </c>
      <c r="B2380" t="s">
        <v>7</v>
      </c>
      <c r="C2380" t="s">
        <v>8</v>
      </c>
      <c r="D2380" t="s">
        <v>9</v>
      </c>
      <c r="E2380" t="s">
        <v>235</v>
      </c>
      <c r="F2380" t="str">
        <f>"016000487925"</f>
        <v>016000487925</v>
      </c>
      <c r="G2380" t="s">
        <v>4192</v>
      </c>
      <c r="H2380">
        <v>6.79</v>
      </c>
    </row>
    <row r="2381" spans="1:8" x14ac:dyDescent="0.3">
      <c r="A2381" t="s">
        <v>6</v>
      </c>
      <c r="B2381" t="s">
        <v>7</v>
      </c>
      <c r="C2381" t="s">
        <v>8</v>
      </c>
      <c r="D2381" t="s">
        <v>9</v>
      </c>
      <c r="E2381" t="s">
        <v>289</v>
      </c>
      <c r="F2381" t="str">
        <f>"001600048771"</f>
        <v>001600048771</v>
      </c>
      <c r="G2381" t="s">
        <v>4241</v>
      </c>
      <c r="H2381">
        <v>6.79</v>
      </c>
    </row>
    <row r="2382" spans="1:8" x14ac:dyDescent="0.3">
      <c r="A2382" t="s">
        <v>6</v>
      </c>
      <c r="B2382" t="s">
        <v>7</v>
      </c>
      <c r="C2382" t="s">
        <v>381</v>
      </c>
      <c r="D2382" t="s">
        <v>9</v>
      </c>
      <c r="E2382" t="s">
        <v>576</v>
      </c>
      <c r="F2382" t="str">
        <f>"001600043006"</f>
        <v>001600043006</v>
      </c>
      <c r="G2382" t="s">
        <v>2389</v>
      </c>
      <c r="H2382">
        <v>6.78</v>
      </c>
    </row>
    <row r="2383" spans="1:8" x14ac:dyDescent="0.3">
      <c r="A2383" t="s">
        <v>6</v>
      </c>
      <c r="B2383" t="s">
        <v>7</v>
      </c>
      <c r="C2383" t="s">
        <v>1397</v>
      </c>
      <c r="D2383" t="s">
        <v>9</v>
      </c>
      <c r="E2383" t="s">
        <v>1427</v>
      </c>
      <c r="F2383" t="str">
        <f>"002190896540"</f>
        <v>002190896540</v>
      </c>
      <c r="G2383" t="s">
        <v>2979</v>
      </c>
      <c r="H2383">
        <v>6.49</v>
      </c>
    </row>
    <row r="2384" spans="1:8" x14ac:dyDescent="0.3">
      <c r="A2384" t="s">
        <v>6</v>
      </c>
      <c r="B2384" t="s">
        <v>7</v>
      </c>
      <c r="C2384" t="s">
        <v>1748</v>
      </c>
      <c r="D2384" t="s">
        <v>9</v>
      </c>
      <c r="E2384" t="s">
        <v>1757</v>
      </c>
      <c r="F2384" t="str">
        <f>"009232533302"</f>
        <v>009232533302</v>
      </c>
      <c r="G2384" t="s">
        <v>3519</v>
      </c>
      <c r="H2384">
        <v>6.49</v>
      </c>
    </row>
    <row r="2385" spans="1:8" x14ac:dyDescent="0.3">
      <c r="A2385" t="s">
        <v>6</v>
      </c>
      <c r="B2385" t="s">
        <v>7</v>
      </c>
      <c r="C2385" t="s">
        <v>1748</v>
      </c>
      <c r="D2385" t="s">
        <v>9</v>
      </c>
      <c r="E2385" t="s">
        <v>1766</v>
      </c>
      <c r="F2385" t="str">
        <f>"009232533312"</f>
        <v>009232533312</v>
      </c>
      <c r="G2385" t="s">
        <v>3528</v>
      </c>
      <c r="H2385">
        <v>6.29</v>
      </c>
    </row>
    <row r="2386" spans="1:8" x14ac:dyDescent="0.3">
      <c r="A2386" t="s">
        <v>6</v>
      </c>
      <c r="B2386" t="s">
        <v>7</v>
      </c>
      <c r="C2386" t="s">
        <v>797</v>
      </c>
      <c r="D2386" t="s">
        <v>9</v>
      </c>
      <c r="E2386" t="s">
        <v>839</v>
      </c>
      <c r="F2386" t="str">
        <f>"001600015016"</f>
        <v>001600015016</v>
      </c>
      <c r="G2386" t="s">
        <v>2434</v>
      </c>
      <c r="H2386" s="4">
        <v>6.2549999999999999</v>
      </c>
    </row>
    <row r="2387" spans="1:8" x14ac:dyDescent="0.3">
      <c r="A2387" t="s">
        <v>6</v>
      </c>
      <c r="B2387" t="s">
        <v>7</v>
      </c>
      <c r="C2387" t="s">
        <v>8</v>
      </c>
      <c r="D2387" t="s">
        <v>9</v>
      </c>
      <c r="E2387" t="s">
        <v>334</v>
      </c>
      <c r="F2387" t="str">
        <f>"001600017611"</f>
        <v>001600017611</v>
      </c>
      <c r="G2387" t="s">
        <v>2389</v>
      </c>
      <c r="H2387">
        <v>6.2549999999999999</v>
      </c>
    </row>
    <row r="2388" spans="1:8" x14ac:dyDescent="0.3">
      <c r="A2388" t="s">
        <v>6</v>
      </c>
      <c r="B2388" t="s">
        <v>7</v>
      </c>
      <c r="C2388" t="s">
        <v>8</v>
      </c>
      <c r="D2388" t="s">
        <v>9</v>
      </c>
      <c r="E2388" t="s">
        <v>176</v>
      </c>
      <c r="F2388" t="str">
        <f>"001600045289"</f>
        <v>001600045289</v>
      </c>
      <c r="G2388" t="s">
        <v>4136</v>
      </c>
      <c r="H2388">
        <v>6</v>
      </c>
    </row>
    <row r="2389" spans="1:8" x14ac:dyDescent="0.3">
      <c r="A2389" t="s">
        <v>6</v>
      </c>
      <c r="B2389" t="s">
        <v>7</v>
      </c>
      <c r="C2389" t="s">
        <v>616</v>
      </c>
      <c r="D2389" t="s">
        <v>9</v>
      </c>
      <c r="E2389" t="s">
        <v>720</v>
      </c>
      <c r="F2389" t="str">
        <f>"002190840952"</f>
        <v>002190840952</v>
      </c>
      <c r="G2389" t="s">
        <v>3690</v>
      </c>
      <c r="H2389">
        <v>5.99</v>
      </c>
    </row>
    <row r="2390" spans="1:8" x14ac:dyDescent="0.3">
      <c r="A2390" t="s">
        <v>6</v>
      </c>
      <c r="B2390" t="s">
        <v>7</v>
      </c>
      <c r="C2390" t="s">
        <v>8</v>
      </c>
      <c r="D2390" t="s">
        <v>9</v>
      </c>
      <c r="E2390" t="s">
        <v>135</v>
      </c>
      <c r="F2390" t="str">
        <f>"001600017056"</f>
        <v>001600017056</v>
      </c>
      <c r="G2390" t="s">
        <v>4101</v>
      </c>
      <c r="H2390">
        <v>5.99</v>
      </c>
    </row>
    <row r="2391" spans="1:8" x14ac:dyDescent="0.3">
      <c r="A2391" t="s">
        <v>6</v>
      </c>
      <c r="B2391" t="s">
        <v>7</v>
      </c>
      <c r="C2391" t="s">
        <v>8</v>
      </c>
      <c r="D2391" t="s">
        <v>9</v>
      </c>
      <c r="E2391" t="s">
        <v>147</v>
      </c>
      <c r="F2391" t="str">
        <f>"001600018487"</f>
        <v>001600018487</v>
      </c>
      <c r="G2391" t="s">
        <v>2389</v>
      </c>
      <c r="H2391">
        <v>5.99</v>
      </c>
    </row>
    <row r="2392" spans="1:8" x14ac:dyDescent="0.3">
      <c r="A2392" t="s">
        <v>6</v>
      </c>
      <c r="B2392" t="s">
        <v>7</v>
      </c>
      <c r="C2392" t="s">
        <v>1122</v>
      </c>
      <c r="D2392" t="s">
        <v>9</v>
      </c>
      <c r="E2392" t="s">
        <v>1227</v>
      </c>
      <c r="F2392" t="str">
        <f>"001600015910"</f>
        <v>001600015910</v>
      </c>
      <c r="G2392" t="s">
        <v>2801</v>
      </c>
      <c r="H2392" s="4">
        <v>5.98</v>
      </c>
    </row>
    <row r="2393" spans="1:8" x14ac:dyDescent="0.3">
      <c r="A2393" t="s">
        <v>6</v>
      </c>
      <c r="B2393" t="s">
        <v>7</v>
      </c>
      <c r="C2393" t="s">
        <v>381</v>
      </c>
      <c r="D2393" t="s">
        <v>9</v>
      </c>
      <c r="E2393" t="s">
        <v>401</v>
      </c>
      <c r="F2393" t="str">
        <f>"068692435834"</f>
        <v>068692435834</v>
      </c>
      <c r="G2393" t="s">
        <v>2389</v>
      </c>
      <c r="H2393">
        <v>5.97</v>
      </c>
    </row>
    <row r="2394" spans="1:8" x14ac:dyDescent="0.3">
      <c r="A2394" t="s">
        <v>6</v>
      </c>
      <c r="B2394" t="s">
        <v>7</v>
      </c>
      <c r="C2394" t="s">
        <v>1805</v>
      </c>
      <c r="D2394" t="s">
        <v>9</v>
      </c>
      <c r="E2394" t="s">
        <v>1842</v>
      </c>
      <c r="F2394" t="str">
        <f>"337582866987"</f>
        <v>337582866987</v>
      </c>
      <c r="G2394" t="s">
        <v>2389</v>
      </c>
      <c r="H2394">
        <v>5.97</v>
      </c>
    </row>
    <row r="2395" spans="1:8" x14ac:dyDescent="0.3">
      <c r="A2395" t="s">
        <v>6</v>
      </c>
      <c r="B2395" t="s">
        <v>7</v>
      </c>
      <c r="C2395" t="s">
        <v>8</v>
      </c>
      <c r="D2395" t="s">
        <v>9</v>
      </c>
      <c r="E2395" t="s">
        <v>233</v>
      </c>
      <c r="F2395" t="str">
        <f>"001600027531"</f>
        <v>001600027531</v>
      </c>
      <c r="G2395" t="s">
        <v>2389</v>
      </c>
      <c r="H2395">
        <v>5.68</v>
      </c>
    </row>
    <row r="2396" spans="1:8" x14ac:dyDescent="0.3">
      <c r="A2396" t="s">
        <v>6</v>
      </c>
      <c r="B2396" t="s">
        <v>7</v>
      </c>
      <c r="C2396" t="s">
        <v>381</v>
      </c>
      <c r="D2396" t="s">
        <v>9</v>
      </c>
      <c r="E2396" t="s">
        <v>434</v>
      </c>
      <c r="F2396" t="str">
        <f>"001600048544"</f>
        <v>001600048544</v>
      </c>
      <c r="G2396" t="s">
        <v>3160</v>
      </c>
      <c r="H2396">
        <v>5.66</v>
      </c>
    </row>
    <row r="2397" spans="1:8" x14ac:dyDescent="0.3">
      <c r="A2397" t="s">
        <v>6</v>
      </c>
      <c r="B2397" t="s">
        <v>7</v>
      </c>
      <c r="C2397" t="s">
        <v>1338</v>
      </c>
      <c r="D2397" t="s">
        <v>9</v>
      </c>
      <c r="E2397" t="s">
        <v>1363</v>
      </c>
      <c r="F2397" t="str">
        <f>"004280012464"</f>
        <v>004280012464</v>
      </c>
      <c r="G2397" t="s">
        <v>2920</v>
      </c>
      <c r="H2397">
        <v>5.65</v>
      </c>
    </row>
    <row r="2398" spans="1:8" x14ac:dyDescent="0.3">
      <c r="A2398" t="s">
        <v>6</v>
      </c>
      <c r="B2398" t="s">
        <v>7</v>
      </c>
      <c r="C2398" t="s">
        <v>1122</v>
      </c>
      <c r="D2398" t="s">
        <v>9</v>
      </c>
      <c r="E2398" t="s">
        <v>1161</v>
      </c>
      <c r="F2398" t="str">
        <f>"001600020099"</f>
        <v>001600020099</v>
      </c>
      <c r="G2398" t="s">
        <v>2751</v>
      </c>
      <c r="H2398" s="4">
        <v>5.48</v>
      </c>
    </row>
    <row r="2399" spans="1:8" x14ac:dyDescent="0.3">
      <c r="A2399" t="s">
        <v>6</v>
      </c>
      <c r="B2399" t="s">
        <v>7</v>
      </c>
      <c r="C2399" t="s">
        <v>8</v>
      </c>
      <c r="D2399" t="s">
        <v>9</v>
      </c>
      <c r="E2399" t="s">
        <v>64</v>
      </c>
      <c r="F2399" t="str">
        <f>"002190812176"</f>
        <v>002190812176</v>
      </c>
      <c r="G2399" t="s">
        <v>4041</v>
      </c>
      <c r="H2399">
        <v>5.48</v>
      </c>
    </row>
    <row r="2400" spans="1:8" x14ac:dyDescent="0.3">
      <c r="A2400" t="s">
        <v>6</v>
      </c>
      <c r="B2400" t="s">
        <v>7</v>
      </c>
      <c r="C2400" t="s">
        <v>1122</v>
      </c>
      <c r="D2400" t="s">
        <v>9</v>
      </c>
      <c r="E2400" t="s">
        <v>1152</v>
      </c>
      <c r="F2400" t="str">
        <f>"001356212626"</f>
        <v>001356212626</v>
      </c>
      <c r="G2400" t="s">
        <v>2745</v>
      </c>
      <c r="H2400" s="4">
        <v>5.29</v>
      </c>
    </row>
    <row r="2401" spans="1:8" x14ac:dyDescent="0.3">
      <c r="A2401" t="s">
        <v>6</v>
      </c>
      <c r="B2401" t="s">
        <v>7</v>
      </c>
      <c r="C2401" t="s">
        <v>1940</v>
      </c>
      <c r="D2401" t="s">
        <v>9</v>
      </c>
      <c r="E2401" t="s">
        <v>2107</v>
      </c>
      <c r="F2401" t="str">
        <f>"007047043231"</f>
        <v>007047043231</v>
      </c>
      <c r="G2401" t="s">
        <v>2389</v>
      </c>
      <c r="H2401">
        <v>5.29</v>
      </c>
    </row>
    <row r="2402" spans="1:8" x14ac:dyDescent="0.3">
      <c r="A2402" t="s">
        <v>6</v>
      </c>
      <c r="B2402" t="s">
        <v>7</v>
      </c>
      <c r="C2402" t="s">
        <v>1122</v>
      </c>
      <c r="D2402" t="s">
        <v>9</v>
      </c>
      <c r="E2402" t="s">
        <v>1168</v>
      </c>
      <c r="F2402" t="str">
        <f>"001600016451"</f>
        <v>001600016451</v>
      </c>
      <c r="G2402" t="s">
        <v>2756</v>
      </c>
      <c r="H2402" s="4">
        <v>5</v>
      </c>
    </row>
    <row r="2403" spans="1:8" x14ac:dyDescent="0.3">
      <c r="A2403" t="s">
        <v>6</v>
      </c>
      <c r="B2403" t="s">
        <v>7</v>
      </c>
      <c r="C2403" t="s">
        <v>797</v>
      </c>
      <c r="D2403" t="s">
        <v>9</v>
      </c>
      <c r="E2403" t="s">
        <v>854</v>
      </c>
      <c r="F2403" t="str">
        <f>"001600019342"</f>
        <v>001600019342</v>
      </c>
      <c r="G2403" t="s">
        <v>2450</v>
      </c>
      <c r="H2403" s="4">
        <v>4.99</v>
      </c>
    </row>
    <row r="2404" spans="1:8" x14ac:dyDescent="0.3">
      <c r="A2404" t="s">
        <v>6</v>
      </c>
      <c r="B2404" t="s">
        <v>7</v>
      </c>
      <c r="C2404" t="s">
        <v>1122</v>
      </c>
      <c r="D2404" t="s">
        <v>9</v>
      </c>
      <c r="E2404" t="s">
        <v>1146</v>
      </c>
      <c r="F2404" t="str">
        <f>"001356211495"</f>
        <v>001356211495</v>
      </c>
      <c r="G2404" t="s">
        <v>2740</v>
      </c>
      <c r="H2404" s="4">
        <v>4.99</v>
      </c>
    </row>
    <row r="2405" spans="1:8" x14ac:dyDescent="0.3">
      <c r="A2405" t="s">
        <v>6</v>
      </c>
      <c r="B2405" t="s">
        <v>7</v>
      </c>
      <c r="C2405" t="s">
        <v>1122</v>
      </c>
      <c r="D2405" t="s">
        <v>9</v>
      </c>
      <c r="E2405" t="s">
        <v>1184</v>
      </c>
      <c r="F2405" t="str">
        <f>"001600016062"</f>
        <v>001600016062</v>
      </c>
      <c r="G2405" t="s">
        <v>2772</v>
      </c>
      <c r="H2405" s="4">
        <v>4.97</v>
      </c>
    </row>
    <row r="2406" spans="1:8" x14ac:dyDescent="0.3">
      <c r="A2406" t="s">
        <v>6</v>
      </c>
      <c r="B2406" t="s">
        <v>7</v>
      </c>
      <c r="C2406" t="s">
        <v>797</v>
      </c>
      <c r="D2406" t="s">
        <v>9</v>
      </c>
      <c r="E2406" t="s">
        <v>871</v>
      </c>
      <c r="F2406" t="str">
        <f>"001600047365"</f>
        <v>001600047365</v>
      </c>
      <c r="G2406" t="s">
        <v>2464</v>
      </c>
      <c r="H2406" s="4">
        <v>4.9400000000000004</v>
      </c>
    </row>
    <row r="2407" spans="1:8" x14ac:dyDescent="0.3">
      <c r="A2407" t="s">
        <v>6</v>
      </c>
      <c r="B2407" t="s">
        <v>7</v>
      </c>
      <c r="C2407" t="s">
        <v>1940</v>
      </c>
      <c r="D2407" t="s">
        <v>9</v>
      </c>
      <c r="E2407" t="s">
        <v>2001</v>
      </c>
      <c r="F2407" t="str">
        <f>"007047040397"</f>
        <v>007047040397</v>
      </c>
      <c r="G2407" t="s">
        <v>2389</v>
      </c>
      <c r="H2407">
        <v>4.9400000000000004</v>
      </c>
    </row>
    <row r="2408" spans="1:8" x14ac:dyDescent="0.3">
      <c r="A2408" t="s">
        <v>6</v>
      </c>
      <c r="B2408" t="s">
        <v>7</v>
      </c>
      <c r="C2408" t="s">
        <v>8</v>
      </c>
      <c r="D2408" t="s">
        <v>9</v>
      </c>
      <c r="E2408" t="s">
        <v>98</v>
      </c>
      <c r="F2408" t="str">
        <f>"001600016913"</f>
        <v>001600016913</v>
      </c>
      <c r="G2408" t="s">
        <v>4067</v>
      </c>
      <c r="H2408">
        <v>4.93</v>
      </c>
    </row>
    <row r="2409" spans="1:8" x14ac:dyDescent="0.3">
      <c r="A2409" t="s">
        <v>6</v>
      </c>
      <c r="B2409" t="s">
        <v>7</v>
      </c>
      <c r="C2409" t="s">
        <v>8</v>
      </c>
      <c r="D2409" t="s">
        <v>9</v>
      </c>
      <c r="E2409" t="s">
        <v>119</v>
      </c>
      <c r="F2409" t="str">
        <f>"001600066660"</f>
        <v>001600066660</v>
      </c>
      <c r="G2409" t="s">
        <v>2389</v>
      </c>
      <c r="H2409">
        <v>4.93</v>
      </c>
    </row>
    <row r="2410" spans="1:8" x14ac:dyDescent="0.3">
      <c r="A2410" t="s">
        <v>6</v>
      </c>
      <c r="B2410" t="s">
        <v>7</v>
      </c>
      <c r="C2410" t="s">
        <v>8</v>
      </c>
      <c r="D2410" t="s">
        <v>9</v>
      </c>
      <c r="E2410" t="s">
        <v>156</v>
      </c>
      <c r="F2410" t="str">
        <f>"001600017103"</f>
        <v>001600017103</v>
      </c>
      <c r="G2410" t="s">
        <v>2389</v>
      </c>
      <c r="H2410">
        <v>4.93</v>
      </c>
    </row>
    <row r="2411" spans="1:8" x14ac:dyDescent="0.3">
      <c r="A2411" t="s">
        <v>6</v>
      </c>
      <c r="B2411" t="s">
        <v>7</v>
      </c>
      <c r="C2411" t="s">
        <v>8</v>
      </c>
      <c r="D2411" t="s">
        <v>9</v>
      </c>
      <c r="E2411" t="s">
        <v>177</v>
      </c>
      <c r="F2411" t="str">
        <f>"001600048364"</f>
        <v>001600048364</v>
      </c>
      <c r="G2411" t="s">
        <v>2389</v>
      </c>
      <c r="H2411">
        <v>4.93</v>
      </c>
    </row>
    <row r="2412" spans="1:8" x14ac:dyDescent="0.3">
      <c r="A2412" t="s">
        <v>6</v>
      </c>
      <c r="B2412" t="s">
        <v>7</v>
      </c>
      <c r="C2412" t="s">
        <v>8</v>
      </c>
      <c r="D2412" t="s">
        <v>9</v>
      </c>
      <c r="E2412" t="s">
        <v>247</v>
      </c>
      <c r="F2412" t="str">
        <f>"001600027512"</f>
        <v>001600027512</v>
      </c>
      <c r="G2412" t="s">
        <v>2389</v>
      </c>
      <c r="H2412">
        <v>4.93</v>
      </c>
    </row>
    <row r="2413" spans="1:8" x14ac:dyDescent="0.3">
      <c r="A2413" t="s">
        <v>6</v>
      </c>
      <c r="B2413" t="s">
        <v>7</v>
      </c>
      <c r="C2413" t="s">
        <v>8</v>
      </c>
      <c r="D2413" t="s">
        <v>9</v>
      </c>
      <c r="E2413" t="s">
        <v>274</v>
      </c>
      <c r="F2413" t="str">
        <f>"001600048363"</f>
        <v>001600048363</v>
      </c>
      <c r="G2413" t="s">
        <v>4226</v>
      </c>
      <c r="H2413">
        <v>4.93</v>
      </c>
    </row>
    <row r="2414" spans="1:8" x14ac:dyDescent="0.3">
      <c r="A2414" t="s">
        <v>6</v>
      </c>
      <c r="B2414" t="s">
        <v>7</v>
      </c>
      <c r="C2414" t="s">
        <v>8</v>
      </c>
      <c r="D2414" t="s">
        <v>9</v>
      </c>
      <c r="E2414" t="s">
        <v>343</v>
      </c>
      <c r="F2414" t="str">
        <f>"001600017885"</f>
        <v>001600017885</v>
      </c>
      <c r="G2414" t="s">
        <v>4289</v>
      </c>
      <c r="H2414">
        <v>4.93</v>
      </c>
    </row>
    <row r="2415" spans="1:8" x14ac:dyDescent="0.3">
      <c r="A2415" t="s">
        <v>6</v>
      </c>
      <c r="B2415" t="s">
        <v>7</v>
      </c>
      <c r="C2415" t="s">
        <v>985</v>
      </c>
      <c r="D2415" t="s">
        <v>9</v>
      </c>
      <c r="E2415" t="s">
        <v>1046</v>
      </c>
      <c r="F2415" t="str">
        <f>"068692481508"</f>
        <v>068692481508</v>
      </c>
      <c r="G2415" t="s">
        <v>2389</v>
      </c>
      <c r="H2415" s="4">
        <v>4.45</v>
      </c>
    </row>
    <row r="2416" spans="1:8" x14ac:dyDescent="0.3">
      <c r="A2416" t="s">
        <v>6</v>
      </c>
      <c r="B2416" t="s">
        <v>7</v>
      </c>
      <c r="C2416" t="s">
        <v>1122</v>
      </c>
      <c r="D2416" t="s">
        <v>9</v>
      </c>
      <c r="E2416" t="s">
        <v>1269</v>
      </c>
      <c r="F2416" t="str">
        <f>"001600014731"</f>
        <v>001600014731</v>
      </c>
      <c r="G2416" t="s">
        <v>2839</v>
      </c>
      <c r="H2416" s="4">
        <v>4.3899999999999997</v>
      </c>
    </row>
    <row r="2417" spans="1:8" x14ac:dyDescent="0.3">
      <c r="A2417" t="s">
        <v>6</v>
      </c>
      <c r="B2417" t="s">
        <v>7</v>
      </c>
      <c r="C2417" t="s">
        <v>8</v>
      </c>
      <c r="D2417" t="s">
        <v>9</v>
      </c>
      <c r="E2417" t="s">
        <v>364</v>
      </c>
      <c r="F2417" t="str">
        <f>"001600018529"</f>
        <v>001600018529</v>
      </c>
      <c r="G2417" t="s">
        <v>4308</v>
      </c>
      <c r="H2417">
        <v>4.3899999999999997</v>
      </c>
    </row>
    <row r="2418" spans="1:8" x14ac:dyDescent="0.3">
      <c r="A2418" t="s">
        <v>6</v>
      </c>
      <c r="B2418" t="s">
        <v>7</v>
      </c>
      <c r="C2418" t="s">
        <v>1397</v>
      </c>
      <c r="D2418" t="s">
        <v>9</v>
      </c>
      <c r="E2418" t="s">
        <v>1428</v>
      </c>
      <c r="F2418" t="str">
        <f>"001600013870"</f>
        <v>001600013870</v>
      </c>
      <c r="G2418" t="s">
        <v>2980</v>
      </c>
      <c r="H2418">
        <v>4.1399999999999997</v>
      </c>
    </row>
    <row r="2419" spans="1:8" x14ac:dyDescent="0.3">
      <c r="A2419" t="s">
        <v>6</v>
      </c>
      <c r="B2419" t="s">
        <v>7</v>
      </c>
      <c r="C2419" t="s">
        <v>8</v>
      </c>
      <c r="D2419" t="s">
        <v>9</v>
      </c>
      <c r="E2419" t="s">
        <v>302</v>
      </c>
      <c r="F2419" t="str">
        <f>"001600018456"</f>
        <v>001600018456</v>
      </c>
      <c r="G2419" t="s">
        <v>4253</v>
      </c>
      <c r="H2419">
        <v>4</v>
      </c>
    </row>
    <row r="2420" spans="1:8" x14ac:dyDescent="0.3">
      <c r="A2420" t="s">
        <v>6</v>
      </c>
      <c r="B2420" t="s">
        <v>7</v>
      </c>
      <c r="C2420" t="s">
        <v>1940</v>
      </c>
      <c r="D2420" t="s">
        <v>9</v>
      </c>
      <c r="E2420" t="s">
        <v>1986</v>
      </c>
      <c r="F2420" t="str">
        <f>"007047043947"</f>
        <v>007047043947</v>
      </c>
      <c r="G2420" t="s">
        <v>3881</v>
      </c>
      <c r="H2420">
        <v>3.98</v>
      </c>
    </row>
    <row r="2421" spans="1:8" x14ac:dyDescent="0.3">
      <c r="A2421" t="s">
        <v>6</v>
      </c>
      <c r="B2421" t="s">
        <v>7</v>
      </c>
      <c r="C2421" t="s">
        <v>2113</v>
      </c>
      <c r="D2421" t="s">
        <v>9</v>
      </c>
      <c r="E2421" t="s">
        <v>2133</v>
      </c>
      <c r="F2421" t="str">
        <f>"001600017547"</f>
        <v>001600017547</v>
      </c>
      <c r="G2421" t="s">
        <v>4342</v>
      </c>
      <c r="H2421">
        <v>3.98</v>
      </c>
    </row>
    <row r="2422" spans="1:8" x14ac:dyDescent="0.3">
      <c r="A2422" t="s">
        <v>6</v>
      </c>
      <c r="B2422" t="s">
        <v>7</v>
      </c>
      <c r="C2422" t="s">
        <v>8</v>
      </c>
      <c r="D2422" t="s">
        <v>9</v>
      </c>
      <c r="E2422" t="s">
        <v>356</v>
      </c>
      <c r="F2422" t="str">
        <f>"001600048798"</f>
        <v>001600048798</v>
      </c>
      <c r="G2422" t="s">
        <v>4300</v>
      </c>
      <c r="H2422">
        <v>3.89</v>
      </c>
    </row>
    <row r="2423" spans="1:8" x14ac:dyDescent="0.3">
      <c r="A2423" t="s">
        <v>6</v>
      </c>
      <c r="B2423" t="s">
        <v>7</v>
      </c>
      <c r="C2423" t="s">
        <v>8</v>
      </c>
      <c r="D2423" t="s">
        <v>9</v>
      </c>
      <c r="E2423" t="s">
        <v>132</v>
      </c>
      <c r="F2423" t="str">
        <f>"001600013781"</f>
        <v>001600013781</v>
      </c>
      <c r="G2423" t="s">
        <v>4098</v>
      </c>
      <c r="H2423">
        <v>3.74</v>
      </c>
    </row>
    <row r="2424" spans="1:8" x14ac:dyDescent="0.3">
      <c r="A2424" t="s">
        <v>6</v>
      </c>
      <c r="B2424" t="s">
        <v>7</v>
      </c>
      <c r="C2424" t="s">
        <v>8</v>
      </c>
      <c r="D2424" t="s">
        <v>9</v>
      </c>
      <c r="E2424" t="s">
        <v>205</v>
      </c>
      <c r="F2424" t="str">
        <f>"001600048797"</f>
        <v>001600048797</v>
      </c>
      <c r="G2424" t="s">
        <v>4164</v>
      </c>
      <c r="H2424">
        <v>3.74</v>
      </c>
    </row>
    <row r="2425" spans="1:8" x14ac:dyDescent="0.3">
      <c r="A2425" t="s">
        <v>6</v>
      </c>
      <c r="B2425" t="s">
        <v>7</v>
      </c>
      <c r="C2425" t="s">
        <v>8</v>
      </c>
      <c r="D2425" t="s">
        <v>9</v>
      </c>
      <c r="E2425" t="s">
        <v>237</v>
      </c>
      <c r="F2425" t="str">
        <f>"001600013788"</f>
        <v>001600013788</v>
      </c>
      <c r="G2425" t="s">
        <v>4194</v>
      </c>
      <c r="H2425">
        <v>3.74</v>
      </c>
    </row>
    <row r="2426" spans="1:8" x14ac:dyDescent="0.3">
      <c r="A2426" t="s">
        <v>6</v>
      </c>
      <c r="B2426" t="s">
        <v>7</v>
      </c>
      <c r="C2426" t="s">
        <v>8</v>
      </c>
      <c r="D2426" t="s">
        <v>9</v>
      </c>
      <c r="E2426" t="s">
        <v>326</v>
      </c>
      <c r="F2426" t="str">
        <f>"001600048795"</f>
        <v>001600048795</v>
      </c>
      <c r="G2426" t="s">
        <v>4276</v>
      </c>
      <c r="H2426">
        <v>3.74</v>
      </c>
    </row>
    <row r="2427" spans="1:8" x14ac:dyDescent="0.3">
      <c r="A2427" t="s">
        <v>6</v>
      </c>
      <c r="B2427" t="s">
        <v>7</v>
      </c>
      <c r="C2427" t="s">
        <v>8</v>
      </c>
      <c r="D2427" t="s">
        <v>9</v>
      </c>
      <c r="E2427" t="s">
        <v>149</v>
      </c>
      <c r="F2427" t="str">
        <f>"001600017035"</f>
        <v>001600017035</v>
      </c>
      <c r="G2427" t="s">
        <v>4111</v>
      </c>
      <c r="H2427">
        <v>3.7</v>
      </c>
    </row>
    <row r="2428" spans="1:8" x14ac:dyDescent="0.3">
      <c r="A2428" t="s">
        <v>6</v>
      </c>
      <c r="B2428" t="s">
        <v>7</v>
      </c>
      <c r="C2428" t="s">
        <v>1805</v>
      </c>
      <c r="D2428" t="s">
        <v>9</v>
      </c>
      <c r="E2428" t="s">
        <v>1914</v>
      </c>
      <c r="F2428" t="str">
        <f>"001800048052"</f>
        <v>001800048052</v>
      </c>
      <c r="G2428" t="s">
        <v>3799</v>
      </c>
      <c r="H2428">
        <v>3.68</v>
      </c>
    </row>
    <row r="2429" spans="1:8" x14ac:dyDescent="0.3">
      <c r="A2429" t="s">
        <v>6</v>
      </c>
      <c r="B2429" t="s">
        <v>7</v>
      </c>
      <c r="C2429" t="s">
        <v>8</v>
      </c>
      <c r="D2429" t="s">
        <v>9</v>
      </c>
      <c r="E2429" t="s">
        <v>297</v>
      </c>
      <c r="F2429" t="str">
        <f>"001600017802"</f>
        <v>001600017802</v>
      </c>
      <c r="G2429" t="s">
        <v>4249</v>
      </c>
      <c r="H2429">
        <v>3.68</v>
      </c>
    </row>
    <row r="2430" spans="1:8" x14ac:dyDescent="0.3">
      <c r="A2430" t="s">
        <v>6</v>
      </c>
      <c r="B2430" t="s">
        <v>7</v>
      </c>
      <c r="C2430" t="s">
        <v>1397</v>
      </c>
      <c r="D2430" t="s">
        <v>9</v>
      </c>
      <c r="E2430" t="s">
        <v>1479</v>
      </c>
      <c r="F2430" t="str">
        <f>"001600016393"</f>
        <v>001600016393</v>
      </c>
      <c r="G2430" t="s">
        <v>3026</v>
      </c>
      <c r="H2430">
        <v>3.5</v>
      </c>
    </row>
    <row r="2431" spans="1:8" x14ac:dyDescent="0.3">
      <c r="A2431" t="s">
        <v>6</v>
      </c>
      <c r="B2431" t="s">
        <v>7</v>
      </c>
      <c r="C2431" t="s">
        <v>1805</v>
      </c>
      <c r="D2431" t="s">
        <v>9</v>
      </c>
      <c r="E2431" t="s">
        <v>1810</v>
      </c>
      <c r="F2431" t="str">
        <f>"001600018485"</f>
        <v>001600018485</v>
      </c>
      <c r="G2431" t="s">
        <v>3742</v>
      </c>
      <c r="H2431">
        <v>3.5</v>
      </c>
    </row>
    <row r="2432" spans="1:8" x14ac:dyDescent="0.3">
      <c r="A2432" t="s">
        <v>6</v>
      </c>
      <c r="B2432" t="s">
        <v>7</v>
      </c>
      <c r="C2432" t="s">
        <v>8</v>
      </c>
      <c r="D2432" t="s">
        <v>9</v>
      </c>
      <c r="E2432" t="s">
        <v>111</v>
      </c>
      <c r="F2432" t="str">
        <f>"001600018562"</f>
        <v>001600018562</v>
      </c>
      <c r="G2432" t="s">
        <v>2389</v>
      </c>
      <c r="H2432">
        <v>3.5</v>
      </c>
    </row>
    <row r="2433" spans="1:8" x14ac:dyDescent="0.3">
      <c r="A2433" t="s">
        <v>6</v>
      </c>
      <c r="B2433" t="s">
        <v>7</v>
      </c>
      <c r="C2433" t="s">
        <v>2113</v>
      </c>
      <c r="D2433" t="s">
        <v>9</v>
      </c>
      <c r="E2433" t="s">
        <v>2195</v>
      </c>
      <c r="F2433" t="str">
        <f>"001600016554"</f>
        <v>001600016554</v>
      </c>
      <c r="G2433" t="s">
        <v>2389</v>
      </c>
      <c r="H2433">
        <v>3.5</v>
      </c>
    </row>
    <row r="2434" spans="1:8" x14ac:dyDescent="0.3">
      <c r="A2434" t="s">
        <v>6</v>
      </c>
      <c r="B2434" t="s">
        <v>7</v>
      </c>
      <c r="C2434" t="s">
        <v>797</v>
      </c>
      <c r="D2434" t="s">
        <v>9</v>
      </c>
      <c r="E2434" t="s">
        <v>940</v>
      </c>
      <c r="F2434" t="str">
        <f>"016000459007"</f>
        <v>016000459007</v>
      </c>
      <c r="G2434" t="s">
        <v>2536</v>
      </c>
      <c r="H2434" s="4">
        <v>3.49</v>
      </c>
    </row>
    <row r="2435" spans="1:8" x14ac:dyDescent="0.3">
      <c r="A2435" t="s">
        <v>6</v>
      </c>
      <c r="B2435" t="s">
        <v>7</v>
      </c>
      <c r="C2435" t="s">
        <v>1072</v>
      </c>
      <c r="D2435" t="s">
        <v>9</v>
      </c>
      <c r="E2435" t="s">
        <v>1088</v>
      </c>
      <c r="F2435" t="str">
        <f>"001600015444"</f>
        <v>001600015444</v>
      </c>
      <c r="G2435" t="s">
        <v>2693</v>
      </c>
      <c r="H2435" s="4">
        <v>3.24</v>
      </c>
    </row>
    <row r="2436" spans="1:8" x14ac:dyDescent="0.3">
      <c r="A2436" t="s">
        <v>6</v>
      </c>
      <c r="B2436" t="s">
        <v>7</v>
      </c>
      <c r="C2436" t="s">
        <v>1122</v>
      </c>
      <c r="D2436" t="s">
        <v>9</v>
      </c>
      <c r="E2436" t="s">
        <v>1196</v>
      </c>
      <c r="F2436" t="str">
        <f>"001600026134"</f>
        <v>001600026134</v>
      </c>
      <c r="G2436" t="s">
        <v>2389</v>
      </c>
      <c r="H2436" s="4">
        <v>3.24</v>
      </c>
    </row>
    <row r="2437" spans="1:8" x14ac:dyDescent="0.3">
      <c r="A2437" t="s">
        <v>6</v>
      </c>
      <c r="B2437" t="s">
        <v>7</v>
      </c>
      <c r="C2437" t="s">
        <v>616</v>
      </c>
      <c r="D2437" t="s">
        <v>9</v>
      </c>
      <c r="E2437" t="s">
        <v>691</v>
      </c>
      <c r="F2437" t="str">
        <f>"002190825741"</f>
        <v>002190825741</v>
      </c>
      <c r="G2437" t="s">
        <v>3661</v>
      </c>
      <c r="H2437">
        <v>3.18</v>
      </c>
    </row>
    <row r="2438" spans="1:8" x14ac:dyDescent="0.3">
      <c r="A2438" t="s">
        <v>6</v>
      </c>
      <c r="B2438" t="s">
        <v>7</v>
      </c>
      <c r="C2438" t="s">
        <v>797</v>
      </c>
      <c r="D2438" t="s">
        <v>9</v>
      </c>
      <c r="E2438" t="s">
        <v>836</v>
      </c>
      <c r="F2438" t="str">
        <f>"001600014090"</f>
        <v>001600014090</v>
      </c>
      <c r="G2438" t="s">
        <v>2389</v>
      </c>
      <c r="H2438" s="4">
        <v>3.04</v>
      </c>
    </row>
    <row r="2439" spans="1:8" x14ac:dyDescent="0.3">
      <c r="A2439" t="s">
        <v>6</v>
      </c>
      <c r="B2439" t="s">
        <v>7</v>
      </c>
      <c r="C2439" t="s">
        <v>797</v>
      </c>
      <c r="D2439" t="s">
        <v>9</v>
      </c>
      <c r="E2439" t="s">
        <v>973</v>
      </c>
      <c r="F2439" t="str">
        <f>"001600052850"</f>
        <v>001600052850</v>
      </c>
      <c r="G2439" t="s">
        <v>2389</v>
      </c>
      <c r="H2439" s="4">
        <v>3</v>
      </c>
    </row>
    <row r="2440" spans="1:8" x14ac:dyDescent="0.3">
      <c r="A2440" t="s">
        <v>6</v>
      </c>
      <c r="B2440" t="s">
        <v>7</v>
      </c>
      <c r="C2440" t="s">
        <v>381</v>
      </c>
      <c r="D2440" t="s">
        <v>9</v>
      </c>
      <c r="E2440" t="s">
        <v>534</v>
      </c>
      <c r="F2440" t="str">
        <f>"001600018194"</f>
        <v>001600018194</v>
      </c>
      <c r="G2440" t="s">
        <v>2389</v>
      </c>
      <c r="H2440">
        <v>3</v>
      </c>
    </row>
    <row r="2441" spans="1:8" x14ac:dyDescent="0.3">
      <c r="A2441" t="s">
        <v>6</v>
      </c>
      <c r="B2441" t="s">
        <v>7</v>
      </c>
      <c r="C2441" t="s">
        <v>8</v>
      </c>
      <c r="D2441" t="s">
        <v>9</v>
      </c>
      <c r="E2441" t="s">
        <v>323</v>
      </c>
      <c r="F2441" t="str">
        <f>"001600027503"</f>
        <v>001600027503</v>
      </c>
      <c r="G2441" t="s">
        <v>4273</v>
      </c>
      <c r="H2441">
        <v>3</v>
      </c>
    </row>
    <row r="2442" spans="1:8" x14ac:dyDescent="0.3">
      <c r="A2442" t="s">
        <v>6</v>
      </c>
      <c r="B2442" t="s">
        <v>7</v>
      </c>
      <c r="C2442" t="s">
        <v>797</v>
      </c>
      <c r="D2442" t="s">
        <v>9</v>
      </c>
      <c r="E2442" t="s">
        <v>846</v>
      </c>
      <c r="F2442" t="str">
        <f>"001600017518"</f>
        <v>001600017518</v>
      </c>
      <c r="G2442" t="s">
        <v>2441</v>
      </c>
      <c r="H2442" s="4">
        <v>2.99</v>
      </c>
    </row>
    <row r="2443" spans="1:8" x14ac:dyDescent="0.3">
      <c r="A2443" t="s">
        <v>6</v>
      </c>
      <c r="B2443" t="s">
        <v>7</v>
      </c>
      <c r="C2443" t="s">
        <v>797</v>
      </c>
      <c r="D2443" t="s">
        <v>9</v>
      </c>
      <c r="E2443" t="s">
        <v>849</v>
      </c>
      <c r="F2443" t="str">
        <f>"001600017509"</f>
        <v>001600017509</v>
      </c>
      <c r="G2443" t="s">
        <v>2444</v>
      </c>
      <c r="H2443" s="4">
        <v>2.99</v>
      </c>
    </row>
    <row r="2444" spans="1:8" x14ac:dyDescent="0.3">
      <c r="A2444" t="s">
        <v>6</v>
      </c>
      <c r="B2444" t="s">
        <v>7</v>
      </c>
      <c r="C2444" t="s">
        <v>1552</v>
      </c>
      <c r="D2444" t="s">
        <v>9</v>
      </c>
      <c r="E2444" t="s">
        <v>1553</v>
      </c>
      <c r="F2444" t="str">
        <f>"001356212558"</f>
        <v>001356212558</v>
      </c>
      <c r="G2444" t="s">
        <v>3095</v>
      </c>
      <c r="H2444">
        <v>2.99</v>
      </c>
    </row>
    <row r="2445" spans="1:8" x14ac:dyDescent="0.3">
      <c r="A2445" t="s">
        <v>6</v>
      </c>
      <c r="B2445" t="s">
        <v>7</v>
      </c>
      <c r="C2445" t="s">
        <v>2231</v>
      </c>
      <c r="D2445" t="s">
        <v>9</v>
      </c>
      <c r="E2445" t="s">
        <v>2244</v>
      </c>
      <c r="F2445" t="str">
        <f>"072534228477"</f>
        <v>072534228477</v>
      </c>
      <c r="G2445" t="s">
        <v>2389</v>
      </c>
      <c r="H2445">
        <v>2.99</v>
      </c>
    </row>
    <row r="2446" spans="1:8" x14ac:dyDescent="0.3">
      <c r="A2446" t="s">
        <v>6</v>
      </c>
      <c r="B2446" t="s">
        <v>7</v>
      </c>
      <c r="C2446" t="s">
        <v>1122</v>
      </c>
      <c r="D2446" t="s">
        <v>9</v>
      </c>
      <c r="E2446" t="s">
        <v>1226</v>
      </c>
      <c r="F2446" t="str">
        <f>"001600014707"</f>
        <v>001600014707</v>
      </c>
      <c r="G2446" t="s">
        <v>2389</v>
      </c>
      <c r="H2446" s="4">
        <v>2.97</v>
      </c>
    </row>
    <row r="2447" spans="1:8" x14ac:dyDescent="0.3">
      <c r="A2447" t="s">
        <v>6</v>
      </c>
      <c r="B2447" t="s">
        <v>7</v>
      </c>
      <c r="C2447" t="s">
        <v>8</v>
      </c>
      <c r="D2447" t="s">
        <v>9</v>
      </c>
      <c r="E2447" t="s">
        <v>230</v>
      </c>
      <c r="F2447" t="str">
        <f>"001600018633"</f>
        <v>001600018633</v>
      </c>
      <c r="G2447" t="s">
        <v>4188</v>
      </c>
      <c r="H2447">
        <v>2.97</v>
      </c>
    </row>
    <row r="2448" spans="1:8" x14ac:dyDescent="0.3">
      <c r="A2448" t="s">
        <v>6</v>
      </c>
      <c r="B2448" t="s">
        <v>7</v>
      </c>
      <c r="C2448" t="s">
        <v>616</v>
      </c>
      <c r="D2448" t="s">
        <v>9</v>
      </c>
      <c r="E2448" t="s">
        <v>687</v>
      </c>
      <c r="F2448" t="str">
        <f>"002190811526"</f>
        <v>002190811526</v>
      </c>
      <c r="G2448" t="s">
        <v>3657</v>
      </c>
      <c r="H2448">
        <v>2.91</v>
      </c>
    </row>
    <row r="2449" spans="1:8" x14ac:dyDescent="0.3">
      <c r="A2449" t="s">
        <v>6</v>
      </c>
      <c r="B2449" t="s">
        <v>7</v>
      </c>
      <c r="C2449" t="s">
        <v>616</v>
      </c>
      <c r="D2449" t="s">
        <v>9</v>
      </c>
      <c r="E2449" t="s">
        <v>620</v>
      </c>
      <c r="F2449" t="str">
        <f>"001600030334"</f>
        <v>001600030334</v>
      </c>
      <c r="G2449" t="s">
        <v>3592</v>
      </c>
      <c r="H2449">
        <v>2.89</v>
      </c>
    </row>
    <row r="2450" spans="1:8" x14ac:dyDescent="0.3">
      <c r="A2450" t="s">
        <v>6</v>
      </c>
      <c r="B2450" t="s">
        <v>7</v>
      </c>
      <c r="C2450" t="s">
        <v>616</v>
      </c>
      <c r="D2450" t="s">
        <v>9</v>
      </c>
      <c r="E2450" t="s">
        <v>624</v>
      </c>
      <c r="F2450" t="str">
        <f>"001600028732"</f>
        <v>001600028732</v>
      </c>
      <c r="G2450" t="s">
        <v>3596</v>
      </c>
      <c r="H2450">
        <v>2.69</v>
      </c>
    </row>
    <row r="2451" spans="1:8" x14ac:dyDescent="0.3">
      <c r="A2451" t="s">
        <v>6</v>
      </c>
      <c r="B2451" t="s">
        <v>7</v>
      </c>
      <c r="C2451" t="s">
        <v>381</v>
      </c>
      <c r="D2451" t="s">
        <v>9</v>
      </c>
      <c r="E2451" t="s">
        <v>550</v>
      </c>
      <c r="F2451" t="str">
        <f>"001600051479"</f>
        <v>001600051479</v>
      </c>
      <c r="G2451" t="s">
        <v>3273</v>
      </c>
      <c r="H2451">
        <v>2.5</v>
      </c>
    </row>
    <row r="2452" spans="1:8" x14ac:dyDescent="0.3">
      <c r="A2452" t="s">
        <v>6</v>
      </c>
      <c r="B2452" t="s">
        <v>7</v>
      </c>
      <c r="C2452" t="s">
        <v>797</v>
      </c>
      <c r="D2452" t="s">
        <v>9</v>
      </c>
      <c r="E2452" t="s">
        <v>861</v>
      </c>
      <c r="F2452" t="str">
        <f>"001600015559"</f>
        <v>001600015559</v>
      </c>
      <c r="G2452" t="s">
        <v>2456</v>
      </c>
      <c r="H2452" s="4">
        <v>2.4900000000000002</v>
      </c>
    </row>
    <row r="2453" spans="1:8" x14ac:dyDescent="0.3">
      <c r="A2453" t="s">
        <v>6</v>
      </c>
      <c r="B2453" t="s">
        <v>7</v>
      </c>
      <c r="C2453" t="s">
        <v>1577</v>
      </c>
      <c r="D2453" t="s">
        <v>9</v>
      </c>
      <c r="E2453" t="s">
        <v>1613</v>
      </c>
      <c r="F2453" t="str">
        <f>"004600011059"</f>
        <v>004600011059</v>
      </c>
      <c r="G2453" t="s">
        <v>3377</v>
      </c>
      <c r="H2453">
        <v>2.29</v>
      </c>
    </row>
    <row r="2454" spans="1:8" x14ac:dyDescent="0.3">
      <c r="A2454" t="s">
        <v>6</v>
      </c>
      <c r="B2454" t="s">
        <v>7</v>
      </c>
      <c r="C2454" t="s">
        <v>1940</v>
      </c>
      <c r="D2454" t="s">
        <v>9</v>
      </c>
      <c r="E2454" t="s">
        <v>2040</v>
      </c>
      <c r="F2454" t="str">
        <f>"007047000112"</f>
        <v>007047000112</v>
      </c>
      <c r="G2454" t="s">
        <v>3928</v>
      </c>
      <c r="H2454">
        <v>2.16</v>
      </c>
    </row>
    <row r="2455" spans="1:8" x14ac:dyDescent="0.3">
      <c r="A2455" t="s">
        <v>6</v>
      </c>
      <c r="B2455" t="s">
        <v>7</v>
      </c>
      <c r="C2455" t="s">
        <v>1122</v>
      </c>
      <c r="D2455" t="s">
        <v>9</v>
      </c>
      <c r="E2455" t="s">
        <v>1261</v>
      </c>
      <c r="F2455" t="str">
        <f>"001600045011"</f>
        <v>001600045011</v>
      </c>
      <c r="G2455" t="s">
        <v>2831</v>
      </c>
      <c r="H2455" s="4">
        <v>2.12</v>
      </c>
    </row>
    <row r="2456" spans="1:8" x14ac:dyDescent="0.3">
      <c r="A2456" t="s">
        <v>6</v>
      </c>
      <c r="B2456" t="s">
        <v>7</v>
      </c>
      <c r="C2456" t="s">
        <v>8</v>
      </c>
      <c r="D2456" t="s">
        <v>9</v>
      </c>
      <c r="E2456" t="s">
        <v>252</v>
      </c>
      <c r="F2456" t="str">
        <f>"016000141551"</f>
        <v>016000141551</v>
      </c>
      <c r="G2456" t="s">
        <v>4195</v>
      </c>
      <c r="H2456">
        <v>2.09</v>
      </c>
    </row>
    <row r="2457" spans="1:8" x14ac:dyDescent="0.3">
      <c r="A2457" t="s">
        <v>6</v>
      </c>
      <c r="B2457" t="s">
        <v>7</v>
      </c>
      <c r="C2457" t="s">
        <v>381</v>
      </c>
      <c r="D2457" t="s">
        <v>9</v>
      </c>
      <c r="E2457" t="s">
        <v>464</v>
      </c>
      <c r="F2457" t="str">
        <f>"001600050649"</f>
        <v>001600050649</v>
      </c>
      <c r="G2457" t="s">
        <v>3189</v>
      </c>
      <c r="H2457">
        <v>2</v>
      </c>
    </row>
    <row r="2458" spans="1:8" x14ac:dyDescent="0.3">
      <c r="A2458" t="s">
        <v>6</v>
      </c>
      <c r="B2458" t="s">
        <v>7</v>
      </c>
      <c r="C2458" t="s">
        <v>2231</v>
      </c>
      <c r="D2458" t="s">
        <v>9</v>
      </c>
      <c r="E2458" t="s">
        <v>2317</v>
      </c>
      <c r="F2458" t="str">
        <f>"004119640474"</f>
        <v>004119640474</v>
      </c>
      <c r="G2458" t="s">
        <v>4509</v>
      </c>
      <c r="H2458">
        <v>1.99</v>
      </c>
    </row>
    <row r="2459" spans="1:8" x14ac:dyDescent="0.3">
      <c r="A2459" t="s">
        <v>6</v>
      </c>
      <c r="B2459" t="s">
        <v>7</v>
      </c>
      <c r="C2459" t="s">
        <v>985</v>
      </c>
      <c r="D2459" t="s">
        <v>9</v>
      </c>
      <c r="E2459" t="s">
        <v>1040</v>
      </c>
      <c r="F2459" t="str">
        <f>"068692481515"</f>
        <v>068692481515</v>
      </c>
      <c r="G2459" t="s">
        <v>2389</v>
      </c>
      <c r="H2459" s="4">
        <v>1.98</v>
      </c>
    </row>
    <row r="2460" spans="1:8" x14ac:dyDescent="0.3">
      <c r="A2460" t="s">
        <v>6</v>
      </c>
      <c r="B2460" t="s">
        <v>7</v>
      </c>
      <c r="C2460" t="s">
        <v>985</v>
      </c>
      <c r="D2460" t="s">
        <v>9</v>
      </c>
      <c r="E2460" t="s">
        <v>1043</v>
      </c>
      <c r="F2460" t="str">
        <f>"068692451041"</f>
        <v>068692451041</v>
      </c>
      <c r="G2460" t="s">
        <v>2389</v>
      </c>
      <c r="H2460" s="4">
        <v>1.98</v>
      </c>
    </row>
    <row r="2461" spans="1:8" x14ac:dyDescent="0.3">
      <c r="A2461" t="s">
        <v>6</v>
      </c>
      <c r="B2461" t="s">
        <v>7</v>
      </c>
      <c r="C2461" t="s">
        <v>797</v>
      </c>
      <c r="D2461" t="s">
        <v>9</v>
      </c>
      <c r="E2461" t="s">
        <v>941</v>
      </c>
      <c r="F2461" t="str">
        <f>"001600040985"</f>
        <v>001600040985</v>
      </c>
      <c r="G2461" t="s">
        <v>2538</v>
      </c>
      <c r="H2461" s="4">
        <v>1.89</v>
      </c>
    </row>
    <row r="2462" spans="1:8" x14ac:dyDescent="0.3">
      <c r="A2462" t="s">
        <v>6</v>
      </c>
      <c r="B2462" t="s">
        <v>7</v>
      </c>
      <c r="C2462" t="s">
        <v>1773</v>
      </c>
      <c r="D2462" t="s">
        <v>9</v>
      </c>
      <c r="E2462" t="s">
        <v>1780</v>
      </c>
      <c r="F2462" t="str">
        <f>"068692481113"</f>
        <v>068692481113</v>
      </c>
      <c r="G2462" t="s">
        <v>2389</v>
      </c>
      <c r="H2462">
        <v>1.89</v>
      </c>
    </row>
    <row r="2463" spans="1:8" x14ac:dyDescent="0.3">
      <c r="A2463" t="s">
        <v>6</v>
      </c>
      <c r="B2463" t="s">
        <v>7</v>
      </c>
      <c r="C2463" t="s">
        <v>797</v>
      </c>
      <c r="D2463" t="s">
        <v>9</v>
      </c>
      <c r="E2463" t="s">
        <v>964</v>
      </c>
      <c r="F2463" t="str">
        <f>"001600043950"</f>
        <v>001600043950</v>
      </c>
      <c r="G2463" t="s">
        <v>2389</v>
      </c>
      <c r="H2463" s="4">
        <v>1.79</v>
      </c>
    </row>
    <row r="2464" spans="1:8" x14ac:dyDescent="0.3">
      <c r="A2464" t="s">
        <v>6</v>
      </c>
      <c r="B2464" t="s">
        <v>7</v>
      </c>
      <c r="C2464" t="s">
        <v>1397</v>
      </c>
      <c r="D2464" t="s">
        <v>9</v>
      </c>
      <c r="E2464" t="s">
        <v>1416</v>
      </c>
      <c r="F2464" t="str">
        <f>"001600019324"</f>
        <v>001600019324</v>
      </c>
      <c r="G2464" t="s">
        <v>2968</v>
      </c>
      <c r="H2464">
        <v>1.79</v>
      </c>
    </row>
    <row r="2465" spans="1:8" x14ac:dyDescent="0.3">
      <c r="A2465" t="s">
        <v>6</v>
      </c>
      <c r="B2465" t="s">
        <v>7</v>
      </c>
      <c r="C2465" t="s">
        <v>1397</v>
      </c>
      <c r="D2465" t="s">
        <v>9</v>
      </c>
      <c r="E2465" t="s">
        <v>1513</v>
      </c>
      <c r="F2465" t="str">
        <f>"001800051255"</f>
        <v>001800051255</v>
      </c>
      <c r="G2465" t="s">
        <v>2389</v>
      </c>
      <c r="H2465">
        <v>1.69</v>
      </c>
    </row>
    <row r="2466" spans="1:8" x14ac:dyDescent="0.3">
      <c r="A2466" t="s">
        <v>6</v>
      </c>
      <c r="B2466" t="s">
        <v>7</v>
      </c>
      <c r="C2466" t="s">
        <v>8</v>
      </c>
      <c r="D2466" t="s">
        <v>9</v>
      </c>
      <c r="E2466" t="s">
        <v>158</v>
      </c>
      <c r="F2466" t="str">
        <f>"001600017112"</f>
        <v>001600017112</v>
      </c>
      <c r="G2466" t="s">
        <v>4119</v>
      </c>
      <c r="H2466">
        <v>1.64</v>
      </c>
    </row>
    <row r="2467" spans="1:8" x14ac:dyDescent="0.3">
      <c r="A2467" t="s">
        <v>6</v>
      </c>
      <c r="B2467" t="s">
        <v>7</v>
      </c>
      <c r="C2467" t="s">
        <v>1122</v>
      </c>
      <c r="D2467" t="s">
        <v>9</v>
      </c>
      <c r="E2467" t="s">
        <v>1241</v>
      </c>
      <c r="F2467" t="str">
        <f>"001600045722"</f>
        <v>001600045722</v>
      </c>
      <c r="G2467" t="s">
        <v>2813</v>
      </c>
      <c r="H2467" s="4">
        <v>1.62</v>
      </c>
    </row>
    <row r="2468" spans="1:8" x14ac:dyDescent="0.3">
      <c r="A2468" t="s">
        <v>6</v>
      </c>
      <c r="B2468" t="s">
        <v>7</v>
      </c>
      <c r="C2468" t="s">
        <v>797</v>
      </c>
      <c r="D2468" t="s">
        <v>9</v>
      </c>
      <c r="E2468" t="s">
        <v>976</v>
      </c>
      <c r="F2468" t="str">
        <f>"001600041222"</f>
        <v>001600041222</v>
      </c>
      <c r="G2468" t="s">
        <v>2389</v>
      </c>
      <c r="H2468" s="4">
        <v>1.6</v>
      </c>
    </row>
    <row r="2469" spans="1:8" x14ac:dyDescent="0.3">
      <c r="A2469" t="s">
        <v>6</v>
      </c>
      <c r="B2469" t="s">
        <v>7</v>
      </c>
      <c r="C2469" t="s">
        <v>8</v>
      </c>
      <c r="D2469" t="s">
        <v>9</v>
      </c>
      <c r="E2469" t="s">
        <v>175</v>
      </c>
      <c r="F2469" t="str">
        <f>"001600043472"</f>
        <v>001600043472</v>
      </c>
      <c r="G2469" t="s">
        <v>4135</v>
      </c>
      <c r="H2469">
        <v>1.5</v>
      </c>
    </row>
    <row r="2470" spans="1:8" x14ac:dyDescent="0.3">
      <c r="A2470" t="s">
        <v>6</v>
      </c>
      <c r="B2470" t="s">
        <v>7</v>
      </c>
      <c r="C2470" t="s">
        <v>381</v>
      </c>
      <c r="D2470" t="s">
        <v>9</v>
      </c>
      <c r="E2470" t="s">
        <v>457</v>
      </c>
      <c r="F2470" t="str">
        <f>"001600045576"</f>
        <v>001600045576</v>
      </c>
      <c r="G2470" t="s">
        <v>2389</v>
      </c>
      <c r="H2470">
        <v>1.49</v>
      </c>
    </row>
    <row r="2471" spans="1:8" x14ac:dyDescent="0.3">
      <c r="A2471" t="s">
        <v>6</v>
      </c>
      <c r="B2471" t="s">
        <v>7</v>
      </c>
      <c r="C2471" t="s">
        <v>2231</v>
      </c>
      <c r="D2471" t="s">
        <v>9</v>
      </c>
      <c r="E2471" t="s">
        <v>2235</v>
      </c>
      <c r="F2471" t="str">
        <f>"001356210114"</f>
        <v>001356210114</v>
      </c>
      <c r="G2471" t="s">
        <v>4432</v>
      </c>
      <c r="H2471">
        <v>1.34</v>
      </c>
    </row>
    <row r="2472" spans="1:8" x14ac:dyDescent="0.3">
      <c r="A2472" t="s">
        <v>6</v>
      </c>
      <c r="B2472" t="s">
        <v>7</v>
      </c>
      <c r="C2472" t="s">
        <v>797</v>
      </c>
      <c r="D2472" t="s">
        <v>9</v>
      </c>
      <c r="E2472" t="s">
        <v>910</v>
      </c>
      <c r="F2472" t="str">
        <f>"001600014929"</f>
        <v>001600014929</v>
      </c>
      <c r="G2472" t="s">
        <v>2501</v>
      </c>
      <c r="H2472" s="4">
        <v>1.25</v>
      </c>
    </row>
    <row r="2473" spans="1:8" x14ac:dyDescent="0.3">
      <c r="A2473" t="s">
        <v>6</v>
      </c>
      <c r="B2473" t="s">
        <v>7</v>
      </c>
      <c r="C2473" t="s">
        <v>1338</v>
      </c>
      <c r="D2473" t="s">
        <v>9</v>
      </c>
      <c r="E2473" t="s">
        <v>1382</v>
      </c>
      <c r="F2473" t="str">
        <f>"004280011646"</f>
        <v>004280011646</v>
      </c>
      <c r="G2473" t="s">
        <v>2938</v>
      </c>
      <c r="H2473">
        <v>1.25</v>
      </c>
    </row>
    <row r="2474" spans="1:8" x14ac:dyDescent="0.3">
      <c r="A2474" t="s">
        <v>6</v>
      </c>
      <c r="B2474" t="s">
        <v>7</v>
      </c>
      <c r="C2474" t="s">
        <v>797</v>
      </c>
      <c r="D2474" t="s">
        <v>9</v>
      </c>
      <c r="E2474" t="s">
        <v>864</v>
      </c>
      <c r="F2474" t="str">
        <f>"001600014440"</f>
        <v>001600014440</v>
      </c>
      <c r="G2474" t="s">
        <v>2389</v>
      </c>
      <c r="H2474" s="4">
        <v>1.18</v>
      </c>
    </row>
    <row r="2475" spans="1:8" x14ac:dyDescent="0.3">
      <c r="A2475" t="s">
        <v>6</v>
      </c>
      <c r="B2475" t="s">
        <v>7</v>
      </c>
      <c r="C2475" t="s">
        <v>1940</v>
      </c>
      <c r="D2475" t="s">
        <v>9</v>
      </c>
      <c r="E2475" t="s">
        <v>2069</v>
      </c>
      <c r="F2475" t="str">
        <f>"007047040966"</f>
        <v>007047040966</v>
      </c>
      <c r="G2475" t="s">
        <v>2389</v>
      </c>
      <c r="H2475">
        <v>1.18</v>
      </c>
    </row>
    <row r="2476" spans="1:8" x14ac:dyDescent="0.3">
      <c r="A2476" t="s">
        <v>6</v>
      </c>
      <c r="B2476" t="s">
        <v>7</v>
      </c>
      <c r="C2476" t="s">
        <v>1940</v>
      </c>
      <c r="D2476" t="s">
        <v>9</v>
      </c>
      <c r="E2476" t="s">
        <v>2023</v>
      </c>
      <c r="F2476" t="str">
        <f>"007047013944"</f>
        <v>007047013944</v>
      </c>
      <c r="G2476" t="s">
        <v>3914</v>
      </c>
      <c r="H2476">
        <v>1.1399999999999999</v>
      </c>
    </row>
    <row r="2477" spans="1:8" x14ac:dyDescent="0.3">
      <c r="A2477" t="s">
        <v>6</v>
      </c>
      <c r="B2477" t="s">
        <v>7</v>
      </c>
      <c r="C2477" t="s">
        <v>381</v>
      </c>
      <c r="D2477" t="s">
        <v>9</v>
      </c>
      <c r="E2477" t="s">
        <v>512</v>
      </c>
      <c r="F2477" t="str">
        <f>"001600016837"</f>
        <v>001600016837</v>
      </c>
      <c r="G2477" t="s">
        <v>2389</v>
      </c>
      <c r="H2477">
        <v>1</v>
      </c>
    </row>
    <row r="2478" spans="1:8" x14ac:dyDescent="0.3">
      <c r="A2478" t="s">
        <v>6</v>
      </c>
      <c r="B2478" t="s">
        <v>7</v>
      </c>
      <c r="C2478" t="s">
        <v>381</v>
      </c>
      <c r="D2478" t="s">
        <v>9</v>
      </c>
      <c r="E2478" t="s">
        <v>601</v>
      </c>
      <c r="F2478" t="str">
        <f>"001600028218"</f>
        <v>001600028218</v>
      </c>
      <c r="G2478" t="s">
        <v>3330</v>
      </c>
      <c r="H2478">
        <v>0.74</v>
      </c>
    </row>
    <row r="2479" spans="1:8" x14ac:dyDescent="0.3">
      <c r="A2479" t="s">
        <v>6</v>
      </c>
      <c r="B2479" t="s">
        <v>7</v>
      </c>
      <c r="C2479" t="s">
        <v>8</v>
      </c>
      <c r="D2479" t="s">
        <v>9</v>
      </c>
      <c r="E2479" t="s">
        <v>307</v>
      </c>
      <c r="F2479" t="str">
        <f>"001600017175"</f>
        <v>001600017175</v>
      </c>
      <c r="G2479" t="s">
        <v>2389</v>
      </c>
      <c r="H2479">
        <v>0.63</v>
      </c>
    </row>
    <row r="2480" spans="1:8" x14ac:dyDescent="0.3">
      <c r="A2480" t="s">
        <v>6</v>
      </c>
      <c r="B2480" t="s">
        <v>7</v>
      </c>
      <c r="C2480" t="s">
        <v>1940</v>
      </c>
      <c r="D2480" t="s">
        <v>9</v>
      </c>
      <c r="E2480" t="s">
        <v>2094</v>
      </c>
      <c r="F2480" t="str">
        <f>"007047040961"</f>
        <v>007047040961</v>
      </c>
      <c r="G2480" t="s">
        <v>3982</v>
      </c>
      <c r="H2480">
        <v>0.59</v>
      </c>
    </row>
    <row r="2481" spans="1:8" x14ac:dyDescent="0.3">
      <c r="A2481" t="s">
        <v>6</v>
      </c>
      <c r="B2481" t="s">
        <v>7</v>
      </c>
      <c r="C2481" t="s">
        <v>797</v>
      </c>
      <c r="D2481" t="s">
        <v>9</v>
      </c>
      <c r="E2481" t="s">
        <v>851</v>
      </c>
      <c r="F2481" t="str">
        <f>"001600019345"</f>
        <v>001600019345</v>
      </c>
      <c r="G2481" t="s">
        <v>2447</v>
      </c>
      <c r="H2481" s="4">
        <v>0.55000000000000004</v>
      </c>
    </row>
    <row r="2482" spans="1:8" x14ac:dyDescent="0.3">
      <c r="A2482" t="s">
        <v>6</v>
      </c>
      <c r="B2482" t="s">
        <v>7</v>
      </c>
      <c r="C2482" t="s">
        <v>8</v>
      </c>
      <c r="D2482" t="s">
        <v>9</v>
      </c>
      <c r="E2482" t="s">
        <v>219</v>
      </c>
      <c r="F2482" t="str">
        <f>"001600018906"</f>
        <v>001600018906</v>
      </c>
      <c r="G2482" t="s">
        <v>4178</v>
      </c>
      <c r="H2482">
        <v>0.5</v>
      </c>
    </row>
    <row r="2483" spans="1:8" x14ac:dyDescent="0.3">
      <c r="A2483" t="s">
        <v>6</v>
      </c>
      <c r="B2483" t="s">
        <v>7</v>
      </c>
      <c r="C2483" t="s">
        <v>8</v>
      </c>
      <c r="D2483" t="s">
        <v>9</v>
      </c>
      <c r="E2483" t="s">
        <v>137</v>
      </c>
      <c r="F2483" t="str">
        <f>"001600018913"</f>
        <v>001600018913</v>
      </c>
      <c r="G2483" t="s">
        <v>2389</v>
      </c>
      <c r="H2483">
        <v>0.14000000000000001</v>
      </c>
    </row>
    <row r="2484" spans="1:8" x14ac:dyDescent="0.3">
      <c r="A2484" t="s">
        <v>6</v>
      </c>
      <c r="B2484" t="s">
        <v>7</v>
      </c>
      <c r="C2484" t="s">
        <v>381</v>
      </c>
      <c r="D2484" t="s">
        <v>9</v>
      </c>
      <c r="E2484" t="s">
        <v>476</v>
      </c>
      <c r="F2484" t="str">
        <f>"001600050829"</f>
        <v>001600050829</v>
      </c>
      <c r="G2484" t="s">
        <v>3204</v>
      </c>
      <c r="H2484">
        <v>7.0000000000000007E-2</v>
      </c>
    </row>
    <row r="2485" spans="1:8" x14ac:dyDescent="0.3">
      <c r="A2485" t="s">
        <v>6</v>
      </c>
      <c r="B2485" t="s">
        <v>7</v>
      </c>
      <c r="C2485" t="s">
        <v>381</v>
      </c>
      <c r="D2485" t="s">
        <v>9</v>
      </c>
      <c r="E2485" t="s">
        <v>469</v>
      </c>
      <c r="F2485" t="str">
        <f>"001600050602"</f>
        <v>001600050602</v>
      </c>
      <c r="G2485" t="s">
        <v>2389</v>
      </c>
      <c r="H2485">
        <v>0.04</v>
      </c>
    </row>
    <row r="2486" spans="1:8" x14ac:dyDescent="0.3">
      <c r="A2486" t="s">
        <v>6</v>
      </c>
      <c r="B2486" t="s">
        <v>7</v>
      </c>
      <c r="C2486" t="s">
        <v>1122</v>
      </c>
      <c r="D2486" t="s">
        <v>9</v>
      </c>
      <c r="E2486" t="s">
        <v>1176</v>
      </c>
      <c r="F2486" t="str">
        <f>"001600048534"</f>
        <v>001600048534</v>
      </c>
      <c r="G2486" t="s">
        <v>2764</v>
      </c>
      <c r="H2486" s="4">
        <v>0.01</v>
      </c>
    </row>
  </sheetData>
  <sortState xmlns:xlrd2="http://schemas.microsoft.com/office/spreadsheetml/2017/richdata2" ref="B2:H2486">
    <sortCondition descending="1" ref="H2:H2486"/>
  </sortState>
  <pageMargins left="0.7" right="0.7" top="0.75" bottom="0.75" header="0.3" footer="0.3"/>
  <pageSetup paperSize="9" orientation="portrait" r:id="rId1"/>
  <ignoredErrors>
    <ignoredError sqref="G2:G2486" numberStoredAsText="1"/>
  </ignoredErrors>
  <extLst>
    <ext xmlns:x15="http://schemas.microsoft.com/office/spreadsheetml/2010/11/main" uri="{F7C9EE02-42E1-4005-9D12-6889AFFD525C}">
      <x15:webExtensions xmlns:xm="http://schemas.microsoft.com/office/excel/2006/main">
        <x15:webExtension appRef="{B90B656E-829F-4039-88F9-9CB181CFFFB5}">
          <xm:f>Sheet1!$A$1:$H$2486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CC3F-C2AB-40D6-A422-87F49AC27E7F}">
  <dimension ref="A1:F10"/>
  <sheetViews>
    <sheetView workbookViewId="0">
      <selection activeCell="E2" sqref="E2"/>
    </sheetView>
  </sheetViews>
  <sheetFormatPr defaultRowHeight="14.4" x14ac:dyDescent="0.3"/>
  <cols>
    <col min="4" max="4" width="109.44140625" bestFit="1" customWidth="1"/>
    <col min="5" max="5" width="13.109375" bestFit="1" customWidth="1"/>
    <col min="6" max="6" width="11" bestFit="1" customWidth="1"/>
  </cols>
  <sheetData>
    <row r="1" spans="1:6" ht="43.2" x14ac:dyDescent="0.3">
      <c r="A1" s="1" t="s">
        <v>1</v>
      </c>
      <c r="B1" s="1" t="s">
        <v>2</v>
      </c>
      <c r="C1" s="1" t="s">
        <v>3</v>
      </c>
      <c r="D1" s="3" t="s">
        <v>4</v>
      </c>
      <c r="E1" t="s">
        <v>380</v>
      </c>
      <c r="F1" s="3" t="s">
        <v>5</v>
      </c>
    </row>
    <row r="2" spans="1:6" ht="28.8" x14ac:dyDescent="0.3">
      <c r="A2" s="1" t="s">
        <v>7</v>
      </c>
      <c r="B2" s="1" t="s">
        <v>8</v>
      </c>
      <c r="C2" s="1" t="s">
        <v>9</v>
      </c>
      <c r="D2" s="3" t="s">
        <v>10</v>
      </c>
      <c r="E2" t="str">
        <f>"001600020061"</f>
        <v>001600020061</v>
      </c>
      <c r="F2" s="3" t="s">
        <v>11</v>
      </c>
    </row>
    <row r="3" spans="1:6" ht="28.8" x14ac:dyDescent="0.3">
      <c r="A3" s="1" t="s">
        <v>7</v>
      </c>
      <c r="B3" s="1" t="s">
        <v>8</v>
      </c>
      <c r="C3" s="1" t="s">
        <v>9</v>
      </c>
      <c r="D3" s="3" t="s">
        <v>12</v>
      </c>
      <c r="E3" t="str">
        <f>"001600018621"</f>
        <v>001600018621</v>
      </c>
      <c r="F3" s="3" t="s">
        <v>13</v>
      </c>
    </row>
    <row r="4" spans="1:6" ht="28.8" x14ac:dyDescent="0.3">
      <c r="A4" s="1" t="s">
        <v>7</v>
      </c>
      <c r="B4" s="1" t="s">
        <v>8</v>
      </c>
      <c r="C4" s="1" t="s">
        <v>9</v>
      </c>
      <c r="D4" s="3" t="s">
        <v>14</v>
      </c>
      <c r="E4" t="str">
        <f>"001600017155"</f>
        <v>001600017155</v>
      </c>
      <c r="F4" s="3" t="s">
        <v>15</v>
      </c>
    </row>
    <row r="5" spans="1:6" ht="28.8" x14ac:dyDescent="0.3">
      <c r="A5" s="1" t="s">
        <v>7</v>
      </c>
      <c r="B5" s="1" t="s">
        <v>8</v>
      </c>
      <c r="C5" s="1" t="s">
        <v>9</v>
      </c>
      <c r="D5" s="3" t="s">
        <v>16</v>
      </c>
      <c r="E5" t="str">
        <f>"001600018863"</f>
        <v>001600018863</v>
      </c>
      <c r="F5" s="3" t="s">
        <v>17</v>
      </c>
    </row>
    <row r="6" spans="1:6" ht="28.8" x14ac:dyDescent="0.3">
      <c r="A6" s="1" t="s">
        <v>7</v>
      </c>
      <c r="B6" s="1" t="s">
        <v>8</v>
      </c>
      <c r="C6" s="1" t="s">
        <v>9</v>
      </c>
      <c r="D6" s="3" t="s">
        <v>18</v>
      </c>
      <c r="E6" t="str">
        <f>"001600018864"</f>
        <v>001600018864</v>
      </c>
      <c r="F6" s="3" t="s">
        <v>19</v>
      </c>
    </row>
    <row r="7" spans="1:6" ht="28.8" x14ac:dyDescent="0.3">
      <c r="A7" s="1" t="s">
        <v>7</v>
      </c>
      <c r="B7" s="1" t="s">
        <v>8</v>
      </c>
      <c r="C7" s="1" t="s">
        <v>9</v>
      </c>
      <c r="D7" s="3" t="s">
        <v>20</v>
      </c>
      <c r="E7" t="str">
        <f>"001600020059"</f>
        <v>001600020059</v>
      </c>
      <c r="F7" s="3" t="s">
        <v>21</v>
      </c>
    </row>
    <row r="8" spans="1:6" ht="28.8" x14ac:dyDescent="0.3">
      <c r="A8" s="1" t="s">
        <v>7</v>
      </c>
      <c r="B8" s="1" t="s">
        <v>8</v>
      </c>
      <c r="C8" s="1" t="s">
        <v>9</v>
      </c>
      <c r="D8" s="3" t="s">
        <v>22</v>
      </c>
      <c r="E8" t="str">
        <f>"001356211684"</f>
        <v>001356211684</v>
      </c>
      <c r="F8" s="3" t="s">
        <v>23</v>
      </c>
    </row>
    <row r="9" spans="1:6" ht="28.8" x14ac:dyDescent="0.3">
      <c r="A9" s="1" t="s">
        <v>7</v>
      </c>
      <c r="B9" s="1" t="s">
        <v>8</v>
      </c>
      <c r="C9" s="1" t="s">
        <v>9</v>
      </c>
      <c r="D9" s="3" t="s">
        <v>24</v>
      </c>
      <c r="E9" t="str">
        <f>"001356200247"</f>
        <v>001356200247</v>
      </c>
      <c r="F9" s="3" t="s">
        <v>25</v>
      </c>
    </row>
    <row r="10" spans="1:6" x14ac:dyDescent="0.3">
      <c r="A10" s="3" t="s">
        <v>7</v>
      </c>
      <c r="B10" s="3" t="s">
        <v>8</v>
      </c>
      <c r="C10" s="3" t="s">
        <v>9</v>
      </c>
      <c r="D10" s="3" t="s">
        <v>26</v>
      </c>
      <c r="E10" t="str">
        <f>"009999980300"</f>
        <v>009999980300</v>
      </c>
      <c r="F10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Maharana</dc:creator>
  <cp:lastModifiedBy>Prasad Maharana</cp:lastModifiedBy>
  <dcterms:created xsi:type="dcterms:W3CDTF">2023-10-23T13:43:22Z</dcterms:created>
  <dcterms:modified xsi:type="dcterms:W3CDTF">2023-10-30T13:46:02Z</dcterms:modified>
</cp:coreProperties>
</file>