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eraj\Documents\Financial Modelling\"/>
    </mc:Choice>
  </mc:AlternateContent>
  <xr:revisionPtr revIDLastSave="0" documentId="13_ncr:1_{A979BEEE-3448-42C0-A398-9DB34472A96A}" xr6:coauthVersionLast="36" xr6:coauthVersionMax="47" xr10:uidLastSave="{00000000-0000-0000-0000-000000000000}"/>
  <bookViews>
    <workbookView xWindow="0" yWindow="0" windowWidth="20490" windowHeight="7545" firstSheet="17" activeTab="22" xr2:uid="{00000000-000D-0000-FFFF-FFFF00000000}"/>
  </bookViews>
  <sheets>
    <sheet name="Financials&gt;" sheetId="7" r:id="rId1"/>
    <sheet name="Historical FS" sheetId="8" r:id="rId2"/>
    <sheet name="Ratio Analysis" sheetId="11" r:id="rId3"/>
    <sheet name="Common Size Statement" sheetId="21" r:id="rId4"/>
    <sheet name="P&amp;L Forecast" sheetId="13" r:id="rId5"/>
    <sheet name="BS Forecast" sheetId="14" r:id="rId6"/>
    <sheet name="Cash Flows Forecast" sheetId="15" r:id="rId7"/>
    <sheet name="DCF&gt;" sheetId="22" r:id="rId8"/>
    <sheet name="WACC" sheetId="19" r:id="rId9"/>
    <sheet name="Intrinsic Growth" sheetId="25" r:id="rId10"/>
    <sheet name="DCF" sheetId="26" r:id="rId11"/>
    <sheet name="Comparable Valuation&gt;" sheetId="29" r:id="rId12"/>
    <sheet name="Relative Valuation" sheetId="27" r:id="rId13"/>
    <sheet name="Football Field Analysis" sheetId="28" r:id="rId14"/>
    <sheet name="Data&gt;" sheetId="9" r:id="rId15"/>
    <sheet name="Data Sheet" sheetId="6" r:id="rId16"/>
    <sheet name="Cash Flow Data (Manual)" sheetId="10" r:id="rId17"/>
    <sheet name="Data Room&gt;" sheetId="23" r:id="rId18"/>
    <sheet name="Raw BS (Manual)" sheetId="24" r:id="rId19"/>
    <sheet name="Beta - Regression" sheetId="16" r:id="rId20"/>
    <sheet name="Beta - Comps" sheetId="17" r:id="rId21"/>
    <sheet name="Peers" sheetId="18" r:id="rId22"/>
    <sheet name="Rm" sheetId="20" r:id="rId23"/>
  </sheets>
  <definedNames>
    <definedName name="_xlnm.Print_Area" localSheetId="16">'Cash Flow Data (Manual)'!$F$33</definedName>
    <definedName name="_xlnm.Print_Area" localSheetId="1">'Historical FS'!$H$33</definedName>
    <definedName name="_xlnm.Print_Area" localSheetId="12">'Relative Valuation'!$C$11</definedName>
    <definedName name="_xlnm.Print_Area" localSheetId="8">WACC!$F$8</definedName>
    <definedName name="UPDATE">'Data Sheet'!$E$1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6" l="1"/>
  <c r="D25" i="26"/>
  <c r="D42" i="26" l="1"/>
  <c r="I9" i="26"/>
  <c r="J9" i="26" s="1"/>
  <c r="H9" i="26"/>
  <c r="G9" i="26"/>
  <c r="F30" i="13" l="1"/>
  <c r="M27" i="8"/>
  <c r="L27" i="8"/>
  <c r="K27" i="8"/>
  <c r="E30" i="13" s="1"/>
  <c r="J27" i="8"/>
  <c r="D30" i="13" s="1"/>
  <c r="I27" i="8"/>
  <c r="C30" i="13" s="1"/>
  <c r="H27" i="8"/>
  <c r="G27" i="8"/>
  <c r="F27" i="8"/>
  <c r="E27" i="8"/>
  <c r="D27" i="8"/>
  <c r="C27" i="8"/>
  <c r="C30" i="8"/>
  <c r="D30" i="8"/>
  <c r="E30" i="8"/>
  <c r="F30" i="8"/>
  <c r="G30" i="8"/>
  <c r="H30" i="8"/>
  <c r="I30" i="8"/>
  <c r="J30" i="8"/>
  <c r="K30" i="8"/>
  <c r="L30" i="8"/>
  <c r="M30" i="8"/>
  <c r="I30" i="13" l="1"/>
  <c r="H30" i="13"/>
  <c r="K30" i="13"/>
  <c r="G30" i="13"/>
  <c r="J30" i="13"/>
  <c r="B2" i="8"/>
  <c r="C9" i="8"/>
  <c r="T6" i="17" l="1"/>
  <c r="G6" i="17"/>
  <c r="E10" i="19"/>
  <c r="E9" i="19"/>
  <c r="F10" i="19"/>
  <c r="F9" i="19"/>
  <c r="F8" i="19"/>
  <c r="E8" i="19"/>
  <c r="B10" i="19"/>
  <c r="B9" i="19"/>
  <c r="B8" i="19"/>
  <c r="K8" i="16"/>
  <c r="G6" i="16" l="1"/>
  <c r="B14" i="18" l="1"/>
  <c r="D5" i="23"/>
  <c r="D5" i="9"/>
  <c r="B2" i="10"/>
  <c r="B2" i="28"/>
  <c r="B2" i="27"/>
  <c r="B2" i="26"/>
  <c r="B2" i="25"/>
  <c r="B22" i="27"/>
  <c r="D5" i="22"/>
  <c r="D5" i="29"/>
  <c r="D5" i="7"/>
  <c r="M12" i="27" l="1"/>
  <c r="M11" i="27"/>
  <c r="M9" i="27"/>
  <c r="M10" i="27"/>
  <c r="K12" i="27"/>
  <c r="K11" i="27"/>
  <c r="K10" i="27"/>
  <c r="K9" i="27"/>
  <c r="Q23" i="18"/>
  <c r="Q22" i="18"/>
  <c r="Q21" i="18"/>
  <c r="Q20" i="18"/>
  <c r="G12" i="27" s="1"/>
  <c r="Q19" i="18"/>
  <c r="G11" i="27" s="1"/>
  <c r="Q18" i="18"/>
  <c r="G10" i="27" s="1"/>
  <c r="Q17" i="18"/>
  <c r="G9" i="27" s="1"/>
  <c r="Q25" i="27" s="1"/>
  <c r="E12" i="27"/>
  <c r="E11" i="27"/>
  <c r="E10" i="27"/>
  <c r="E9" i="27"/>
  <c r="P27" i="27" s="1"/>
  <c r="D12" i="27"/>
  <c r="D11" i="27"/>
  <c r="D10" i="27"/>
  <c r="D9" i="27"/>
  <c r="B12" i="27"/>
  <c r="B11" i="27"/>
  <c r="B10" i="27"/>
  <c r="B9" i="27"/>
  <c r="N23" i="18"/>
  <c r="N22" i="18"/>
  <c r="N21" i="18"/>
  <c r="N20" i="18"/>
  <c r="L12" i="27" s="1"/>
  <c r="N19" i="18"/>
  <c r="L11" i="27" s="1"/>
  <c r="N17" i="18"/>
  <c r="L9" i="27" s="1"/>
  <c r="N18" i="18"/>
  <c r="L10" i="27" s="1"/>
  <c r="F23" i="18"/>
  <c r="I23" i="18" s="1"/>
  <c r="F22" i="18"/>
  <c r="I22" i="18" s="1"/>
  <c r="F21" i="18"/>
  <c r="I21" i="18" s="1"/>
  <c r="F20" i="18"/>
  <c r="I20" i="18" s="1"/>
  <c r="F19" i="18"/>
  <c r="I19" i="18" s="1"/>
  <c r="F17" i="18"/>
  <c r="I17" i="18" s="1"/>
  <c r="F18" i="18"/>
  <c r="I18" i="18" s="1"/>
  <c r="D36" i="26"/>
  <c r="D35" i="26"/>
  <c r="H11" i="26"/>
  <c r="I11" i="26" s="1"/>
  <c r="J11" i="26" s="1"/>
  <c r="K11" i="26" s="1"/>
  <c r="Q27" i="27" l="1"/>
  <c r="F11" i="27"/>
  <c r="H11" i="27" s="1"/>
  <c r="F12" i="27"/>
  <c r="H12" i="27" s="1"/>
  <c r="P25" i="27"/>
  <c r="F10" i="27"/>
  <c r="H10" i="27" s="1"/>
  <c r="O27" i="27"/>
  <c r="Q12" i="27"/>
  <c r="Q11" i="27"/>
  <c r="F9" i="27"/>
  <c r="O25" i="27"/>
  <c r="G7" i="26"/>
  <c r="H7" i="26" s="1"/>
  <c r="I7" i="26" s="1"/>
  <c r="J7" i="26" s="1"/>
  <c r="K7" i="26" s="1"/>
  <c r="F6" i="26"/>
  <c r="G6" i="26" s="1"/>
  <c r="K33" i="6"/>
  <c r="J33" i="6"/>
  <c r="I33" i="6"/>
  <c r="H33" i="6"/>
  <c r="G33" i="6"/>
  <c r="F33" i="6"/>
  <c r="E33" i="6"/>
  <c r="D33" i="6"/>
  <c r="C33" i="6"/>
  <c r="B33" i="6"/>
  <c r="K43" i="25"/>
  <c r="J43" i="25"/>
  <c r="I43" i="25"/>
  <c r="H43" i="25"/>
  <c r="G43" i="25"/>
  <c r="K33" i="25"/>
  <c r="J33" i="25"/>
  <c r="I33" i="25"/>
  <c r="H33" i="25"/>
  <c r="G33" i="25"/>
  <c r="K30" i="25"/>
  <c r="J30" i="25"/>
  <c r="I30" i="25"/>
  <c r="H30" i="25"/>
  <c r="G30" i="25"/>
  <c r="K29" i="25"/>
  <c r="J29" i="25"/>
  <c r="I29" i="25"/>
  <c r="H29" i="25"/>
  <c r="G29" i="25"/>
  <c r="K28" i="25"/>
  <c r="J28" i="25"/>
  <c r="I28" i="25"/>
  <c r="H28" i="25"/>
  <c r="G28" i="25"/>
  <c r="K27" i="25"/>
  <c r="J27" i="25"/>
  <c r="I27" i="25"/>
  <c r="H27" i="25"/>
  <c r="G27" i="25"/>
  <c r="K26" i="25"/>
  <c r="J26" i="25"/>
  <c r="I26" i="25"/>
  <c r="H26" i="25"/>
  <c r="G26" i="25"/>
  <c r="K25" i="25"/>
  <c r="J25" i="25"/>
  <c r="I25" i="25"/>
  <c r="H25" i="25"/>
  <c r="G25" i="25"/>
  <c r="K24" i="25"/>
  <c r="J24" i="25"/>
  <c r="I24" i="25"/>
  <c r="H24" i="25"/>
  <c r="G24" i="25"/>
  <c r="K23" i="25"/>
  <c r="J23" i="25"/>
  <c r="I23" i="25"/>
  <c r="H23" i="25"/>
  <c r="G23" i="25"/>
  <c r="K22" i="25"/>
  <c r="J22" i="25"/>
  <c r="I22" i="25"/>
  <c r="H22" i="25"/>
  <c r="G22" i="25"/>
  <c r="B30" i="25"/>
  <c r="B29" i="25"/>
  <c r="B28" i="25"/>
  <c r="B27" i="25"/>
  <c r="B26" i="25"/>
  <c r="B25" i="25"/>
  <c r="B24" i="25"/>
  <c r="B23" i="25"/>
  <c r="B22" i="25"/>
  <c r="K16" i="25"/>
  <c r="J16" i="25"/>
  <c r="I16" i="25"/>
  <c r="H16" i="25"/>
  <c r="G16" i="25"/>
  <c r="K15" i="25"/>
  <c r="J15" i="25"/>
  <c r="I15" i="25"/>
  <c r="H15" i="25"/>
  <c r="G15" i="25"/>
  <c r="K14" i="25"/>
  <c r="J14" i="25"/>
  <c r="I14" i="25"/>
  <c r="H14" i="25"/>
  <c r="G14" i="25"/>
  <c r="B16" i="25"/>
  <c r="B15" i="25"/>
  <c r="B14" i="25"/>
  <c r="K10" i="25"/>
  <c r="J10" i="25"/>
  <c r="I10" i="25"/>
  <c r="H10" i="25"/>
  <c r="G10" i="25"/>
  <c r="K9" i="25"/>
  <c r="J9" i="25"/>
  <c r="I9" i="25"/>
  <c r="H9" i="25"/>
  <c r="G9" i="25"/>
  <c r="K8" i="25"/>
  <c r="J8" i="25"/>
  <c r="I8" i="25"/>
  <c r="H8" i="25"/>
  <c r="G8" i="25"/>
  <c r="K7" i="25"/>
  <c r="J7" i="25"/>
  <c r="I7" i="25"/>
  <c r="H7" i="25"/>
  <c r="G7" i="25"/>
  <c r="B10" i="25"/>
  <c r="B9" i="25"/>
  <c r="B8" i="25"/>
  <c r="B7" i="25"/>
  <c r="J4" i="25"/>
  <c r="J41" i="25" s="1"/>
  <c r="J57" i="25" s="1"/>
  <c r="I4" i="25"/>
  <c r="I41" i="25" s="1"/>
  <c r="I57" i="25" s="1"/>
  <c r="H4" i="25"/>
  <c r="H41" i="25" s="1"/>
  <c r="H57" i="25" s="1"/>
  <c r="G4" i="25"/>
  <c r="G41" i="25" s="1"/>
  <c r="G57" i="25" s="1"/>
  <c r="K4" i="25"/>
  <c r="K41" i="25" s="1"/>
  <c r="K57" i="25" s="1"/>
  <c r="N30" i="24"/>
  <c r="M30" i="24"/>
  <c r="L30" i="24"/>
  <c r="K30" i="24"/>
  <c r="J30" i="24"/>
  <c r="I30" i="24"/>
  <c r="H30" i="24"/>
  <c r="G30" i="24"/>
  <c r="F30" i="24"/>
  <c r="E30" i="24"/>
  <c r="D30" i="24"/>
  <c r="C30" i="24"/>
  <c r="L38" i="21"/>
  <c r="K38" i="21"/>
  <c r="J38" i="21"/>
  <c r="I38" i="21"/>
  <c r="H38" i="21"/>
  <c r="G38" i="21"/>
  <c r="F38" i="21"/>
  <c r="E38" i="21"/>
  <c r="D38" i="21"/>
  <c r="C38" i="21"/>
  <c r="L37" i="21"/>
  <c r="K37" i="21"/>
  <c r="J37" i="21"/>
  <c r="I37" i="21"/>
  <c r="H37" i="21"/>
  <c r="G37" i="21"/>
  <c r="F37" i="21"/>
  <c r="E37" i="21"/>
  <c r="D37" i="21"/>
  <c r="C37" i="21"/>
  <c r="L36" i="21"/>
  <c r="K36" i="21"/>
  <c r="J36" i="21"/>
  <c r="I36" i="21"/>
  <c r="H36" i="21"/>
  <c r="G36" i="21"/>
  <c r="F36" i="21"/>
  <c r="E36" i="21"/>
  <c r="D36" i="21"/>
  <c r="C36" i="21"/>
  <c r="J35" i="21"/>
  <c r="L34" i="21"/>
  <c r="K34" i="21"/>
  <c r="J34" i="21"/>
  <c r="I34" i="21"/>
  <c r="H34" i="21"/>
  <c r="G34" i="21"/>
  <c r="F34" i="21"/>
  <c r="E34" i="21"/>
  <c r="D34" i="21"/>
  <c r="C34" i="21"/>
  <c r="L33" i="21"/>
  <c r="K33" i="21"/>
  <c r="J33" i="21"/>
  <c r="I33" i="21"/>
  <c r="H33" i="21"/>
  <c r="G33" i="21"/>
  <c r="F33" i="21"/>
  <c r="E33" i="21"/>
  <c r="D33" i="21"/>
  <c r="C33" i="21"/>
  <c r="L32" i="21"/>
  <c r="K32" i="21"/>
  <c r="J32" i="21"/>
  <c r="I32" i="21"/>
  <c r="H32" i="21"/>
  <c r="G32" i="21"/>
  <c r="F32" i="21"/>
  <c r="E32" i="21"/>
  <c r="D32" i="21"/>
  <c r="C32" i="21"/>
  <c r="L31" i="21"/>
  <c r="K31" i="21"/>
  <c r="J31" i="21"/>
  <c r="I31" i="21"/>
  <c r="H31" i="21"/>
  <c r="G31" i="21"/>
  <c r="F31" i="21"/>
  <c r="E31" i="21"/>
  <c r="D31" i="21"/>
  <c r="C31" i="21"/>
  <c r="K74" i="6"/>
  <c r="L35" i="21" s="1"/>
  <c r="J74" i="6"/>
  <c r="K35" i="21" s="1"/>
  <c r="I74" i="6"/>
  <c r="H74" i="6"/>
  <c r="I35" i="21" s="1"/>
  <c r="G74" i="6"/>
  <c r="H35" i="21" s="1"/>
  <c r="F74" i="6"/>
  <c r="G35" i="21" s="1"/>
  <c r="E74" i="6"/>
  <c r="F35" i="21" s="1"/>
  <c r="D74" i="6"/>
  <c r="E35" i="21" s="1"/>
  <c r="C74" i="6"/>
  <c r="D35" i="21" s="1"/>
  <c r="B74" i="6"/>
  <c r="C35" i="21" s="1"/>
  <c r="L29" i="21"/>
  <c r="K29" i="21"/>
  <c r="J29" i="21"/>
  <c r="I29" i="21"/>
  <c r="H29" i="21"/>
  <c r="G29" i="21"/>
  <c r="F29" i="21"/>
  <c r="E29" i="21"/>
  <c r="D29" i="21"/>
  <c r="C29" i="21"/>
  <c r="L28" i="21"/>
  <c r="K28" i="21"/>
  <c r="J28" i="21"/>
  <c r="I28" i="21"/>
  <c r="H28" i="21"/>
  <c r="G28" i="21"/>
  <c r="F28" i="21"/>
  <c r="E28" i="21"/>
  <c r="D28" i="21"/>
  <c r="C28" i="21"/>
  <c r="L27" i="21"/>
  <c r="K27" i="21"/>
  <c r="J27" i="21"/>
  <c r="I27" i="21"/>
  <c r="H27" i="21"/>
  <c r="G27" i="21"/>
  <c r="F27" i="21"/>
  <c r="E27" i="21"/>
  <c r="D27" i="21"/>
  <c r="C27" i="21"/>
  <c r="L26" i="21"/>
  <c r="K26" i="21"/>
  <c r="J26" i="21"/>
  <c r="I26" i="21"/>
  <c r="H26" i="21"/>
  <c r="G26" i="21"/>
  <c r="F26" i="21"/>
  <c r="E26" i="21"/>
  <c r="D26" i="21"/>
  <c r="C26" i="21"/>
  <c r="L25" i="21"/>
  <c r="K25" i="21"/>
  <c r="J25" i="21"/>
  <c r="I25" i="21"/>
  <c r="H25" i="21"/>
  <c r="G25" i="21"/>
  <c r="F25" i="21"/>
  <c r="E25" i="21"/>
  <c r="D25" i="21"/>
  <c r="C25" i="21"/>
  <c r="Q10" i="27" l="1"/>
  <c r="F4" i="26"/>
  <c r="G4" i="26" s="1"/>
  <c r="H4" i="26" s="1"/>
  <c r="I4" i="26" s="1"/>
  <c r="J4" i="26" s="1"/>
  <c r="K4" i="26" s="1"/>
  <c r="H9" i="27"/>
  <c r="Q9" i="27"/>
  <c r="O12" i="27"/>
  <c r="P12" i="27"/>
  <c r="O10" i="27"/>
  <c r="P10" i="27"/>
  <c r="P11" i="27"/>
  <c r="O11" i="27"/>
  <c r="G8" i="26"/>
  <c r="H6" i="26"/>
  <c r="F8" i="26"/>
  <c r="G32" i="25"/>
  <c r="G34" i="25" s="1"/>
  <c r="H32" i="25"/>
  <c r="H34" i="25" s="1"/>
  <c r="I32" i="25"/>
  <c r="I34" i="25" s="1"/>
  <c r="J17" i="25"/>
  <c r="J32" i="25"/>
  <c r="J34" i="25" s="1"/>
  <c r="I11" i="25"/>
  <c r="G11" i="25"/>
  <c r="K11" i="25"/>
  <c r="K32" i="25"/>
  <c r="K34" i="25" s="1"/>
  <c r="J11" i="25"/>
  <c r="H11" i="25"/>
  <c r="I17" i="25"/>
  <c r="G17" i="25"/>
  <c r="K17" i="25"/>
  <c r="H17" i="25"/>
  <c r="L23" i="21"/>
  <c r="K23" i="21"/>
  <c r="J23" i="21"/>
  <c r="I23" i="21"/>
  <c r="H23" i="21"/>
  <c r="G23" i="21"/>
  <c r="F23" i="21"/>
  <c r="E23" i="21"/>
  <c r="D23" i="21"/>
  <c r="C23" i="21"/>
  <c r="B38" i="21"/>
  <c r="B37" i="21"/>
  <c r="B36" i="21"/>
  <c r="B35" i="21"/>
  <c r="B34" i="21"/>
  <c r="B33" i="21"/>
  <c r="B32" i="21"/>
  <c r="B29" i="21"/>
  <c r="B28" i="21"/>
  <c r="B27" i="21"/>
  <c r="B26" i="21"/>
  <c r="B21" i="21"/>
  <c r="L19" i="21"/>
  <c r="K19" i="21"/>
  <c r="J19" i="21"/>
  <c r="I19" i="21"/>
  <c r="H19" i="21"/>
  <c r="G19" i="21"/>
  <c r="F19" i="21"/>
  <c r="E19" i="21"/>
  <c r="D19" i="21"/>
  <c r="C19" i="21"/>
  <c r="L18" i="21"/>
  <c r="K18" i="21"/>
  <c r="J18" i="21"/>
  <c r="I18" i="21"/>
  <c r="H18" i="21"/>
  <c r="G18" i="21"/>
  <c r="F18" i="21"/>
  <c r="E18" i="21"/>
  <c r="D18" i="21"/>
  <c r="C18" i="21"/>
  <c r="L17" i="21"/>
  <c r="K17" i="21"/>
  <c r="J17" i="21"/>
  <c r="I17" i="21"/>
  <c r="H17" i="21"/>
  <c r="G17" i="21"/>
  <c r="F17" i="21"/>
  <c r="E17" i="21"/>
  <c r="D17" i="21"/>
  <c r="C17" i="21"/>
  <c r="L16" i="21"/>
  <c r="K16" i="21"/>
  <c r="J16" i="21"/>
  <c r="I16" i="21"/>
  <c r="H16" i="21"/>
  <c r="G16" i="21"/>
  <c r="F16" i="21"/>
  <c r="E16" i="21"/>
  <c r="D16" i="21"/>
  <c r="C16" i="21"/>
  <c r="L15" i="21"/>
  <c r="K15" i="21"/>
  <c r="J15" i="21"/>
  <c r="I15" i="21"/>
  <c r="H15" i="21"/>
  <c r="G15" i="21"/>
  <c r="F15" i="21"/>
  <c r="E15" i="21"/>
  <c r="D15" i="21"/>
  <c r="C15" i="21"/>
  <c r="L14" i="21"/>
  <c r="K14" i="21"/>
  <c r="J14" i="21"/>
  <c r="I14" i="21"/>
  <c r="H14" i="21"/>
  <c r="G14" i="21"/>
  <c r="F14" i="21"/>
  <c r="E14" i="21"/>
  <c r="D14" i="21"/>
  <c r="C14" i="21"/>
  <c r="L13" i="21"/>
  <c r="K13" i="21"/>
  <c r="J13" i="21"/>
  <c r="I13" i="21"/>
  <c r="H13" i="21"/>
  <c r="G13" i="21"/>
  <c r="F13" i="21"/>
  <c r="E13" i="21"/>
  <c r="D13" i="21"/>
  <c r="C13" i="21"/>
  <c r="L12" i="21"/>
  <c r="K12" i="21"/>
  <c r="J12" i="21"/>
  <c r="I12" i="21"/>
  <c r="H12" i="21"/>
  <c r="G12" i="21"/>
  <c r="F12" i="21"/>
  <c r="E12" i="21"/>
  <c r="D12" i="21"/>
  <c r="C12" i="21"/>
  <c r="L11" i="21"/>
  <c r="K11" i="21"/>
  <c r="J11" i="21"/>
  <c r="I11" i="21"/>
  <c r="H11" i="21"/>
  <c r="G11" i="21"/>
  <c r="F11" i="21"/>
  <c r="E11" i="21"/>
  <c r="D11" i="21"/>
  <c r="C11" i="21"/>
  <c r="L10" i="21"/>
  <c r="K10" i="21"/>
  <c r="J10" i="21"/>
  <c r="I10" i="21"/>
  <c r="H10" i="21"/>
  <c r="G10" i="21"/>
  <c r="F10" i="21"/>
  <c r="E10" i="21"/>
  <c r="D10" i="21"/>
  <c r="C10" i="21"/>
  <c r="L9" i="21"/>
  <c r="K9" i="21"/>
  <c r="J9" i="21"/>
  <c r="I9" i="21"/>
  <c r="H9" i="21"/>
  <c r="G9" i="21"/>
  <c r="F9" i="21"/>
  <c r="E9" i="21"/>
  <c r="D9" i="21"/>
  <c r="C9" i="21"/>
  <c r="L8" i="21"/>
  <c r="K8" i="21"/>
  <c r="J8" i="21"/>
  <c r="I8" i="21"/>
  <c r="H8" i="21"/>
  <c r="G8" i="21"/>
  <c r="F8" i="21"/>
  <c r="E8" i="21"/>
  <c r="D8" i="21"/>
  <c r="C8" i="21"/>
  <c r="L7" i="21"/>
  <c r="K7" i="21"/>
  <c r="J7" i="21"/>
  <c r="I7" i="21"/>
  <c r="H7" i="21"/>
  <c r="G7" i="21"/>
  <c r="F7" i="21"/>
  <c r="E7" i="21"/>
  <c r="D7" i="21"/>
  <c r="C7" i="21"/>
  <c r="L6" i="21"/>
  <c r="K6" i="21"/>
  <c r="J6" i="21"/>
  <c r="I6" i="21"/>
  <c r="H6" i="21"/>
  <c r="G6" i="21"/>
  <c r="F6" i="21"/>
  <c r="E6" i="21"/>
  <c r="D6" i="21"/>
  <c r="C6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6" i="21"/>
  <c r="L4" i="21"/>
  <c r="K4" i="21"/>
  <c r="J4" i="21"/>
  <c r="I4" i="21"/>
  <c r="H4" i="21"/>
  <c r="G4" i="21"/>
  <c r="F4" i="21"/>
  <c r="E4" i="21"/>
  <c r="D4" i="21"/>
  <c r="C4" i="21"/>
  <c r="B2" i="21"/>
  <c r="J5" i="18"/>
  <c r="E19" i="19" s="1"/>
  <c r="F6" i="20"/>
  <c r="F8" i="20" s="1"/>
  <c r="K19" i="19" s="1"/>
  <c r="G13" i="19"/>
  <c r="G12" i="19"/>
  <c r="C29" i="19"/>
  <c r="C28" i="19"/>
  <c r="H9" i="19" l="1"/>
  <c r="Q17" i="27"/>
  <c r="Q16" i="27"/>
  <c r="Q18" i="27"/>
  <c r="Q26" i="27" s="1"/>
  <c r="Q20" i="27"/>
  <c r="Q15" i="27"/>
  <c r="Q19" i="27"/>
  <c r="P9" i="27"/>
  <c r="O9" i="27"/>
  <c r="H8" i="19"/>
  <c r="I8" i="19"/>
  <c r="I6" i="26"/>
  <c r="H8" i="26"/>
  <c r="J19" i="25"/>
  <c r="J36" i="25" s="1"/>
  <c r="G19" i="25"/>
  <c r="G36" i="25" s="1"/>
  <c r="I19" i="25"/>
  <c r="K19" i="25"/>
  <c r="H19" i="25"/>
  <c r="I44" i="25" l="1"/>
  <c r="I50" i="25" s="1"/>
  <c r="Q29" i="27"/>
  <c r="Q31" i="27" s="1"/>
  <c r="Q24" i="27"/>
  <c r="O19" i="27"/>
  <c r="O18" i="27"/>
  <c r="O24" i="27" s="1"/>
  <c r="O26" i="27" s="1"/>
  <c r="O29" i="27" s="1"/>
  <c r="O31" i="27" s="1"/>
  <c r="O20" i="27"/>
  <c r="O16" i="27"/>
  <c r="O17" i="27"/>
  <c r="O15" i="27"/>
  <c r="P16" i="27"/>
  <c r="P20" i="27"/>
  <c r="P15" i="27"/>
  <c r="P19" i="27"/>
  <c r="P17" i="27"/>
  <c r="P18" i="27"/>
  <c r="P24" i="27" s="1"/>
  <c r="P26" i="27" s="1"/>
  <c r="P29" i="27" s="1"/>
  <c r="P31" i="27" s="1"/>
  <c r="J6" i="26"/>
  <c r="I8" i="26"/>
  <c r="K44" i="25"/>
  <c r="K50" i="25" s="1"/>
  <c r="H44" i="25"/>
  <c r="H50" i="25" s="1"/>
  <c r="K36" i="25"/>
  <c r="H36" i="25"/>
  <c r="J44" i="25"/>
  <c r="J50" i="25" s="1"/>
  <c r="I36" i="25"/>
  <c r="K6" i="26" l="1"/>
  <c r="K8" i="26" s="1"/>
  <c r="K10" i="26" s="1"/>
  <c r="J8" i="26"/>
  <c r="K29" i="19"/>
  <c r="C30" i="19"/>
  <c r="E21" i="19"/>
  <c r="J35" i="19" s="1"/>
  <c r="I10" i="19"/>
  <c r="I9" i="19"/>
  <c r="H10" i="19"/>
  <c r="B2" i="19"/>
  <c r="X8" i="17"/>
  <c r="K8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B2" i="18"/>
  <c r="H68" i="17"/>
  <c r="E68" i="17"/>
  <c r="H67" i="17"/>
  <c r="E67" i="17"/>
  <c r="H66" i="17"/>
  <c r="E66" i="17"/>
  <c r="H65" i="17"/>
  <c r="E65" i="17"/>
  <c r="H64" i="17"/>
  <c r="E64" i="17"/>
  <c r="H63" i="17"/>
  <c r="E63" i="17"/>
  <c r="H62" i="17"/>
  <c r="E62" i="17"/>
  <c r="H61" i="17"/>
  <c r="E61" i="17"/>
  <c r="H60" i="17"/>
  <c r="E60" i="17"/>
  <c r="H59" i="17"/>
  <c r="E59" i="17"/>
  <c r="H58" i="17"/>
  <c r="E58" i="17"/>
  <c r="H57" i="17"/>
  <c r="E57" i="17"/>
  <c r="H56" i="17"/>
  <c r="E56" i="17"/>
  <c r="H55" i="17"/>
  <c r="E55" i="17"/>
  <c r="H54" i="17"/>
  <c r="E54" i="17"/>
  <c r="H53" i="17"/>
  <c r="E53" i="17"/>
  <c r="H52" i="17"/>
  <c r="E52" i="17"/>
  <c r="H51" i="17"/>
  <c r="E51" i="17"/>
  <c r="H50" i="17"/>
  <c r="E50" i="17"/>
  <c r="H49" i="17"/>
  <c r="E49" i="17"/>
  <c r="H48" i="17"/>
  <c r="E48" i="17"/>
  <c r="H47" i="17"/>
  <c r="E47" i="17"/>
  <c r="H46" i="17"/>
  <c r="E46" i="17"/>
  <c r="H45" i="17"/>
  <c r="E45" i="17"/>
  <c r="H44" i="17"/>
  <c r="E44" i="17"/>
  <c r="H43" i="17"/>
  <c r="E43" i="17"/>
  <c r="H42" i="17"/>
  <c r="E42" i="17"/>
  <c r="H41" i="17"/>
  <c r="E41" i="17"/>
  <c r="H40" i="17"/>
  <c r="E40" i="17"/>
  <c r="H39" i="17"/>
  <c r="E39" i="17"/>
  <c r="H38" i="17"/>
  <c r="E38" i="17"/>
  <c r="H37" i="17"/>
  <c r="E37" i="17"/>
  <c r="H36" i="17"/>
  <c r="E36" i="17"/>
  <c r="H35" i="17"/>
  <c r="E35" i="17"/>
  <c r="H34" i="17"/>
  <c r="E34" i="17"/>
  <c r="H33" i="17"/>
  <c r="E33" i="17"/>
  <c r="H32" i="17"/>
  <c r="E32" i="17"/>
  <c r="H31" i="17"/>
  <c r="E31" i="17"/>
  <c r="H30" i="17"/>
  <c r="E30" i="17"/>
  <c r="H29" i="17"/>
  <c r="E29" i="17"/>
  <c r="H28" i="17"/>
  <c r="E28" i="17"/>
  <c r="H27" i="17"/>
  <c r="E27" i="17"/>
  <c r="H26" i="17"/>
  <c r="E26" i="17"/>
  <c r="H25" i="17"/>
  <c r="E25" i="17"/>
  <c r="H24" i="17"/>
  <c r="E24" i="17"/>
  <c r="H23" i="17"/>
  <c r="E23" i="17"/>
  <c r="H22" i="17"/>
  <c r="E22" i="17"/>
  <c r="H21" i="17"/>
  <c r="E21" i="17"/>
  <c r="H20" i="17"/>
  <c r="E20" i="17"/>
  <c r="H19" i="17"/>
  <c r="E19" i="17"/>
  <c r="H18" i="17"/>
  <c r="E18" i="17"/>
  <c r="H17" i="17"/>
  <c r="E17" i="17"/>
  <c r="H16" i="17"/>
  <c r="E16" i="17"/>
  <c r="H15" i="17"/>
  <c r="E15" i="17"/>
  <c r="H14" i="17"/>
  <c r="E14" i="17"/>
  <c r="H13" i="17"/>
  <c r="E13" i="17"/>
  <c r="H12" i="17"/>
  <c r="E12" i="17"/>
  <c r="H11" i="17"/>
  <c r="E11" i="17"/>
  <c r="H10" i="17"/>
  <c r="E10" i="17"/>
  <c r="K14" i="17" l="1"/>
  <c r="J9" i="19"/>
  <c r="K9" i="19" s="1"/>
  <c r="J10" i="19"/>
  <c r="K10" i="19" s="1"/>
  <c r="K14" i="16"/>
  <c r="J8" i="19"/>
  <c r="I12" i="19"/>
  <c r="I13" i="19"/>
  <c r="H13" i="19"/>
  <c r="H12" i="19"/>
  <c r="D23" i="26"/>
  <c r="E28" i="19"/>
  <c r="K35" i="19" s="1"/>
  <c r="X14" i="17"/>
  <c r="D30" i="19"/>
  <c r="E30" i="19" s="1"/>
  <c r="D29" i="19"/>
  <c r="D28" i="19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J13" i="19" l="1"/>
  <c r="J12" i="19"/>
  <c r="K8" i="19"/>
  <c r="K13" i="19" s="1"/>
  <c r="K27" i="19" s="1"/>
  <c r="E29" i="19"/>
  <c r="E32" i="19" s="1"/>
  <c r="K28" i="19" s="1"/>
  <c r="D32" i="19"/>
  <c r="B2" i="15"/>
  <c r="B2" i="14"/>
  <c r="K12" i="19" l="1"/>
  <c r="K36" i="19"/>
  <c r="K30" i="19"/>
  <c r="K20" i="19" s="1"/>
  <c r="K21" i="19" s="1"/>
  <c r="J36" i="19" s="1"/>
  <c r="B2" i="13"/>
  <c r="B2" i="11"/>
  <c r="L3" i="11"/>
  <c r="K3" i="11"/>
  <c r="J3" i="11"/>
  <c r="I3" i="11"/>
  <c r="H3" i="11"/>
  <c r="G3" i="11"/>
  <c r="F3" i="11"/>
  <c r="E3" i="11"/>
  <c r="D3" i="11"/>
  <c r="C3" i="11"/>
  <c r="L108" i="8" l="1"/>
  <c r="F39" i="15" s="1"/>
  <c r="K108" i="8"/>
  <c r="E39" i="15" s="1"/>
  <c r="J108" i="8"/>
  <c r="D39" i="15" s="1"/>
  <c r="I108" i="8"/>
  <c r="C39" i="15" s="1"/>
  <c r="H108" i="8"/>
  <c r="G108" i="8"/>
  <c r="F108" i="8"/>
  <c r="E108" i="8"/>
  <c r="D108" i="8"/>
  <c r="C108" i="8"/>
  <c r="L107" i="8"/>
  <c r="F38" i="15" s="1"/>
  <c r="K107" i="8"/>
  <c r="E38" i="15" s="1"/>
  <c r="J107" i="8"/>
  <c r="D38" i="15" s="1"/>
  <c r="I107" i="8"/>
  <c r="C38" i="15" s="1"/>
  <c r="H107" i="8"/>
  <c r="G107" i="8"/>
  <c r="F107" i="8"/>
  <c r="E107" i="8"/>
  <c r="D107" i="8"/>
  <c r="C107" i="8"/>
  <c r="L106" i="8"/>
  <c r="F37" i="15" s="1"/>
  <c r="K106" i="8"/>
  <c r="E37" i="15" s="1"/>
  <c r="J106" i="8"/>
  <c r="D37" i="15" s="1"/>
  <c r="I106" i="8"/>
  <c r="C37" i="15" s="1"/>
  <c r="H106" i="8"/>
  <c r="G106" i="8"/>
  <c r="F106" i="8"/>
  <c r="E106" i="8"/>
  <c r="D106" i="8"/>
  <c r="C106" i="8"/>
  <c r="L105" i="8"/>
  <c r="F36" i="15" s="1"/>
  <c r="K105" i="8"/>
  <c r="E36" i="15" s="1"/>
  <c r="J105" i="8"/>
  <c r="D36" i="15" s="1"/>
  <c r="I105" i="8"/>
  <c r="C36" i="15" s="1"/>
  <c r="H105" i="8"/>
  <c r="G105" i="8"/>
  <c r="F105" i="8"/>
  <c r="E105" i="8"/>
  <c r="D105" i="8"/>
  <c r="C105" i="8"/>
  <c r="L104" i="8"/>
  <c r="F35" i="15" s="1"/>
  <c r="K104" i="8"/>
  <c r="E35" i="15" s="1"/>
  <c r="J104" i="8"/>
  <c r="D35" i="15" s="1"/>
  <c r="I104" i="8"/>
  <c r="C35" i="15" s="1"/>
  <c r="H104" i="8"/>
  <c r="G104" i="8"/>
  <c r="F104" i="8"/>
  <c r="E104" i="8"/>
  <c r="D104" i="8"/>
  <c r="C104" i="8"/>
  <c r="L103" i="8"/>
  <c r="F34" i="15" s="1"/>
  <c r="K103" i="8"/>
  <c r="E34" i="15" s="1"/>
  <c r="J103" i="8"/>
  <c r="D34" i="15" s="1"/>
  <c r="I103" i="8"/>
  <c r="C34" i="15" s="1"/>
  <c r="H103" i="8"/>
  <c r="G103" i="8"/>
  <c r="F103" i="8"/>
  <c r="E103" i="8"/>
  <c r="D103" i="8"/>
  <c r="C103" i="8"/>
  <c r="L102" i="8"/>
  <c r="F33" i="15" s="1"/>
  <c r="K102" i="8"/>
  <c r="E33" i="15" s="1"/>
  <c r="J102" i="8"/>
  <c r="D33" i="15" s="1"/>
  <c r="I102" i="8"/>
  <c r="C33" i="15" s="1"/>
  <c r="H102" i="8"/>
  <c r="G102" i="8"/>
  <c r="F102" i="8"/>
  <c r="E102" i="8"/>
  <c r="D102" i="8"/>
  <c r="C102" i="8"/>
  <c r="L101" i="8"/>
  <c r="F32" i="15" s="1"/>
  <c r="K101" i="8"/>
  <c r="E32" i="15" s="1"/>
  <c r="J101" i="8"/>
  <c r="D32" i="15" s="1"/>
  <c r="I101" i="8"/>
  <c r="C32" i="15" s="1"/>
  <c r="H101" i="8"/>
  <c r="G101" i="8"/>
  <c r="F101" i="8"/>
  <c r="E101" i="8"/>
  <c r="D101" i="8"/>
  <c r="C101" i="8"/>
  <c r="L97" i="8"/>
  <c r="F28" i="15" s="1"/>
  <c r="K97" i="8"/>
  <c r="E28" i="15" s="1"/>
  <c r="J97" i="8"/>
  <c r="D28" i="15" s="1"/>
  <c r="I97" i="8"/>
  <c r="C28" i="15" s="1"/>
  <c r="H97" i="8"/>
  <c r="G97" i="8"/>
  <c r="F97" i="8"/>
  <c r="E97" i="8"/>
  <c r="D97" i="8"/>
  <c r="C97" i="8"/>
  <c r="L96" i="8"/>
  <c r="F27" i="15" s="1"/>
  <c r="K96" i="8"/>
  <c r="E27" i="15" s="1"/>
  <c r="J96" i="8"/>
  <c r="D27" i="15" s="1"/>
  <c r="I96" i="8"/>
  <c r="C27" i="15" s="1"/>
  <c r="H96" i="8"/>
  <c r="G96" i="8"/>
  <c r="F96" i="8"/>
  <c r="E96" i="8"/>
  <c r="D96" i="8"/>
  <c r="C96" i="8"/>
  <c r="L95" i="8"/>
  <c r="F26" i="15" s="1"/>
  <c r="K95" i="8"/>
  <c r="E26" i="15" s="1"/>
  <c r="J95" i="8"/>
  <c r="D26" i="15" s="1"/>
  <c r="I95" i="8"/>
  <c r="C26" i="15" s="1"/>
  <c r="H95" i="8"/>
  <c r="G95" i="8"/>
  <c r="F95" i="8"/>
  <c r="E95" i="8"/>
  <c r="D95" i="8"/>
  <c r="C95" i="8"/>
  <c r="L94" i="8"/>
  <c r="F25" i="15" s="1"/>
  <c r="K94" i="8"/>
  <c r="E25" i="15" s="1"/>
  <c r="J94" i="8"/>
  <c r="D25" i="15" s="1"/>
  <c r="I94" i="8"/>
  <c r="C25" i="15" s="1"/>
  <c r="H94" i="8"/>
  <c r="G94" i="8"/>
  <c r="F94" i="8"/>
  <c r="E94" i="8"/>
  <c r="D94" i="8"/>
  <c r="C94" i="8"/>
  <c r="L93" i="8"/>
  <c r="F24" i="15" s="1"/>
  <c r="K93" i="8"/>
  <c r="E24" i="15" s="1"/>
  <c r="J93" i="8"/>
  <c r="D24" i="15" s="1"/>
  <c r="I93" i="8"/>
  <c r="C24" i="15" s="1"/>
  <c r="H93" i="8"/>
  <c r="G93" i="8"/>
  <c r="F93" i="8"/>
  <c r="E93" i="8"/>
  <c r="D93" i="8"/>
  <c r="C93" i="8"/>
  <c r="L92" i="8"/>
  <c r="F23" i="15" s="1"/>
  <c r="K92" i="8"/>
  <c r="E23" i="15" s="1"/>
  <c r="J92" i="8"/>
  <c r="D23" i="15" s="1"/>
  <c r="I92" i="8"/>
  <c r="C23" i="15" s="1"/>
  <c r="H92" i="8"/>
  <c r="G92" i="8"/>
  <c r="F92" i="8"/>
  <c r="E92" i="8"/>
  <c r="D92" i="8"/>
  <c r="C92" i="8"/>
  <c r="L91" i="8"/>
  <c r="F22" i="15" s="1"/>
  <c r="K91" i="8"/>
  <c r="E22" i="15" s="1"/>
  <c r="J91" i="8"/>
  <c r="D22" i="15" s="1"/>
  <c r="I91" i="8"/>
  <c r="C22" i="15" s="1"/>
  <c r="H91" i="8"/>
  <c r="G91" i="8"/>
  <c r="F91" i="8"/>
  <c r="E91" i="8"/>
  <c r="D91" i="8"/>
  <c r="C91" i="8"/>
  <c r="L90" i="8"/>
  <c r="F21" i="15" s="1"/>
  <c r="K90" i="8"/>
  <c r="E21" i="15" s="1"/>
  <c r="J90" i="8"/>
  <c r="D21" i="15" s="1"/>
  <c r="I90" i="8"/>
  <c r="C21" i="15" s="1"/>
  <c r="H90" i="8"/>
  <c r="G90" i="8"/>
  <c r="F90" i="8"/>
  <c r="E90" i="8"/>
  <c r="D90" i="8"/>
  <c r="C90" i="8"/>
  <c r="L89" i="8"/>
  <c r="F20" i="15" s="1"/>
  <c r="K89" i="8"/>
  <c r="E20" i="15" s="1"/>
  <c r="J89" i="8"/>
  <c r="D20" i="15" s="1"/>
  <c r="I89" i="8"/>
  <c r="C20" i="15" s="1"/>
  <c r="H89" i="8"/>
  <c r="G89" i="8"/>
  <c r="F89" i="8"/>
  <c r="E89" i="8"/>
  <c r="D89" i="8"/>
  <c r="C89" i="8"/>
  <c r="L88" i="8"/>
  <c r="F19" i="15" s="1"/>
  <c r="K88" i="8"/>
  <c r="E19" i="15" s="1"/>
  <c r="J88" i="8"/>
  <c r="D19" i="15" s="1"/>
  <c r="I88" i="8"/>
  <c r="C19" i="15" s="1"/>
  <c r="H88" i="8"/>
  <c r="G88" i="8"/>
  <c r="F88" i="8"/>
  <c r="E88" i="8"/>
  <c r="D88" i="8"/>
  <c r="C88" i="8"/>
  <c r="L87" i="8"/>
  <c r="F18" i="15" s="1"/>
  <c r="K87" i="8"/>
  <c r="E18" i="15" s="1"/>
  <c r="J87" i="8"/>
  <c r="D18" i="15" s="1"/>
  <c r="I87" i="8"/>
  <c r="C18" i="15" s="1"/>
  <c r="H87" i="8"/>
  <c r="G87" i="8"/>
  <c r="F87" i="8"/>
  <c r="E87" i="8"/>
  <c r="D87" i="8"/>
  <c r="C87" i="8"/>
  <c r="L86" i="8"/>
  <c r="F17" i="15" s="1"/>
  <c r="K86" i="8"/>
  <c r="E17" i="15" s="1"/>
  <c r="J86" i="8"/>
  <c r="D17" i="15" s="1"/>
  <c r="I86" i="8"/>
  <c r="C17" i="15" s="1"/>
  <c r="H86" i="8"/>
  <c r="G86" i="8"/>
  <c r="F86" i="8"/>
  <c r="E86" i="8"/>
  <c r="D86" i="8"/>
  <c r="C86" i="8"/>
  <c r="L82" i="8"/>
  <c r="F13" i="15" s="1"/>
  <c r="K82" i="8"/>
  <c r="E13" i="15" s="1"/>
  <c r="J82" i="8"/>
  <c r="D13" i="15" s="1"/>
  <c r="I82" i="8"/>
  <c r="C13" i="15" s="1"/>
  <c r="H82" i="8"/>
  <c r="G82" i="8"/>
  <c r="F82" i="8"/>
  <c r="E82" i="8"/>
  <c r="D82" i="8"/>
  <c r="C82" i="8"/>
  <c r="L81" i="8"/>
  <c r="F12" i="15" s="1"/>
  <c r="K81" i="8"/>
  <c r="E12" i="15" s="1"/>
  <c r="J81" i="8"/>
  <c r="D12" i="15" s="1"/>
  <c r="I81" i="8"/>
  <c r="C12" i="15" s="1"/>
  <c r="H81" i="8"/>
  <c r="G81" i="8"/>
  <c r="F81" i="8"/>
  <c r="E81" i="8"/>
  <c r="D81" i="8"/>
  <c r="C81" i="8"/>
  <c r="L80" i="8"/>
  <c r="F11" i="15" s="1"/>
  <c r="K80" i="8"/>
  <c r="E11" i="15" s="1"/>
  <c r="J80" i="8"/>
  <c r="D11" i="15" s="1"/>
  <c r="I80" i="8"/>
  <c r="C11" i="15" s="1"/>
  <c r="H80" i="8"/>
  <c r="G80" i="8"/>
  <c r="F80" i="8"/>
  <c r="E80" i="8"/>
  <c r="D80" i="8"/>
  <c r="C80" i="8"/>
  <c r="L79" i="8"/>
  <c r="F10" i="15" s="1"/>
  <c r="K79" i="8"/>
  <c r="E10" i="15" s="1"/>
  <c r="J79" i="8"/>
  <c r="D10" i="15" s="1"/>
  <c r="I79" i="8"/>
  <c r="C10" i="15" s="1"/>
  <c r="H79" i="8"/>
  <c r="G79" i="8"/>
  <c r="F79" i="8"/>
  <c r="E79" i="8"/>
  <c r="D79" i="8"/>
  <c r="C79" i="8"/>
  <c r="L78" i="8"/>
  <c r="F9" i="15" s="1"/>
  <c r="K78" i="8"/>
  <c r="E9" i="15" s="1"/>
  <c r="J78" i="8"/>
  <c r="D9" i="15" s="1"/>
  <c r="I78" i="8"/>
  <c r="C9" i="15" s="1"/>
  <c r="H78" i="8"/>
  <c r="G78" i="8"/>
  <c r="F78" i="8"/>
  <c r="E78" i="8"/>
  <c r="D78" i="8"/>
  <c r="C78" i="8"/>
  <c r="L77" i="8"/>
  <c r="F8" i="15" s="1"/>
  <c r="K77" i="8"/>
  <c r="E8" i="15" s="1"/>
  <c r="J77" i="8"/>
  <c r="D8" i="15" s="1"/>
  <c r="I77" i="8"/>
  <c r="C8" i="15" s="1"/>
  <c r="H77" i="8"/>
  <c r="G77" i="8"/>
  <c r="F77" i="8"/>
  <c r="E77" i="8"/>
  <c r="D77" i="8"/>
  <c r="C77" i="8"/>
  <c r="L76" i="8"/>
  <c r="F7" i="15" s="1"/>
  <c r="K76" i="8"/>
  <c r="E7" i="15" s="1"/>
  <c r="J76" i="8"/>
  <c r="D7" i="15" s="1"/>
  <c r="I76" i="8"/>
  <c r="C7" i="15" s="1"/>
  <c r="H76" i="8"/>
  <c r="G76" i="8"/>
  <c r="F76" i="8"/>
  <c r="E76" i="8"/>
  <c r="D76" i="8"/>
  <c r="C76" i="8"/>
  <c r="L62" i="8"/>
  <c r="F15" i="14" s="1"/>
  <c r="K62" i="8"/>
  <c r="E15" i="14" s="1"/>
  <c r="J62" i="8"/>
  <c r="D15" i="14" s="1"/>
  <c r="I62" i="8"/>
  <c r="C15" i="14" s="1"/>
  <c r="H62" i="8"/>
  <c r="G62" i="8"/>
  <c r="F62" i="8"/>
  <c r="E62" i="8"/>
  <c r="D62" i="8"/>
  <c r="C62" i="8"/>
  <c r="L67" i="8"/>
  <c r="F20" i="14" s="1"/>
  <c r="K67" i="8"/>
  <c r="E20" i="14" s="1"/>
  <c r="J67" i="8"/>
  <c r="D20" i="14" s="1"/>
  <c r="I67" i="8"/>
  <c r="C20" i="14" s="1"/>
  <c r="H67" i="8"/>
  <c r="G67" i="8"/>
  <c r="F67" i="8"/>
  <c r="E67" i="8"/>
  <c r="D67" i="8"/>
  <c r="C67" i="8"/>
  <c r="L66" i="8"/>
  <c r="F19" i="14" s="1"/>
  <c r="K66" i="8"/>
  <c r="E19" i="14" s="1"/>
  <c r="J66" i="8"/>
  <c r="D19" i="14" s="1"/>
  <c r="I66" i="8"/>
  <c r="C19" i="14" s="1"/>
  <c r="H66" i="8"/>
  <c r="G66" i="8"/>
  <c r="F66" i="8"/>
  <c r="E66" i="8"/>
  <c r="D66" i="8"/>
  <c r="C66" i="8"/>
  <c r="L65" i="8"/>
  <c r="F18" i="14" s="1"/>
  <c r="K65" i="8"/>
  <c r="E18" i="14" s="1"/>
  <c r="J65" i="8"/>
  <c r="D18" i="14" s="1"/>
  <c r="I65" i="8"/>
  <c r="C18" i="14" s="1"/>
  <c r="H65" i="8"/>
  <c r="G65" i="8"/>
  <c r="F65" i="8"/>
  <c r="F68" i="8" s="1"/>
  <c r="E65" i="8"/>
  <c r="D65" i="8"/>
  <c r="C65" i="8"/>
  <c r="L61" i="8"/>
  <c r="F14" i="14" s="1"/>
  <c r="K61" i="8"/>
  <c r="E14" i="14" s="1"/>
  <c r="J61" i="8"/>
  <c r="D14" i="14" s="1"/>
  <c r="I61" i="8"/>
  <c r="C14" i="14" s="1"/>
  <c r="H61" i="8"/>
  <c r="G61" i="8"/>
  <c r="F61" i="8"/>
  <c r="E61" i="8"/>
  <c r="D61" i="8"/>
  <c r="C61" i="8"/>
  <c r="L60" i="8"/>
  <c r="F13" i="14" s="1"/>
  <c r="K60" i="8"/>
  <c r="E13" i="14" s="1"/>
  <c r="J60" i="8"/>
  <c r="D13" i="14" s="1"/>
  <c r="I60" i="8"/>
  <c r="C13" i="14" s="1"/>
  <c r="H60" i="8"/>
  <c r="G60" i="8"/>
  <c r="F60" i="8"/>
  <c r="E60" i="8"/>
  <c r="D60" i="8"/>
  <c r="C60" i="8"/>
  <c r="L59" i="8"/>
  <c r="F12" i="14" s="1"/>
  <c r="F16" i="14" s="1"/>
  <c r="K59" i="8"/>
  <c r="E12" i="14" s="1"/>
  <c r="J59" i="8"/>
  <c r="D12" i="14" s="1"/>
  <c r="I59" i="8"/>
  <c r="C12" i="14" s="1"/>
  <c r="H59" i="8"/>
  <c r="H63" i="8" s="1"/>
  <c r="G59" i="8"/>
  <c r="F59" i="8"/>
  <c r="E59" i="8"/>
  <c r="D59" i="8"/>
  <c r="D63" i="8" s="1"/>
  <c r="C59" i="8"/>
  <c r="L57" i="8"/>
  <c r="K57" i="8"/>
  <c r="J57" i="8"/>
  <c r="I57" i="8"/>
  <c r="H57" i="8"/>
  <c r="G57" i="8"/>
  <c r="F57" i="8"/>
  <c r="E57" i="8"/>
  <c r="D57" i="8"/>
  <c r="C57" i="8"/>
  <c r="L56" i="8"/>
  <c r="F9" i="14" s="1"/>
  <c r="K56" i="8"/>
  <c r="E9" i="14" s="1"/>
  <c r="J56" i="8"/>
  <c r="D9" i="14" s="1"/>
  <c r="I56" i="8"/>
  <c r="C9" i="14" s="1"/>
  <c r="H56" i="8"/>
  <c r="G56" i="8"/>
  <c r="F56" i="8"/>
  <c r="E56" i="8"/>
  <c r="D56" i="8"/>
  <c r="C56" i="8"/>
  <c r="L55" i="8"/>
  <c r="F8" i="14" s="1"/>
  <c r="K55" i="8"/>
  <c r="E8" i="14" s="1"/>
  <c r="J55" i="8"/>
  <c r="D8" i="14" s="1"/>
  <c r="I55" i="8"/>
  <c r="C8" i="14" s="1"/>
  <c r="H55" i="8"/>
  <c r="G55" i="8"/>
  <c r="F55" i="8"/>
  <c r="E55" i="8"/>
  <c r="D55" i="8"/>
  <c r="C55" i="8"/>
  <c r="L54" i="8"/>
  <c r="F7" i="14" s="1"/>
  <c r="K54" i="8"/>
  <c r="E7" i="14" s="1"/>
  <c r="J54" i="8"/>
  <c r="D7" i="14" s="1"/>
  <c r="I54" i="8"/>
  <c r="C7" i="14" s="1"/>
  <c r="H54" i="8"/>
  <c r="G54" i="8"/>
  <c r="F54" i="8"/>
  <c r="E54" i="8"/>
  <c r="D54" i="8"/>
  <c r="C54" i="8"/>
  <c r="L53" i="8"/>
  <c r="F6" i="14" s="1"/>
  <c r="K53" i="8"/>
  <c r="E6" i="14" s="1"/>
  <c r="J53" i="8"/>
  <c r="D6" i="14" s="1"/>
  <c r="D10" i="14" s="1"/>
  <c r="I53" i="8"/>
  <c r="C6" i="14" s="1"/>
  <c r="H53" i="8"/>
  <c r="G53" i="8"/>
  <c r="F53" i="8"/>
  <c r="E53" i="8"/>
  <c r="D53" i="8"/>
  <c r="C53" i="8"/>
  <c r="D42" i="8"/>
  <c r="D47" i="8" s="1"/>
  <c r="E42" i="8"/>
  <c r="E47" i="8" s="1"/>
  <c r="F42" i="8"/>
  <c r="F47" i="8" s="1"/>
  <c r="G42" i="8"/>
  <c r="G47" i="8" s="1"/>
  <c r="H42" i="8"/>
  <c r="H47" i="8" s="1"/>
  <c r="I42" i="8"/>
  <c r="J42" i="8"/>
  <c r="K42" i="8"/>
  <c r="L42" i="8"/>
  <c r="C42" i="8"/>
  <c r="C47" i="8" s="1"/>
  <c r="M36" i="8"/>
  <c r="L36" i="8"/>
  <c r="F36" i="13" s="1"/>
  <c r="K36" i="8"/>
  <c r="E36" i="13" s="1"/>
  <c r="J36" i="8"/>
  <c r="D36" i="13" s="1"/>
  <c r="I36" i="8"/>
  <c r="C36" i="13" s="1"/>
  <c r="H36" i="8"/>
  <c r="G36" i="8"/>
  <c r="F36" i="8"/>
  <c r="E36" i="8"/>
  <c r="D36" i="8"/>
  <c r="C36" i="8"/>
  <c r="M21" i="8"/>
  <c r="L21" i="8"/>
  <c r="F21" i="13" s="1"/>
  <c r="K21" i="8"/>
  <c r="E21" i="13" s="1"/>
  <c r="J21" i="8"/>
  <c r="D21" i="13" s="1"/>
  <c r="I21" i="8"/>
  <c r="C21" i="13" s="1"/>
  <c r="H21" i="8"/>
  <c r="G21" i="8"/>
  <c r="F21" i="8"/>
  <c r="E21" i="8"/>
  <c r="D21" i="8"/>
  <c r="C21" i="8"/>
  <c r="F27" i="13"/>
  <c r="E27" i="13"/>
  <c r="D27" i="13"/>
  <c r="C27" i="13"/>
  <c r="L15" i="8"/>
  <c r="F15" i="13" s="1"/>
  <c r="K15" i="8"/>
  <c r="E15" i="13" s="1"/>
  <c r="J15" i="8"/>
  <c r="D15" i="13" s="1"/>
  <c r="I15" i="8"/>
  <c r="C15" i="13" s="1"/>
  <c r="H15" i="8"/>
  <c r="G15" i="8"/>
  <c r="F15" i="8"/>
  <c r="E15" i="8"/>
  <c r="D15" i="8"/>
  <c r="C15" i="8"/>
  <c r="M9" i="8"/>
  <c r="L9" i="8"/>
  <c r="F9" i="13" s="1"/>
  <c r="K9" i="8"/>
  <c r="E9" i="13" s="1"/>
  <c r="J9" i="8"/>
  <c r="D9" i="13" s="1"/>
  <c r="I9" i="8"/>
  <c r="C9" i="13" s="1"/>
  <c r="H9" i="8"/>
  <c r="G9" i="8"/>
  <c r="F9" i="8"/>
  <c r="E9" i="8"/>
  <c r="D9" i="8"/>
  <c r="M6" i="8"/>
  <c r="M28" i="8" s="1"/>
  <c r="D6" i="8"/>
  <c r="E6" i="8"/>
  <c r="F6" i="8"/>
  <c r="G6" i="8"/>
  <c r="H6" i="8"/>
  <c r="I6" i="8"/>
  <c r="J6" i="8"/>
  <c r="K6" i="8"/>
  <c r="L6" i="8"/>
  <c r="C6" i="8"/>
  <c r="D3" i="8"/>
  <c r="E3" i="8"/>
  <c r="F3" i="8"/>
  <c r="G3" i="8"/>
  <c r="H3" i="8"/>
  <c r="I3" i="8"/>
  <c r="J3" i="8"/>
  <c r="K3" i="8"/>
  <c r="L3" i="8"/>
  <c r="C3" i="8"/>
  <c r="D21" i="14" l="1"/>
  <c r="K31" i="8"/>
  <c r="K28" i="8"/>
  <c r="J31" i="8"/>
  <c r="J28" i="8"/>
  <c r="F31" i="8"/>
  <c r="F28" i="8"/>
  <c r="L31" i="8"/>
  <c r="L28" i="8"/>
  <c r="H31" i="8"/>
  <c r="H28" i="8"/>
  <c r="D31" i="8"/>
  <c r="D28" i="8"/>
  <c r="G31" i="8"/>
  <c r="G28" i="8"/>
  <c r="C31" i="8"/>
  <c r="C28" i="8"/>
  <c r="I31" i="8"/>
  <c r="I28" i="8"/>
  <c r="E31" i="8"/>
  <c r="E28" i="8"/>
  <c r="F109" i="8"/>
  <c r="G9" i="11"/>
  <c r="M16" i="8"/>
  <c r="M31" i="8"/>
  <c r="E10" i="14"/>
  <c r="E63" i="8"/>
  <c r="C68" i="8"/>
  <c r="G68" i="8"/>
  <c r="E21" i="14"/>
  <c r="F9" i="11"/>
  <c r="F63" i="8"/>
  <c r="D40" i="15"/>
  <c r="E109" i="8"/>
  <c r="E98" i="8"/>
  <c r="F98" i="8"/>
  <c r="D29" i="15"/>
  <c r="C83" i="8"/>
  <c r="C39" i="11" s="1"/>
  <c r="G83" i="8"/>
  <c r="G41" i="11" s="1"/>
  <c r="I15" i="13"/>
  <c r="I36" i="13"/>
  <c r="G21" i="13"/>
  <c r="C63" i="8"/>
  <c r="G63" i="8"/>
  <c r="I27" i="13"/>
  <c r="F83" i="8"/>
  <c r="F39" i="11" s="1"/>
  <c r="D14" i="15"/>
  <c r="D98" i="8"/>
  <c r="H98" i="8"/>
  <c r="D109" i="8"/>
  <c r="H109" i="8"/>
  <c r="F40" i="15"/>
  <c r="C98" i="8"/>
  <c r="G98" i="8"/>
  <c r="E29" i="15"/>
  <c r="C109" i="8"/>
  <c r="G109" i="8"/>
  <c r="D9" i="11"/>
  <c r="F70" i="8"/>
  <c r="F72" i="8" s="1"/>
  <c r="D68" i="8"/>
  <c r="E68" i="8"/>
  <c r="H68" i="8"/>
  <c r="H70" i="8" s="1"/>
  <c r="H72" i="8" s="1"/>
  <c r="D83" i="8"/>
  <c r="D41" i="11" s="1"/>
  <c r="E83" i="8"/>
  <c r="E41" i="11" s="1"/>
  <c r="H83" i="8"/>
  <c r="H41" i="11" s="1"/>
  <c r="E14" i="15"/>
  <c r="G9" i="15"/>
  <c r="D70" i="8"/>
  <c r="D72" i="8" s="1"/>
  <c r="F4" i="15"/>
  <c r="G4" i="15" s="1"/>
  <c r="H4" i="15" s="1"/>
  <c r="I4" i="15" s="1"/>
  <c r="J4" i="15" s="1"/>
  <c r="K4" i="15" s="1"/>
  <c r="F4" i="14"/>
  <c r="G4" i="14" s="1"/>
  <c r="H4" i="14" s="1"/>
  <c r="I4" i="14" s="1"/>
  <c r="J4" i="14" s="1"/>
  <c r="K4" i="14" s="1"/>
  <c r="F4" i="13"/>
  <c r="G4" i="13" s="1"/>
  <c r="H4" i="13" s="1"/>
  <c r="I4" i="13" s="1"/>
  <c r="J4" i="13" s="1"/>
  <c r="K4" i="13" s="1"/>
  <c r="K47" i="8"/>
  <c r="E42" i="13"/>
  <c r="J7" i="14"/>
  <c r="I7" i="14"/>
  <c r="H7" i="14"/>
  <c r="G7" i="14"/>
  <c r="K7" i="14"/>
  <c r="I63" i="8"/>
  <c r="G8" i="15"/>
  <c r="J8" i="15"/>
  <c r="I8" i="15"/>
  <c r="H8" i="15"/>
  <c r="K8" i="15"/>
  <c r="G10" i="15"/>
  <c r="J10" i="15"/>
  <c r="I10" i="15"/>
  <c r="H10" i="15"/>
  <c r="K10" i="15"/>
  <c r="G12" i="15"/>
  <c r="J12" i="15"/>
  <c r="I12" i="15"/>
  <c r="H12" i="15"/>
  <c r="K12" i="15"/>
  <c r="J22" i="15"/>
  <c r="I22" i="15"/>
  <c r="H22" i="15"/>
  <c r="K22" i="15"/>
  <c r="G22" i="15"/>
  <c r="J26" i="15"/>
  <c r="I26" i="15"/>
  <c r="K26" i="15"/>
  <c r="H26" i="15"/>
  <c r="G26" i="15"/>
  <c r="K98" i="8"/>
  <c r="H34" i="15"/>
  <c r="K34" i="15"/>
  <c r="J34" i="15"/>
  <c r="G34" i="15"/>
  <c r="I34" i="15"/>
  <c r="H38" i="15"/>
  <c r="K38" i="15"/>
  <c r="I38" i="15"/>
  <c r="G38" i="15"/>
  <c r="J38" i="15"/>
  <c r="I109" i="8"/>
  <c r="K15" i="13"/>
  <c r="J9" i="13"/>
  <c r="G27" i="13"/>
  <c r="I21" i="13"/>
  <c r="K27" i="13"/>
  <c r="J27" i="13"/>
  <c r="K36" i="13"/>
  <c r="E4" i="14"/>
  <c r="E4" i="15"/>
  <c r="E4" i="13"/>
  <c r="C28" i="11"/>
  <c r="C31" i="11"/>
  <c r="C27" i="11"/>
  <c r="C30" i="11"/>
  <c r="C29" i="11"/>
  <c r="I10" i="8"/>
  <c r="C6" i="13"/>
  <c r="I30" i="11"/>
  <c r="I29" i="11"/>
  <c r="I36" i="11" s="1"/>
  <c r="I28" i="11"/>
  <c r="I35" i="11" s="1"/>
  <c r="I31" i="11"/>
  <c r="I27" i="11"/>
  <c r="I34" i="11" s="1"/>
  <c r="E10" i="8"/>
  <c r="E30" i="11"/>
  <c r="E29" i="11"/>
  <c r="E36" i="11" s="1"/>
  <c r="E28" i="11"/>
  <c r="E35" i="11" s="1"/>
  <c r="E27" i="11"/>
  <c r="E34" i="11" s="1"/>
  <c r="E31" i="11"/>
  <c r="D10" i="8"/>
  <c r="J47" i="8"/>
  <c r="D42" i="13"/>
  <c r="F10" i="14"/>
  <c r="D16" i="14"/>
  <c r="D23" i="14" s="1"/>
  <c r="F21" i="14"/>
  <c r="F23" i="14" s="1"/>
  <c r="J68" i="8"/>
  <c r="J63" i="8"/>
  <c r="F14" i="15"/>
  <c r="J83" i="8"/>
  <c r="F29" i="15"/>
  <c r="L98" i="8"/>
  <c r="J109" i="8"/>
  <c r="I9" i="13"/>
  <c r="G36" i="13"/>
  <c r="J16" i="8"/>
  <c r="J17" i="11" s="1"/>
  <c r="J29" i="11"/>
  <c r="J36" i="11" s="1"/>
  <c r="J28" i="11"/>
  <c r="J35" i="11" s="1"/>
  <c r="D6" i="13"/>
  <c r="D31" i="13" s="1"/>
  <c r="J31" i="11"/>
  <c r="J27" i="11"/>
  <c r="J34" i="11" s="1"/>
  <c r="J30" i="11"/>
  <c r="J9" i="14"/>
  <c r="H9" i="14"/>
  <c r="K9" i="14"/>
  <c r="G9" i="14"/>
  <c r="I9" i="14"/>
  <c r="J14" i="14"/>
  <c r="G14" i="14"/>
  <c r="I14" i="14"/>
  <c r="H14" i="14"/>
  <c r="K14" i="14"/>
  <c r="H31" i="11"/>
  <c r="H27" i="11"/>
  <c r="H34" i="11" s="1"/>
  <c r="H30" i="11"/>
  <c r="H29" i="11"/>
  <c r="H36" i="11" s="1"/>
  <c r="H28" i="11"/>
  <c r="H35" i="11" s="1"/>
  <c r="D31" i="11"/>
  <c r="D27" i="11"/>
  <c r="D34" i="11" s="1"/>
  <c r="D30" i="11"/>
  <c r="D29" i="11"/>
  <c r="D36" i="11" s="1"/>
  <c r="D28" i="11"/>
  <c r="D35" i="11" s="1"/>
  <c r="I47" i="8"/>
  <c r="C42" i="13"/>
  <c r="E9" i="11"/>
  <c r="G6" i="14"/>
  <c r="J6" i="14"/>
  <c r="C10" i="14"/>
  <c r="H6" i="14"/>
  <c r="I6" i="14"/>
  <c r="K6" i="14"/>
  <c r="I8" i="14"/>
  <c r="K8" i="14"/>
  <c r="G8" i="14"/>
  <c r="J8" i="14"/>
  <c r="H8" i="14"/>
  <c r="E16" i="14"/>
  <c r="K13" i="14"/>
  <c r="J13" i="14"/>
  <c r="G13" i="14"/>
  <c r="I13" i="14"/>
  <c r="H13" i="14"/>
  <c r="K18" i="14"/>
  <c r="H18" i="14"/>
  <c r="G18" i="14"/>
  <c r="J18" i="14"/>
  <c r="C21" i="14"/>
  <c r="I18" i="14"/>
  <c r="K20" i="14"/>
  <c r="J20" i="14"/>
  <c r="G20" i="14"/>
  <c r="H20" i="14"/>
  <c r="I20" i="14"/>
  <c r="K68" i="8"/>
  <c r="J15" i="14"/>
  <c r="G15" i="14"/>
  <c r="I15" i="14"/>
  <c r="K15" i="14"/>
  <c r="H15" i="14"/>
  <c r="K63" i="8"/>
  <c r="G7" i="15"/>
  <c r="H7" i="15"/>
  <c r="K7" i="15"/>
  <c r="J7" i="15"/>
  <c r="I7" i="15"/>
  <c r="C14" i="15"/>
  <c r="H9" i="15"/>
  <c r="K9" i="15"/>
  <c r="J9" i="15"/>
  <c r="I9" i="15"/>
  <c r="G11" i="15"/>
  <c r="H11" i="15"/>
  <c r="K11" i="15"/>
  <c r="J11" i="15"/>
  <c r="I11" i="15"/>
  <c r="G13" i="15"/>
  <c r="J13" i="15"/>
  <c r="I13" i="15"/>
  <c r="H13" i="15"/>
  <c r="K13" i="15"/>
  <c r="K83" i="8"/>
  <c r="G17" i="15"/>
  <c r="H17" i="15"/>
  <c r="K17" i="15"/>
  <c r="J17" i="15"/>
  <c r="I17" i="15"/>
  <c r="C29" i="15"/>
  <c r="H19" i="15"/>
  <c r="K19" i="15"/>
  <c r="J19" i="15"/>
  <c r="G19" i="15"/>
  <c r="I19" i="15"/>
  <c r="H21" i="15"/>
  <c r="G21" i="15"/>
  <c r="K21" i="15"/>
  <c r="J21" i="15"/>
  <c r="I21" i="15"/>
  <c r="H23" i="15"/>
  <c r="K23" i="15"/>
  <c r="G23" i="15"/>
  <c r="J23" i="15"/>
  <c r="I23" i="15"/>
  <c r="H25" i="15"/>
  <c r="G25" i="15"/>
  <c r="K25" i="15"/>
  <c r="J25" i="15"/>
  <c r="I25" i="15"/>
  <c r="H27" i="15"/>
  <c r="K27" i="15"/>
  <c r="J27" i="15"/>
  <c r="G27" i="15"/>
  <c r="I27" i="15"/>
  <c r="I98" i="8"/>
  <c r="E40" i="15"/>
  <c r="J33" i="15"/>
  <c r="G33" i="15"/>
  <c r="I33" i="15"/>
  <c r="K33" i="15"/>
  <c r="H33" i="15"/>
  <c r="J35" i="15"/>
  <c r="I35" i="15"/>
  <c r="H35" i="15"/>
  <c r="G35" i="15"/>
  <c r="K35" i="15"/>
  <c r="J37" i="15"/>
  <c r="G37" i="15"/>
  <c r="I37" i="15"/>
  <c r="H37" i="15"/>
  <c r="K37" i="15"/>
  <c r="J39" i="15"/>
  <c r="I39" i="15"/>
  <c r="H39" i="15"/>
  <c r="G39" i="15"/>
  <c r="K39" i="15"/>
  <c r="K109" i="8"/>
  <c r="G15" i="13"/>
  <c r="G9" i="13"/>
  <c r="J21" i="13"/>
  <c r="K9" i="13"/>
  <c r="K21" i="13"/>
  <c r="H27" i="13"/>
  <c r="J15" i="13"/>
  <c r="J36" i="13"/>
  <c r="F16" i="8"/>
  <c r="F17" i="11" s="1"/>
  <c r="F29" i="11"/>
  <c r="F36" i="11" s="1"/>
  <c r="F28" i="11"/>
  <c r="F35" i="11" s="1"/>
  <c r="F31" i="11"/>
  <c r="F27" i="11"/>
  <c r="F34" i="11" s="1"/>
  <c r="F30" i="11"/>
  <c r="C16" i="14"/>
  <c r="G12" i="14"/>
  <c r="K12" i="14"/>
  <c r="J12" i="14"/>
  <c r="I12" i="14"/>
  <c r="H12" i="14"/>
  <c r="K19" i="14"/>
  <c r="G19" i="14"/>
  <c r="J19" i="14"/>
  <c r="I19" i="14"/>
  <c r="H19" i="14"/>
  <c r="I68" i="8"/>
  <c r="I83" i="8"/>
  <c r="J18" i="15"/>
  <c r="I18" i="15"/>
  <c r="G18" i="15"/>
  <c r="K18" i="15"/>
  <c r="H18" i="15"/>
  <c r="J20" i="15"/>
  <c r="I20" i="15"/>
  <c r="G20" i="15"/>
  <c r="H20" i="15"/>
  <c r="K20" i="15"/>
  <c r="J24" i="15"/>
  <c r="I24" i="15"/>
  <c r="G24" i="15"/>
  <c r="H24" i="15"/>
  <c r="K24" i="15"/>
  <c r="J28" i="15"/>
  <c r="I28" i="15"/>
  <c r="G28" i="15"/>
  <c r="H28" i="15"/>
  <c r="K28" i="15"/>
  <c r="C40" i="15"/>
  <c r="H32" i="15"/>
  <c r="K32" i="15"/>
  <c r="G32" i="15"/>
  <c r="J32" i="15"/>
  <c r="I32" i="15"/>
  <c r="H36" i="15"/>
  <c r="K36" i="15"/>
  <c r="G36" i="15"/>
  <c r="J36" i="15"/>
  <c r="I36" i="15"/>
  <c r="D4" i="15"/>
  <c r="D4" i="14"/>
  <c r="D4" i="13"/>
  <c r="F6" i="13"/>
  <c r="L31" i="11"/>
  <c r="L27" i="11"/>
  <c r="L34" i="11" s="1"/>
  <c r="L30" i="11"/>
  <c r="L29" i="11"/>
  <c r="L36" i="11" s="1"/>
  <c r="L28" i="11"/>
  <c r="L35" i="11" s="1"/>
  <c r="C4" i="15"/>
  <c r="C4" i="14"/>
  <c r="C4" i="13"/>
  <c r="K28" i="11"/>
  <c r="K35" i="11" s="1"/>
  <c r="E6" i="13"/>
  <c r="K31" i="11"/>
  <c r="K27" i="11"/>
  <c r="K34" i="11" s="1"/>
  <c r="K30" i="11"/>
  <c r="K29" i="11"/>
  <c r="K36" i="11" s="1"/>
  <c r="G28" i="11"/>
  <c r="G35" i="11" s="1"/>
  <c r="G31" i="11"/>
  <c r="G27" i="11"/>
  <c r="G34" i="11" s="1"/>
  <c r="G30" i="11"/>
  <c r="G29" i="11"/>
  <c r="G36" i="11" s="1"/>
  <c r="L47" i="8"/>
  <c r="F42" i="13"/>
  <c r="H9" i="11"/>
  <c r="L68" i="8"/>
  <c r="L63" i="8"/>
  <c r="L83" i="8"/>
  <c r="J98" i="8"/>
  <c r="L109" i="8"/>
  <c r="H15" i="13"/>
  <c r="H9" i="13"/>
  <c r="H21" i="13"/>
  <c r="H36" i="13"/>
  <c r="K12" i="8"/>
  <c r="K18" i="8" s="1"/>
  <c r="K24" i="8" s="1"/>
  <c r="G12" i="8"/>
  <c r="G18" i="8" s="1"/>
  <c r="G24" i="8" s="1"/>
  <c r="F10" i="8"/>
  <c r="C12" i="8"/>
  <c r="C18" i="8" s="1"/>
  <c r="C24" i="8" s="1"/>
  <c r="E22" i="8"/>
  <c r="E18" i="11" s="1"/>
  <c r="I22" i="8"/>
  <c r="I18" i="11" s="1"/>
  <c r="J10" i="8"/>
  <c r="C10" i="8"/>
  <c r="G10" i="8"/>
  <c r="K10" i="8"/>
  <c r="J22" i="8"/>
  <c r="J18" i="11" s="1"/>
  <c r="M42" i="8"/>
  <c r="M47" i="8" s="1"/>
  <c r="H10" i="8"/>
  <c r="L10" i="8"/>
  <c r="C22" i="8"/>
  <c r="C18" i="11" s="1"/>
  <c r="G22" i="8"/>
  <c r="G18" i="11" s="1"/>
  <c r="K22" i="8"/>
  <c r="K18" i="11" s="1"/>
  <c r="F7" i="8"/>
  <c r="F5" i="11" s="1"/>
  <c r="D16" i="8"/>
  <c r="D17" i="11" s="1"/>
  <c r="H16" i="8"/>
  <c r="H17" i="11" s="1"/>
  <c r="L16" i="8"/>
  <c r="L17" i="11" s="1"/>
  <c r="D22" i="8"/>
  <c r="D18" i="11" s="1"/>
  <c r="H22" i="8"/>
  <c r="H18" i="11" s="1"/>
  <c r="L22" i="8"/>
  <c r="L18" i="11" s="1"/>
  <c r="G13" i="8"/>
  <c r="G11" i="11" s="1"/>
  <c r="J7" i="8"/>
  <c r="E16" i="8"/>
  <c r="E17" i="11" s="1"/>
  <c r="I16" i="8"/>
  <c r="I17" i="11" s="1"/>
  <c r="C16" i="8"/>
  <c r="C17" i="11" s="1"/>
  <c r="H12" i="8"/>
  <c r="K16" i="8"/>
  <c r="K17" i="11" s="1"/>
  <c r="M22" i="8"/>
  <c r="D7" i="8"/>
  <c r="D5" i="11" s="1"/>
  <c r="H7" i="8"/>
  <c r="H5" i="11" s="1"/>
  <c r="L7" i="8"/>
  <c r="E12" i="8"/>
  <c r="I12" i="8"/>
  <c r="M12" i="8"/>
  <c r="F22" i="8"/>
  <c r="F18" i="11" s="1"/>
  <c r="G7" i="8"/>
  <c r="G5" i="11" s="1"/>
  <c r="K7" i="8"/>
  <c r="D12" i="8"/>
  <c r="L12" i="8"/>
  <c r="G16" i="8"/>
  <c r="G17" i="11" s="1"/>
  <c r="E7" i="8"/>
  <c r="E5" i="11" s="1"/>
  <c r="I7" i="8"/>
  <c r="M7" i="8"/>
  <c r="F12" i="8"/>
  <c r="J12" i="8"/>
  <c r="M10" i="8"/>
  <c r="B6" i="6"/>
  <c r="D38" i="26" s="1"/>
  <c r="E1" i="6"/>
  <c r="K21" i="14" l="1"/>
  <c r="C25" i="8"/>
  <c r="C33" i="8"/>
  <c r="E12" i="13"/>
  <c r="E31" i="13"/>
  <c r="K25" i="8"/>
  <c r="K33" i="8"/>
  <c r="C28" i="13"/>
  <c r="C31" i="13"/>
  <c r="G25" i="8"/>
  <c r="G33" i="8"/>
  <c r="F16" i="13"/>
  <c r="F31" i="13"/>
  <c r="G70" i="8"/>
  <c r="G72" i="8" s="1"/>
  <c r="K16" i="14"/>
  <c r="E23" i="14"/>
  <c r="J16" i="14"/>
  <c r="F111" i="8"/>
  <c r="C41" i="11"/>
  <c r="C70" i="8"/>
  <c r="C72" i="8" s="1"/>
  <c r="F40" i="11"/>
  <c r="E70" i="8"/>
  <c r="E72" i="8" s="1"/>
  <c r="G39" i="11"/>
  <c r="I16" i="14"/>
  <c r="H37" i="11"/>
  <c r="H39" i="11"/>
  <c r="H16" i="14"/>
  <c r="G10" i="14"/>
  <c r="C16" i="13"/>
  <c r="G111" i="8"/>
  <c r="F41" i="11"/>
  <c r="D42" i="15"/>
  <c r="E111" i="8"/>
  <c r="K34" i="8"/>
  <c r="K14" i="11" s="1"/>
  <c r="J37" i="25"/>
  <c r="I70" i="8"/>
  <c r="I72" i="8" s="1"/>
  <c r="H40" i="11"/>
  <c r="E42" i="15"/>
  <c r="H111" i="8"/>
  <c r="E39" i="11"/>
  <c r="C111" i="8"/>
  <c r="K111" i="8"/>
  <c r="D111" i="8"/>
  <c r="D39" i="11"/>
  <c r="L70" i="8"/>
  <c r="L72" i="8" s="1"/>
  <c r="K23" i="14"/>
  <c r="F37" i="11"/>
  <c r="J21" i="14"/>
  <c r="I10" i="14"/>
  <c r="D22" i="13"/>
  <c r="D28" i="13"/>
  <c r="J37" i="11"/>
  <c r="F42" i="15"/>
  <c r="I37" i="11"/>
  <c r="K40" i="15"/>
  <c r="K14" i="15"/>
  <c r="C19" i="8"/>
  <c r="C12" i="11" s="1"/>
  <c r="C25" i="11"/>
  <c r="C21" i="11"/>
  <c r="C13" i="11"/>
  <c r="F7" i="13"/>
  <c r="L5" i="11"/>
  <c r="C13" i="8"/>
  <c r="C11" i="11" s="1"/>
  <c r="L111" i="8"/>
  <c r="G37" i="11"/>
  <c r="I40" i="15"/>
  <c r="H40" i="15"/>
  <c r="H14" i="15"/>
  <c r="G21" i="14"/>
  <c r="J10" i="14"/>
  <c r="C47" i="13"/>
  <c r="I9" i="11"/>
  <c r="C22" i="13"/>
  <c r="O31" i="11"/>
  <c r="N31" i="11"/>
  <c r="F22" i="13"/>
  <c r="D16" i="13"/>
  <c r="L41" i="11"/>
  <c r="L39" i="11"/>
  <c r="F12" i="13"/>
  <c r="F28" i="13"/>
  <c r="I41" i="11"/>
  <c r="I39" i="11"/>
  <c r="I29" i="15"/>
  <c r="G42" i="13"/>
  <c r="J42" i="13"/>
  <c r="H42" i="13"/>
  <c r="K42" i="13"/>
  <c r="I42" i="13"/>
  <c r="O27" i="11"/>
  <c r="N27" i="11"/>
  <c r="C34" i="11"/>
  <c r="E47" i="13"/>
  <c r="K9" i="11"/>
  <c r="C7" i="13"/>
  <c r="I5" i="11"/>
  <c r="D7" i="13"/>
  <c r="J5" i="11"/>
  <c r="O18" i="11"/>
  <c r="N18" i="11"/>
  <c r="J40" i="15"/>
  <c r="G16" i="14"/>
  <c r="J29" i="15"/>
  <c r="G29" i="15"/>
  <c r="I14" i="15"/>
  <c r="I21" i="14"/>
  <c r="H21" i="14"/>
  <c r="H10" i="14"/>
  <c r="D37" i="11"/>
  <c r="J70" i="8"/>
  <c r="J72" i="8" s="1"/>
  <c r="O29" i="11"/>
  <c r="N29" i="11"/>
  <c r="C36" i="11"/>
  <c r="O28" i="11"/>
  <c r="N28" i="11"/>
  <c r="C35" i="11"/>
  <c r="E28" i="13"/>
  <c r="G40" i="11"/>
  <c r="E10" i="13"/>
  <c r="K19" i="8"/>
  <c r="K12" i="11" s="1"/>
  <c r="K13" i="11"/>
  <c r="K19" i="11" s="1"/>
  <c r="K21" i="11"/>
  <c r="K25" i="11"/>
  <c r="F47" i="13"/>
  <c r="L9" i="11"/>
  <c r="H29" i="15"/>
  <c r="K70" i="8"/>
  <c r="K72" i="8" s="1"/>
  <c r="C12" i="13"/>
  <c r="H6" i="13"/>
  <c r="K6" i="13"/>
  <c r="J6" i="13"/>
  <c r="J31" i="13" s="1"/>
  <c r="I6" i="13"/>
  <c r="I31" i="13" s="1"/>
  <c r="G6" i="13"/>
  <c r="G31" i="13" s="1"/>
  <c r="E7" i="13"/>
  <c r="K5" i="11"/>
  <c r="O17" i="11"/>
  <c r="N17" i="11"/>
  <c r="K13" i="8"/>
  <c r="K11" i="11" s="1"/>
  <c r="C34" i="8"/>
  <c r="C14" i="11" s="1"/>
  <c r="G19" i="8"/>
  <c r="G12" i="11" s="1"/>
  <c r="G13" i="11"/>
  <c r="G19" i="11" s="1"/>
  <c r="G25" i="11"/>
  <c r="G21" i="11"/>
  <c r="K37" i="11"/>
  <c r="L37" i="11"/>
  <c r="G40" i="15"/>
  <c r="C42" i="15"/>
  <c r="K29" i="15"/>
  <c r="K39" i="11"/>
  <c r="K41" i="11"/>
  <c r="J14" i="15"/>
  <c r="G14" i="15"/>
  <c r="C23" i="14"/>
  <c r="K10" i="14"/>
  <c r="D12" i="13"/>
  <c r="D10" i="13"/>
  <c r="J111" i="8"/>
  <c r="J39" i="11"/>
  <c r="J41" i="11"/>
  <c r="D47" i="13"/>
  <c r="J9" i="11"/>
  <c r="E37" i="11"/>
  <c r="N30" i="11"/>
  <c r="O30" i="11"/>
  <c r="I111" i="8"/>
  <c r="F10" i="13"/>
  <c r="E22" i="13"/>
  <c r="E16" i="13"/>
  <c r="D40" i="11"/>
  <c r="C10" i="13"/>
  <c r="L18" i="8"/>
  <c r="L13" i="8"/>
  <c r="L11" i="11" s="1"/>
  <c r="K37" i="8"/>
  <c r="D18" i="8"/>
  <c r="D24" i="8" s="1"/>
  <c r="D13" i="8"/>
  <c r="D11" i="11" s="1"/>
  <c r="M18" i="8"/>
  <c r="M24" i="8" s="1"/>
  <c r="M13" i="8"/>
  <c r="G39" i="8"/>
  <c r="G34" i="8"/>
  <c r="G14" i="11" s="1"/>
  <c r="G37" i="8"/>
  <c r="I18" i="8"/>
  <c r="I13" i="8"/>
  <c r="I11" i="11" s="1"/>
  <c r="J18" i="8"/>
  <c r="J24" i="8" s="1"/>
  <c r="J13" i="8"/>
  <c r="J11" i="11" s="1"/>
  <c r="H18" i="8"/>
  <c r="H13" i="8"/>
  <c r="H11" i="11" s="1"/>
  <c r="F18" i="8"/>
  <c r="F24" i="8" s="1"/>
  <c r="F13" i="8"/>
  <c r="F11" i="11" s="1"/>
  <c r="E18" i="8"/>
  <c r="E24" i="8" s="1"/>
  <c r="E13" i="8"/>
  <c r="E11" i="11" s="1"/>
  <c r="F25" i="8" l="1"/>
  <c r="F33" i="8"/>
  <c r="K37" i="25"/>
  <c r="K46" i="25" s="1"/>
  <c r="K48" i="25" s="1"/>
  <c r="K52" i="25" s="1"/>
  <c r="K59" i="25" s="1"/>
  <c r="L24" i="8"/>
  <c r="K28" i="13"/>
  <c r="K31" i="13"/>
  <c r="E25" i="8"/>
  <c r="E33" i="8"/>
  <c r="H37" i="25"/>
  <c r="I24" i="8"/>
  <c r="H22" i="13"/>
  <c r="H31" i="13"/>
  <c r="J25" i="8"/>
  <c r="J33" i="8"/>
  <c r="D33" i="8"/>
  <c r="D25" i="8"/>
  <c r="E18" i="13"/>
  <c r="E13" i="13"/>
  <c r="G37" i="25"/>
  <c r="H24" i="8"/>
  <c r="M25" i="8"/>
  <c r="M33" i="8"/>
  <c r="K40" i="11"/>
  <c r="J23" i="14"/>
  <c r="E40" i="11"/>
  <c r="C40" i="11"/>
  <c r="H23" i="14"/>
  <c r="I23" i="14"/>
  <c r="C39" i="8"/>
  <c r="C23" i="11" s="1"/>
  <c r="J40" i="11"/>
  <c r="H10" i="13"/>
  <c r="L40" i="11"/>
  <c r="C37" i="8"/>
  <c r="K39" i="8"/>
  <c r="K42" i="15"/>
  <c r="I40" i="11"/>
  <c r="O39" i="11"/>
  <c r="K6" i="11"/>
  <c r="I37" i="25"/>
  <c r="H46" i="25"/>
  <c r="H48" i="25" s="1"/>
  <c r="H52" i="25" s="1"/>
  <c r="H39" i="25"/>
  <c r="H60" i="25" s="1"/>
  <c r="J46" i="25"/>
  <c r="J48" i="25" s="1"/>
  <c r="J52" i="25" s="1"/>
  <c r="J59" i="25" s="1"/>
  <c r="J39" i="25"/>
  <c r="J60" i="25" s="1"/>
  <c r="G46" i="25"/>
  <c r="G48" i="25" s="1"/>
  <c r="G39" i="25"/>
  <c r="N41" i="11"/>
  <c r="O41" i="11"/>
  <c r="G42" i="15"/>
  <c r="N5" i="11"/>
  <c r="N39" i="11"/>
  <c r="N9" i="11"/>
  <c r="F13" i="13"/>
  <c r="F18" i="13"/>
  <c r="F25" i="11"/>
  <c r="F21" i="11"/>
  <c r="F13" i="11"/>
  <c r="F19" i="11" s="1"/>
  <c r="F6" i="11"/>
  <c r="G23" i="11"/>
  <c r="D25" i="11"/>
  <c r="D21" i="11"/>
  <c r="D6" i="11"/>
  <c r="D13" i="11"/>
  <c r="D19" i="11" s="1"/>
  <c r="E48" i="13"/>
  <c r="D48" i="13"/>
  <c r="H28" i="13"/>
  <c r="H12" i="13"/>
  <c r="H7" i="13"/>
  <c r="H16" i="13"/>
  <c r="C19" i="11"/>
  <c r="K10" i="13"/>
  <c r="K22" i="13"/>
  <c r="K12" i="13"/>
  <c r="K16" i="13"/>
  <c r="K7" i="13"/>
  <c r="J47" i="13"/>
  <c r="G47" i="13"/>
  <c r="G48" i="13" s="1"/>
  <c r="H47" i="13"/>
  <c r="K47" i="13"/>
  <c r="I47" i="13"/>
  <c r="O5" i="11"/>
  <c r="J28" i="13"/>
  <c r="J10" i="13"/>
  <c r="J7" i="13"/>
  <c r="J12" i="13"/>
  <c r="J16" i="13"/>
  <c r="J22" i="13"/>
  <c r="C13" i="13"/>
  <c r="C18" i="13"/>
  <c r="H42" i="15"/>
  <c r="O11" i="11"/>
  <c r="N11" i="11"/>
  <c r="K23" i="11"/>
  <c r="I22" i="13"/>
  <c r="I10" i="13"/>
  <c r="I16" i="13"/>
  <c r="I12" i="13"/>
  <c r="I28" i="13"/>
  <c r="I7" i="13"/>
  <c r="O35" i="11"/>
  <c r="N35" i="11"/>
  <c r="C37" i="11"/>
  <c r="O34" i="11"/>
  <c r="N34" i="11"/>
  <c r="J25" i="11"/>
  <c r="J21" i="11"/>
  <c r="J13" i="11"/>
  <c r="J19" i="11" s="1"/>
  <c r="J6" i="11"/>
  <c r="I25" i="11"/>
  <c r="I21" i="11"/>
  <c r="I13" i="11"/>
  <c r="I19" i="11" s="1"/>
  <c r="I6" i="11"/>
  <c r="L25" i="11"/>
  <c r="L21" i="11"/>
  <c r="L13" i="11"/>
  <c r="L19" i="11" s="1"/>
  <c r="L6" i="11"/>
  <c r="E25" i="11"/>
  <c r="E6" i="11"/>
  <c r="E21" i="11"/>
  <c r="E13" i="11"/>
  <c r="E19" i="11" s="1"/>
  <c r="H25" i="11"/>
  <c r="H21" i="11"/>
  <c r="H6" i="11"/>
  <c r="H13" i="11"/>
  <c r="H19" i="11" s="1"/>
  <c r="D13" i="13"/>
  <c r="D18" i="13"/>
  <c r="G6" i="11"/>
  <c r="G12" i="13"/>
  <c r="G16" i="13"/>
  <c r="G7" i="13"/>
  <c r="G10" i="13"/>
  <c r="G28" i="13"/>
  <c r="G22" i="13"/>
  <c r="O36" i="11"/>
  <c r="N36" i="11"/>
  <c r="J42" i="15"/>
  <c r="F48" i="13"/>
  <c r="O9" i="11"/>
  <c r="G23" i="14"/>
  <c r="I42" i="15"/>
  <c r="E19" i="8"/>
  <c r="E12" i="11" s="1"/>
  <c r="H19" i="8"/>
  <c r="H12" i="11" s="1"/>
  <c r="M19" i="8"/>
  <c r="F19" i="8"/>
  <c r="F12" i="11" s="1"/>
  <c r="J19" i="8"/>
  <c r="J12" i="11" s="1"/>
  <c r="G44" i="8"/>
  <c r="G40" i="8"/>
  <c r="G15" i="11" s="1"/>
  <c r="D19" i="8"/>
  <c r="D12" i="11" s="1"/>
  <c r="D7" i="11"/>
  <c r="K44" i="8"/>
  <c r="K40" i="8"/>
  <c r="K15" i="11" s="1"/>
  <c r="I19" i="8"/>
  <c r="I12" i="11" s="1"/>
  <c r="L19" i="8"/>
  <c r="L12" i="11" s="1"/>
  <c r="L33" i="8" l="1"/>
  <c r="L7" i="11" s="1"/>
  <c r="L25" i="8"/>
  <c r="E24" i="13"/>
  <c r="E19" i="13"/>
  <c r="K39" i="25"/>
  <c r="K60" i="25" s="1"/>
  <c r="K62" i="25" s="1"/>
  <c r="H33" i="8"/>
  <c r="H7" i="11" s="1"/>
  <c r="H25" i="8"/>
  <c r="I25" i="8"/>
  <c r="I33" i="8"/>
  <c r="I7" i="11" s="1"/>
  <c r="C40" i="8"/>
  <c r="C15" i="11" s="1"/>
  <c r="C44" i="8"/>
  <c r="C48" i="8" s="1"/>
  <c r="C50" i="8" s="1"/>
  <c r="C22" i="11" s="1"/>
  <c r="K48" i="13"/>
  <c r="O40" i="11"/>
  <c r="N40" i="11"/>
  <c r="J62" i="25"/>
  <c r="H59" i="25"/>
  <c r="H62" i="25" s="1"/>
  <c r="H48" i="13"/>
  <c r="I46" i="25"/>
  <c r="I48" i="25" s="1"/>
  <c r="I52" i="25" s="1"/>
  <c r="I59" i="25" s="1"/>
  <c r="I39" i="25"/>
  <c r="I60" i="25" s="1"/>
  <c r="O12" i="11"/>
  <c r="N25" i="11"/>
  <c r="O21" i="11"/>
  <c r="F19" i="13"/>
  <c r="F24" i="13"/>
  <c r="F33" i="13" s="1"/>
  <c r="F7" i="11"/>
  <c r="G7" i="11"/>
  <c r="E7" i="11"/>
  <c r="O25" i="11"/>
  <c r="G18" i="13"/>
  <c r="G13" i="13"/>
  <c r="N12" i="11"/>
  <c r="O37" i="11"/>
  <c r="N37" i="11"/>
  <c r="I48" i="13"/>
  <c r="O19" i="11"/>
  <c r="N19" i="11"/>
  <c r="C24" i="13"/>
  <c r="C33" i="13" s="1"/>
  <c r="C19" i="13"/>
  <c r="J13" i="13"/>
  <c r="J18" i="13"/>
  <c r="I18" i="13"/>
  <c r="I13" i="13"/>
  <c r="N21" i="11"/>
  <c r="K18" i="13"/>
  <c r="K13" i="13"/>
  <c r="N13" i="11"/>
  <c r="H13" i="13"/>
  <c r="H18" i="13"/>
  <c r="J7" i="11"/>
  <c r="K7" i="11"/>
  <c r="D19" i="13"/>
  <c r="D24" i="13"/>
  <c r="D33" i="13" s="1"/>
  <c r="J48" i="13"/>
  <c r="O13" i="11"/>
  <c r="O6" i="11"/>
  <c r="N6" i="11"/>
  <c r="K48" i="8"/>
  <c r="K50" i="8" s="1"/>
  <c r="K22" i="11" s="1"/>
  <c r="K24" i="11" s="1"/>
  <c r="G48" i="8"/>
  <c r="G50" i="8" s="1"/>
  <c r="G22" i="11" s="1"/>
  <c r="G24" i="11" s="1"/>
  <c r="I39" i="8"/>
  <c r="I34" i="8"/>
  <c r="I14" i="11" s="1"/>
  <c r="I37" i="8"/>
  <c r="J34" i="8"/>
  <c r="J14" i="11" s="1"/>
  <c r="J39" i="8"/>
  <c r="J37" i="8"/>
  <c r="L37" i="8"/>
  <c r="L39" i="8"/>
  <c r="L34" i="8"/>
  <c r="L14" i="11" s="1"/>
  <c r="F34" i="8"/>
  <c r="F14" i="11" s="1"/>
  <c r="F39" i="8"/>
  <c r="F37" i="8"/>
  <c r="E39" i="8"/>
  <c r="E34" i="8"/>
  <c r="E14" i="11" s="1"/>
  <c r="E37" i="8"/>
  <c r="D37" i="8"/>
  <c r="D39" i="8"/>
  <c r="D34" i="8"/>
  <c r="D14" i="11" s="1"/>
  <c r="H37" i="8"/>
  <c r="H39" i="8"/>
  <c r="H34" i="8"/>
  <c r="H14" i="11" s="1"/>
  <c r="M39" i="8"/>
  <c r="M34" i="8"/>
  <c r="M37" i="8"/>
  <c r="E33" i="13" l="1"/>
  <c r="E25" i="13"/>
  <c r="K54" i="25"/>
  <c r="K55" i="25"/>
  <c r="F9" i="26" s="1"/>
  <c r="I62" i="25"/>
  <c r="K64" i="25" s="1"/>
  <c r="O7" i="11"/>
  <c r="N7" i="11"/>
  <c r="N14" i="11"/>
  <c r="O14" i="11"/>
  <c r="I19" i="13"/>
  <c r="I24" i="13"/>
  <c r="I33" i="13" s="1"/>
  <c r="C25" i="13"/>
  <c r="D23" i="11"/>
  <c r="D8" i="11"/>
  <c r="E23" i="11"/>
  <c r="E8" i="11"/>
  <c r="J23" i="11"/>
  <c r="J8" i="11"/>
  <c r="K8" i="11"/>
  <c r="I23" i="11"/>
  <c r="I8" i="11"/>
  <c r="C24" i="11"/>
  <c r="D25" i="13"/>
  <c r="H19" i="13"/>
  <c r="H24" i="13"/>
  <c r="H33" i="13" s="1"/>
  <c r="K24" i="13"/>
  <c r="K33" i="13" s="1"/>
  <c r="K19" i="13"/>
  <c r="J19" i="13"/>
  <c r="J24" i="13"/>
  <c r="J33" i="13" s="1"/>
  <c r="G19" i="13"/>
  <c r="G24" i="13"/>
  <c r="G33" i="13" s="1"/>
  <c r="F25" i="13"/>
  <c r="H23" i="11"/>
  <c r="H8" i="11"/>
  <c r="L23" i="11"/>
  <c r="L8" i="11"/>
  <c r="F23" i="11"/>
  <c r="F8" i="11"/>
  <c r="G8" i="11"/>
  <c r="H44" i="8"/>
  <c r="H40" i="8"/>
  <c r="H15" i="11" s="1"/>
  <c r="L44" i="8"/>
  <c r="L40" i="8"/>
  <c r="L15" i="11" s="1"/>
  <c r="F40" i="8"/>
  <c r="F15" i="11" s="1"/>
  <c r="F44" i="8"/>
  <c r="M44" i="8"/>
  <c r="M40" i="8"/>
  <c r="D44" i="8"/>
  <c r="D40" i="8"/>
  <c r="D15" i="11" s="1"/>
  <c r="E44" i="8"/>
  <c r="E40" i="8"/>
  <c r="E15" i="11" s="1"/>
  <c r="J40" i="8"/>
  <c r="J15" i="11" s="1"/>
  <c r="J44" i="8"/>
  <c r="I44" i="8"/>
  <c r="I40" i="8"/>
  <c r="I15" i="11" s="1"/>
  <c r="E39" i="13" l="1"/>
  <c r="E34" i="13"/>
  <c r="E37" i="13"/>
  <c r="K65" i="25"/>
  <c r="F10" i="26"/>
  <c r="N8" i="11"/>
  <c r="O8" i="11"/>
  <c r="I25" i="13"/>
  <c r="K25" i="13"/>
  <c r="N23" i="11"/>
  <c r="O23" i="11"/>
  <c r="N15" i="11"/>
  <c r="O15" i="11"/>
  <c r="D39" i="13"/>
  <c r="D34" i="13"/>
  <c r="D37" i="13"/>
  <c r="J25" i="13"/>
  <c r="H25" i="13"/>
  <c r="G25" i="13"/>
  <c r="F39" i="13"/>
  <c r="F34" i="13"/>
  <c r="F37" i="13"/>
  <c r="C37" i="13"/>
  <c r="C34" i="13"/>
  <c r="C39" i="13"/>
  <c r="I45" i="8"/>
  <c r="C45" i="13" s="1"/>
  <c r="I48" i="8"/>
  <c r="C48" i="13" s="1"/>
  <c r="E45" i="8"/>
  <c r="E48" i="8"/>
  <c r="E50" i="8" s="1"/>
  <c r="E22" i="11" s="1"/>
  <c r="E24" i="11" s="1"/>
  <c r="M45" i="8"/>
  <c r="M48" i="8"/>
  <c r="M50" i="8" s="1"/>
  <c r="L45" i="8"/>
  <c r="L48" i="8"/>
  <c r="L50" i="8" s="1"/>
  <c r="L22" i="11" s="1"/>
  <c r="L24" i="11" s="1"/>
  <c r="J45" i="8"/>
  <c r="J48" i="8"/>
  <c r="J50" i="8" s="1"/>
  <c r="J22" i="11" s="1"/>
  <c r="J24" i="11" s="1"/>
  <c r="K45" i="8"/>
  <c r="F45" i="8"/>
  <c r="F48" i="8"/>
  <c r="F50" i="8" s="1"/>
  <c r="F22" i="11" s="1"/>
  <c r="F24" i="11" s="1"/>
  <c r="G45" i="8"/>
  <c r="D45" i="8"/>
  <c r="D48" i="8"/>
  <c r="D50" i="8" s="1"/>
  <c r="D22" i="11" s="1"/>
  <c r="H45" i="8"/>
  <c r="H48" i="8"/>
  <c r="H50" i="8" s="1"/>
  <c r="H22" i="11" s="1"/>
  <c r="H24" i="11" s="1"/>
  <c r="E44" i="13" l="1"/>
  <c r="E50" i="13" s="1"/>
  <c r="E40" i="13"/>
  <c r="I50" i="8"/>
  <c r="I22" i="11" s="1"/>
  <c r="I24" i="11" s="1"/>
  <c r="G10" i="26"/>
  <c r="J39" i="13"/>
  <c r="J34" i="13"/>
  <c r="J37" i="13"/>
  <c r="C40" i="13"/>
  <c r="C44" i="13"/>
  <c r="C50" i="13" s="1"/>
  <c r="G39" i="13"/>
  <c r="G37" i="13"/>
  <c r="G34" i="13"/>
  <c r="H39" i="13"/>
  <c r="H34" i="13"/>
  <c r="H37" i="13"/>
  <c r="I39" i="13"/>
  <c r="I34" i="13"/>
  <c r="I37" i="13"/>
  <c r="D24" i="11"/>
  <c r="N22" i="11"/>
  <c r="F44" i="13"/>
  <c r="F50" i="13" s="1"/>
  <c r="F40" i="13"/>
  <c r="K39" i="13"/>
  <c r="K34" i="13"/>
  <c r="K37" i="13"/>
  <c r="D40" i="13"/>
  <c r="D44" i="13"/>
  <c r="D50" i="13" s="1"/>
  <c r="O22" i="11" l="1"/>
  <c r="H10" i="26"/>
  <c r="G44" i="13"/>
  <c r="G50" i="13" s="1"/>
  <c r="G40" i="13"/>
  <c r="H44" i="13"/>
  <c r="H50" i="13" s="1"/>
  <c r="H40" i="13"/>
  <c r="F45" i="13"/>
  <c r="J44" i="13"/>
  <c r="J50" i="13" s="1"/>
  <c r="J40" i="13"/>
  <c r="E45" i="13"/>
  <c r="D45" i="13"/>
  <c r="K40" i="13"/>
  <c r="K44" i="13"/>
  <c r="K50" i="13" s="1"/>
  <c r="I40" i="13"/>
  <c r="I44" i="13"/>
  <c r="I50" i="13" s="1"/>
  <c r="N24" i="11"/>
  <c r="O24" i="11"/>
  <c r="J10" i="26" l="1"/>
  <c r="I10" i="26"/>
  <c r="K45" i="13"/>
  <c r="H45" i="13"/>
  <c r="I45" i="13"/>
  <c r="J45" i="13"/>
  <c r="G45" i="13"/>
  <c r="K37" i="19"/>
  <c r="D18" i="26" s="1"/>
  <c r="J12" i="26" l="1"/>
  <c r="J14" i="26" s="1"/>
  <c r="I12" i="26"/>
  <c r="I14" i="26" s="1"/>
  <c r="G12" i="26"/>
  <c r="G14" i="26" s="1"/>
  <c r="D27" i="26"/>
  <c r="K12" i="26"/>
  <c r="K14" i="26" s="1"/>
  <c r="H12" i="26"/>
  <c r="H14" i="26" s="1"/>
  <c r="D32" i="26" l="1"/>
  <c r="D31" i="26"/>
  <c r="D33" i="26" l="1"/>
  <c r="F22" i="26" s="1"/>
  <c r="D37" i="26" l="1"/>
  <c r="D40" i="26" s="1"/>
  <c r="F30" i="26" s="1"/>
  <c r="D43" i="26" l="1"/>
</calcChain>
</file>

<file path=xl/sharedStrings.xml><?xml version="1.0" encoding="utf-8"?>
<sst xmlns="http://schemas.openxmlformats.org/spreadsheetml/2006/main" count="703" uniqueCount="390">
  <si>
    <t>Years</t>
  </si>
  <si>
    <t>LTM</t>
  </si>
  <si>
    <t>#</t>
  </si>
  <si>
    <t>Income Statement</t>
  </si>
  <si>
    <t>Sales</t>
  </si>
  <si>
    <t>Sales Growth</t>
  </si>
  <si>
    <t>-</t>
  </si>
  <si>
    <t>COGS</t>
  </si>
  <si>
    <t>COGS % Sales</t>
  </si>
  <si>
    <t>Gross Profit</t>
  </si>
  <si>
    <t>Gross Margins</t>
  </si>
  <si>
    <t>Selling &amp; General Expenses</t>
  </si>
  <si>
    <t>S&amp;G Exp % Sales</t>
  </si>
  <si>
    <t>EBITDA</t>
  </si>
  <si>
    <t>EBITDA Margins</t>
  </si>
  <si>
    <t>Interest</t>
  </si>
  <si>
    <t>Interest % Sales</t>
  </si>
  <si>
    <t>Depreciation</t>
  </si>
  <si>
    <t>Depreciation % Sales</t>
  </si>
  <si>
    <t>Earnings Before Tax</t>
  </si>
  <si>
    <t>EBT % Sales</t>
  </si>
  <si>
    <t>Tax</t>
  </si>
  <si>
    <t>Effective Tax Rate</t>
  </si>
  <si>
    <t>Net Profit</t>
  </si>
  <si>
    <t>Net Margins</t>
  </si>
  <si>
    <t>No of Equity Shares</t>
  </si>
  <si>
    <t>EPS</t>
  </si>
  <si>
    <t>EPS Growth</t>
  </si>
  <si>
    <t>DPS</t>
  </si>
  <si>
    <t>Dividend Payout Ratio</t>
  </si>
  <si>
    <t>Retained Earnings</t>
  </si>
  <si>
    <t>Balance Sheet</t>
  </si>
  <si>
    <t>Equity Share Capital</t>
  </si>
  <si>
    <t>Reserves</t>
  </si>
  <si>
    <t>Borrowings</t>
  </si>
  <si>
    <t>Other Liabilities</t>
  </si>
  <si>
    <t>Total Liabilities</t>
  </si>
  <si>
    <t>Fixed Assets Net Block</t>
  </si>
  <si>
    <t>Capital Work in Progress</t>
  </si>
  <si>
    <t>Investments</t>
  </si>
  <si>
    <t>Other Assets</t>
  </si>
  <si>
    <t>Total Non-Current Assets</t>
  </si>
  <si>
    <t>Receivables</t>
  </si>
  <si>
    <t>Inventory</t>
  </si>
  <si>
    <t>Cash &amp; Bank</t>
  </si>
  <si>
    <t>Total Current Assets</t>
  </si>
  <si>
    <t>Total Assets</t>
  </si>
  <si>
    <t>Check</t>
  </si>
  <si>
    <t>Cash Flow Statements</t>
  </si>
  <si>
    <t>Operating Activities</t>
  </si>
  <si>
    <t>Profit from operations</t>
  </si>
  <si>
    <t>Payables</t>
  </si>
  <si>
    <t>Loans Advances</t>
  </si>
  <si>
    <t>Other WC items</t>
  </si>
  <si>
    <t>Direct taxes</t>
  </si>
  <si>
    <t>Cash From Operating Activities</t>
  </si>
  <si>
    <t>Investing Activites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</si>
  <si>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</si>
  <si>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</si>
  <si>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</si>
  <si>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</si>
  <si>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</si>
  <si>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</si>
  <si>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</si>
  <si>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</si>
  <si>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</si>
  <si>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</si>
  <si>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</si>
  <si>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</si>
  <si>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Investing Activites</t>
  </si>
  <si>
    <t>Financing Activities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</si>
  <si>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</si>
  <si>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</si>
  <si>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</si>
  <si>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</si>
  <si>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</si>
  <si>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</si>
  <si>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</si>
  <si>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</si>
  <si>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Financing Activities</t>
  </si>
  <si>
    <t>Net Cash Flow</t>
  </si>
  <si>
    <t>Trend</t>
  </si>
  <si>
    <t>Mean</t>
  </si>
  <si>
    <t>Median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</si>
  <si>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</si>
  <si>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</si>
  <si>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</si>
  <si>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</si>
  <si>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</si>
  <si>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</si>
  <si>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</si>
  <si>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</si>
  <si>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</si>
  <si>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 % Sales</t>
  </si>
  <si>
    <t>OperatingIncome % Sales</t>
  </si>
  <si>
    <t>Return on Capital Employed</t>
  </si>
  <si>
    <t>Retained Earnings %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</si>
  <si>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</si>
  <si>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</si>
  <si>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</si>
  <si>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</si>
  <si>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</si>
  <si>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</si>
  <si>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Assets Turnover</t>
  </si>
  <si>
    <t>Capital Turnover Ratio</t>
  </si>
  <si>
    <t>(in days)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</si>
  <si>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</si>
  <si>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</si>
  <si>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</si>
  <si>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</si>
  <si>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</si>
  <si>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</si>
  <si>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</si>
  <si>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Weight</t>
  </si>
  <si>
    <t>S&amp;G Expenses</t>
  </si>
  <si>
    <t>EBIT</t>
  </si>
  <si>
    <t>EBIT Margins</t>
  </si>
  <si>
    <t>EBT</t>
  </si>
  <si>
    <t>EBT Margins</t>
  </si>
  <si>
    <t>EPS Growth Rate</t>
  </si>
  <si>
    <t>DPS Growth Rate</t>
  </si>
  <si>
    <t>Peer Comps</t>
  </si>
  <si>
    <t>Debt/</t>
  </si>
  <si>
    <t>Levered</t>
  </si>
  <si>
    <t>Unlevered</t>
  </si>
  <si>
    <t>Name of the Company</t>
  </si>
  <si>
    <t>Country</t>
  </si>
  <si>
    <t>Total Debt</t>
  </si>
  <si>
    <t>Total Equity</t>
  </si>
  <si>
    <t>Equity</t>
  </si>
  <si>
    <t>Capital</t>
  </si>
  <si>
    <t>India</t>
  </si>
  <si>
    <t>Average</t>
  </si>
  <si>
    <t>Cost of Debt</t>
  </si>
  <si>
    <t>Cost of Equity</t>
  </si>
  <si>
    <t>Risk Free Rate</t>
  </si>
  <si>
    <t>Pre-Tax Cost of Debt</t>
  </si>
  <si>
    <t>Equity Risk Premium</t>
  </si>
  <si>
    <t>Tax Rate</t>
  </si>
  <si>
    <t>Post-Tax Cost of Debt</t>
  </si>
  <si>
    <t>Capital Structure</t>
  </si>
  <si>
    <t xml:space="preserve">Levered Beta  </t>
  </si>
  <si>
    <t>Current</t>
  </si>
  <si>
    <t>Target</t>
  </si>
  <si>
    <t>Comps Median Unlevered Beta</t>
  </si>
  <si>
    <t>Target Debt / Equity</t>
  </si>
  <si>
    <t>Market Cap</t>
  </si>
  <si>
    <t>Total Capital</t>
  </si>
  <si>
    <t>Levered Beta</t>
  </si>
  <si>
    <t>Debt/Equity</t>
  </si>
  <si>
    <t>Weighted Average Cost of Capital</t>
  </si>
  <si>
    <t>Total Cost</t>
  </si>
  <si>
    <t>Total Weight</t>
  </si>
  <si>
    <t>Notes:</t>
  </si>
  <si>
    <t xml:space="preserve">Debt </t>
  </si>
  <si>
    <t>1. Tax Rate considered as Marginal Tax Rate for the country</t>
  </si>
  <si>
    <t xml:space="preserve">Equity  </t>
  </si>
  <si>
    <t>2. Levered Beta is based on 5 years monthly data</t>
  </si>
  <si>
    <t>WACC</t>
  </si>
  <si>
    <t>3. Unlevered Beta = Levered Beta /(1+(1-TaxRate)*Debt/Equity)</t>
  </si>
  <si>
    <t>4. Levered Beta = Unlevered Beta *(1+(1-TaxRate)*Debt/Equity</t>
  </si>
  <si>
    <t>COMPANY NAME</t>
  </si>
  <si>
    <t>ASIAN PAINTS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</si>
  <si>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</si>
  <si>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</si>
  <si>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</si>
  <si>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</si>
  <si>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</si>
  <si>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</si>
  <si>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</si>
  <si>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</si>
  <si>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</si>
  <si>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</si>
  <si>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</si>
  <si>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</si>
  <si>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</si>
  <si>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</si>
  <si>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</si>
  <si>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</si>
  <si>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</si>
  <si>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</si>
  <si>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Profit before tax</t>
  </si>
  <si>
    <t>Net profit</t>
  </si>
  <si>
    <t>Dividend Amount</t>
  </si>
  <si>
    <t>Quarters</t>
  </si>
  <si>
    <t>Expenses</t>
  </si>
  <si>
    <t>Operating Profit</t>
  </si>
  <si>
    <t>BALANCE SHEET</t>
  </si>
  <si>
    <t>Total</t>
  </si>
  <si>
    <t>Net Block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</si>
  <si>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</si>
  <si>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</si>
  <si>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</si>
  <si>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</si>
  <si>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</si>
  <si>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</si>
  <si>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</si>
  <si>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PRICE:</t>
  </si>
  <si>
    <t>DERIVED:</t>
  </si>
  <si>
    <t>Adjusted Equity Shares in Cr</t>
  </si>
  <si>
    <t>Cash from Operating Activity -</t>
  </si>
  <si>
    <t>Working capital changes</t>
  </si>
  <si>
    <t>Cash from Investing Activity -</t>
  </si>
  <si>
    <t>Cash from Financing Activity -</t>
  </si>
  <si>
    <t>Beta Calculation</t>
  </si>
  <si>
    <t>Regression Beta - 5 Years Monthly</t>
  </si>
  <si>
    <t>Monthly Returns</t>
  </si>
  <si>
    <t>Nifty 50</t>
  </si>
  <si>
    <t>Beta Drifting</t>
  </si>
  <si>
    <t>Date</t>
  </si>
  <si>
    <t>Closing Price</t>
  </si>
  <si>
    <t>Return</t>
  </si>
  <si>
    <t>Levered Raw Beta</t>
  </si>
  <si>
    <t>SUMMARY OUTPUT</t>
  </si>
  <si>
    <t>Beta Weight</t>
  </si>
  <si>
    <t>Regression Statistics</t>
  </si>
  <si>
    <t xml:space="preserve">Market Beta </t>
  </si>
  <si>
    <t>Multiple R</t>
  </si>
  <si>
    <t>Market Beta Weight</t>
  </si>
  <si>
    <t>R Square</t>
  </si>
  <si>
    <t>Adjusted R Square</t>
  </si>
  <si>
    <t>Adjusted Beta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</si>
  <si>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</si>
  <si>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</si>
  <si>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</si>
  <si>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</si>
  <si>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</si>
  <si>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</si>
  <si>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</si>
  <si>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</si>
  <si>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</si>
  <si>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</si>
  <si>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</si>
  <si>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</si>
  <si>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</si>
  <si>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</si>
  <si>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</si>
  <si>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</si>
  <si>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</si>
  <si>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</si>
  <si>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</si>
  <si>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S.No.</t>
  </si>
  <si>
    <t>Name</t>
  </si>
  <si>
    <t>CMP Rs.</t>
  </si>
  <si>
    <t xml:space="preserve">Mar Cap Rs.Cr. </t>
  </si>
  <si>
    <t>Debt Rs.Cr.</t>
  </si>
  <si>
    <t>Debt / Eq</t>
  </si>
  <si>
    <t>Year</t>
  </si>
  <si>
    <t>Annual</t>
  </si>
  <si>
    <t>Return on Markets</t>
  </si>
  <si>
    <t>Average Return</t>
  </si>
  <si>
    <t>Dividend Yield</t>
  </si>
  <si>
    <t>Total Market Return</t>
  </si>
  <si>
    <t>Int</t>
  </si>
  <si>
    <t>Particulars</t>
  </si>
  <si>
    <t>Actual Other Assets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</si>
  <si>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</si>
  <si>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</si>
  <si>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</si>
  <si>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</si>
  <si>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</si>
  <si>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</si>
  <si>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</si>
  <si>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</si>
  <si>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</si>
  <si>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</si>
  <si>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</si>
  <si>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</si>
  <si>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</si>
  <si>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</si>
  <si>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</si>
  <si>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</si>
  <si>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</si>
  <si>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</si>
  <si>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</si>
  <si>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</si>
  <si>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</si>
  <si>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</si>
  <si>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</si>
  <si>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</si>
  <si>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</si>
  <si>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</si>
  <si>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</si>
  <si>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</si>
  <si>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</si>
  <si>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</si>
  <si>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Calculation of ROIC</t>
  </si>
  <si>
    <t>Current Assets</t>
  </si>
  <si>
    <t>Current Liabilities</t>
  </si>
  <si>
    <t>Total Current Liabilities</t>
  </si>
  <si>
    <t>Net Working Capital</t>
  </si>
  <si>
    <t>Non-Current Assets</t>
  </si>
  <si>
    <t>Net Non-Current Assets</t>
  </si>
  <si>
    <t>Invested Capital</t>
  </si>
  <si>
    <t>ROIC</t>
  </si>
  <si>
    <t>Calculation of Reinvestment Rate</t>
  </si>
  <si>
    <t>Net Capex</t>
  </si>
  <si>
    <t>Change in Working Capital</t>
  </si>
  <si>
    <t>Marginal Tax Rate</t>
  </si>
  <si>
    <t>Reinvestment</t>
  </si>
  <si>
    <t>Reinvestment Rate</t>
  </si>
  <si>
    <t>EBIT(1-T)</t>
  </si>
  <si>
    <t>4 Year Average</t>
  </si>
  <si>
    <t>4 Year Median</t>
  </si>
  <si>
    <t>Calculation of Growth Rate</t>
  </si>
  <si>
    <t>Intrinsic Growth</t>
  </si>
  <si>
    <t>Calculation of PV of FCFF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</si>
  <si>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</si>
  <si>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</si>
  <si>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</si>
  <si>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</si>
  <si>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</si>
  <si>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</si>
  <si>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</si>
  <si>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Calculation of Terminal Value</t>
  </si>
  <si>
    <t>FCFF (n+1)</t>
  </si>
  <si>
    <t>Terminal Growth Rate</t>
  </si>
  <si>
    <t>Terminal Value</t>
  </si>
  <si>
    <t>PV of Terminal Value</t>
  </si>
  <si>
    <t>Value of Operating Assets</t>
  </si>
  <si>
    <t>Add : Cash</t>
  </si>
  <si>
    <t>Less : Debt</t>
  </si>
  <si>
    <t>Calculation of Equity Value per Share</t>
  </si>
  <si>
    <t>Value of Equity</t>
  </si>
  <si>
    <t>No of Shares</t>
  </si>
  <si>
    <t>Equity Value per Share</t>
  </si>
  <si>
    <t xml:space="preserve">Share Price </t>
  </si>
  <si>
    <t>Discount/Premium</t>
  </si>
  <si>
    <t>Comparable Company Valuation</t>
  </si>
  <si>
    <t>Company</t>
  </si>
  <si>
    <t>Ticker</t>
  </si>
  <si>
    <t>Share Price</t>
  </si>
  <si>
    <t>Shares Outstanding</t>
  </si>
  <si>
    <t>Equity Value</t>
  </si>
  <si>
    <t>Net Debt</t>
  </si>
  <si>
    <t>Enterprise Value</t>
  </si>
  <si>
    <t>Market Data</t>
  </si>
  <si>
    <t>Revenue</t>
  </si>
  <si>
    <t>Net Income</t>
  </si>
  <si>
    <t>Valuation</t>
  </si>
  <si>
    <t>Financials</t>
  </si>
  <si>
    <t>No. Eq. Shares Cr.</t>
  </si>
  <si>
    <t>Cash End Rs.Cr.</t>
  </si>
  <si>
    <t>EV Rs.Cr.</t>
  </si>
  <si>
    <t>Sales Rs.Cr.</t>
  </si>
  <si>
    <t>NP 12M Rs.Cr.</t>
  </si>
  <si>
    <t>Market Value</t>
  </si>
  <si>
    <t>EBITDA Margins Rs.Cr.</t>
  </si>
  <si>
    <t>EV / EBITDA</t>
  </si>
  <si>
    <t>EV/Revenue</t>
  </si>
  <si>
    <t>EV/EBITDA</t>
  </si>
  <si>
    <t>P/E</t>
  </si>
  <si>
    <t>High</t>
  </si>
  <si>
    <t>75th Percentile</t>
  </si>
  <si>
    <t>25th Percentile</t>
  </si>
  <si>
    <t>Low</t>
  </si>
  <si>
    <t>Implied Enterprise Value</t>
  </si>
  <si>
    <t>Implied Market Value</t>
  </si>
  <si>
    <t>Implied Value per Share</t>
  </si>
  <si>
    <t>Comps</t>
  </si>
  <si>
    <t>DCF Bear</t>
  </si>
  <si>
    <t>DCF Base</t>
  </si>
  <si>
    <t>DCF Bull</t>
  </si>
  <si>
    <t>52W H/L</t>
  </si>
  <si>
    <t>OpenLow</t>
  </si>
  <si>
    <t>OpenHigh</t>
  </si>
  <si>
    <t>Sensitivity Analysis - EV</t>
  </si>
  <si>
    <t>Sensitivity Analysis - Share Price</t>
  </si>
  <si>
    <t>Football Field Analysis - Data</t>
  </si>
  <si>
    <t>HISTORICAL FINANCIAL STATEMENTS, RATIO ANALYSIS, COMMON SIZE STATEMENT, P&amp;L FORECAST, BS FORECAST &amp; CASH FLOWS FORECAST</t>
  </si>
  <si>
    <t>WEIGHTED AVERAGE COST OF CAPITAL, INTRINSIC GROWTH, DCF VALUATION (WITH SENSITIVITY ANALYSIS)</t>
  </si>
  <si>
    <t>RELATIVE VALUATION USING EV/EBITDA, EV/REVENUE &amp; P/E &amp; FOOTBALL FIELD ANALYSIS</t>
  </si>
  <si>
    <r>
      <t xml:space="preserve">Tax Rate </t>
    </r>
    <r>
      <rPr>
        <vertAlign val="superscript"/>
        <sz val="11"/>
        <color rgb="FF002060"/>
        <rFont val="Calibri"/>
        <family val="2"/>
        <scheme val="minor"/>
      </rPr>
      <t>1</t>
    </r>
  </si>
  <si>
    <r>
      <t xml:space="preserve">Beta </t>
    </r>
    <r>
      <rPr>
        <vertAlign val="superscript"/>
        <sz val="11"/>
        <color rgb="FF002060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</si>
  <si>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rgb="FF002060"/>
        <rFont val="Calibri"/>
        <family val="2"/>
        <scheme val="minor"/>
      </rPr>
      <t>3</t>
    </r>
  </si>
  <si>
    <r>
      <t xml:space="preserve">Levered Beta </t>
    </r>
    <r>
      <rPr>
        <vertAlign val="superscript"/>
        <sz val="11"/>
        <color rgb="FF002060"/>
        <rFont val="Calibri"/>
        <family val="2"/>
        <scheme val="minor"/>
      </rPr>
      <t>4</t>
    </r>
  </si>
  <si>
    <t>DATA SHEET FROM SCREENER &amp; CASH FLOWS MANUAL FROM SCREENER</t>
  </si>
  <si>
    <t>DATA SHEETS FOR CALCULATIONS &amp; VALUATIONS!</t>
  </si>
  <si>
    <t>RAW BALANCE SHEET, REGRESSION BETA, COMPARABLE COMPS BETA, PEERS LIST, RETURN ON MARKETS</t>
  </si>
  <si>
    <t>Mar Cap Rs.Cr.</t>
  </si>
  <si>
    <t>Other Income % Sales</t>
  </si>
  <si>
    <t xml:space="preserve">EBIT </t>
  </si>
  <si>
    <t>EBITMargins</t>
  </si>
  <si>
    <t>Asian Paints</t>
  </si>
  <si>
    <t>Berger Paints</t>
  </si>
  <si>
    <t>Kansai Nerolac</t>
  </si>
  <si>
    <t>Akzo Nobel</t>
  </si>
  <si>
    <t>Indigo Paints</t>
  </si>
  <si>
    <t>Shalimar Paints</t>
  </si>
  <si>
    <t>MCON Rasayan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</si>
</sst>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 * #,##0.00_ ;_ * \-#,##0.00_ ;_ * &quot;-&quot;??_ ;_ @_ "/>
    <numFmt numFmtId="164" formatCode="_(* #,##0.00_);_(* \(#,##0.00\);_(* &quot;-&quot;??_);_(@_)"/>
    <numFmt numFmtId="165" formatCode="_-* #,##0.00_-;\-* #,##0.00_-;_-* &quot;-&quot;??_-;_-@_-"/>
    <numFmt numFmtId="166" formatCode="[$-409]mmm\-yy;@"/>
    <numFmt numFmtId="167" formatCode="&quot;₹&quot;\ #,##0.00"/>
    <numFmt numFmtId="168" formatCode="&quot;₹&quot;\ #,##0.0;\(&quot;₹&quot;\ #,##0.0\);\-"/>
    <numFmt numFmtId="169" formatCode="0.00&quot;x&quot;"/>
    <numFmt numFmtId="170" formatCode="yyyy&quot;A&quot;"/>
    <numFmt numFmtId="171" formatCode="yyyy&quot;F&quot;"/>
    <numFmt numFmtId="172" formatCode="&quot;₹&quot;\ #,##0.0"/>
    <numFmt numFmtId="173" formatCode="0.0"/>
    <numFmt numFmtId="174" formatCode="#,##0.0"/>
    <numFmt numFmtId="175" formatCode="#,###.00%;\(#,###.00%\)"/>
    <numFmt numFmtId="176" formatCode="_-* #,##0.0_-;\-* #,##0.0_-;_-* &quot;-&quot;??_-;_-@_-"/>
    <numFmt numFmtId="177" formatCode="_ * #,##0.0_ ;_ * \-#,##0.0_ ;_ * &quot;-&quot;??_ ;_ @_ "/>
    <numFmt numFmtId="178" formatCode="#,##0.0;\(#,##0.0\);\-"/>
    <numFmt numFmtId="179" formatCode="mmm/yy&quot;F&quot;"/>
    <numFmt numFmtId="180" formatCode="mmm/yy&quot;A&quot;"/>
    <numFmt numFmtId="181" formatCode="0.000"/>
    <numFmt numFmtId="182" formatCode="0.00\x"/>
    <numFmt numFmtId="183" formatCode="0.0\x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36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vertAlign val="superscript"/>
      <sz val="11"/>
      <color rgb="FF002060"/>
      <name val="Calibri"/>
      <family val="2"/>
      <scheme val="minor"/>
    </font>
    <font>
      <i/>
      <sz val="9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002060"/>
      </top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dotted">
        <color rgb="FF00206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2060"/>
      </top>
      <bottom style="hair">
        <color rgb="FF002060"/>
      </bottom>
      <diagonal/>
    </border>
    <border>
      <left/>
      <right/>
      <top/>
      <bottom style="thin">
        <color theme="0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238">
    <xf numFmtId="0" fontId="0" fillId="0" borderId="0" xfId="0"/>
    <xf numFmtId="43" fontId="1" fillId="0" borderId="0" xfId="1" applyFont="1" applyBorder="1"/>
    <xf numFmtId="43" fontId="0" fillId="0" borderId="0" xfId="1" applyFont="1" applyBorder="1"/>
    <xf numFmtId="43" fontId="3" fillId="0" borderId="0" xfId="1" applyFont="1" applyBorder="1"/>
    <xf numFmtId="166" fontId="2" fillId="3" borderId="0" xfId="0" applyNumberFormat="1" applyFont="1" applyFill="1" applyAlignment="1">
      <alignment horizontal="center"/>
    </xf>
    <xf numFmtId="166" fontId="2" fillId="3" borderId="0" xfId="1" applyNumberFormat="1" applyFont="1" applyFill="1" applyBorder="1"/>
    <xf numFmtId="166" fontId="6" fillId="0" borderId="0" xfId="1" applyNumberFormat="1" applyFont="1" applyFill="1" applyBorder="1"/>
    <xf numFmtId="164" fontId="0" fillId="0" borderId="0" xfId="1" applyNumberFormat="1" applyFont="1" applyBorder="1"/>
    <xf numFmtId="0" fontId="5" fillId="4" borderId="0" xfId="0" applyFont="1" applyFill="1"/>
    <xf numFmtId="17" fontId="5" fillId="4" borderId="0" xfId="0" applyNumberFormat="1" applyFont="1" applyFill="1"/>
    <xf numFmtId="0" fontId="5" fillId="4" borderId="0" xfId="0" applyFont="1" applyFill="1" applyAlignment="1">
      <alignment horizontal="right"/>
    </xf>
    <xf numFmtId="0" fontId="1" fillId="0" borderId="0" xfId="0" applyFont="1"/>
    <xf numFmtId="167" fontId="0" fillId="0" borderId="0" xfId="0" applyNumberFormat="1"/>
    <xf numFmtId="168" fontId="0" fillId="0" borderId="0" xfId="0" applyNumberFormat="1"/>
    <xf numFmtId="10" fontId="0" fillId="0" borderId="0" xfId="4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10" fontId="7" fillId="0" borderId="0" xfId="4" applyNumberFormat="1" applyFont="1"/>
    <xf numFmtId="0" fontId="1" fillId="5" borderId="0" xfId="0" applyFont="1" applyFill="1"/>
    <xf numFmtId="0" fontId="0" fillId="5" borderId="0" xfId="0" applyFill="1"/>
    <xf numFmtId="168" fontId="1" fillId="0" borderId="0" xfId="0" applyNumberFormat="1" applyFont="1"/>
    <xf numFmtId="3" fontId="0" fillId="0" borderId="0" xfId="0" applyNumberFormat="1"/>
    <xf numFmtId="167" fontId="1" fillId="0" borderId="1" xfId="0" applyNumberFormat="1" applyFont="1" applyBorder="1"/>
    <xf numFmtId="168" fontId="1" fillId="0" borderId="1" xfId="0" applyNumberFormat="1" applyFont="1" applyBorder="1"/>
    <xf numFmtId="0" fontId="0" fillId="0" borderId="2" xfId="0" applyBorder="1"/>
    <xf numFmtId="10" fontId="0" fillId="0" borderId="2" xfId="4" applyNumberFormat="1" applyFont="1" applyBorder="1"/>
    <xf numFmtId="10" fontId="0" fillId="0" borderId="0" xfId="4" applyNumberFormat="1" applyFont="1" applyBorder="1"/>
    <xf numFmtId="0" fontId="0" fillId="0" borderId="3" xfId="0" applyBorder="1"/>
    <xf numFmtId="10" fontId="0" fillId="0" borderId="3" xfId="4" applyNumberFormat="1" applyFont="1" applyBorder="1"/>
    <xf numFmtId="169" fontId="0" fillId="0" borderId="3" xfId="0" applyNumberFormat="1" applyBorder="1"/>
    <xf numFmtId="169" fontId="0" fillId="0" borderId="2" xfId="0" applyNumberFormat="1" applyBorder="1"/>
    <xf numFmtId="169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17" fontId="5" fillId="4" borderId="0" xfId="0" applyNumberFormat="1" applyFont="1" applyFill="1" applyAlignment="1">
      <alignment horizontal="right"/>
    </xf>
    <xf numFmtId="0" fontId="0" fillId="6" borderId="0" xfId="0" applyFill="1"/>
    <xf numFmtId="170" fontId="5" fillId="4" borderId="0" xfId="0" applyNumberFormat="1" applyFont="1" applyFill="1"/>
    <xf numFmtId="172" fontId="0" fillId="0" borderId="0" xfId="0" applyNumberFormat="1"/>
    <xf numFmtId="0" fontId="8" fillId="0" borderId="0" xfId="0" applyFont="1"/>
    <xf numFmtId="10" fontId="8" fillId="0" borderId="0" xfId="4" applyNumberFormat="1" applyFont="1"/>
    <xf numFmtId="172" fontId="0" fillId="6" borderId="0" xfId="0" applyNumberFormat="1" applyFill="1"/>
    <xf numFmtId="10" fontId="8" fillId="6" borderId="0" xfId="4" applyNumberFormat="1" applyFont="1" applyFill="1"/>
    <xf numFmtId="0" fontId="5" fillId="7" borderId="0" xfId="0" applyFont="1" applyFill="1"/>
    <xf numFmtId="171" fontId="5" fillId="7" borderId="0" xfId="0" applyNumberFormat="1" applyFont="1" applyFill="1"/>
    <xf numFmtId="173" fontId="0" fillId="0" borderId="0" xfId="0" applyNumberFormat="1"/>
    <xf numFmtId="10" fontId="8" fillId="0" borderId="0" xfId="0" applyNumberFormat="1" applyFont="1"/>
    <xf numFmtId="173" fontId="0" fillId="6" borderId="0" xfId="0" applyNumberFormat="1" applyFill="1"/>
    <xf numFmtId="168" fontId="9" fillId="6" borderId="0" xfId="0" applyNumberFormat="1" applyFont="1" applyFill="1"/>
    <xf numFmtId="0" fontId="9" fillId="6" borderId="0" xfId="0" applyFont="1" applyFill="1"/>
    <xf numFmtId="0" fontId="5" fillId="0" borderId="0" xfId="0" applyFont="1"/>
    <xf numFmtId="170" fontId="5" fillId="0" borderId="0" xfId="0" applyNumberFormat="1" applyFont="1"/>
    <xf numFmtId="171" fontId="5" fillId="0" borderId="0" xfId="0" applyNumberFormat="1" applyFont="1"/>
    <xf numFmtId="172" fontId="1" fillId="0" borderId="0" xfId="0" applyNumberFormat="1" applyFont="1"/>
    <xf numFmtId="172" fontId="1" fillId="6" borderId="0" xfId="0" applyNumberFormat="1" applyFont="1" applyFill="1"/>
    <xf numFmtId="172" fontId="1" fillId="0" borderId="4" xfId="0" applyNumberFormat="1" applyFont="1" applyBorder="1"/>
    <xf numFmtId="172" fontId="1" fillId="6" borderId="4" xfId="0" applyNumberFormat="1" applyFont="1" applyFill="1" applyBorder="1"/>
    <xf numFmtId="0" fontId="1" fillId="0" borderId="5" xfId="0" applyFont="1" applyBorder="1"/>
    <xf numFmtId="172" fontId="1" fillId="0" borderId="5" xfId="0" applyNumberFormat="1" applyFont="1" applyBorder="1"/>
    <xf numFmtId="172" fontId="1" fillId="6" borderId="5" xfId="0" applyNumberFormat="1" applyFont="1" applyFill="1" applyBorder="1"/>
    <xf numFmtId="168" fontId="1" fillId="0" borderId="5" xfId="0" applyNumberFormat="1" applyFont="1" applyBorder="1"/>
    <xf numFmtId="168" fontId="10" fillId="6" borderId="5" xfId="0" applyNumberFormat="1" applyFont="1" applyFill="1" applyBorder="1"/>
    <xf numFmtId="168" fontId="1" fillId="0" borderId="4" xfId="0" applyNumberFormat="1" applyFont="1" applyBorder="1"/>
    <xf numFmtId="168" fontId="10" fillId="6" borderId="4" xfId="0" applyNumberFormat="1" applyFont="1" applyFill="1" applyBorder="1"/>
    <xf numFmtId="175" fontId="0" fillId="0" borderId="0" xfId="4" applyNumberFormat="1" applyFont="1"/>
    <xf numFmtId="0" fontId="2" fillId="4" borderId="0" xfId="0" applyFont="1" applyFill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10" fontId="0" fillId="0" borderId="0" xfId="0" applyNumberFormat="1"/>
    <xf numFmtId="0" fontId="1" fillId="6" borderId="0" xfId="0" applyFont="1" applyFill="1"/>
    <xf numFmtId="2" fontId="1" fillId="6" borderId="0" xfId="0" applyNumberFormat="1" applyFont="1" applyFill="1"/>
    <xf numFmtId="0" fontId="0" fillId="0" borderId="0" xfId="0" applyAlignment="1">
      <alignment horizontal="left"/>
    </xf>
    <xf numFmtId="0" fontId="0" fillId="4" borderId="0" xfId="0" applyFill="1"/>
    <xf numFmtId="0" fontId="0" fillId="0" borderId="9" xfId="0" applyBorder="1"/>
    <xf numFmtId="0" fontId="0" fillId="0" borderId="10" xfId="0" applyBorder="1"/>
    <xf numFmtId="10" fontId="0" fillId="8" borderId="0" xfId="0" applyNumberFormat="1" applyFill="1"/>
    <xf numFmtId="2" fontId="0" fillId="8" borderId="0" xfId="0" applyNumberFormat="1" applyFill="1"/>
    <xf numFmtId="0" fontId="1" fillId="0" borderId="11" xfId="0" applyFont="1" applyBorder="1"/>
    <xf numFmtId="10" fontId="0" fillId="0" borderId="11" xfId="0" applyNumberFormat="1" applyBorder="1"/>
    <xf numFmtId="10" fontId="0" fillId="0" borderId="6" xfId="0" applyNumberFormat="1" applyBorder="1"/>
    <xf numFmtId="2" fontId="0" fillId="0" borderId="11" xfId="0" applyNumberFormat="1" applyBorder="1"/>
    <xf numFmtId="2" fontId="0" fillId="0" borderId="6" xfId="0" applyNumberFormat="1" applyBorder="1"/>
    <xf numFmtId="0" fontId="0" fillId="0" borderId="12" xfId="0" applyBorder="1"/>
    <xf numFmtId="0" fontId="1" fillId="0" borderId="10" xfId="0" applyFont="1" applyBorder="1"/>
    <xf numFmtId="10" fontId="0" fillId="0" borderId="12" xfId="0" applyNumberFormat="1" applyBorder="1"/>
    <xf numFmtId="9" fontId="0" fillId="0" borderId="0" xfId="0" applyNumberFormat="1"/>
    <xf numFmtId="10" fontId="0" fillId="8" borderId="12" xfId="0" applyNumberFormat="1" applyFill="1" applyBorder="1"/>
    <xf numFmtId="2" fontId="0" fillId="8" borderId="12" xfId="0" applyNumberFormat="1" applyFill="1" applyBorder="1"/>
    <xf numFmtId="165" fontId="0" fillId="0" borderId="0" xfId="0" applyNumberFormat="1"/>
    <xf numFmtId="165" fontId="0" fillId="0" borderId="12" xfId="0" applyNumberFormat="1" applyBorder="1"/>
    <xf numFmtId="176" fontId="0" fillId="0" borderId="0" xfId="0" applyNumberFormat="1"/>
    <xf numFmtId="0" fontId="0" fillId="0" borderId="0" xfId="0" applyFill="1" applyBorder="1" applyAlignment="1"/>
    <xf numFmtId="0" fontId="0" fillId="0" borderId="7" xfId="0" applyFill="1" applyBorder="1" applyAlignment="1"/>
    <xf numFmtId="0" fontId="11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Continuous"/>
    </xf>
    <xf numFmtId="0" fontId="0" fillId="0" borderId="0" xfId="0" applyBorder="1"/>
    <xf numFmtId="0" fontId="11" fillId="0" borderId="0" xfId="0" applyFont="1" applyFill="1" applyBorder="1" applyAlignment="1">
      <alignment horizontal="centerContinuous"/>
    </xf>
    <xf numFmtId="0" fontId="11" fillId="0" borderId="0" xfId="0" applyFont="1" applyFill="1" applyBorder="1" applyAlignment="1">
      <alignment horizontal="center"/>
    </xf>
    <xf numFmtId="10" fontId="1" fillId="0" borderId="0" xfId="0" applyNumberFormat="1" applyFont="1"/>
    <xf numFmtId="17" fontId="1" fillId="0" borderId="6" xfId="0" applyNumberFormat="1" applyFont="1" applyBorder="1"/>
    <xf numFmtId="43" fontId="0" fillId="0" borderId="0" xfId="0" applyNumberFormat="1"/>
    <xf numFmtId="0" fontId="1" fillId="0" borderId="0" xfId="0" applyFont="1" applyBorder="1"/>
    <xf numFmtId="17" fontId="1" fillId="0" borderId="0" xfId="0" applyNumberFormat="1" applyFont="1" applyBorder="1"/>
    <xf numFmtId="43" fontId="1" fillId="0" borderId="0" xfId="0" applyNumberFormat="1" applyFont="1"/>
    <xf numFmtId="10" fontId="1" fillId="0" borderId="0" xfId="4" applyNumberFormat="1" applyFont="1"/>
    <xf numFmtId="17" fontId="2" fillId="4" borderId="0" xfId="0" applyNumberFormat="1" applyFont="1" applyFill="1"/>
    <xf numFmtId="0" fontId="0" fillId="0" borderId="0" xfId="0" applyFont="1"/>
    <xf numFmtId="0" fontId="2" fillId="9" borderId="0" xfId="0" applyFont="1" applyFill="1"/>
    <xf numFmtId="17" fontId="2" fillId="9" borderId="0" xfId="0" applyNumberFormat="1" applyFont="1" applyFill="1"/>
    <xf numFmtId="0" fontId="0" fillId="9" borderId="0" xfId="0" applyFill="1"/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178" fontId="0" fillId="0" borderId="0" xfId="1" applyNumberFormat="1" applyFont="1" applyBorder="1"/>
    <xf numFmtId="178" fontId="1" fillId="0" borderId="11" xfId="1" applyNumberFormat="1" applyFont="1" applyBorder="1"/>
    <xf numFmtId="0" fontId="0" fillId="0" borderId="11" xfId="0" applyBorder="1"/>
    <xf numFmtId="10" fontId="1" fillId="0" borderId="5" xfId="4" applyNumberFormat="1" applyFont="1" applyBorder="1"/>
    <xf numFmtId="178" fontId="0" fillId="0" borderId="1" xfId="0" applyNumberFormat="1" applyBorder="1"/>
    <xf numFmtId="178" fontId="0" fillId="0" borderId="0" xfId="0" applyNumberFormat="1"/>
    <xf numFmtId="178" fontId="1" fillId="0" borderId="11" xfId="0" applyNumberFormat="1" applyFont="1" applyBorder="1"/>
    <xf numFmtId="178" fontId="1" fillId="0" borderId="5" xfId="0" applyNumberFormat="1" applyFont="1" applyBorder="1"/>
    <xf numFmtId="178" fontId="0" fillId="0" borderId="0" xfId="0" applyNumberFormat="1" applyBorder="1"/>
    <xf numFmtId="178" fontId="1" fillId="0" borderId="0" xfId="0" applyNumberFormat="1" applyFont="1"/>
    <xf numFmtId="10" fontId="0" fillId="0" borderId="1" xfId="0" applyNumberFormat="1" applyBorder="1"/>
    <xf numFmtId="10" fontId="1" fillId="6" borderId="0" xfId="0" applyNumberFormat="1" applyFont="1" applyFill="1"/>
    <xf numFmtId="10" fontId="1" fillId="0" borderId="5" xfId="0" applyNumberFormat="1" applyFont="1" applyBorder="1"/>
    <xf numFmtId="179" fontId="2" fillId="4" borderId="0" xfId="0" applyNumberFormat="1" applyFont="1" applyFill="1"/>
    <xf numFmtId="180" fontId="2" fillId="4" borderId="0" xfId="0" applyNumberFormat="1" applyFont="1" applyFill="1"/>
    <xf numFmtId="10" fontId="0" fillId="6" borderId="0" xfId="0" applyNumberFormat="1" applyFill="1"/>
    <xf numFmtId="9" fontId="0" fillId="6" borderId="0" xfId="0" applyNumberFormat="1" applyFill="1"/>
    <xf numFmtId="10" fontId="0" fillId="0" borderId="1" xfId="4" applyNumberFormat="1" applyFont="1" applyBorder="1"/>
    <xf numFmtId="43" fontId="0" fillId="8" borderId="1" xfId="0" applyNumberFormat="1" applyFill="1" applyBorder="1"/>
    <xf numFmtId="10" fontId="0" fillId="8" borderId="1" xfId="0" applyNumberFormat="1" applyFill="1" applyBorder="1"/>
    <xf numFmtId="0" fontId="0" fillId="8" borderId="1" xfId="0" applyFill="1" applyBorder="1"/>
    <xf numFmtId="0" fontId="0" fillId="8" borderId="0" xfId="0" applyFill="1"/>
    <xf numFmtId="181" fontId="0" fillId="0" borderId="1" xfId="0" applyNumberFormat="1" applyBorder="1"/>
    <xf numFmtId="0" fontId="1" fillId="8" borderId="5" xfId="0" applyFont="1" applyFill="1" applyBorder="1"/>
    <xf numFmtId="2" fontId="1" fillId="0" borderId="0" xfId="0" applyNumberFormat="1" applyFont="1"/>
    <xf numFmtId="0" fontId="1" fillId="0" borderId="0" xfId="0" applyFont="1" applyFill="1" applyBorder="1"/>
    <xf numFmtId="182" fontId="0" fillId="0" borderId="0" xfId="4" applyNumberFormat="1" applyFont="1"/>
    <xf numFmtId="0" fontId="0" fillId="0" borderId="6" xfId="0" applyBorder="1"/>
    <xf numFmtId="0" fontId="5" fillId="4" borderId="0" xfId="0" applyFont="1" applyFill="1" applyAlignment="1">
      <alignment wrapText="1"/>
    </xf>
    <xf numFmtId="0" fontId="5" fillId="4" borderId="0" xfId="0" applyFont="1" applyFill="1" applyBorder="1" applyAlignment="1"/>
    <xf numFmtId="0" fontId="12" fillId="0" borderId="6" xfId="0" applyFont="1" applyBorder="1"/>
    <xf numFmtId="0" fontId="5" fillId="4" borderId="0" xfId="0" applyFont="1" applyFill="1" applyAlignment="1">
      <alignment horizontal="right" wrapText="1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0" fillId="6" borderId="1" xfId="0" applyFill="1" applyBorder="1"/>
    <xf numFmtId="183" fontId="0" fillId="6" borderId="1" xfId="0" applyNumberFormat="1" applyFill="1" applyBorder="1"/>
    <xf numFmtId="183" fontId="0" fillId="0" borderId="1" xfId="0" applyNumberFormat="1" applyBorder="1"/>
    <xf numFmtId="0" fontId="2" fillId="4" borderId="6" xfId="0" applyFont="1" applyFill="1" applyBorder="1"/>
    <xf numFmtId="43" fontId="0" fillId="6" borderId="1" xfId="1" applyFont="1" applyFill="1" applyBorder="1"/>
    <xf numFmtId="0" fontId="1" fillId="6" borderId="4" xfId="0" applyFont="1" applyFill="1" applyBorder="1"/>
    <xf numFmtId="43" fontId="1" fillId="6" borderId="4" xfId="1" applyFont="1" applyFill="1" applyBorder="1"/>
    <xf numFmtId="0" fontId="1" fillId="6" borderId="1" xfId="0" applyFont="1" applyFill="1" applyBorder="1"/>
    <xf numFmtId="183" fontId="1" fillId="6" borderId="1" xfId="0" applyNumberFormat="1" applyFont="1" applyFill="1" applyBorder="1"/>
    <xf numFmtId="2" fontId="5" fillId="0" borderId="0" xfId="0" applyNumberFormat="1" applyFont="1"/>
    <xf numFmtId="9" fontId="1" fillId="0" borderId="0" xfId="0" applyNumberFormat="1" applyFont="1"/>
    <xf numFmtId="9" fontId="1" fillId="0" borderId="0" xfId="0" applyNumberFormat="1" applyFont="1" applyAlignment="1">
      <alignment horizontal="left"/>
    </xf>
    <xf numFmtId="43" fontId="0" fillId="6" borderId="0" xfId="1" applyFont="1" applyFill="1"/>
    <xf numFmtId="0" fontId="0" fillId="0" borderId="0" xfId="0" applyAlignment="1">
      <alignment vertical="center"/>
    </xf>
    <xf numFmtId="0" fontId="13" fillId="0" borderId="0" xfId="0" applyFont="1"/>
    <xf numFmtId="0" fontId="12" fillId="0" borderId="1" xfId="0" applyFont="1" applyBorder="1"/>
    <xf numFmtId="43" fontId="13" fillId="0" borderId="0" xfId="1" applyFont="1" applyBorder="1"/>
    <xf numFmtId="43" fontId="12" fillId="0" borderId="1" xfId="1" applyFont="1" applyBorder="1"/>
    <xf numFmtId="43" fontId="12" fillId="0" borderId="1" xfId="1" applyFont="1" applyFill="1" applyBorder="1"/>
    <xf numFmtId="0" fontId="12" fillId="0" borderId="0" xfId="0" applyFont="1"/>
    <xf numFmtId="0" fontId="13" fillId="0" borderId="2" xfId="0" applyFont="1" applyBorder="1"/>
    <xf numFmtId="0" fontId="13" fillId="0" borderId="3" xfId="0" applyFont="1" applyBorder="1"/>
    <xf numFmtId="0" fontId="15" fillId="0" borderId="0" xfId="0" applyFont="1"/>
    <xf numFmtId="0" fontId="12" fillId="0" borderId="4" xfId="0" applyFont="1" applyBorder="1"/>
    <xf numFmtId="0" fontId="12" fillId="0" borderId="5" xfId="0" applyFont="1" applyBorder="1"/>
    <xf numFmtId="43" fontId="12" fillId="0" borderId="5" xfId="1" applyFont="1" applyFill="1" applyBorder="1"/>
    <xf numFmtId="43" fontId="12" fillId="0" borderId="4" xfId="1" applyFont="1" applyFill="1" applyBorder="1"/>
    <xf numFmtId="43" fontId="12" fillId="0" borderId="5" xfId="1" applyFont="1" applyBorder="1"/>
    <xf numFmtId="10" fontId="13" fillId="0" borderId="0" xfId="0" applyNumberFormat="1" applyFont="1" applyAlignment="1">
      <alignment horizontal="right"/>
    </xf>
    <xf numFmtId="10" fontId="13" fillId="0" borderId="0" xfId="0" applyNumberFormat="1" applyFont="1"/>
    <xf numFmtId="0" fontId="13" fillId="0" borderId="10" xfId="0" applyFont="1" applyBorder="1"/>
    <xf numFmtId="0" fontId="13" fillId="0" borderId="10" xfId="0" applyFont="1" applyBorder="1" applyAlignment="1">
      <alignment horizontal="right"/>
    </xf>
    <xf numFmtId="0" fontId="13" fillId="0" borderId="9" xfId="0" applyFont="1" applyBorder="1"/>
    <xf numFmtId="0" fontId="13" fillId="0" borderId="0" xfId="0" applyFont="1" applyAlignment="1">
      <alignment horizontal="right"/>
    </xf>
    <xf numFmtId="0" fontId="13" fillId="0" borderId="12" xfId="0" applyFont="1" applyBorder="1"/>
    <xf numFmtId="0" fontId="12" fillId="0" borderId="11" xfId="0" applyFont="1" applyBorder="1"/>
    <xf numFmtId="0" fontId="12" fillId="0" borderId="10" xfId="0" applyFont="1" applyBorder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17" fontId="12" fillId="0" borderId="0" xfId="0" applyNumberFormat="1" applyFont="1"/>
    <xf numFmtId="3" fontId="13" fillId="0" borderId="0" xfId="0" applyNumberFormat="1" applyFont="1"/>
    <xf numFmtId="178" fontId="13" fillId="0" borderId="1" xfId="1" applyNumberFormat="1" applyFont="1" applyBorder="1"/>
    <xf numFmtId="178" fontId="13" fillId="0" borderId="2" xfId="1" applyNumberFormat="1" applyFont="1" applyBorder="1"/>
    <xf numFmtId="178" fontId="13" fillId="0" borderId="0" xfId="1" applyNumberFormat="1" applyFont="1" applyBorder="1"/>
    <xf numFmtId="177" fontId="12" fillId="0" borderId="4" xfId="1" applyNumberFormat="1" applyFont="1" applyBorder="1"/>
    <xf numFmtId="178" fontId="13" fillId="0" borderId="0" xfId="1" applyNumberFormat="1" applyFont="1"/>
    <xf numFmtId="178" fontId="12" fillId="0" borderId="4" xfId="0" applyNumberFormat="1" applyFont="1" applyBorder="1"/>
    <xf numFmtId="178" fontId="12" fillId="0" borderId="14" xfId="1" applyNumberFormat="1" applyFont="1" applyBorder="1"/>
    <xf numFmtId="174" fontId="13" fillId="0" borderId="0" xfId="0" applyNumberFormat="1" applyFont="1"/>
    <xf numFmtId="0" fontId="12" fillId="0" borderId="6" xfId="0" applyFont="1" applyBorder="1" applyAlignment="1">
      <alignment horizontal="right"/>
    </xf>
    <xf numFmtId="14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2" fillId="6" borderId="0" xfId="0" applyFont="1" applyFill="1"/>
    <xf numFmtId="0" fontId="13" fillId="0" borderId="0" xfId="0" applyFont="1" applyFill="1" applyBorder="1" applyAlignment="1"/>
    <xf numFmtId="176" fontId="13" fillId="0" borderId="0" xfId="0" applyNumberFormat="1" applyFont="1"/>
    <xf numFmtId="173" fontId="13" fillId="0" borderId="0" xfId="4" applyNumberFormat="1" applyFont="1"/>
    <xf numFmtId="2" fontId="13" fillId="0" borderId="0" xfId="0" applyNumberFormat="1" applyFont="1"/>
    <xf numFmtId="0" fontId="12" fillId="0" borderId="13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10" fontId="13" fillId="0" borderId="0" xfId="4" applyNumberFormat="1" applyFont="1" applyAlignment="1">
      <alignment horizontal="right"/>
    </xf>
    <xf numFmtId="17" fontId="0" fillId="0" borderId="0" xfId="0" applyNumberFormat="1"/>
    <xf numFmtId="0" fontId="13" fillId="0" borderId="0" xfId="0" applyFont="1" applyBorder="1"/>
    <xf numFmtId="0" fontId="18" fillId="0" borderId="0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"/>
    </xf>
    <xf numFmtId="0" fontId="0" fillId="0" borderId="0" xfId="0" applyFill="1" applyBorder="1"/>
    <xf numFmtId="0" fontId="12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2" fontId="0" fillId="0" borderId="0" xfId="0" applyNumberFormat="1" applyFill="1" applyBorder="1"/>
    <xf numFmtId="177" fontId="13" fillId="0" borderId="0" xfId="1" applyNumberFormat="1" applyFont="1" applyFill="1" applyBorder="1"/>
    <xf numFmtId="0" fontId="13" fillId="0" borderId="0" xfId="0" applyFont="1" applyFill="1" applyBorder="1"/>
    <xf numFmtId="10" fontId="13" fillId="0" borderId="0" xfId="0" applyNumberFormat="1" applyFont="1" applyFill="1" applyBorder="1"/>
    <xf numFmtId="175" fontId="0" fillId="0" borderId="0" xfId="4" applyNumberFormat="1" applyFont="1" applyFill="1" applyBorder="1"/>
    <xf numFmtId="0" fontId="12" fillId="0" borderId="0" xfId="0" applyFont="1" applyFill="1" applyBorder="1"/>
    <xf numFmtId="2" fontId="1" fillId="0" borderId="0" xfId="0" applyNumberFormat="1" applyFont="1" applyFill="1" applyBorder="1"/>
    <xf numFmtId="3" fontId="12" fillId="0" borderId="0" xfId="0" applyNumberFormat="1" applyFont="1"/>
    <xf numFmtId="0" fontId="14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/>
    </xf>
    <xf numFmtId="0" fontId="5" fillId="4" borderId="15" xfId="0" applyFont="1" applyFill="1" applyBorder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43" fontId="2" fillId="4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2060"/>
                </a:solidFill>
              </a:rPr>
              <a:t>Football Field Analysis - Valuation Summary(Rs.)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Analysis'!$N$6:$N$10</c:f>
              <c:numCache>
                <c:formatCode>General</c:formatCode>
                <c:ptCount val="5"/>
                <c:pt idx="0">
                  <c:v>352</c:v>
                </c:pt>
                <c:pt idx="1">
                  <c:v>605</c:v>
                </c:pt>
                <c:pt idx="2">
                  <c:v>918</c:v>
                </c:pt>
                <c:pt idx="3">
                  <c:v>1632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B-4AEC-AF58-494E5B2CD81B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Analysis'!$O$6:$O$10</c:f>
              <c:numCache>
                <c:formatCode>General</c:formatCode>
                <c:ptCount val="5"/>
                <c:pt idx="0">
                  <c:v>352</c:v>
                </c:pt>
                <c:pt idx="1">
                  <c:v>605</c:v>
                </c:pt>
                <c:pt idx="2">
                  <c:v>918</c:v>
                </c:pt>
                <c:pt idx="3">
                  <c:v>1632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CB-4AEC-AF58-494E5B2CD81B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Analysis'!$P$6:$P$10</c:f>
              <c:numCache>
                <c:formatCode>General</c:formatCode>
                <c:ptCount val="5"/>
                <c:pt idx="0">
                  <c:v>2459</c:v>
                </c:pt>
                <c:pt idx="1">
                  <c:v>1528</c:v>
                </c:pt>
                <c:pt idx="2">
                  <c:v>1250</c:v>
                </c:pt>
                <c:pt idx="3">
                  <c:v>2840</c:v>
                </c:pt>
                <c:pt idx="4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CB-4AEC-AF58-494E5B2CD81B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Analysis'!$Q$6:$Q$10</c:f>
              <c:numCache>
                <c:formatCode>General</c:formatCode>
                <c:ptCount val="5"/>
                <c:pt idx="0">
                  <c:v>2459</c:v>
                </c:pt>
                <c:pt idx="1">
                  <c:v>1528</c:v>
                </c:pt>
                <c:pt idx="2">
                  <c:v>1250</c:v>
                </c:pt>
                <c:pt idx="3">
                  <c:v>2840</c:v>
                </c:pt>
                <c:pt idx="4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CB-4AEC-AF58-494E5B2CD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206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13304328"/>
        <c:axId val="513310232"/>
      </c:stockChart>
      <c:catAx>
        <c:axId val="51330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10232"/>
        <c:crosses val="autoZero"/>
        <c:auto val="1"/>
        <c:lblAlgn val="ctr"/>
        <c:lblOffset val="100"/>
        <c:noMultiLvlLbl val="0"/>
      </c:catAx>
      <c:valAx>
        <c:axId val="513310232"/>
        <c:scaling>
          <c:orientation val="minMax"/>
        </c:scaling>
        <c:delete val="0"/>
        <c:axPos val="l"/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0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176212</xdr:rowOff>
    </xdr:from>
    <xdr:to>
      <xdr:col>9</xdr:col>
      <xdr:colOff>333375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A8FB33-AC7E-4498-A138-9157DD022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14</xdr:row>
      <xdr:rowOff>76200</xdr:rowOff>
    </xdr:from>
    <xdr:to>
      <xdr:col>9</xdr:col>
      <xdr:colOff>0</xdr:colOff>
      <xdr:row>14</xdr:row>
      <xdr:rowOff>76203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FF8E788-952C-465E-ACDE-5976541B9FC7}"/>
            </a:ext>
          </a:extLst>
        </xdr:cNvPr>
        <xdr:cNvCxnSpPr/>
      </xdr:nvCxnSpPr>
      <xdr:spPr>
        <a:xfrm flipV="1">
          <a:off x="1457325" y="2362200"/>
          <a:ext cx="3543300" cy="3"/>
        </a:xfrm>
        <a:prstGeom prst="line">
          <a:avLst/>
        </a:prstGeom>
        <a:ln w="15875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creener.in/exce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4433-6013-4F24-BC81-B2A143558F04}">
  <sheetPr>
    <tabColor rgb="FF002060"/>
  </sheetPr>
  <dimension ref="D5:Q9"/>
  <sheetViews>
    <sheetView showGridLines="0" workbookViewId="0">
      <selection activeCell="D5" sqref="D5:Q9"/>
    </sheetView>
  </sheetViews>
  <sheetFormatPr defaultRowHeight="15" x14ac:dyDescent="0.25"/>
  <cols>
    <col min="1" max="1" width="1.85546875" customWidth="1"/>
  </cols>
  <sheetData>
    <row r="5" spans="4:17" x14ac:dyDescent="0.25">
      <c r="D5" s="227" t="str">
        <f>"FINANCIALS FOR "&amp;'Data Sheet'!B1</f>
        <v>FINANCIALS FOR ASIAN PAINTS LTD</v>
      </c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</row>
    <row r="6" spans="4:17" x14ac:dyDescent="0.25"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</row>
    <row r="7" spans="4:17" x14ac:dyDescent="0.25"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</row>
    <row r="8" spans="4:17" x14ac:dyDescent="0.25">
      <c r="D8" s="165"/>
      <c r="E8" s="165"/>
      <c r="F8" s="228" t="s">
        <v>369</v>
      </c>
      <c r="G8" s="228"/>
      <c r="H8" s="228"/>
      <c r="I8" s="228"/>
      <c r="J8" s="228"/>
      <c r="K8" s="228"/>
      <c r="L8" s="228"/>
      <c r="M8" s="228"/>
      <c r="N8" s="228"/>
      <c r="O8" s="228"/>
      <c r="P8" s="165"/>
      <c r="Q8" s="165"/>
    </row>
    <row r="9" spans="4:17" x14ac:dyDescent="0.25">
      <c r="D9" s="165"/>
      <c r="E9" s="165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165"/>
      <c r="Q9" s="165"/>
    </row>
  </sheetData>
  <mergeCells count="2">
    <mergeCell ref="D5:Q7"/>
    <mergeCell ref="F8:O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5C5E-8702-4C17-956F-C3CA1EF689BA}">
  <dimension ref="A2:M111"/>
  <sheetViews>
    <sheetView showGridLines="0" zoomScaleNormal="100" workbookViewId="0">
      <pane ySplit="3" topLeftCell="A4" activePane="bottomLeft" state="frozen"/>
      <selection pane="bottomLeft" activeCell="C44" sqref="C44"/>
    </sheetView>
  </sheetViews>
  <sheetFormatPr defaultRowHeight="15" x14ac:dyDescent="0.25"/>
  <cols>
    <col min="1" max="1" width="1.85546875" customWidth="1"/>
    <col min="2" max="2" width="25.5703125" bestFit="1" customWidth="1"/>
    <col min="3" max="13" width="12.28515625" bestFit="1" customWidth="1"/>
  </cols>
  <sheetData>
    <row r="2" spans="1:13" x14ac:dyDescent="0.25">
      <c r="B2" s="229" t="str">
        <f>"Historical Financial Statement - "&amp;'Data Sheet'!B1</f>
        <v>Historical Financial Statement - ASIAN PAINTS LTD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</row>
    <row r="3" spans="1:13" x14ac:dyDescent="0.25">
      <c r="B3" s="8" t="s">
        <v>0</v>
      </c>
      <c r="C3" s="9">
        <f>'Data Sheet'!B16</f>
        <v>41729</v>
      </c>
      <c r="D3" s="9">
        <f>'Data Sheet'!C16</f>
        <v>42094</v>
      </c>
      <c r="E3" s="9">
        <f>'Data Sheet'!D16</f>
        <v>42460</v>
      </c>
      <c r="F3" s="9">
        <f>'Data Sheet'!E16</f>
        <v>42825</v>
      </c>
      <c r="G3" s="9">
        <f>'Data Sheet'!F16</f>
        <v>43190</v>
      </c>
      <c r="H3" s="9">
        <f>'Data Sheet'!G16</f>
        <v>43555</v>
      </c>
      <c r="I3" s="9">
        <f>'Data Sheet'!H16</f>
        <v>43921</v>
      </c>
      <c r="J3" s="9">
        <f>'Data Sheet'!I16</f>
        <v>44286</v>
      </c>
      <c r="K3" s="9">
        <f>'Data Sheet'!J16</f>
        <v>44651</v>
      </c>
      <c r="L3" s="9">
        <f>'Data Sheet'!K16</f>
        <v>45016</v>
      </c>
      <c r="M3" s="10" t="s">
        <v>1</v>
      </c>
    </row>
    <row r="5" spans="1:13" x14ac:dyDescent="0.25">
      <c r="A5" t="s">
        <v>2</v>
      </c>
      <c r="B5" s="18" t="s">
        <v>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B6" s="166" t="s">
        <v>4</v>
      </c>
      <c r="C6" s="13">
        <f>IFERROR('Data Sheet'!B17,0)</f>
        <v>12220.37</v>
      </c>
      <c r="D6" s="13">
        <f>IFERROR('Data Sheet'!C17,0)</f>
        <v>13615.26</v>
      </c>
      <c r="E6" s="13">
        <f>IFERROR('Data Sheet'!D17,0)</f>
        <v>14271.49</v>
      </c>
      <c r="F6" s="13">
        <f>IFERROR('Data Sheet'!E17,0)</f>
        <v>15061.99</v>
      </c>
      <c r="G6" s="13">
        <f>IFERROR('Data Sheet'!F17,0)</f>
        <v>16824.55</v>
      </c>
      <c r="H6" s="13">
        <f>IFERROR('Data Sheet'!G17,0)</f>
        <v>19240.13</v>
      </c>
      <c r="I6" s="13">
        <f>IFERROR('Data Sheet'!H17,0)</f>
        <v>20211.25</v>
      </c>
      <c r="J6" s="13">
        <f>IFERROR('Data Sheet'!I17,0)</f>
        <v>21712.79</v>
      </c>
      <c r="K6" s="13">
        <f>IFERROR('Data Sheet'!J17,0)</f>
        <v>29101.279999999999</v>
      </c>
      <c r="L6" s="13">
        <f>IFERROR('Data Sheet'!K17,0)</f>
        <v>34488.589999999997</v>
      </c>
      <c r="M6" s="13">
        <f>IFERROR(SUM('Data Sheet'!H42:K42),0)</f>
        <v>35551.31</v>
      </c>
    </row>
    <row r="7" spans="1:13" x14ac:dyDescent="0.25">
      <c r="B7" s="15" t="s">
        <v>5</v>
      </c>
      <c r="C7" s="16" t="s">
        <v>6</v>
      </c>
      <c r="D7" s="17">
        <f>D6/C6-1</f>
        <v>0.11414466174101112</v>
      </c>
      <c r="E7" s="17">
        <f t="shared" ref="E7:M7" si="0">E6/D6-1</f>
        <v>4.8198124751198224E-2</v>
      </c>
      <c r="F7" s="17">
        <f t="shared" si="0"/>
        <v>5.5390151974320734E-2</v>
      </c>
      <c r="G7" s="17">
        <f t="shared" si="0"/>
        <v>0.11702039371955486</v>
      </c>
      <c r="H7" s="17">
        <f t="shared" si="0"/>
        <v>0.14357471670861943</v>
      </c>
      <c r="I7" s="17">
        <f t="shared" si="0"/>
        <v>5.0473671435691925E-2</v>
      </c>
      <c r="J7" s="17">
        <f t="shared" si="0"/>
        <v>7.4292287711052118E-2</v>
      </c>
      <c r="K7" s="17">
        <f t="shared" si="0"/>
        <v>0.34028284711453471</v>
      </c>
      <c r="L7" s="17">
        <f t="shared" si="0"/>
        <v>0.18512278497715551</v>
      </c>
      <c r="M7" s="17">
        <f t="shared" si="0"/>
        <v>3.0813669100418384E-2</v>
      </c>
    </row>
    <row r="9" spans="1:13" x14ac:dyDescent="0.25">
      <c r="B9" s="166" t="s">
        <v>7</v>
      </c>
      <c r="C9" s="13">
        <f>IFERROR(SUM('Data Sheet'!B18,'Data Sheet'!B20:B22)-1*'Data Sheet'!B19,0)</f>
        <v>8438.98</v>
      </c>
      <c r="D9" s="13">
        <f>IFERROR(SUM('Data Sheet'!C18,'Data Sheet'!C20:C22)-1*'Data Sheet'!C19,0)</f>
        <v>9298.77</v>
      </c>
      <c r="E9" s="13">
        <f>IFERROR(SUM('Data Sheet'!D18,'Data Sheet'!D20:D22)-1*'Data Sheet'!D19,0)</f>
        <v>9413.8399999999983</v>
      </c>
      <c r="F9" s="13">
        <f>IFERROR(SUM('Data Sheet'!E18,'Data Sheet'!E20:E22)-1*'Data Sheet'!E19,0)</f>
        <v>9732.66</v>
      </c>
      <c r="G9" s="13">
        <f>IFERROR(SUM('Data Sheet'!F18,'Data Sheet'!F20:F22)-1*'Data Sheet'!F19,0)</f>
        <v>11194.169999999998</v>
      </c>
      <c r="H9" s="13">
        <f>IFERROR(SUM('Data Sheet'!G18,'Data Sheet'!G20:G22)-1*'Data Sheet'!G19,0)</f>
        <v>12905.81</v>
      </c>
      <c r="I9" s="13">
        <f>IFERROR(SUM('Data Sheet'!H18,'Data Sheet'!H20:H22)-1*'Data Sheet'!H19,0)</f>
        <v>13158.020000000002</v>
      </c>
      <c r="J9" s="13">
        <f>IFERROR(SUM('Data Sheet'!I18,'Data Sheet'!I20:I22)-1*'Data Sheet'!I19,0)</f>
        <v>14035.069999999998</v>
      </c>
      <c r="K9" s="13">
        <f>IFERROR(SUM('Data Sheet'!J18,'Data Sheet'!J20:J22)-1*'Data Sheet'!J19,0)</f>
        <v>20590.57</v>
      </c>
      <c r="L9" s="13">
        <f>IFERROR(SUM('Data Sheet'!K18,'Data Sheet'!K20:K22)-1*'Data Sheet'!K19,0)</f>
        <v>23766.7</v>
      </c>
      <c r="M9" s="13">
        <f>IFERROR(SUM('Data Sheet'!H43:K43),0)</f>
        <v>27792.940000000002</v>
      </c>
    </row>
    <row r="10" spans="1:13" x14ac:dyDescent="0.25">
      <c r="B10" s="15" t="s">
        <v>8</v>
      </c>
      <c r="C10" s="17">
        <f>C9/C6</f>
        <v>0.69056665223720715</v>
      </c>
      <c r="D10" s="17">
        <f t="shared" ref="D10:M10" si="1">D9/D6</f>
        <v>0.68296675935678053</v>
      </c>
      <c r="E10" s="17">
        <f t="shared" si="1"/>
        <v>0.65962558919916547</v>
      </c>
      <c r="F10" s="17">
        <f t="shared" si="1"/>
        <v>0.64617357998511482</v>
      </c>
      <c r="G10" s="17">
        <f t="shared" si="1"/>
        <v>0.66534736441687881</v>
      </c>
      <c r="H10" s="17">
        <f t="shared" si="1"/>
        <v>0.67077561326248825</v>
      </c>
      <c r="I10" s="17">
        <f t="shared" si="1"/>
        <v>0.65102455315727636</v>
      </c>
      <c r="J10" s="17">
        <f t="shared" si="1"/>
        <v>0.64639643270164715</v>
      </c>
      <c r="K10" s="17">
        <f t="shared" si="1"/>
        <v>0.70754860267314701</v>
      </c>
      <c r="L10" s="17">
        <f t="shared" si="1"/>
        <v>0.68911776329504926</v>
      </c>
      <c r="M10" s="17">
        <f t="shared" si="1"/>
        <v>0.78176978569847366</v>
      </c>
    </row>
    <row r="12" spans="1:13" x14ac:dyDescent="0.25">
      <c r="B12" s="167" t="s">
        <v>9</v>
      </c>
      <c r="C12" s="22">
        <f>C6-C9</f>
        <v>3781.3900000000012</v>
      </c>
      <c r="D12" s="22">
        <f t="shared" ref="D12:M12" si="2">D6-D9</f>
        <v>4316.49</v>
      </c>
      <c r="E12" s="22">
        <f t="shared" si="2"/>
        <v>4857.6500000000015</v>
      </c>
      <c r="F12" s="22">
        <f t="shared" si="2"/>
        <v>5329.33</v>
      </c>
      <c r="G12" s="22">
        <f t="shared" si="2"/>
        <v>5630.380000000001</v>
      </c>
      <c r="H12" s="22">
        <f t="shared" si="2"/>
        <v>6334.3200000000015</v>
      </c>
      <c r="I12" s="22">
        <f t="shared" si="2"/>
        <v>7053.2299999999977</v>
      </c>
      <c r="J12" s="22">
        <f t="shared" si="2"/>
        <v>7677.720000000003</v>
      </c>
      <c r="K12" s="22">
        <f t="shared" si="2"/>
        <v>8510.7099999999991</v>
      </c>
      <c r="L12" s="22">
        <f t="shared" si="2"/>
        <v>10721.889999999996</v>
      </c>
      <c r="M12" s="22">
        <f t="shared" si="2"/>
        <v>7758.3699999999953</v>
      </c>
    </row>
    <row r="13" spans="1:13" x14ac:dyDescent="0.25">
      <c r="B13" s="15" t="s">
        <v>10</v>
      </c>
      <c r="C13" s="17">
        <f>C12/C6</f>
        <v>0.30943334776279285</v>
      </c>
      <c r="D13" s="17">
        <f t="shared" ref="D13:M13" si="3">D12/D6</f>
        <v>0.31703324064321942</v>
      </c>
      <c r="E13" s="17">
        <f t="shared" si="3"/>
        <v>0.34037441080083447</v>
      </c>
      <c r="F13" s="17">
        <f t="shared" si="3"/>
        <v>0.35382642001488518</v>
      </c>
      <c r="G13" s="17">
        <f t="shared" si="3"/>
        <v>0.33465263558312119</v>
      </c>
      <c r="H13" s="17">
        <f t="shared" si="3"/>
        <v>0.3292243867375117</v>
      </c>
      <c r="I13" s="17">
        <f t="shared" si="3"/>
        <v>0.34897544684272364</v>
      </c>
      <c r="J13" s="17">
        <f t="shared" si="3"/>
        <v>0.35360356729835285</v>
      </c>
      <c r="K13" s="17">
        <f t="shared" si="3"/>
        <v>0.29245139732685294</v>
      </c>
      <c r="L13" s="17">
        <f t="shared" si="3"/>
        <v>0.31088223670495074</v>
      </c>
      <c r="M13" s="17">
        <f t="shared" si="3"/>
        <v>0.21823021430152634</v>
      </c>
    </row>
    <row r="15" spans="1:13" x14ac:dyDescent="0.25">
      <c r="B15" s="166" t="s">
        <v>11</v>
      </c>
      <c r="C15" s="12">
        <f>IFERROR(SUM('Data Sheet'!B23:B24),0)</f>
        <v>1777.7299999999998</v>
      </c>
      <c r="D15" s="12">
        <f>IFERROR(SUM('Data Sheet'!C23:C24),0)</f>
        <v>2073.6</v>
      </c>
      <c r="E15" s="12">
        <f>IFERROR(SUM('Data Sheet'!D23:D24),0)</f>
        <v>2132.61</v>
      </c>
      <c r="F15" s="12">
        <f>IFERROR(SUM('Data Sheet'!E23:E24),0)</f>
        <v>2335.5699999999997</v>
      </c>
      <c r="G15" s="12">
        <f>IFERROR(SUM('Data Sheet'!F23:F24),0)</f>
        <v>2426.37</v>
      </c>
      <c r="H15" s="12">
        <f>IFERROR(SUM('Data Sheet'!G23:G24),0)</f>
        <v>2569.38</v>
      </c>
      <c r="I15" s="12">
        <f>IFERROR(SUM('Data Sheet'!H23:H24),0)</f>
        <v>2896.4100000000003</v>
      </c>
      <c r="J15" s="12">
        <f>IFERROR(SUM('Data Sheet'!I23:I24),0)</f>
        <v>2822.12</v>
      </c>
      <c r="K15" s="12">
        <f>IFERROR(SUM('Data Sheet'!J23:J24),0)</f>
        <v>3707.1</v>
      </c>
      <c r="L15" s="12">
        <f>IFERROR(SUM('Data Sheet'!K23:K24),0)</f>
        <v>4462.05</v>
      </c>
    </row>
    <row r="16" spans="1:13" x14ac:dyDescent="0.25">
      <c r="B16" s="15" t="s">
        <v>12</v>
      </c>
      <c r="C16" s="17">
        <f>C15/C6</f>
        <v>0.14547268208736722</v>
      </c>
      <c r="D16" s="17">
        <f t="shared" ref="D16:M16" si="4">D15/D6</f>
        <v>0.15229969901419435</v>
      </c>
      <c r="E16" s="17">
        <f t="shared" si="4"/>
        <v>0.14943148893353111</v>
      </c>
      <c r="F16" s="17">
        <f t="shared" si="4"/>
        <v>0.15506383950593511</v>
      </c>
      <c r="G16" s="17">
        <f t="shared" si="4"/>
        <v>0.14421604143944414</v>
      </c>
      <c r="H16" s="17">
        <f t="shared" si="4"/>
        <v>0.13354275672773522</v>
      </c>
      <c r="I16" s="17">
        <f t="shared" si="4"/>
        <v>0.14330682169583772</v>
      </c>
      <c r="J16" s="17">
        <f t="shared" si="4"/>
        <v>0.12997500551518251</v>
      </c>
      <c r="K16" s="17">
        <f t="shared" si="4"/>
        <v>0.1273861493377611</v>
      </c>
      <c r="L16" s="17">
        <f t="shared" si="4"/>
        <v>0.12937757095897515</v>
      </c>
      <c r="M16" s="17">
        <f t="shared" si="4"/>
        <v>0</v>
      </c>
    </row>
    <row r="18" spans="2:13" x14ac:dyDescent="0.25">
      <c r="B18" s="167" t="s">
        <v>13</v>
      </c>
      <c r="C18" s="22">
        <f t="shared" ref="C18:M18" si="5">C12-C15</f>
        <v>2003.6600000000014</v>
      </c>
      <c r="D18" s="22">
        <f t="shared" si="5"/>
        <v>2242.89</v>
      </c>
      <c r="E18" s="22">
        <f t="shared" si="5"/>
        <v>2725.0400000000013</v>
      </c>
      <c r="F18" s="22">
        <f t="shared" si="5"/>
        <v>2993.76</v>
      </c>
      <c r="G18" s="22">
        <f t="shared" si="5"/>
        <v>3204.0100000000011</v>
      </c>
      <c r="H18" s="22">
        <f t="shared" si="5"/>
        <v>3764.9400000000014</v>
      </c>
      <c r="I18" s="22">
        <f t="shared" si="5"/>
        <v>4156.8199999999979</v>
      </c>
      <c r="J18" s="22">
        <f t="shared" si="5"/>
        <v>4855.6000000000031</v>
      </c>
      <c r="K18" s="22">
        <f t="shared" si="5"/>
        <v>4803.6099999999988</v>
      </c>
      <c r="L18" s="22">
        <f t="shared" si="5"/>
        <v>6259.8399999999956</v>
      </c>
      <c r="M18" s="22">
        <f t="shared" si="5"/>
        <v>7758.3699999999953</v>
      </c>
    </row>
    <row r="19" spans="2:13" x14ac:dyDescent="0.25">
      <c r="B19" s="15" t="s">
        <v>14</v>
      </c>
      <c r="C19" s="17">
        <f>C18/C6</f>
        <v>0.16396066567542564</v>
      </c>
      <c r="D19" s="17">
        <f t="shared" ref="D19:M19" si="6">D18/D6</f>
        <v>0.16473354162902507</v>
      </c>
      <c r="E19" s="17">
        <f t="shared" si="6"/>
        <v>0.19094292186730338</v>
      </c>
      <c r="F19" s="17">
        <f t="shared" si="6"/>
        <v>0.19876258050895004</v>
      </c>
      <c r="G19" s="17">
        <f t="shared" si="6"/>
        <v>0.19043659414367703</v>
      </c>
      <c r="H19" s="17">
        <f t="shared" si="6"/>
        <v>0.19568163000977651</v>
      </c>
      <c r="I19" s="17">
        <f t="shared" si="6"/>
        <v>0.20566862514688591</v>
      </c>
      <c r="J19" s="17">
        <f t="shared" si="6"/>
        <v>0.22362856178317034</v>
      </c>
      <c r="K19" s="17">
        <f t="shared" si="6"/>
        <v>0.16506524798909186</v>
      </c>
      <c r="L19" s="17">
        <f t="shared" si="6"/>
        <v>0.1815046657459756</v>
      </c>
      <c r="M19" s="17">
        <f t="shared" si="6"/>
        <v>0.21823021430152634</v>
      </c>
    </row>
    <row r="21" spans="2:13" x14ac:dyDescent="0.25">
      <c r="B21" s="166" t="s">
        <v>17</v>
      </c>
      <c r="C21" s="12">
        <f>IFERROR('Data Sheet'!B26,0)</f>
        <v>245.66</v>
      </c>
      <c r="D21" s="12">
        <f>IFERROR('Data Sheet'!C26,0)</f>
        <v>265.92</v>
      </c>
      <c r="E21" s="12">
        <f>IFERROR('Data Sheet'!D26,0)</f>
        <v>275.58</v>
      </c>
      <c r="F21" s="12">
        <f>IFERROR('Data Sheet'!E26,0)</f>
        <v>334.79</v>
      </c>
      <c r="G21" s="12">
        <f>IFERROR('Data Sheet'!F26,0)</f>
        <v>360.47</v>
      </c>
      <c r="H21" s="12">
        <f>IFERROR('Data Sheet'!G26,0)</f>
        <v>622.14</v>
      </c>
      <c r="I21" s="12">
        <f>IFERROR('Data Sheet'!H26,0)</f>
        <v>780.5</v>
      </c>
      <c r="J21" s="12">
        <f>IFERROR('Data Sheet'!I26,0)</f>
        <v>791.27</v>
      </c>
      <c r="K21" s="12">
        <f>IFERROR('Data Sheet'!J26,0)</f>
        <v>816.36</v>
      </c>
      <c r="L21" s="12">
        <f>IFERROR('Data Sheet'!K26,0)</f>
        <v>858.02</v>
      </c>
      <c r="M21" s="12">
        <f>IFERROR(SUM('Data Sheet'!H45:K45),0)</f>
        <v>847.56000000000006</v>
      </c>
    </row>
    <row r="22" spans="2:13" x14ac:dyDescent="0.25">
      <c r="B22" s="15" t="s">
        <v>18</v>
      </c>
      <c r="C22" s="17">
        <f t="shared" ref="C22:M22" si="7">C21/C6</f>
        <v>2.0102500988104288E-2</v>
      </c>
      <c r="D22" s="17">
        <f t="shared" si="7"/>
        <v>1.953102621617215E-2</v>
      </c>
      <c r="E22" s="17">
        <f t="shared" si="7"/>
        <v>1.9309826794539322E-2</v>
      </c>
      <c r="F22" s="17">
        <f t="shared" si="7"/>
        <v>2.2227474590011016E-2</v>
      </c>
      <c r="G22" s="17">
        <f t="shared" si="7"/>
        <v>2.1425238713665449E-2</v>
      </c>
      <c r="H22" s="17">
        <f t="shared" si="7"/>
        <v>3.2335540352378074E-2</v>
      </c>
      <c r="I22" s="17">
        <f t="shared" si="7"/>
        <v>3.8617106809326486E-2</v>
      </c>
      <c r="J22" s="17">
        <f t="shared" si="7"/>
        <v>3.6442576011650275E-2</v>
      </c>
      <c r="K22" s="17">
        <f t="shared" si="7"/>
        <v>2.8052374328551871E-2</v>
      </c>
      <c r="L22" s="17">
        <f t="shared" si="7"/>
        <v>2.4878372818372688E-2</v>
      </c>
      <c r="M22" s="17">
        <f t="shared" si="7"/>
        <v>2.3840471701324091E-2</v>
      </c>
    </row>
    <row r="23" spans="2:13" x14ac:dyDescent="0.25"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2:13" x14ac:dyDescent="0.25">
      <c r="B24" s="167" t="s">
        <v>381</v>
      </c>
      <c r="C24" s="22">
        <f t="shared" ref="C24:M24" si="8">C18-C21</f>
        <v>1758.0000000000014</v>
      </c>
      <c r="D24" s="22">
        <f t="shared" si="8"/>
        <v>1976.9699999999998</v>
      </c>
      <c r="E24" s="22">
        <f t="shared" si="8"/>
        <v>2449.4600000000014</v>
      </c>
      <c r="F24" s="22">
        <f t="shared" si="8"/>
        <v>2658.9700000000003</v>
      </c>
      <c r="G24" s="22">
        <f t="shared" si="8"/>
        <v>2843.5400000000009</v>
      </c>
      <c r="H24" s="22">
        <f t="shared" si="8"/>
        <v>3142.8000000000015</v>
      </c>
      <c r="I24" s="22">
        <f t="shared" si="8"/>
        <v>3376.3199999999979</v>
      </c>
      <c r="J24" s="22">
        <f t="shared" si="8"/>
        <v>4064.3300000000031</v>
      </c>
      <c r="K24" s="22">
        <f t="shared" si="8"/>
        <v>3987.2499999999986</v>
      </c>
      <c r="L24" s="22">
        <f t="shared" si="8"/>
        <v>5401.8199999999961</v>
      </c>
      <c r="M24" s="22">
        <f t="shared" si="8"/>
        <v>6910.8099999999949</v>
      </c>
    </row>
    <row r="25" spans="2:13" x14ac:dyDescent="0.25">
      <c r="B25" s="15" t="s">
        <v>382</v>
      </c>
      <c r="C25" s="17">
        <f>C24/C6</f>
        <v>0.14385816468732135</v>
      </c>
      <c r="D25" s="17">
        <f t="shared" ref="D25:M25" si="9">D24/D6</f>
        <v>0.14520251541285292</v>
      </c>
      <c r="E25" s="17">
        <f t="shared" si="9"/>
        <v>0.17163309507276406</v>
      </c>
      <c r="F25" s="17">
        <f t="shared" si="9"/>
        <v>0.17653510591893901</v>
      </c>
      <c r="G25" s="17">
        <f t="shared" si="9"/>
        <v>0.16901135543001156</v>
      </c>
      <c r="H25" s="17">
        <f t="shared" si="9"/>
        <v>0.16334608965739844</v>
      </c>
      <c r="I25" s="17">
        <f t="shared" si="9"/>
        <v>0.16705151833755943</v>
      </c>
      <c r="J25" s="17">
        <f t="shared" si="9"/>
        <v>0.18718598577152007</v>
      </c>
      <c r="K25" s="17">
        <f t="shared" si="9"/>
        <v>0.13701287366053996</v>
      </c>
      <c r="L25" s="17">
        <f t="shared" si="9"/>
        <v>0.15662629292760291</v>
      </c>
      <c r="M25" s="17">
        <f t="shared" si="9"/>
        <v>0.19438974260020223</v>
      </c>
    </row>
    <row r="26" spans="2:13" x14ac:dyDescent="0.25"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x14ac:dyDescent="0.25">
      <c r="B27" s="166" t="s">
        <v>180</v>
      </c>
      <c r="C27" s="12">
        <f>IFERROR('Data Sheet'!B25,0)</f>
        <v>124.26</v>
      </c>
      <c r="D27" s="12">
        <f>IFERROR('Data Sheet'!C25,0)</f>
        <v>142.13999999999999</v>
      </c>
      <c r="E27" s="12">
        <f>IFERROR('Data Sheet'!D25,0)</f>
        <v>213.39</v>
      </c>
      <c r="F27" s="12">
        <f>IFERROR('Data Sheet'!E25,0)</f>
        <v>337.9</v>
      </c>
      <c r="G27" s="12">
        <f>IFERROR('Data Sheet'!F25,0)</f>
        <v>336.41</v>
      </c>
      <c r="H27" s="12">
        <f>IFERROR('Data Sheet'!G25,0)</f>
        <v>273.77</v>
      </c>
      <c r="I27" s="12">
        <f>IFERROR('Data Sheet'!H25,0)</f>
        <v>355.05</v>
      </c>
      <c r="J27" s="12">
        <f>IFERROR('Data Sheet'!I25,0)</f>
        <v>331.65</v>
      </c>
      <c r="K27" s="12">
        <f>IFERROR('Data Sheet'!J25,0)</f>
        <v>295.88</v>
      </c>
      <c r="L27" s="12">
        <f>IFERROR('Data Sheet'!K25,0)</f>
        <v>431.46</v>
      </c>
      <c r="M27" s="12">
        <f>IFERROR(SUM('Data Sheet'!H44:K44),0)</f>
        <v>712.7</v>
      </c>
    </row>
    <row r="28" spans="2:13" x14ac:dyDescent="0.25">
      <c r="B28" s="15" t="s">
        <v>380</v>
      </c>
      <c r="C28" s="17">
        <f>C27/C6</f>
        <v>1.0168268227557758E-2</v>
      </c>
      <c r="D28" s="17">
        <f t="shared" ref="D28:M28" si="10">D27/D6</f>
        <v>1.0439756567263496E-2</v>
      </c>
      <c r="E28" s="17">
        <f t="shared" si="10"/>
        <v>1.4952187893485543E-2</v>
      </c>
      <c r="F28" s="17">
        <f t="shared" si="10"/>
        <v>2.2433954610247383E-2</v>
      </c>
      <c r="G28" s="17">
        <f t="shared" si="10"/>
        <v>1.9995185606747286E-2</v>
      </c>
      <c r="H28" s="17">
        <f t="shared" si="10"/>
        <v>1.422911383654892E-2</v>
      </c>
      <c r="I28" s="17">
        <f t="shared" si="10"/>
        <v>1.7566949100129878E-2</v>
      </c>
      <c r="J28" s="17">
        <f t="shared" si="10"/>
        <v>1.5274407388456295E-2</v>
      </c>
      <c r="K28" s="17">
        <f t="shared" si="10"/>
        <v>1.0167250375241226E-2</v>
      </c>
      <c r="L28" s="17">
        <f t="shared" si="10"/>
        <v>1.2510224395952401E-2</v>
      </c>
      <c r="M28" s="17">
        <f t="shared" si="10"/>
        <v>2.0047081246795127E-2</v>
      </c>
    </row>
    <row r="29" spans="2:13" x14ac:dyDescent="0.25"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2:13" x14ac:dyDescent="0.25">
      <c r="B30" s="166" t="s">
        <v>15</v>
      </c>
      <c r="C30" s="12">
        <f>IFERROR('Data Sheet'!B27,0)</f>
        <v>47.99</v>
      </c>
      <c r="D30" s="12">
        <f>IFERROR('Data Sheet'!C27,0)</f>
        <v>42.24</v>
      </c>
      <c r="E30" s="12">
        <f>IFERROR('Data Sheet'!D27,0)</f>
        <v>49</v>
      </c>
      <c r="F30" s="12">
        <f>IFERROR('Data Sheet'!E27,0)</f>
        <v>37.33</v>
      </c>
      <c r="G30" s="12">
        <f>IFERROR('Data Sheet'!F27,0)</f>
        <v>41.47</v>
      </c>
      <c r="H30" s="12">
        <f>IFERROR('Data Sheet'!G27,0)</f>
        <v>110.47</v>
      </c>
      <c r="I30" s="12">
        <f>IFERROR('Data Sheet'!H27,0)</f>
        <v>102.33</v>
      </c>
      <c r="J30" s="12">
        <f>IFERROR('Data Sheet'!I27,0)</f>
        <v>91.63</v>
      </c>
      <c r="K30" s="12">
        <f>IFERROR('Data Sheet'!J27,0)</f>
        <v>95.41</v>
      </c>
      <c r="L30" s="12">
        <f>IFERROR('Data Sheet'!K27,0)</f>
        <v>144.44999999999999</v>
      </c>
      <c r="M30" s="12">
        <f>IFERROR(SUM('Data Sheet'!H46:K46),0)</f>
        <v>189.98000000000002</v>
      </c>
    </row>
    <row r="31" spans="2:13" x14ac:dyDescent="0.25">
      <c r="B31" s="15" t="s">
        <v>16</v>
      </c>
      <c r="C31" s="17">
        <f t="shared" ref="C31:M31" si="11">C30/C6</f>
        <v>3.9270496719821081E-3</v>
      </c>
      <c r="D31" s="17">
        <f t="shared" si="11"/>
        <v>3.1024012762150706E-3</v>
      </c>
      <c r="E31" s="17">
        <f t="shared" si="11"/>
        <v>3.4334186549547386E-3</v>
      </c>
      <c r="F31" s="17">
        <f t="shared" si="11"/>
        <v>2.4784241657310885E-3</v>
      </c>
      <c r="G31" s="17">
        <f t="shared" si="11"/>
        <v>2.4648504714836358E-3</v>
      </c>
      <c r="H31" s="17">
        <f t="shared" si="11"/>
        <v>5.7416451967840128E-3</v>
      </c>
      <c r="I31" s="17">
        <f t="shared" si="11"/>
        <v>5.0630218319005502E-3</v>
      </c>
      <c r="J31" s="17">
        <f t="shared" si="11"/>
        <v>4.2200933182700148E-3</v>
      </c>
      <c r="K31" s="17">
        <f t="shared" si="11"/>
        <v>3.2785499469439143E-3</v>
      </c>
      <c r="L31" s="17">
        <f t="shared" si="11"/>
        <v>4.1883417095335005E-3</v>
      </c>
      <c r="M31" s="17">
        <f t="shared" si="11"/>
        <v>5.3438255861739002E-3</v>
      </c>
    </row>
    <row r="33" spans="2:13" x14ac:dyDescent="0.25">
      <c r="B33" s="167" t="s">
        <v>19</v>
      </c>
      <c r="C33" s="23">
        <f>IFERROR(C24+C27-C30,0)</f>
        <v>1834.2700000000013</v>
      </c>
      <c r="D33" s="23">
        <f t="shared" ref="D33:M33" si="12">IFERROR(D24+D27-D30,0)</f>
        <v>2076.87</v>
      </c>
      <c r="E33" s="23">
        <f t="shared" si="12"/>
        <v>2613.8500000000013</v>
      </c>
      <c r="F33" s="23">
        <f t="shared" si="12"/>
        <v>2959.5400000000004</v>
      </c>
      <c r="G33" s="23">
        <f t="shared" si="12"/>
        <v>3138.4800000000009</v>
      </c>
      <c r="H33" s="23">
        <f t="shared" si="12"/>
        <v>3306.1000000000017</v>
      </c>
      <c r="I33" s="23">
        <f t="shared" si="12"/>
        <v>3629.0399999999981</v>
      </c>
      <c r="J33" s="23">
        <f t="shared" si="12"/>
        <v>4304.3500000000031</v>
      </c>
      <c r="K33" s="23">
        <f t="shared" si="12"/>
        <v>4187.7199999999984</v>
      </c>
      <c r="L33" s="23">
        <f t="shared" si="12"/>
        <v>5688.8299999999963</v>
      </c>
      <c r="M33" s="23">
        <f t="shared" si="12"/>
        <v>7433.5299999999952</v>
      </c>
    </row>
    <row r="34" spans="2:13" x14ac:dyDescent="0.25">
      <c r="B34" s="15" t="s">
        <v>20</v>
      </c>
      <c r="C34" s="17">
        <f t="shared" ref="C34:M34" si="13">C33/C6</f>
        <v>0.15009938324289701</v>
      </c>
      <c r="D34" s="17">
        <f t="shared" si="13"/>
        <v>0.15253987070390135</v>
      </c>
      <c r="E34" s="17">
        <f t="shared" si="13"/>
        <v>0.18315186431129485</v>
      </c>
      <c r="F34" s="17">
        <f t="shared" si="13"/>
        <v>0.19649063636345532</v>
      </c>
      <c r="G34" s="17">
        <f t="shared" si="13"/>
        <v>0.18654169056527523</v>
      </c>
      <c r="H34" s="17">
        <f t="shared" si="13"/>
        <v>0.17183355829716335</v>
      </c>
      <c r="I34" s="17">
        <f t="shared" si="13"/>
        <v>0.17955544560578876</v>
      </c>
      <c r="J34" s="17">
        <f t="shared" si="13"/>
        <v>0.19824029984170632</v>
      </c>
      <c r="K34" s="17">
        <f t="shared" si="13"/>
        <v>0.14390157408883728</v>
      </c>
      <c r="L34" s="17">
        <f t="shared" si="13"/>
        <v>0.16494817561402181</v>
      </c>
      <c r="M34" s="17">
        <f t="shared" si="13"/>
        <v>0.20909299826082345</v>
      </c>
    </row>
    <row r="36" spans="2:13" x14ac:dyDescent="0.25">
      <c r="B36" s="166" t="s">
        <v>21</v>
      </c>
      <c r="C36" s="13">
        <f>IFERROR('Data Sheet'!B29,0)</f>
        <v>571.51</v>
      </c>
      <c r="D36" s="13">
        <f>IFERROR('Data Sheet'!C29,0)</f>
        <v>649.54</v>
      </c>
      <c r="E36" s="13">
        <f>IFERROR('Data Sheet'!D29,0)</f>
        <v>844.49</v>
      </c>
      <c r="F36" s="13">
        <f>IFERROR('Data Sheet'!E29,0)</f>
        <v>943.29</v>
      </c>
      <c r="G36" s="13">
        <f>IFERROR('Data Sheet'!F29,0)</f>
        <v>1040.96</v>
      </c>
      <c r="H36" s="13">
        <f>IFERROR('Data Sheet'!G29,0)</f>
        <v>1098.06</v>
      </c>
      <c r="I36" s="13">
        <f>IFERROR('Data Sheet'!H29,0)</f>
        <v>854.85</v>
      </c>
      <c r="J36" s="13">
        <f>IFERROR('Data Sheet'!I29,0)</f>
        <v>1097.5999999999999</v>
      </c>
      <c r="K36" s="13">
        <f>IFERROR('Data Sheet'!J29,0)</f>
        <v>1102.9100000000001</v>
      </c>
      <c r="L36" s="13">
        <f>IFERROR('Data Sheet'!K29,0)</f>
        <v>1493.5</v>
      </c>
      <c r="M36" s="13">
        <f>IFERROR(SUM('Data Sheet'!H48:K48),0)</f>
        <v>1892.73</v>
      </c>
    </row>
    <row r="37" spans="2:13" x14ac:dyDescent="0.25">
      <c r="B37" s="15" t="s">
        <v>22</v>
      </c>
      <c r="C37" s="17">
        <f>C36/C33</f>
        <v>0.3115735415178788</v>
      </c>
      <c r="D37" s="17">
        <f t="shared" ref="D37:M37" si="14">D36/D33</f>
        <v>0.31274947396803843</v>
      </c>
      <c r="E37" s="17">
        <f t="shared" si="14"/>
        <v>0.32308280888344765</v>
      </c>
      <c r="F37" s="17">
        <f t="shared" si="14"/>
        <v>0.31872858619920658</v>
      </c>
      <c r="G37" s="17">
        <f t="shared" si="14"/>
        <v>0.33167648033442931</v>
      </c>
      <c r="H37" s="17">
        <f t="shared" si="14"/>
        <v>0.33213151447324624</v>
      </c>
      <c r="I37" s="17">
        <f t="shared" si="14"/>
        <v>0.23555816414258329</v>
      </c>
      <c r="J37" s="17">
        <f t="shared" si="14"/>
        <v>0.25499785101118616</v>
      </c>
      <c r="K37" s="17">
        <f t="shared" si="14"/>
        <v>0.26336765590822703</v>
      </c>
      <c r="L37" s="17">
        <f t="shared" si="14"/>
        <v>0.26253201449155644</v>
      </c>
      <c r="M37" s="17">
        <f t="shared" si="14"/>
        <v>0.25462061766078853</v>
      </c>
    </row>
    <row r="39" spans="2:13" x14ac:dyDescent="0.25">
      <c r="B39" s="167" t="s">
        <v>23</v>
      </c>
      <c r="C39" s="23">
        <f>C33-C36</f>
        <v>1262.7600000000014</v>
      </c>
      <c r="D39" s="23">
        <f t="shared" ref="D39:M39" si="15">D33-D36</f>
        <v>1427.33</v>
      </c>
      <c r="E39" s="23">
        <f t="shared" si="15"/>
        <v>1769.3600000000013</v>
      </c>
      <c r="F39" s="23">
        <f t="shared" si="15"/>
        <v>2016.2500000000005</v>
      </c>
      <c r="G39" s="23">
        <f t="shared" si="15"/>
        <v>2097.5200000000009</v>
      </c>
      <c r="H39" s="23">
        <f t="shared" si="15"/>
        <v>2208.0400000000018</v>
      </c>
      <c r="I39" s="23">
        <f t="shared" si="15"/>
        <v>2774.1899999999982</v>
      </c>
      <c r="J39" s="23">
        <f t="shared" si="15"/>
        <v>3206.7500000000032</v>
      </c>
      <c r="K39" s="23">
        <f t="shared" si="15"/>
        <v>3084.8099999999986</v>
      </c>
      <c r="L39" s="23">
        <f t="shared" si="15"/>
        <v>4195.3299999999963</v>
      </c>
      <c r="M39" s="23">
        <f t="shared" si="15"/>
        <v>5540.7999999999956</v>
      </c>
    </row>
    <row r="40" spans="2:13" x14ac:dyDescent="0.25">
      <c r="B40" s="15" t="s">
        <v>24</v>
      </c>
      <c r="C40" s="17">
        <f t="shared" ref="C40:M40" si="16">C39/C6</f>
        <v>0.10333238682625823</v>
      </c>
      <c r="D40" s="17">
        <f t="shared" si="16"/>
        <v>0.10483310638210361</v>
      </c>
      <c r="E40" s="17">
        <f t="shared" si="16"/>
        <v>0.12397864553736164</v>
      </c>
      <c r="F40" s="17">
        <f t="shared" si="16"/>
        <v>0.1338634536339488</v>
      </c>
      <c r="G40" s="17">
        <f t="shared" si="16"/>
        <v>0.12467019920295051</v>
      </c>
      <c r="H40" s="17">
        <f t="shared" si="16"/>
        <v>0.11476221834259964</v>
      </c>
      <c r="I40" s="17">
        <f t="shared" si="16"/>
        <v>0.13725969447708569</v>
      </c>
      <c r="J40" s="17">
        <f t="shared" si="16"/>
        <v>0.14768944939825804</v>
      </c>
      <c r="K40" s="17">
        <f t="shared" si="16"/>
        <v>0.10600255383955616</v>
      </c>
      <c r="L40" s="17">
        <f t="shared" si="16"/>
        <v>0.12164399878336565</v>
      </c>
      <c r="M40" s="17">
        <f t="shared" si="16"/>
        <v>0.15585360989510644</v>
      </c>
    </row>
    <row r="42" spans="2:13" x14ac:dyDescent="0.25">
      <c r="B42" s="166" t="s">
        <v>25</v>
      </c>
      <c r="C42">
        <f>IFERROR('Data Sheet'!B93,0)</f>
        <v>95.92</v>
      </c>
      <c r="D42">
        <f>IFERROR('Data Sheet'!C93,0)</f>
        <v>95.92</v>
      </c>
      <c r="E42">
        <f>IFERROR('Data Sheet'!D93,0)</f>
        <v>95.92</v>
      </c>
      <c r="F42">
        <f>IFERROR('Data Sheet'!E93,0)</f>
        <v>95.92</v>
      </c>
      <c r="G42">
        <f>IFERROR('Data Sheet'!F93,0)</f>
        <v>95.92</v>
      </c>
      <c r="H42">
        <f>IFERROR('Data Sheet'!G93,0)</f>
        <v>95.92</v>
      </c>
      <c r="I42">
        <f>IFERROR('Data Sheet'!H93,0)</f>
        <v>95.92</v>
      </c>
      <c r="J42">
        <f>IFERROR('Data Sheet'!I93,0)</f>
        <v>95.92</v>
      </c>
      <c r="K42">
        <f>IFERROR('Data Sheet'!J93,0)</f>
        <v>95.92</v>
      </c>
      <c r="L42">
        <f>IFERROR('Data Sheet'!K93,0)</f>
        <v>95.92</v>
      </c>
      <c r="M42">
        <f>L42</f>
        <v>95.92</v>
      </c>
    </row>
    <row r="44" spans="2:13" x14ac:dyDescent="0.25">
      <c r="B44" s="166" t="s">
        <v>26</v>
      </c>
      <c r="C44" s="13">
        <f>IFERROR(C39/C42,0)</f>
        <v>13.164720600500431</v>
      </c>
      <c r="D44" s="13">
        <f t="shared" ref="D44:M44" si="17">IFERROR(D39/D42,0)</f>
        <v>14.880421184320266</v>
      </c>
      <c r="E44" s="13">
        <f t="shared" si="17"/>
        <v>18.446205170975826</v>
      </c>
      <c r="F44" s="13">
        <f t="shared" si="17"/>
        <v>21.020120934111763</v>
      </c>
      <c r="G44" s="13">
        <f t="shared" si="17"/>
        <v>21.867389491242712</v>
      </c>
      <c r="H44" s="13">
        <f t="shared" si="17"/>
        <v>23.019599666388675</v>
      </c>
      <c r="I44" s="13">
        <f t="shared" si="17"/>
        <v>28.921914095079213</v>
      </c>
      <c r="J44" s="13">
        <f t="shared" si="17"/>
        <v>33.431505421184355</v>
      </c>
      <c r="K44" s="13">
        <f t="shared" si="17"/>
        <v>32.160237698081723</v>
      </c>
      <c r="L44" s="13">
        <f t="shared" si="17"/>
        <v>43.737802335279362</v>
      </c>
      <c r="M44" s="13">
        <f t="shared" si="17"/>
        <v>57.764804003336067</v>
      </c>
    </row>
    <row r="45" spans="2:13" x14ac:dyDescent="0.25">
      <c r="B45" s="15" t="s">
        <v>27</v>
      </c>
      <c r="C45" s="17"/>
      <c r="D45" s="17">
        <f>IFERROR(D44/C44-1,0)</f>
        <v>0.13032563590864332</v>
      </c>
      <c r="E45" s="17">
        <f t="shared" ref="E45:M45" si="18">IFERROR(E44/D44-1,0)</f>
        <v>0.23962923780765588</v>
      </c>
      <c r="F45" s="17">
        <f t="shared" si="18"/>
        <v>0.13953632952027784</v>
      </c>
      <c r="G45" s="17">
        <f t="shared" si="18"/>
        <v>4.0307501549907254E-2</v>
      </c>
      <c r="H45" s="17">
        <f t="shared" si="18"/>
        <v>5.2690796750448632E-2</v>
      </c>
      <c r="I45" s="17">
        <f t="shared" si="18"/>
        <v>0.25640386949511607</v>
      </c>
      <c r="J45" s="17">
        <f t="shared" si="18"/>
        <v>0.15592299013405908</v>
      </c>
      <c r="K45" s="17">
        <f t="shared" si="18"/>
        <v>-3.8026038824356179E-2</v>
      </c>
      <c r="L45" s="17">
        <f t="shared" si="18"/>
        <v>0.35999623963874527</v>
      </c>
      <c r="M45" s="17">
        <f t="shared" si="18"/>
        <v>0.32070659519036648</v>
      </c>
    </row>
    <row r="47" spans="2:13" x14ac:dyDescent="0.25">
      <c r="B47" s="166" t="s">
        <v>28</v>
      </c>
      <c r="C47" s="13">
        <f>IFERROR('Data Sheet'!B31/'Historical FS'!C42,0)</f>
        <v>5.3000417014178485</v>
      </c>
      <c r="D47" s="13">
        <f>IFERROR('Data Sheet'!C31/'Historical FS'!D42,0)</f>
        <v>6.0999791492910758</v>
      </c>
      <c r="E47" s="13">
        <f>IFERROR('Data Sheet'!D31/'Historical FS'!E42,0)</f>
        <v>7.5</v>
      </c>
      <c r="F47" s="13">
        <f>IFERROR('Data Sheet'!E31/'Historical FS'!F42,0)</f>
        <v>10.300041701417848</v>
      </c>
      <c r="G47" s="13">
        <f>IFERROR('Data Sheet'!F31/'Historical FS'!G42,0)</f>
        <v>8.6999582985821515</v>
      </c>
      <c r="H47" s="13">
        <f>IFERROR('Data Sheet'!G31/'Historical FS'!H42,0)</f>
        <v>10.5</v>
      </c>
      <c r="I47" s="13">
        <f>IFERROR('Data Sheet'!H31/'Historical FS'!I42,0)</f>
        <v>12</v>
      </c>
      <c r="J47" s="13">
        <f>IFERROR('Data Sheet'!I31/'Historical FS'!J42,0)</f>
        <v>17.849979149291077</v>
      </c>
      <c r="K47" s="13">
        <f>IFERROR('Data Sheet'!J31/'Historical FS'!K42,0)</f>
        <v>19.150020850708923</v>
      </c>
      <c r="L47" s="13">
        <f>IFERROR('Data Sheet'!K31/'Historical FS'!L42,0)</f>
        <v>25.650020850708923</v>
      </c>
      <c r="M47" s="13">
        <f>IFERROR('Data Sheet'!L31/'Historical FS'!M42,0)</f>
        <v>0</v>
      </c>
    </row>
    <row r="48" spans="2:13" x14ac:dyDescent="0.25">
      <c r="B48" s="15" t="s">
        <v>29</v>
      </c>
      <c r="C48" s="17">
        <f>IFERROR(C47/C44,0)</f>
        <v>0.40259431720992073</v>
      </c>
      <c r="D48" s="17">
        <f t="shared" ref="D48:M48" si="19">IFERROR(D47/D44,0)</f>
        <v>0.40993323197858944</v>
      </c>
      <c r="E48" s="17">
        <f t="shared" si="19"/>
        <v>0.40658769272505285</v>
      </c>
      <c r="F48" s="17">
        <f t="shared" si="19"/>
        <v>0.49000867947923121</v>
      </c>
      <c r="G48" s="17">
        <f t="shared" si="19"/>
        <v>0.3978507952248368</v>
      </c>
      <c r="H48" s="17">
        <f t="shared" si="19"/>
        <v>0.45613304106809621</v>
      </c>
      <c r="I48" s="17">
        <f t="shared" si="19"/>
        <v>0.41491029814107933</v>
      </c>
      <c r="J48" s="17">
        <f t="shared" si="19"/>
        <v>0.53392687300226038</v>
      </c>
      <c r="K48" s="17">
        <f t="shared" si="19"/>
        <v>0.59545644626411376</v>
      </c>
      <c r="L48" s="17">
        <f t="shared" si="19"/>
        <v>0.58644969525639268</v>
      </c>
      <c r="M48" s="17">
        <f t="shared" si="19"/>
        <v>0</v>
      </c>
    </row>
    <row r="50" spans="1:13" x14ac:dyDescent="0.25">
      <c r="B50" s="166" t="s">
        <v>30</v>
      </c>
      <c r="C50" s="14">
        <f>IFERROR(IF(C44&gt;C47,1-C48,0),0)</f>
        <v>0.59740568279007933</v>
      </c>
      <c r="D50" s="14">
        <f t="shared" ref="D50:M50" si="20">IFERROR(IF(D44&gt;D47,1-D48,0),0)</f>
        <v>0.59006676802141056</v>
      </c>
      <c r="E50" s="14">
        <f t="shared" si="20"/>
        <v>0.59341230727494709</v>
      </c>
      <c r="F50" s="14">
        <f t="shared" si="20"/>
        <v>0.50999132052076879</v>
      </c>
      <c r="G50" s="14">
        <f t="shared" si="20"/>
        <v>0.6021492047751632</v>
      </c>
      <c r="H50" s="14">
        <f t="shared" si="20"/>
        <v>0.54386695893190384</v>
      </c>
      <c r="I50" s="14">
        <f t="shared" si="20"/>
        <v>0.58508970185892073</v>
      </c>
      <c r="J50" s="14">
        <f t="shared" si="20"/>
        <v>0.46607312699773962</v>
      </c>
      <c r="K50" s="14">
        <f t="shared" si="20"/>
        <v>0.40454355373588624</v>
      </c>
      <c r="L50" s="14">
        <f t="shared" si="20"/>
        <v>0.41355030474360732</v>
      </c>
      <c r="M50" s="14">
        <f t="shared" si="20"/>
        <v>1</v>
      </c>
    </row>
    <row r="52" spans="1:13" x14ac:dyDescent="0.25">
      <c r="A52" t="s">
        <v>2</v>
      </c>
      <c r="B52" s="18" t="s">
        <v>31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spans="1:13" x14ac:dyDescent="0.25">
      <c r="B53" s="168" t="s">
        <v>32</v>
      </c>
      <c r="C53" s="13">
        <f>IFERROR('Data Sheet'!B57,0)</f>
        <v>95.92</v>
      </c>
      <c r="D53" s="13">
        <f>IFERROR('Data Sheet'!C57,0)</f>
        <v>95.92</v>
      </c>
      <c r="E53" s="13">
        <f>IFERROR('Data Sheet'!D57,0)</f>
        <v>95.92</v>
      </c>
      <c r="F53" s="13">
        <f>IFERROR('Data Sheet'!E57,0)</f>
        <v>95.92</v>
      </c>
      <c r="G53" s="13">
        <f>IFERROR('Data Sheet'!F57,0)</f>
        <v>95.92</v>
      </c>
      <c r="H53" s="13">
        <f>IFERROR('Data Sheet'!G57,0)</f>
        <v>95.92</v>
      </c>
      <c r="I53" s="13">
        <f>IFERROR('Data Sheet'!H57,0)</f>
        <v>95.92</v>
      </c>
      <c r="J53" s="13">
        <f>IFERROR('Data Sheet'!I57,0)</f>
        <v>95.92</v>
      </c>
      <c r="K53" s="13">
        <f>IFERROR('Data Sheet'!J57,0)</f>
        <v>95.92</v>
      </c>
      <c r="L53" s="13">
        <f>IFERROR('Data Sheet'!K57,0)</f>
        <v>95.92</v>
      </c>
    </row>
    <row r="54" spans="1:13" x14ac:dyDescent="0.25">
      <c r="B54" s="168" t="s">
        <v>33</v>
      </c>
      <c r="C54" s="13">
        <f>IFERROR('Data Sheet'!B58,0)</f>
        <v>3943.3</v>
      </c>
      <c r="D54" s="13">
        <f>IFERROR('Data Sheet'!C58,0)</f>
        <v>4646.4399999999996</v>
      </c>
      <c r="E54" s="13">
        <f>IFERROR('Data Sheet'!D58,0)</f>
        <v>6428.9</v>
      </c>
      <c r="F54" s="13">
        <f>IFERROR('Data Sheet'!E58,0)</f>
        <v>7507.97</v>
      </c>
      <c r="G54" s="13">
        <f>IFERROR('Data Sheet'!F58,0)</f>
        <v>8314.31</v>
      </c>
      <c r="H54" s="13">
        <f>IFERROR('Data Sheet'!G58,0)</f>
        <v>9374.6299999999992</v>
      </c>
      <c r="I54" s="13">
        <f>IFERROR('Data Sheet'!H58,0)</f>
        <v>10034.24</v>
      </c>
      <c r="J54" s="13">
        <f>IFERROR('Data Sheet'!I58,0)</f>
        <v>12710.37</v>
      </c>
      <c r="K54" s="13">
        <f>IFERROR('Data Sheet'!J58,0)</f>
        <v>13715.64</v>
      </c>
      <c r="L54" s="13">
        <f>IFERROR('Data Sheet'!K58,0)</f>
        <v>15896.31</v>
      </c>
    </row>
    <row r="55" spans="1:13" x14ac:dyDescent="0.25">
      <c r="B55" s="168" t="s">
        <v>34</v>
      </c>
      <c r="C55" s="13">
        <f>IFERROR('Data Sheet'!B59,0)</f>
        <v>249.15</v>
      </c>
      <c r="D55" s="13">
        <f>IFERROR('Data Sheet'!C59,0)</f>
        <v>418.17</v>
      </c>
      <c r="E55" s="13">
        <f>IFERROR('Data Sheet'!D59,0)</f>
        <v>323.29000000000002</v>
      </c>
      <c r="F55" s="13">
        <f>IFERROR('Data Sheet'!E59,0)</f>
        <v>560.34</v>
      </c>
      <c r="G55" s="13">
        <f>IFERROR('Data Sheet'!F59,0)</f>
        <v>533.42999999999995</v>
      </c>
      <c r="H55" s="13">
        <f>IFERROR('Data Sheet'!G59,0)</f>
        <v>1319.6</v>
      </c>
      <c r="I55" s="13">
        <f>IFERROR('Data Sheet'!H59,0)</f>
        <v>1118.5</v>
      </c>
      <c r="J55" s="13">
        <f>IFERROR('Data Sheet'!I59,0)</f>
        <v>1093.1199999999999</v>
      </c>
      <c r="K55" s="13">
        <f>IFERROR('Data Sheet'!J59,0)</f>
        <v>1586.88</v>
      </c>
      <c r="L55" s="13">
        <f>IFERROR('Data Sheet'!K59,0)</f>
        <v>1932.62</v>
      </c>
    </row>
    <row r="56" spans="1:13" x14ac:dyDescent="0.25">
      <c r="B56" s="168" t="s">
        <v>35</v>
      </c>
      <c r="C56" s="13">
        <f>IFERROR('Data Sheet'!B60,0)</f>
        <v>3787.03</v>
      </c>
      <c r="D56" s="13">
        <f>IFERROR('Data Sheet'!C60,0)</f>
        <v>3753.97</v>
      </c>
      <c r="E56" s="13">
        <f>IFERROR('Data Sheet'!D60,0)</f>
        <v>3710.92</v>
      </c>
      <c r="F56" s="13">
        <f>IFERROR('Data Sheet'!E60,0)</f>
        <v>4240.96</v>
      </c>
      <c r="G56" s="13">
        <f>IFERROR('Data Sheet'!F60,0)</f>
        <v>4819.82</v>
      </c>
      <c r="H56" s="13">
        <f>IFERROR('Data Sheet'!G60,0)</f>
        <v>5458.69</v>
      </c>
      <c r="I56" s="13">
        <f>IFERROR('Data Sheet'!H60,0)</f>
        <v>4889.3100000000004</v>
      </c>
      <c r="J56" s="13">
        <f>IFERROR('Data Sheet'!I60,0)</f>
        <v>6455.93</v>
      </c>
      <c r="K56" s="13">
        <f>IFERROR('Data Sheet'!J60,0)</f>
        <v>7559.99</v>
      </c>
      <c r="L56" s="13">
        <f>IFERROR('Data Sheet'!K60,0)</f>
        <v>7854.48</v>
      </c>
    </row>
    <row r="57" spans="1:13" x14ac:dyDescent="0.25">
      <c r="B57" s="169" t="s">
        <v>36</v>
      </c>
      <c r="C57" s="23">
        <f>IFERROR('Data Sheet'!B61,0)</f>
        <v>8075.4</v>
      </c>
      <c r="D57" s="23">
        <f>IFERROR('Data Sheet'!C61,0)</f>
        <v>8914.5</v>
      </c>
      <c r="E57" s="23">
        <f>IFERROR('Data Sheet'!D61,0)</f>
        <v>10559.03</v>
      </c>
      <c r="F57" s="23">
        <f>IFERROR('Data Sheet'!E61,0)</f>
        <v>12405.19</v>
      </c>
      <c r="G57" s="23">
        <f>IFERROR('Data Sheet'!F61,0)</f>
        <v>13763.48</v>
      </c>
      <c r="H57" s="23">
        <f>IFERROR('Data Sheet'!G61,0)</f>
        <v>16248.84</v>
      </c>
      <c r="I57" s="23">
        <f>IFERROR('Data Sheet'!H61,0)</f>
        <v>16137.97</v>
      </c>
      <c r="J57" s="23">
        <f>IFERROR('Data Sheet'!I61,0)</f>
        <v>20355.34</v>
      </c>
      <c r="K57" s="23">
        <f>IFERROR('Data Sheet'!J61,0)</f>
        <v>22958.43</v>
      </c>
      <c r="L57" s="23">
        <f>IFERROR('Data Sheet'!K61,0)</f>
        <v>25779.33</v>
      </c>
    </row>
    <row r="58" spans="1:13" x14ac:dyDescent="0.25">
      <c r="B58" s="1"/>
    </row>
    <row r="59" spans="1:13" x14ac:dyDescent="0.25">
      <c r="B59" s="168" t="s">
        <v>37</v>
      </c>
      <c r="C59" s="13">
        <f>IFERROR('Data Sheet'!B62,0)</f>
        <v>2561.58</v>
      </c>
      <c r="D59" s="13">
        <f>IFERROR('Data Sheet'!C62,0)</f>
        <v>2660.04</v>
      </c>
      <c r="E59" s="13">
        <f>IFERROR('Data Sheet'!D62,0)</f>
        <v>3416.35</v>
      </c>
      <c r="F59" s="13">
        <f>IFERROR('Data Sheet'!E62,0)</f>
        <v>3303.74</v>
      </c>
      <c r="G59" s="13">
        <f>IFERROR('Data Sheet'!F62,0)</f>
        <v>3732.24</v>
      </c>
      <c r="H59" s="13">
        <f>IFERROR('Data Sheet'!G62,0)</f>
        <v>6496.56</v>
      </c>
      <c r="I59" s="13">
        <f>IFERROR('Data Sheet'!H62,0)</f>
        <v>6272.31</v>
      </c>
      <c r="J59" s="13">
        <f>IFERROR('Data Sheet'!I62,0)</f>
        <v>5858.52</v>
      </c>
      <c r="K59" s="13">
        <f>IFERROR('Data Sheet'!J62,0)</f>
        <v>5519.06</v>
      </c>
      <c r="L59" s="13">
        <f>IFERROR('Data Sheet'!K62,0)</f>
        <v>5770.46</v>
      </c>
    </row>
    <row r="60" spans="1:13" x14ac:dyDescent="0.25">
      <c r="B60" s="168" t="s">
        <v>38</v>
      </c>
      <c r="C60" s="13">
        <f>IFERROR('Data Sheet'!B63,0)</f>
        <v>71.599999999999994</v>
      </c>
      <c r="D60" s="13">
        <f>IFERROR('Data Sheet'!C63,0)</f>
        <v>196</v>
      </c>
      <c r="E60" s="13">
        <f>IFERROR('Data Sheet'!D63,0)</f>
        <v>106.59</v>
      </c>
      <c r="F60" s="13">
        <f>IFERROR('Data Sheet'!E63,0)</f>
        <v>257.54000000000002</v>
      </c>
      <c r="G60" s="13">
        <f>IFERROR('Data Sheet'!F63,0)</f>
        <v>1405.11</v>
      </c>
      <c r="H60" s="13">
        <f>IFERROR('Data Sheet'!G63,0)</f>
        <v>209.67</v>
      </c>
      <c r="I60" s="13">
        <f>IFERROR('Data Sheet'!H63,0)</f>
        <v>140.24</v>
      </c>
      <c r="J60" s="13">
        <f>IFERROR('Data Sheet'!I63,0)</f>
        <v>182.98</v>
      </c>
      <c r="K60" s="13">
        <f>IFERROR('Data Sheet'!J63,0)</f>
        <v>426.43</v>
      </c>
      <c r="L60" s="13">
        <f>IFERROR('Data Sheet'!K63,0)</f>
        <v>1019.59</v>
      </c>
    </row>
    <row r="61" spans="1:13" x14ac:dyDescent="0.25">
      <c r="B61" s="168" t="s">
        <v>39</v>
      </c>
      <c r="C61" s="13">
        <f>IFERROR('Data Sheet'!B64,0)</f>
        <v>1423.55</v>
      </c>
      <c r="D61" s="13">
        <f>IFERROR('Data Sheet'!C64,0)</f>
        <v>1587.79</v>
      </c>
      <c r="E61" s="13">
        <f>IFERROR('Data Sheet'!D64,0)</f>
        <v>2712.13</v>
      </c>
      <c r="F61" s="13">
        <f>IFERROR('Data Sheet'!E64,0)</f>
        <v>2651.99</v>
      </c>
      <c r="G61" s="13">
        <f>IFERROR('Data Sheet'!F64,0)</f>
        <v>2140.6999999999998</v>
      </c>
      <c r="H61" s="13">
        <f>IFERROR('Data Sheet'!G64,0)</f>
        <v>2568.58</v>
      </c>
      <c r="I61" s="13">
        <f>IFERROR('Data Sheet'!H64,0)</f>
        <v>2018.85</v>
      </c>
      <c r="J61" s="13">
        <f>IFERROR('Data Sheet'!I64,0)</f>
        <v>4736.8</v>
      </c>
      <c r="K61" s="13">
        <f>IFERROR('Data Sheet'!J64,0)</f>
        <v>3247.53</v>
      </c>
      <c r="L61" s="13">
        <f>IFERROR('Data Sheet'!K64,0)</f>
        <v>4261.71</v>
      </c>
    </row>
    <row r="62" spans="1:13" x14ac:dyDescent="0.25">
      <c r="B62" s="168" t="s">
        <v>40</v>
      </c>
      <c r="C62" s="13">
        <f>IFERROR('Data Sheet'!B65-SUM('Data Sheet'!B67:B69),0)</f>
        <v>609.51000000000022</v>
      </c>
      <c r="D62" s="13">
        <f>IFERROR('Data Sheet'!C65-SUM('Data Sheet'!C67:C69),0)</f>
        <v>825.69</v>
      </c>
      <c r="E62" s="13">
        <f>IFERROR('Data Sheet'!D65-SUM('Data Sheet'!D67:D69),0)</f>
        <v>714.68000000000029</v>
      </c>
      <c r="F62" s="13">
        <f>IFERROR('Data Sheet'!E65-SUM('Data Sheet'!E67:E69),0)</f>
        <v>1317.17</v>
      </c>
      <c r="G62" s="13">
        <f>IFERROR('Data Sheet'!F65-SUM('Data Sheet'!F67:F69),0)</f>
        <v>1691.8400000000001</v>
      </c>
      <c r="H62" s="13">
        <f>IFERROR('Data Sheet'!G65-SUM('Data Sheet'!G67:G69),0)</f>
        <v>1471.9599999999991</v>
      </c>
      <c r="I62" s="13">
        <f>IFERROR('Data Sheet'!H65-SUM('Data Sheet'!H67:H69),0)</f>
        <v>1738.71</v>
      </c>
      <c r="J62" s="13">
        <f>IFERROR('Data Sheet'!I65-SUM('Data Sheet'!I67:I69),0)</f>
        <v>2565.5200000000004</v>
      </c>
      <c r="K62" s="13">
        <f>IFERROR('Data Sheet'!J65-SUM('Data Sheet'!J67:J69),0)</f>
        <v>2876.66</v>
      </c>
      <c r="L62" s="13">
        <f>IFERROR('Data Sheet'!K65-SUM('Data Sheet'!K67:K69),0)</f>
        <v>3036.17</v>
      </c>
    </row>
    <row r="63" spans="1:13" x14ac:dyDescent="0.25">
      <c r="B63" s="169" t="s">
        <v>41</v>
      </c>
      <c r="C63" s="23">
        <f>SUM(C59:C62)</f>
        <v>4666.24</v>
      </c>
      <c r="D63" s="23">
        <f t="shared" ref="D63:L63" si="21">SUM(D59:D62)</f>
        <v>5269.52</v>
      </c>
      <c r="E63" s="23">
        <f t="shared" si="21"/>
        <v>6949.75</v>
      </c>
      <c r="F63" s="23">
        <f t="shared" si="21"/>
        <v>7530.44</v>
      </c>
      <c r="G63" s="23">
        <f t="shared" si="21"/>
        <v>8969.89</v>
      </c>
      <c r="H63" s="23">
        <f t="shared" si="21"/>
        <v>10746.77</v>
      </c>
      <c r="I63" s="23">
        <f t="shared" si="21"/>
        <v>10170.11</v>
      </c>
      <c r="J63" s="23">
        <f t="shared" si="21"/>
        <v>13343.82</v>
      </c>
      <c r="K63" s="23">
        <f t="shared" si="21"/>
        <v>12069.68</v>
      </c>
      <c r="L63" s="23">
        <f t="shared" si="21"/>
        <v>14087.93</v>
      </c>
    </row>
    <row r="64" spans="1:13" x14ac:dyDescent="0.25">
      <c r="B64" s="1"/>
    </row>
    <row r="65" spans="1:13" x14ac:dyDescent="0.25">
      <c r="B65" s="168" t="s">
        <v>42</v>
      </c>
      <c r="C65" s="13">
        <f>IFERROR('Data Sheet'!B67,0)</f>
        <v>1110.3</v>
      </c>
      <c r="D65" s="13">
        <f>IFERROR('Data Sheet'!C67,0)</f>
        <v>1182.07</v>
      </c>
      <c r="E65" s="13">
        <f>IFERROR('Data Sheet'!D67,0)</f>
        <v>1186.8399999999999</v>
      </c>
      <c r="F65" s="13">
        <f>IFERROR('Data Sheet'!E67,0)</f>
        <v>1446.6</v>
      </c>
      <c r="G65" s="13">
        <f>IFERROR('Data Sheet'!F67,0)</f>
        <v>1730.63</v>
      </c>
      <c r="H65" s="13">
        <f>IFERROR('Data Sheet'!G67,0)</f>
        <v>1907.33</v>
      </c>
      <c r="I65" s="13">
        <f>IFERROR('Data Sheet'!H67,0)</f>
        <v>1795.22</v>
      </c>
      <c r="J65" s="13">
        <f>IFERROR('Data Sheet'!I67,0)</f>
        <v>2602.17</v>
      </c>
      <c r="K65" s="13">
        <f>IFERROR('Data Sheet'!J67,0)</f>
        <v>3871.44</v>
      </c>
      <c r="L65" s="13">
        <f>IFERROR('Data Sheet'!K67,0)</f>
        <v>4636.9399999999996</v>
      </c>
    </row>
    <row r="66" spans="1:13" x14ac:dyDescent="0.25">
      <c r="B66" s="168" t="s">
        <v>43</v>
      </c>
      <c r="C66" s="13">
        <f>IFERROR('Data Sheet'!B68,0)</f>
        <v>2069.86</v>
      </c>
      <c r="D66" s="13">
        <f>IFERROR('Data Sheet'!C68,0)</f>
        <v>2258.52</v>
      </c>
      <c r="E66" s="13">
        <f>IFERROR('Data Sheet'!D68,0)</f>
        <v>1998.24</v>
      </c>
      <c r="F66" s="13">
        <f>IFERROR('Data Sheet'!E68,0)</f>
        <v>2626.94</v>
      </c>
      <c r="G66" s="13">
        <f>IFERROR('Data Sheet'!F68,0)</f>
        <v>2658.31</v>
      </c>
      <c r="H66" s="13">
        <f>IFERROR('Data Sheet'!G68,0)</f>
        <v>3149.86</v>
      </c>
      <c r="I66" s="13">
        <f>IFERROR('Data Sheet'!H68,0)</f>
        <v>3389.81</v>
      </c>
      <c r="J66" s="13">
        <f>IFERROR('Data Sheet'!I68,0)</f>
        <v>3798.6</v>
      </c>
      <c r="K66" s="13">
        <f>IFERROR('Data Sheet'!J68,0)</f>
        <v>6152.98</v>
      </c>
      <c r="L66" s="13">
        <f>IFERROR('Data Sheet'!K68,0)</f>
        <v>6210.64</v>
      </c>
    </row>
    <row r="67" spans="1:13" x14ac:dyDescent="0.25">
      <c r="B67" s="168" t="s">
        <v>44</v>
      </c>
      <c r="C67" s="13">
        <f>IFERROR('Data Sheet'!B69,0)</f>
        <v>229</v>
      </c>
      <c r="D67" s="13">
        <f>IFERROR('Data Sheet'!C69,0)</f>
        <v>204.39</v>
      </c>
      <c r="E67" s="13">
        <f>IFERROR('Data Sheet'!D69,0)</f>
        <v>424.2</v>
      </c>
      <c r="F67" s="13">
        <f>IFERROR('Data Sheet'!E69,0)</f>
        <v>801.21</v>
      </c>
      <c r="G67" s="13">
        <f>IFERROR('Data Sheet'!F69,0)</f>
        <v>404.65</v>
      </c>
      <c r="H67" s="13">
        <f>IFERROR('Data Sheet'!G69,0)</f>
        <v>444.88</v>
      </c>
      <c r="I67" s="13">
        <f>IFERROR('Data Sheet'!H69,0)</f>
        <v>782.83</v>
      </c>
      <c r="J67" s="13">
        <f>IFERROR('Data Sheet'!I69,0)</f>
        <v>610.75</v>
      </c>
      <c r="K67" s="13">
        <f>IFERROR('Data Sheet'!J69,0)</f>
        <v>864.33</v>
      </c>
      <c r="L67" s="13">
        <f>IFERROR('Data Sheet'!K69,0)</f>
        <v>843.82</v>
      </c>
    </row>
    <row r="68" spans="1:13" x14ac:dyDescent="0.25">
      <c r="B68" s="170" t="s">
        <v>45</v>
      </c>
      <c r="C68" s="23">
        <f>IFERROR(SUM(C65:C67),0)</f>
        <v>3409.16</v>
      </c>
      <c r="D68" s="23">
        <f t="shared" ref="D68:L68" si="22">IFERROR(SUM(D65:D67),0)</f>
        <v>3644.98</v>
      </c>
      <c r="E68" s="23">
        <f t="shared" si="22"/>
        <v>3609.2799999999997</v>
      </c>
      <c r="F68" s="23">
        <f t="shared" si="22"/>
        <v>4874.75</v>
      </c>
      <c r="G68" s="23">
        <f t="shared" si="22"/>
        <v>4793.59</v>
      </c>
      <c r="H68" s="23">
        <f t="shared" si="22"/>
        <v>5502.0700000000006</v>
      </c>
      <c r="I68" s="23">
        <f t="shared" si="22"/>
        <v>5967.86</v>
      </c>
      <c r="J68" s="23">
        <f t="shared" si="22"/>
        <v>7011.52</v>
      </c>
      <c r="K68" s="23">
        <f t="shared" si="22"/>
        <v>10888.75</v>
      </c>
      <c r="L68" s="23">
        <f t="shared" si="22"/>
        <v>11691.4</v>
      </c>
    </row>
    <row r="69" spans="1:13" x14ac:dyDescent="0.25">
      <c r="B69" s="166"/>
    </row>
    <row r="70" spans="1:13" x14ac:dyDescent="0.25">
      <c r="B70" s="170" t="s">
        <v>46</v>
      </c>
      <c r="C70" s="23">
        <f>IFERROR(C68+C63,0)</f>
        <v>8075.4</v>
      </c>
      <c r="D70" s="23">
        <f t="shared" ref="D70:L70" si="23">IFERROR(D68+D63,0)</f>
        <v>8914.5</v>
      </c>
      <c r="E70" s="23">
        <f t="shared" si="23"/>
        <v>10559.029999999999</v>
      </c>
      <c r="F70" s="23">
        <f t="shared" si="23"/>
        <v>12405.189999999999</v>
      </c>
      <c r="G70" s="23">
        <f t="shared" si="23"/>
        <v>13763.48</v>
      </c>
      <c r="H70" s="23">
        <f t="shared" si="23"/>
        <v>16248.84</v>
      </c>
      <c r="I70" s="23">
        <f t="shared" si="23"/>
        <v>16137.970000000001</v>
      </c>
      <c r="J70" s="23">
        <f t="shared" si="23"/>
        <v>20355.34</v>
      </c>
      <c r="K70" s="23">
        <f t="shared" si="23"/>
        <v>22958.43</v>
      </c>
      <c r="L70" s="23">
        <f t="shared" si="23"/>
        <v>25779.33</v>
      </c>
    </row>
    <row r="71" spans="1:13" x14ac:dyDescent="0.25">
      <c r="B71" s="11"/>
    </row>
    <row r="72" spans="1:13" x14ac:dyDescent="0.25">
      <c r="B72" s="15" t="s">
        <v>47</v>
      </c>
      <c r="C72" s="15" t="b">
        <f>C70=C57</f>
        <v>1</v>
      </c>
      <c r="D72" s="15" t="b">
        <f t="shared" ref="D72:L72" si="24">D70=D57</f>
        <v>1</v>
      </c>
      <c r="E72" s="15" t="b">
        <f t="shared" si="24"/>
        <v>1</v>
      </c>
      <c r="F72" s="15" t="b">
        <f t="shared" si="24"/>
        <v>1</v>
      </c>
      <c r="G72" s="15" t="b">
        <f t="shared" si="24"/>
        <v>1</v>
      </c>
      <c r="H72" s="15" t="b">
        <f t="shared" si="24"/>
        <v>1</v>
      </c>
      <c r="I72" s="15" t="b">
        <f t="shared" si="24"/>
        <v>1</v>
      </c>
      <c r="J72" s="15" t="b">
        <f t="shared" si="24"/>
        <v>1</v>
      </c>
      <c r="K72" s="15" t="b">
        <f t="shared" si="24"/>
        <v>1</v>
      </c>
      <c r="L72" s="15" t="b">
        <f t="shared" si="24"/>
        <v>1</v>
      </c>
    </row>
    <row r="74" spans="1:13" x14ac:dyDescent="0.25">
      <c r="A74" t="s">
        <v>2</v>
      </c>
      <c r="B74" s="18" t="s">
        <v>48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spans="1:13" x14ac:dyDescent="0.25">
      <c r="B75" s="171" t="s">
        <v>49</v>
      </c>
    </row>
    <row r="76" spans="1:13" x14ac:dyDescent="0.25">
      <c r="B76" s="166" t="s">
        <v>50</v>
      </c>
      <c r="C76" s="13">
        <f>IFERROR('Cash Flow Data (Manual)'!E6,0)</f>
        <v>2051</v>
      </c>
      <c r="D76" s="13">
        <f>IFERROR('Cash Flow Data (Manual)'!F6,0)</f>
        <v>2271</v>
      </c>
      <c r="E76" s="13">
        <f>IFERROR('Cash Flow Data (Manual)'!G6,0)</f>
        <v>2848</v>
      </c>
      <c r="F76" s="13">
        <f>IFERROR('Cash Flow Data (Manual)'!H6,0)</f>
        <v>3056</v>
      </c>
      <c r="G76" s="13">
        <f>IFERROR('Cash Flow Data (Manual)'!I6,0)</f>
        <v>3274</v>
      </c>
      <c r="H76" s="13">
        <f>IFERROR('Cash Flow Data (Manual)'!J6,0)</f>
        <v>3861</v>
      </c>
      <c r="I76" s="13">
        <f>IFERROR('Cash Flow Data (Manual)'!K6,0)</f>
        <v>4380</v>
      </c>
      <c r="J76" s="13">
        <f>IFERROR('Cash Flow Data (Manual)'!L6,0)</f>
        <v>4970</v>
      </c>
      <c r="K76" s="13">
        <f>IFERROR('Cash Flow Data (Manual)'!M6,0)</f>
        <v>4957</v>
      </c>
      <c r="L76" s="13">
        <f>IFERROR('Cash Flow Data (Manual)'!N6,0)</f>
        <v>6460</v>
      </c>
    </row>
    <row r="77" spans="1:13" x14ac:dyDescent="0.25">
      <c r="B77" s="166" t="s">
        <v>42</v>
      </c>
      <c r="C77" s="13">
        <f>IFERROR('Cash Flow Data (Manual)'!E7,0)</f>
        <v>-254</v>
      </c>
      <c r="D77" s="13">
        <f>IFERROR('Cash Flow Data (Manual)'!F7,0)</f>
        <v>-155</v>
      </c>
      <c r="E77" s="13">
        <f>IFERROR('Cash Flow Data (Manual)'!G7,0)</f>
        <v>-146</v>
      </c>
      <c r="F77" s="13">
        <f>IFERROR('Cash Flow Data (Manual)'!H7,0)</f>
        <v>-475</v>
      </c>
      <c r="G77" s="13">
        <f>IFERROR('Cash Flow Data (Manual)'!I7,0)</f>
        <v>-483</v>
      </c>
      <c r="H77" s="13">
        <f>IFERROR('Cash Flow Data (Manual)'!J7,0)</f>
        <v>-205</v>
      </c>
      <c r="I77" s="13">
        <f>IFERROR('Cash Flow Data (Manual)'!K7,0)</f>
        <v>160</v>
      </c>
      <c r="J77" s="13">
        <f>IFERROR('Cash Flow Data (Manual)'!L7,0)</f>
        <v>-849</v>
      </c>
      <c r="K77" s="13">
        <f>IFERROR('Cash Flow Data (Manual)'!M7,0)</f>
        <v>-1326</v>
      </c>
      <c r="L77" s="13">
        <f>IFERROR('Cash Flow Data (Manual)'!N7,0)</f>
        <v>-834</v>
      </c>
    </row>
    <row r="78" spans="1:13" x14ac:dyDescent="0.25">
      <c r="B78" s="166" t="s">
        <v>43</v>
      </c>
      <c r="C78" s="13">
        <f>IFERROR('Cash Flow Data (Manual)'!E8,0)</f>
        <v>-231</v>
      </c>
      <c r="D78" s="13">
        <f>IFERROR('Cash Flow Data (Manual)'!F8,0)</f>
        <v>-144</v>
      </c>
      <c r="E78" s="13">
        <f>IFERROR('Cash Flow Data (Manual)'!G8,0)</f>
        <v>202</v>
      </c>
      <c r="F78" s="13">
        <f>IFERROR('Cash Flow Data (Manual)'!H8,0)</f>
        <v>-629</v>
      </c>
      <c r="G78" s="13">
        <f>IFERROR('Cash Flow Data (Manual)'!I8,0)</f>
        <v>-39</v>
      </c>
      <c r="H78" s="13">
        <f>IFERROR('Cash Flow Data (Manual)'!J8,0)</f>
        <v>-492</v>
      </c>
      <c r="I78" s="13">
        <f>IFERROR('Cash Flow Data (Manual)'!K8,0)</f>
        <v>-251</v>
      </c>
      <c r="J78" s="13">
        <f>IFERROR('Cash Flow Data (Manual)'!L8,0)</f>
        <v>-409</v>
      </c>
      <c r="K78" s="13">
        <f>IFERROR('Cash Flow Data (Manual)'!M8,0)</f>
        <v>-2354</v>
      </c>
      <c r="L78" s="13">
        <f>IFERROR('Cash Flow Data (Manual)'!N8,0)</f>
        <v>-56</v>
      </c>
    </row>
    <row r="79" spans="1:13" x14ac:dyDescent="0.25">
      <c r="B79" s="166" t="s">
        <v>51</v>
      </c>
      <c r="C79" s="13">
        <f>IFERROR('Cash Flow Data (Manual)'!E9,0)</f>
        <v>317</v>
      </c>
      <c r="D79" s="13">
        <f>IFERROR('Cash Flow Data (Manual)'!F9,0)</f>
        <v>-151</v>
      </c>
      <c r="E79" s="13">
        <f>IFERROR('Cash Flow Data (Manual)'!G9,0)</f>
        <v>142</v>
      </c>
      <c r="F79" s="13">
        <f>IFERROR('Cash Flow Data (Manual)'!H9,0)</f>
        <v>501</v>
      </c>
      <c r="G79" s="13">
        <f>IFERROR('Cash Flow Data (Manual)'!I9,0)</f>
        <v>442</v>
      </c>
      <c r="H79" s="13">
        <f>IFERROR('Cash Flow Data (Manual)'!J9,0)</f>
        <v>287</v>
      </c>
      <c r="I79" s="13">
        <f>IFERROR('Cash Flow Data (Manual)'!K9,0)</f>
        <v>-241</v>
      </c>
      <c r="J79" s="13">
        <f>IFERROR('Cash Flow Data (Manual)'!L9,0)</f>
        <v>1143</v>
      </c>
      <c r="K79" s="13">
        <f>IFERROR('Cash Flow Data (Manual)'!M9,0)</f>
        <v>644</v>
      </c>
      <c r="L79" s="13">
        <f>IFERROR('Cash Flow Data (Manual)'!N9,0)</f>
        <v>-539</v>
      </c>
    </row>
    <row r="80" spans="1:13" x14ac:dyDescent="0.25">
      <c r="B80" s="166" t="s">
        <v>52</v>
      </c>
      <c r="C80" s="13">
        <f>IFERROR('Cash Flow Data (Manual)'!E10,0)</f>
        <v>0</v>
      </c>
      <c r="D80" s="13">
        <f>IFERROR('Cash Flow Data (Manual)'!F10,0)</f>
        <v>0</v>
      </c>
      <c r="E80" s="13">
        <f>IFERROR('Cash Flow Data (Manual)'!G10,0)</f>
        <v>0</v>
      </c>
      <c r="F80" s="13">
        <f>IFERROR('Cash Flow Data (Manual)'!H10,0)</f>
        <v>0</v>
      </c>
      <c r="G80" s="13">
        <f>IFERROR('Cash Flow Data (Manual)'!I10,0)</f>
        <v>0</v>
      </c>
      <c r="H80" s="13">
        <f>IFERROR('Cash Flow Data (Manual)'!J10,0)</f>
        <v>0</v>
      </c>
      <c r="I80" s="13">
        <f>IFERROR('Cash Flow Data (Manual)'!K10,0)</f>
        <v>0</v>
      </c>
      <c r="J80" s="13">
        <f>IFERROR('Cash Flow Data (Manual)'!L10,0)</f>
        <v>0</v>
      </c>
      <c r="K80" s="13">
        <f>IFERROR('Cash Flow Data (Manual)'!M10,0)</f>
        <v>0</v>
      </c>
      <c r="L80" s="13">
        <f>IFERROR('Cash Flow Data (Manual)'!N10,0)</f>
        <v>0</v>
      </c>
    </row>
    <row r="81" spans="2:12" x14ac:dyDescent="0.25">
      <c r="B81" s="166" t="s">
        <v>53</v>
      </c>
      <c r="C81" s="13">
        <f>IFERROR('Cash Flow Data (Manual)'!E11,0)</f>
        <v>0</v>
      </c>
      <c r="D81" s="13">
        <f>IFERROR('Cash Flow Data (Manual)'!F11,0)</f>
        <v>0</v>
      </c>
      <c r="E81" s="13">
        <f>IFERROR('Cash Flow Data (Manual)'!G11,0)</f>
        <v>0</v>
      </c>
      <c r="F81" s="13">
        <f>IFERROR('Cash Flow Data (Manual)'!H11,0)</f>
        <v>0</v>
      </c>
      <c r="G81" s="13">
        <f>IFERROR('Cash Flow Data (Manual)'!I11,0)</f>
        <v>0</v>
      </c>
      <c r="H81" s="13">
        <f>IFERROR('Cash Flow Data (Manual)'!J11,0)</f>
        <v>0</v>
      </c>
      <c r="I81" s="13">
        <f>IFERROR('Cash Flow Data (Manual)'!K11,0)</f>
        <v>0</v>
      </c>
      <c r="J81" s="13">
        <f>IFERROR('Cash Flow Data (Manual)'!L11,0)</f>
        <v>-92</v>
      </c>
      <c r="K81" s="13">
        <f>IFERROR('Cash Flow Data (Manual)'!M11,0)</f>
        <v>242</v>
      </c>
      <c r="L81" s="13">
        <f>IFERROR('Cash Flow Data (Manual)'!N11,0)</f>
        <v>657</v>
      </c>
    </row>
    <row r="82" spans="2:12" x14ac:dyDescent="0.25">
      <c r="B82" s="166" t="s">
        <v>54</v>
      </c>
      <c r="C82" s="13">
        <f>IFERROR('Cash Flow Data (Manual)'!E13,0)</f>
        <v>-480</v>
      </c>
      <c r="D82" s="13">
        <f>IFERROR('Cash Flow Data (Manual)'!F13,0)</f>
        <v>-633</v>
      </c>
      <c r="E82" s="13">
        <f>IFERROR('Cash Flow Data (Manual)'!G13,0)</f>
        <v>-802</v>
      </c>
      <c r="F82" s="13">
        <f>IFERROR('Cash Flow Data (Manual)'!H13,0)</f>
        <v>-925</v>
      </c>
      <c r="G82" s="13">
        <f>IFERROR('Cash Flow Data (Manual)'!I13,0)</f>
        <v>-1081</v>
      </c>
      <c r="H82" s="13">
        <f>IFERROR('Cash Flow Data (Manual)'!J13,0)</f>
        <v>-982</v>
      </c>
      <c r="I82" s="13">
        <f>IFERROR('Cash Flow Data (Manual)'!K13,0)</f>
        <v>-1011</v>
      </c>
      <c r="J82" s="13">
        <f>IFERROR('Cash Flow Data (Manual)'!L13,0)</f>
        <v>-1080</v>
      </c>
      <c r="K82" s="13">
        <f>IFERROR('Cash Flow Data (Manual)'!M13,0)</f>
        <v>-1176</v>
      </c>
      <c r="L82" s="13">
        <f>IFERROR('Cash Flow Data (Manual)'!N13,0)</f>
        <v>-1494</v>
      </c>
    </row>
    <row r="83" spans="2:12" x14ac:dyDescent="0.25">
      <c r="B83" s="171" t="s">
        <v>55</v>
      </c>
      <c r="C83" s="20">
        <f t="shared" ref="C83:L83" si="25">SUM(C76:C82)</f>
        <v>1403</v>
      </c>
      <c r="D83" s="20">
        <f t="shared" si="25"/>
        <v>1188</v>
      </c>
      <c r="E83" s="20">
        <f t="shared" si="25"/>
        <v>2244</v>
      </c>
      <c r="F83" s="20">
        <f t="shared" si="25"/>
        <v>1528</v>
      </c>
      <c r="G83" s="20">
        <f t="shared" si="25"/>
        <v>2113</v>
      </c>
      <c r="H83" s="20">
        <f t="shared" si="25"/>
        <v>2469</v>
      </c>
      <c r="I83" s="20">
        <f t="shared" si="25"/>
        <v>3037</v>
      </c>
      <c r="J83" s="20">
        <f t="shared" si="25"/>
        <v>3683</v>
      </c>
      <c r="K83" s="20">
        <f t="shared" si="25"/>
        <v>987</v>
      </c>
      <c r="L83" s="20">
        <f t="shared" si="25"/>
        <v>4194</v>
      </c>
    </row>
    <row r="85" spans="2:12" x14ac:dyDescent="0.25">
      <c r="B85" s="171" t="s">
        <v>56</v>
      </c>
    </row>
    <row r="86" spans="2:12" x14ac:dyDescent="0.25">
      <c r="B86" s="166" t="s">
        <v>57</v>
      </c>
      <c r="C86" s="13">
        <f>IFERROR('Cash Flow Data (Manual)'!E15,0)</f>
        <v>-251</v>
      </c>
      <c r="D86" s="13">
        <f>IFERROR('Cash Flow Data (Manual)'!F15,0)</f>
        <v>-454</v>
      </c>
      <c r="E86" s="13">
        <f>IFERROR('Cash Flow Data (Manual)'!G15,0)</f>
        <v>-817</v>
      </c>
      <c r="F86" s="13">
        <f>IFERROR('Cash Flow Data (Manual)'!H15,0)</f>
        <v>-684</v>
      </c>
      <c r="G86" s="13">
        <f>IFERROR('Cash Flow Data (Manual)'!I15,0)</f>
        <v>-1426</v>
      </c>
      <c r="H86" s="13">
        <f>IFERROR('Cash Flow Data (Manual)'!J15,0)</f>
        <v>-1151</v>
      </c>
      <c r="I86" s="13">
        <f>IFERROR('Cash Flow Data (Manual)'!K15,0)</f>
        <v>-404</v>
      </c>
      <c r="J86" s="13">
        <f>IFERROR('Cash Flow Data (Manual)'!L15,0)</f>
        <v>-282</v>
      </c>
      <c r="K86" s="13">
        <f>IFERROR('Cash Flow Data (Manual)'!M15,0)</f>
        <v>-551</v>
      </c>
      <c r="L86" s="13">
        <f>IFERROR('Cash Flow Data (Manual)'!N15,0)</f>
        <v>-1446</v>
      </c>
    </row>
    <row r="87" spans="2:12" x14ac:dyDescent="0.25">
      <c r="B87" s="166" t="s">
        <v>58</v>
      </c>
      <c r="C87" s="13">
        <f>IFERROR('Cash Flow Data (Manual)'!E16,0)</f>
        <v>16</v>
      </c>
      <c r="D87" s="13">
        <f>IFERROR('Cash Flow Data (Manual)'!F16,0)</f>
        <v>16</v>
      </c>
      <c r="E87" s="13">
        <f>IFERROR('Cash Flow Data (Manual)'!G16,0)</f>
        <v>15</v>
      </c>
      <c r="F87" s="13">
        <f>IFERROR('Cash Flow Data (Manual)'!H16,0)</f>
        <v>17</v>
      </c>
      <c r="G87" s="13">
        <f>IFERROR('Cash Flow Data (Manual)'!I16,0)</f>
        <v>17</v>
      </c>
      <c r="H87" s="13">
        <f>IFERROR('Cash Flow Data (Manual)'!J16,0)</f>
        <v>17</v>
      </c>
      <c r="I87" s="13">
        <f>IFERROR('Cash Flow Data (Manual)'!K16,0)</f>
        <v>37</v>
      </c>
      <c r="J87" s="13">
        <f>IFERROR('Cash Flow Data (Manual)'!L16,0)</f>
        <v>28</v>
      </c>
      <c r="K87" s="13">
        <f>IFERROR('Cash Flow Data (Manual)'!M16,0)</f>
        <v>40</v>
      </c>
      <c r="L87" s="13">
        <f>IFERROR('Cash Flow Data (Manual)'!N16,0)</f>
        <v>26</v>
      </c>
    </row>
    <row r="88" spans="2:12" x14ac:dyDescent="0.25">
      <c r="B88" s="166" t="s">
        <v>59</v>
      </c>
      <c r="C88" s="13">
        <f>IFERROR('Cash Flow Data (Manual)'!E17,0)</f>
        <v>-872</v>
      </c>
      <c r="D88" s="13">
        <f>IFERROR('Cash Flow Data (Manual)'!F17,0)</f>
        <v>-243</v>
      </c>
      <c r="E88" s="13">
        <f>IFERROR('Cash Flow Data (Manual)'!G17,0)</f>
        <v>-282</v>
      </c>
      <c r="F88" s="13">
        <f>IFERROR('Cash Flow Data (Manual)'!H17,0)</f>
        <v>-153</v>
      </c>
      <c r="G88" s="13">
        <f>IFERROR('Cash Flow Data (Manual)'!I17,0)</f>
        <v>-320</v>
      </c>
      <c r="H88" s="13">
        <f>IFERROR('Cash Flow Data (Manual)'!J17,0)</f>
        <v>-573</v>
      </c>
      <c r="I88" s="13">
        <f>IFERROR('Cash Flow Data (Manual)'!K17,0)</f>
        <v>-25</v>
      </c>
      <c r="J88" s="13">
        <f>IFERROR('Cash Flow Data (Manual)'!L17,0)</f>
        <v>-140</v>
      </c>
      <c r="K88" s="13">
        <f>IFERROR('Cash Flow Data (Manual)'!M17,0)</f>
        <v>0</v>
      </c>
      <c r="L88" s="13">
        <f>IFERROR('Cash Flow Data (Manual)'!N17,0)</f>
        <v>-146</v>
      </c>
    </row>
    <row r="89" spans="2:12" x14ac:dyDescent="0.25">
      <c r="B89" s="166" t="s">
        <v>60</v>
      </c>
      <c r="C89" s="13">
        <f>IFERROR('Cash Flow Data (Manual)'!E18,0)</f>
        <v>463</v>
      </c>
      <c r="D89" s="13">
        <f>IFERROR('Cash Flow Data (Manual)'!F18,0)</f>
        <v>278</v>
      </c>
      <c r="E89" s="13">
        <f>IFERROR('Cash Flow Data (Manual)'!G18,0)</f>
        <v>205</v>
      </c>
      <c r="F89" s="13">
        <f>IFERROR('Cash Flow Data (Manual)'!H18,0)</f>
        <v>357</v>
      </c>
      <c r="G89" s="13">
        <f>IFERROR('Cash Flow Data (Manual)'!I18,0)</f>
        <v>362</v>
      </c>
      <c r="H89" s="13">
        <f>IFERROR('Cash Flow Data (Manual)'!J18,0)</f>
        <v>733</v>
      </c>
      <c r="I89" s="13">
        <f>IFERROR('Cash Flow Data (Manual)'!K18,0)</f>
        <v>134</v>
      </c>
      <c r="J89" s="13">
        <f>IFERROR('Cash Flow Data (Manual)'!L18,0)</f>
        <v>272</v>
      </c>
      <c r="K89" s="13">
        <f>IFERROR('Cash Flow Data (Manual)'!M18,0)</f>
        <v>207</v>
      </c>
      <c r="L89" s="13">
        <f>IFERROR('Cash Flow Data (Manual)'!N18,0)</f>
        <v>446</v>
      </c>
    </row>
    <row r="90" spans="2:12" x14ac:dyDescent="0.25">
      <c r="B90" s="166" t="s">
        <v>61</v>
      </c>
      <c r="C90" s="13">
        <f>IFERROR('Cash Flow Data (Manual)'!E19,0)</f>
        <v>14</v>
      </c>
      <c r="D90" s="13">
        <f>IFERROR('Cash Flow Data (Manual)'!F19,0)</f>
        <v>11</v>
      </c>
      <c r="E90" s="13">
        <f>IFERROR('Cash Flow Data (Manual)'!G19,0)</f>
        <v>15</v>
      </c>
      <c r="F90" s="13">
        <f>IFERROR('Cash Flow Data (Manual)'!H19,0)</f>
        <v>32</v>
      </c>
      <c r="G90" s="13">
        <f>IFERROR('Cash Flow Data (Manual)'!I19,0)</f>
        <v>39</v>
      </c>
      <c r="H90" s="13">
        <f>IFERROR('Cash Flow Data (Manual)'!J19,0)</f>
        <v>40</v>
      </c>
      <c r="I90" s="13">
        <f>IFERROR('Cash Flow Data (Manual)'!K19,0)</f>
        <v>65</v>
      </c>
      <c r="J90" s="13">
        <f>IFERROR('Cash Flow Data (Manual)'!L19,0)</f>
        <v>73</v>
      </c>
      <c r="K90" s="13">
        <f>IFERROR('Cash Flow Data (Manual)'!M19,0)</f>
        <v>77</v>
      </c>
      <c r="L90" s="13">
        <f>IFERROR('Cash Flow Data (Manual)'!N19,0)</f>
        <v>87</v>
      </c>
    </row>
    <row r="91" spans="2:12" x14ac:dyDescent="0.25">
      <c r="B91" s="166" t="s">
        <v>62</v>
      </c>
      <c r="C91" s="13">
        <f>IFERROR('Cash Flow Data (Manual)'!E20,0)</f>
        <v>65</v>
      </c>
      <c r="D91" s="13">
        <f>IFERROR('Cash Flow Data (Manual)'!F20,0)</f>
        <v>71</v>
      </c>
      <c r="E91" s="13">
        <f>IFERROR('Cash Flow Data (Manual)'!G20,0)</f>
        <v>69</v>
      </c>
      <c r="F91" s="13">
        <f>IFERROR('Cash Flow Data (Manual)'!H20,0)</f>
        <v>74</v>
      </c>
      <c r="G91" s="13">
        <f>IFERROR('Cash Flow Data (Manual)'!I20,0)</f>
        <v>38</v>
      </c>
      <c r="H91" s="13">
        <f>IFERROR('Cash Flow Data (Manual)'!J20,0)</f>
        <v>40</v>
      </c>
      <c r="I91" s="13">
        <f>IFERROR('Cash Flow Data (Manual)'!K20,0)</f>
        <v>27</v>
      </c>
      <c r="J91" s="13">
        <f>IFERROR('Cash Flow Data (Manual)'!L20,0)</f>
        <v>8</v>
      </c>
      <c r="K91" s="13">
        <f>IFERROR('Cash Flow Data (Manual)'!M20,0)</f>
        <v>15</v>
      </c>
      <c r="L91" s="13">
        <f>IFERROR('Cash Flow Data (Manual)'!N20,0)</f>
        <v>56</v>
      </c>
    </row>
    <row r="92" spans="2:12" x14ac:dyDescent="0.25">
      <c r="B92" s="166" t="s">
        <v>63</v>
      </c>
      <c r="C92" s="13">
        <f>IFERROR('Cash Flow Data (Manual)'!E21,0)</f>
        <v>0</v>
      </c>
      <c r="D92" s="13">
        <f>IFERROR('Cash Flow Data (Manual)'!F21,0)</f>
        <v>0</v>
      </c>
      <c r="E92" s="13">
        <f>IFERROR('Cash Flow Data (Manual)'!G21,0)</f>
        <v>0</v>
      </c>
      <c r="F92" s="13">
        <f>IFERROR('Cash Flow Data (Manual)'!H21,0)</f>
        <v>0</v>
      </c>
      <c r="G92" s="13">
        <f>IFERROR('Cash Flow Data (Manual)'!I21,0)</f>
        <v>0</v>
      </c>
      <c r="H92" s="13">
        <f>IFERROR('Cash Flow Data (Manual)'!J21,0)</f>
        <v>0</v>
      </c>
      <c r="I92" s="13">
        <f>IFERROR('Cash Flow Data (Manual)'!K21,0)</f>
        <v>0</v>
      </c>
      <c r="J92" s="13">
        <f>IFERROR('Cash Flow Data (Manual)'!L21,0)</f>
        <v>0</v>
      </c>
      <c r="K92" s="13">
        <f>IFERROR('Cash Flow Data (Manual)'!M21,0)</f>
        <v>0</v>
      </c>
      <c r="L92" s="13">
        <f>IFERROR('Cash Flow Data (Manual)'!N21,0)</f>
        <v>0</v>
      </c>
    </row>
    <row r="93" spans="2:12" x14ac:dyDescent="0.25">
      <c r="B93" s="166" t="s">
        <v>64</v>
      </c>
      <c r="C93" s="13">
        <f>IFERROR('Cash Flow Data (Manual)'!E22,0)</f>
        <v>0</v>
      </c>
      <c r="D93" s="13">
        <f>IFERROR('Cash Flow Data (Manual)'!F22,0)</f>
        <v>0</v>
      </c>
      <c r="E93" s="13">
        <f>IFERROR('Cash Flow Data (Manual)'!G22,0)</f>
        <v>0</v>
      </c>
      <c r="F93" s="13">
        <f>IFERROR('Cash Flow Data (Manual)'!H22,0)</f>
        <v>0</v>
      </c>
      <c r="G93" s="13">
        <f>IFERROR('Cash Flow Data (Manual)'!I22,0)</f>
        <v>0</v>
      </c>
      <c r="H93" s="13">
        <f>IFERROR('Cash Flow Data (Manual)'!J22,0)</f>
        <v>0</v>
      </c>
      <c r="I93" s="13">
        <f>IFERROR('Cash Flow Data (Manual)'!K22,0)</f>
        <v>0</v>
      </c>
      <c r="J93" s="13">
        <f>IFERROR('Cash Flow Data (Manual)'!L22,0)</f>
        <v>0</v>
      </c>
      <c r="K93" s="13">
        <f>IFERROR('Cash Flow Data (Manual)'!M22,0)</f>
        <v>0</v>
      </c>
      <c r="L93" s="13">
        <f>IFERROR('Cash Flow Data (Manual)'!N22,0)</f>
        <v>-180</v>
      </c>
    </row>
    <row r="94" spans="2:12" x14ac:dyDescent="0.25">
      <c r="B94" s="166" t="s">
        <v>65</v>
      </c>
      <c r="C94" s="13">
        <f>IFERROR('Cash Flow Data (Manual)'!E23,0)</f>
        <v>0</v>
      </c>
      <c r="D94" s="13">
        <f>IFERROR('Cash Flow Data (Manual)'!F23,0)</f>
        <v>0</v>
      </c>
      <c r="E94" s="13">
        <f>IFERROR('Cash Flow Data (Manual)'!G23,0)</f>
        <v>0</v>
      </c>
      <c r="F94" s="13">
        <f>IFERROR('Cash Flow Data (Manual)'!H23,0)</f>
        <v>0</v>
      </c>
      <c r="G94" s="13">
        <f>IFERROR('Cash Flow Data (Manual)'!I23,0)</f>
        <v>141</v>
      </c>
      <c r="H94" s="13">
        <f>IFERROR('Cash Flow Data (Manual)'!J23,0)</f>
        <v>0</v>
      </c>
      <c r="I94" s="13">
        <f>IFERROR('Cash Flow Data (Manual)'!K23,0)</f>
        <v>0</v>
      </c>
      <c r="J94" s="13">
        <f>IFERROR('Cash Flow Data (Manual)'!L23,0)</f>
        <v>0</v>
      </c>
      <c r="K94" s="13">
        <f>IFERROR('Cash Flow Data (Manual)'!M23,0)</f>
        <v>0</v>
      </c>
      <c r="L94" s="13">
        <f>IFERROR('Cash Flow Data (Manual)'!N23,0)</f>
        <v>0</v>
      </c>
    </row>
    <row r="95" spans="2:12" x14ac:dyDescent="0.25">
      <c r="B95" s="166" t="s">
        <v>66</v>
      </c>
      <c r="C95" s="13">
        <f>IFERROR('Cash Flow Data (Manual)'!E24,0)</f>
        <v>0</v>
      </c>
      <c r="D95" s="13">
        <f>IFERROR('Cash Flow Data (Manual)'!F24,0)</f>
        <v>0</v>
      </c>
      <c r="E95" s="13">
        <f>IFERROR('Cash Flow Data (Manual)'!G24,0)</f>
        <v>0</v>
      </c>
      <c r="F95" s="13">
        <f>IFERROR('Cash Flow Data (Manual)'!H24,0)</f>
        <v>0</v>
      </c>
      <c r="G95" s="13">
        <f>IFERROR('Cash Flow Data (Manual)'!I24,0)</f>
        <v>-525</v>
      </c>
      <c r="H95" s="13">
        <f>IFERROR('Cash Flow Data (Manual)'!J24,0)</f>
        <v>0</v>
      </c>
      <c r="I95" s="13">
        <f>IFERROR('Cash Flow Data (Manual)'!K24,0)</f>
        <v>0</v>
      </c>
      <c r="J95" s="13">
        <f>IFERROR('Cash Flow Data (Manual)'!L24,0)</f>
        <v>0</v>
      </c>
      <c r="K95" s="13">
        <f>IFERROR('Cash Flow Data (Manual)'!M24,0)</f>
        <v>0</v>
      </c>
      <c r="L95" s="13">
        <f>IFERROR('Cash Flow Data (Manual)'!N24,0)</f>
        <v>0</v>
      </c>
    </row>
    <row r="96" spans="2:12" x14ac:dyDescent="0.25">
      <c r="B96" s="166" t="s">
        <v>67</v>
      </c>
      <c r="C96" s="13">
        <f>IFERROR('Cash Flow Data (Manual)'!E25,0)</f>
        <v>0</v>
      </c>
      <c r="D96" s="13">
        <f>IFERROR('Cash Flow Data (Manual)'!F25,0)</f>
        <v>0</v>
      </c>
      <c r="E96" s="13">
        <f>IFERROR('Cash Flow Data (Manual)'!G25,0)</f>
        <v>0</v>
      </c>
      <c r="F96" s="13">
        <f>IFERROR('Cash Flow Data (Manual)'!H25,0)</f>
        <v>0</v>
      </c>
      <c r="G96" s="13">
        <f>IFERROR('Cash Flow Data (Manual)'!I25,0)</f>
        <v>0</v>
      </c>
      <c r="H96" s="13">
        <f>IFERROR('Cash Flow Data (Manual)'!J25,0)</f>
        <v>0</v>
      </c>
      <c r="I96" s="13">
        <f>IFERROR('Cash Flow Data (Manual)'!K25,0)</f>
        <v>0</v>
      </c>
      <c r="J96" s="13">
        <f>IFERROR('Cash Flow Data (Manual)'!L25,0)</f>
        <v>0</v>
      </c>
      <c r="K96" s="13">
        <f>IFERROR('Cash Flow Data (Manual)'!M25,0)</f>
        <v>0</v>
      </c>
      <c r="L96" s="13">
        <f>IFERROR('Cash Flow Data (Manual)'!N25,0)</f>
        <v>0</v>
      </c>
    </row>
    <row r="97" spans="2:12" x14ac:dyDescent="0.25">
      <c r="B97" s="166" t="s">
        <v>68</v>
      </c>
      <c r="C97" s="13">
        <f>IFERROR('Cash Flow Data (Manual)'!E26,0)</f>
        <v>-21</v>
      </c>
      <c r="D97" s="13">
        <f>IFERROR('Cash Flow Data (Manual)'!F26,0)</f>
        <v>-144</v>
      </c>
      <c r="E97" s="13">
        <f>IFERROR('Cash Flow Data (Manual)'!G26,0)</f>
        <v>-70</v>
      </c>
      <c r="F97" s="13">
        <f>IFERROR('Cash Flow Data (Manual)'!H26,0)</f>
        <v>-324</v>
      </c>
      <c r="G97" s="13">
        <f>IFERROR('Cash Flow Data (Manual)'!I26,0)</f>
        <v>118</v>
      </c>
      <c r="H97" s="13">
        <f>IFERROR('Cash Flow Data (Manual)'!J26,0)</f>
        <v>-24</v>
      </c>
      <c r="I97" s="13">
        <f>IFERROR('Cash Flow Data (Manual)'!K26,0)</f>
        <v>-353</v>
      </c>
      <c r="J97" s="13">
        <f>IFERROR('Cash Flow Data (Manual)'!L26,0)</f>
        <v>-500</v>
      </c>
      <c r="K97" s="13">
        <f>IFERROR('Cash Flow Data (Manual)'!M26,0)</f>
        <v>-105</v>
      </c>
      <c r="L97" s="13">
        <f>IFERROR('Cash Flow Data (Manual)'!N26,0)</f>
        <v>-126</v>
      </c>
    </row>
    <row r="98" spans="2:12" x14ac:dyDescent="0.25">
      <c r="B98" s="171" t="s">
        <v>69</v>
      </c>
      <c r="C98" s="20">
        <f>SUM(C86:C97)</f>
        <v>-586</v>
      </c>
      <c r="D98" s="20">
        <f t="shared" ref="D98:L98" si="26">SUM(D86:D97)</f>
        <v>-465</v>
      </c>
      <c r="E98" s="20">
        <f t="shared" si="26"/>
        <v>-865</v>
      </c>
      <c r="F98" s="20">
        <f t="shared" si="26"/>
        <v>-681</v>
      </c>
      <c r="G98" s="20">
        <f t="shared" si="26"/>
        <v>-1556</v>
      </c>
      <c r="H98" s="20">
        <f t="shared" si="26"/>
        <v>-918</v>
      </c>
      <c r="I98" s="20">
        <f t="shared" si="26"/>
        <v>-519</v>
      </c>
      <c r="J98" s="20">
        <f t="shared" si="26"/>
        <v>-541</v>
      </c>
      <c r="K98" s="20">
        <f t="shared" si="26"/>
        <v>-317</v>
      </c>
      <c r="L98" s="20">
        <f t="shared" si="26"/>
        <v>-1283</v>
      </c>
    </row>
    <row r="100" spans="2:12" x14ac:dyDescent="0.25">
      <c r="B100" s="171" t="s">
        <v>70</v>
      </c>
    </row>
    <row r="101" spans="2:12" x14ac:dyDescent="0.25">
      <c r="B101" s="166" t="s">
        <v>71</v>
      </c>
      <c r="C101" s="13">
        <f>IFERROR('Cash Flow Data (Manual)'!E28,0)</f>
        <v>0</v>
      </c>
      <c r="D101" s="13">
        <f>IFERROR('Cash Flow Data (Manual)'!F28,0)</f>
        <v>46</v>
      </c>
      <c r="E101" s="13">
        <f>IFERROR('Cash Flow Data (Manual)'!G28,0)</f>
        <v>17</v>
      </c>
      <c r="F101" s="13">
        <f>IFERROR('Cash Flow Data (Manual)'!H28,0)</f>
        <v>15</v>
      </c>
      <c r="G101" s="13">
        <f>IFERROR('Cash Flow Data (Manual)'!I28,0)</f>
        <v>0</v>
      </c>
      <c r="H101" s="13">
        <f>IFERROR('Cash Flow Data (Manual)'!J28,0)</f>
        <v>0</v>
      </c>
      <c r="I101" s="13">
        <f>IFERROR('Cash Flow Data (Manual)'!K28,0)</f>
        <v>0</v>
      </c>
      <c r="J101" s="13">
        <f>IFERROR('Cash Flow Data (Manual)'!L28,0)</f>
        <v>0</v>
      </c>
      <c r="K101" s="13">
        <f>IFERROR('Cash Flow Data (Manual)'!M28,0)</f>
        <v>0</v>
      </c>
      <c r="L101" s="13">
        <f>IFERROR('Cash Flow Data (Manual)'!N28,0)</f>
        <v>0</v>
      </c>
    </row>
    <row r="102" spans="2:12" x14ac:dyDescent="0.25">
      <c r="B102" s="166" t="s">
        <v>72</v>
      </c>
      <c r="C102" s="13">
        <f>IFERROR('Cash Flow Data (Manual)'!E29,0)</f>
        <v>0</v>
      </c>
      <c r="D102" s="13">
        <f>IFERROR('Cash Flow Data (Manual)'!F29,0)</f>
        <v>0</v>
      </c>
      <c r="E102" s="13">
        <f>IFERROR('Cash Flow Data (Manual)'!G29,0)</f>
        <v>0</v>
      </c>
      <c r="F102" s="13">
        <f>IFERROR('Cash Flow Data (Manual)'!H29,0)</f>
        <v>0</v>
      </c>
      <c r="G102" s="13">
        <f>IFERROR('Cash Flow Data (Manual)'!I29,0)</f>
        <v>0</v>
      </c>
      <c r="H102" s="13">
        <f>IFERROR('Cash Flow Data (Manual)'!J29,0)</f>
        <v>0</v>
      </c>
      <c r="I102" s="13">
        <f>IFERROR('Cash Flow Data (Manual)'!K29,0)</f>
        <v>0</v>
      </c>
      <c r="J102" s="13">
        <f>IFERROR('Cash Flow Data (Manual)'!L29,0)</f>
        <v>0</v>
      </c>
      <c r="K102" s="13">
        <f>IFERROR('Cash Flow Data (Manual)'!M29,0)</f>
        <v>0</v>
      </c>
      <c r="L102" s="13">
        <f>IFERROR('Cash Flow Data (Manual)'!N29,0)</f>
        <v>0</v>
      </c>
    </row>
    <row r="103" spans="2:12" x14ac:dyDescent="0.25">
      <c r="B103" s="166" t="s">
        <v>73</v>
      </c>
      <c r="C103" s="13">
        <f>IFERROR('Cash Flow Data (Manual)'!E30,0)</f>
        <v>44</v>
      </c>
      <c r="D103" s="13">
        <f>IFERROR('Cash Flow Data (Manual)'!F30,0)</f>
        <v>239</v>
      </c>
      <c r="E103" s="13">
        <f>IFERROR('Cash Flow Data (Manual)'!G30,0)</f>
        <v>8</v>
      </c>
      <c r="F103" s="13">
        <f>IFERROR('Cash Flow Data (Manual)'!H30,0)</f>
        <v>271</v>
      </c>
      <c r="G103" s="13">
        <f>IFERROR('Cash Flow Data (Manual)'!I30,0)</f>
        <v>10</v>
      </c>
      <c r="H103" s="13">
        <f>IFERROR('Cash Flow Data (Manual)'!J30,0)</f>
        <v>243</v>
      </c>
      <c r="I103" s="13">
        <f>IFERROR('Cash Flow Data (Manual)'!K30,0)</f>
        <v>18</v>
      </c>
      <c r="J103" s="13">
        <f>IFERROR('Cash Flow Data (Manual)'!L30,0)</f>
        <v>155</v>
      </c>
      <c r="K103" s="13">
        <f>IFERROR('Cash Flow Data (Manual)'!M30,0)</f>
        <v>418</v>
      </c>
      <c r="L103" s="13">
        <f>IFERROR('Cash Flow Data (Manual)'!N30,0)</f>
        <v>254</v>
      </c>
    </row>
    <row r="104" spans="2:12" x14ac:dyDescent="0.25">
      <c r="B104" s="166" t="s">
        <v>74</v>
      </c>
      <c r="C104" s="13">
        <f>IFERROR('Cash Flow Data (Manual)'!E31,0)</f>
        <v>-81</v>
      </c>
      <c r="D104" s="13">
        <f>IFERROR('Cash Flow Data (Manual)'!F31,0)</f>
        <v>-86</v>
      </c>
      <c r="E104" s="13">
        <f>IFERROR('Cash Flow Data (Manual)'!G31,0)</f>
        <v>-119</v>
      </c>
      <c r="F104" s="13">
        <f>IFERROR('Cash Flow Data (Manual)'!H31,0)</f>
        <v>-58</v>
      </c>
      <c r="G104" s="13">
        <f>IFERROR('Cash Flow Data (Manual)'!I31,0)</f>
        <v>-54</v>
      </c>
      <c r="H104" s="13">
        <f>IFERROR('Cash Flow Data (Manual)'!J31,0)</f>
        <v>-26</v>
      </c>
      <c r="I104" s="13">
        <f>IFERROR('Cash Flow Data (Manual)'!K31,0)</f>
        <v>-279</v>
      </c>
      <c r="J104" s="13">
        <f>IFERROR('Cash Flow Data (Manual)'!L31,0)</f>
        <v>-14</v>
      </c>
      <c r="K104" s="13">
        <f>IFERROR('Cash Flow Data (Manual)'!M31,0)</f>
        <v>-8</v>
      </c>
      <c r="L104" s="13">
        <f>IFERROR('Cash Flow Data (Manual)'!N31,0)</f>
        <v>-25</v>
      </c>
    </row>
    <row r="105" spans="2:12" x14ac:dyDescent="0.25">
      <c r="B105" s="166" t="s">
        <v>75</v>
      </c>
      <c r="C105" s="13">
        <f>IFERROR('Cash Flow Data (Manual)'!E32,0)</f>
        <v>-42</v>
      </c>
      <c r="D105" s="13">
        <f>IFERROR('Cash Flow Data (Manual)'!F32,0)</f>
        <v>-35</v>
      </c>
      <c r="E105" s="13">
        <f>IFERROR('Cash Flow Data (Manual)'!G32,0)</f>
        <v>-40</v>
      </c>
      <c r="F105" s="13">
        <f>IFERROR('Cash Flow Data (Manual)'!H32,0)</f>
        <v>-36</v>
      </c>
      <c r="G105" s="13">
        <f>IFERROR('Cash Flow Data (Manual)'!I32,0)</f>
        <v>-35</v>
      </c>
      <c r="H105" s="13">
        <f>IFERROR('Cash Flow Data (Manual)'!J32,0)</f>
        <v>-106</v>
      </c>
      <c r="I105" s="13">
        <f>IFERROR('Cash Flow Data (Manual)'!K32,0)</f>
        <v>-101</v>
      </c>
      <c r="J105" s="13">
        <f>IFERROR('Cash Flow Data (Manual)'!L32,0)</f>
        <v>-89</v>
      </c>
      <c r="K105" s="13">
        <f>IFERROR('Cash Flow Data (Manual)'!M32,0)</f>
        <v>-94</v>
      </c>
      <c r="L105" s="13">
        <f>IFERROR('Cash Flow Data (Manual)'!N32,0)</f>
        <v>-142</v>
      </c>
    </row>
    <row r="106" spans="2:12" x14ac:dyDescent="0.25">
      <c r="B106" s="166" t="s">
        <v>76</v>
      </c>
      <c r="C106" s="13">
        <f>IFERROR('Cash Flow Data (Manual)'!E33,0)</f>
        <v>-547</v>
      </c>
      <c r="D106" s="13">
        <f>IFERROR('Cash Flow Data (Manual)'!F33,0)</f>
        <v>-695</v>
      </c>
      <c r="E106" s="13">
        <f>IFERROR('Cash Flow Data (Manual)'!G33,0)</f>
        <v>-764</v>
      </c>
      <c r="F106" s="13">
        <f>IFERROR('Cash Flow Data (Manual)'!H33,0)</f>
        <v>-947</v>
      </c>
      <c r="G106" s="13">
        <f>IFERROR('Cash Flow Data (Manual)'!I33,0)</f>
        <v>-1218</v>
      </c>
      <c r="H106" s="13">
        <f>IFERROR('Cash Flow Data (Manual)'!J33,0)</f>
        <v>-1049</v>
      </c>
      <c r="I106" s="13">
        <f>IFERROR('Cash Flow Data (Manual)'!K33,0)</f>
        <v>-2121</v>
      </c>
      <c r="J106" s="13">
        <f>IFERROR('Cash Flow Data (Manual)'!L33,0)</f>
        <v>-499</v>
      </c>
      <c r="K106" s="13">
        <f>IFERROR('Cash Flow Data (Manual)'!M33,0)</f>
        <v>-1763</v>
      </c>
      <c r="L106" s="13">
        <f>IFERROR('Cash Flow Data (Manual)'!N33,0)</f>
        <v>-1936</v>
      </c>
    </row>
    <row r="107" spans="2:12" x14ac:dyDescent="0.25">
      <c r="B107" s="166" t="s">
        <v>77</v>
      </c>
      <c r="C107" s="13">
        <f>IFERROR('Cash Flow Data (Manual)'!E34,0)</f>
        <v>0</v>
      </c>
      <c r="D107" s="13">
        <f>IFERROR('Cash Flow Data (Manual)'!F34,0)</f>
        <v>0</v>
      </c>
      <c r="E107" s="13">
        <f>IFERROR('Cash Flow Data (Manual)'!G34,0)</f>
        <v>0</v>
      </c>
      <c r="F107" s="13">
        <f>IFERROR('Cash Flow Data (Manual)'!H34,0)</f>
        <v>0</v>
      </c>
      <c r="G107" s="13">
        <f>IFERROR('Cash Flow Data (Manual)'!I34,0)</f>
        <v>0</v>
      </c>
      <c r="H107" s="13">
        <f>IFERROR('Cash Flow Data (Manual)'!J34,0)</f>
        <v>-180</v>
      </c>
      <c r="I107" s="13">
        <f>IFERROR('Cash Flow Data (Manual)'!K34,0)</f>
        <v>-179</v>
      </c>
      <c r="J107" s="13">
        <f>IFERROR('Cash Flow Data (Manual)'!L34,0)</f>
        <v>-203</v>
      </c>
      <c r="K107" s="13">
        <f>IFERROR('Cash Flow Data (Manual)'!M34,0)</f>
        <v>-221</v>
      </c>
      <c r="L107" s="13">
        <f>IFERROR('Cash Flow Data (Manual)'!N34,0)</f>
        <v>-256</v>
      </c>
    </row>
    <row r="108" spans="2:12" x14ac:dyDescent="0.25">
      <c r="B108" s="166" t="s">
        <v>78</v>
      </c>
      <c r="C108" s="13">
        <f>IFERROR('Cash Flow Data (Manual)'!E35,0)</f>
        <v>0</v>
      </c>
      <c r="D108" s="13">
        <f>IFERROR('Cash Flow Data (Manual)'!F35,0)</f>
        <v>0</v>
      </c>
      <c r="E108" s="13">
        <f>IFERROR('Cash Flow Data (Manual)'!G35,0)</f>
        <v>66</v>
      </c>
      <c r="F108" s="13">
        <f>IFERROR('Cash Flow Data (Manual)'!H35,0)</f>
        <v>13</v>
      </c>
      <c r="G108" s="13">
        <f>IFERROR('Cash Flow Data (Manual)'!I35,0)</f>
        <v>-82</v>
      </c>
      <c r="H108" s="13">
        <f>IFERROR('Cash Flow Data (Manual)'!J35,0)</f>
        <v>0</v>
      </c>
      <c r="I108" s="13">
        <f>IFERROR('Cash Flow Data (Manual)'!K35,0)</f>
        <v>-209</v>
      </c>
      <c r="J108" s="13">
        <f>IFERROR('Cash Flow Data (Manual)'!L35,0)</f>
        <v>0</v>
      </c>
      <c r="K108" s="13">
        <f>IFERROR('Cash Flow Data (Manual)'!M35,0)</f>
        <v>-140</v>
      </c>
      <c r="L108" s="13">
        <f>IFERROR('Cash Flow Data (Manual)'!N35,0)</f>
        <v>-36</v>
      </c>
    </row>
    <row r="109" spans="2:12" x14ac:dyDescent="0.25">
      <c r="B109" s="171" t="s">
        <v>79</v>
      </c>
      <c r="C109" s="20">
        <f>SUM(C101:C108)</f>
        <v>-626</v>
      </c>
      <c r="D109" s="20">
        <f t="shared" ref="D109:L109" si="27">SUM(D101:D108)</f>
        <v>-531</v>
      </c>
      <c r="E109" s="20">
        <f t="shared" si="27"/>
        <v>-832</v>
      </c>
      <c r="F109" s="20">
        <f t="shared" si="27"/>
        <v>-742</v>
      </c>
      <c r="G109" s="20">
        <f t="shared" si="27"/>
        <v>-1379</v>
      </c>
      <c r="H109" s="20">
        <f t="shared" si="27"/>
        <v>-1118</v>
      </c>
      <c r="I109" s="20">
        <f t="shared" si="27"/>
        <v>-2871</v>
      </c>
      <c r="J109" s="20">
        <f t="shared" si="27"/>
        <v>-650</v>
      </c>
      <c r="K109" s="20">
        <f t="shared" si="27"/>
        <v>-1808</v>
      </c>
      <c r="L109" s="20">
        <f t="shared" si="27"/>
        <v>-2141</v>
      </c>
    </row>
    <row r="111" spans="2:12" x14ac:dyDescent="0.25">
      <c r="B111" s="171" t="s">
        <v>80</v>
      </c>
      <c r="C111" s="20">
        <f>IFERROR(C109+C98+C83,0)</f>
        <v>191</v>
      </c>
      <c r="D111" s="20">
        <f t="shared" ref="D111:L111" si="28">IFERROR(D109+D98+D83,0)</f>
        <v>192</v>
      </c>
      <c r="E111" s="20">
        <f t="shared" si="28"/>
        <v>547</v>
      </c>
      <c r="F111" s="20">
        <f t="shared" si="28"/>
        <v>105</v>
      </c>
      <c r="G111" s="20">
        <f t="shared" si="28"/>
        <v>-822</v>
      </c>
      <c r="H111" s="20">
        <f t="shared" si="28"/>
        <v>433</v>
      </c>
      <c r="I111" s="20">
        <f t="shared" si="28"/>
        <v>-353</v>
      </c>
      <c r="J111" s="20">
        <f t="shared" si="28"/>
        <v>2492</v>
      </c>
      <c r="K111" s="20">
        <f t="shared" si="28"/>
        <v>-1138</v>
      </c>
      <c r="L111" s="20">
        <f t="shared" si="28"/>
        <v>770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L15 M30 M36 M21 M2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3E4A-C50E-4923-90AB-0008938320D6}">
  <dimension ref="B2:O41"/>
  <sheetViews>
    <sheetView showGridLines="0" workbookViewId="0">
      <pane ySplit="3" topLeftCell="A23" activePane="bottomLeft" state="frozen"/>
      <selection pane="bottomLeft" activeCell="F28" sqref="F28"/>
    </sheetView>
  </sheetViews>
  <sheetFormatPr defaultRowHeight="15" x14ac:dyDescent="0.25"/>
  <cols>
    <col min="1" max="1" width="1.85546875" customWidth="1"/>
    <col min="2" max="2" width="26.140625" bestFit="1" customWidth="1"/>
    <col min="4" max="9" width="9.28515625" bestFit="1" customWidth="1"/>
    <col min="10" max="11" width="9.85546875" bestFit="1" customWidth="1"/>
    <col min="12" max="12" width="9.28515625" bestFit="1" customWidth="1"/>
    <col min="13" max="13" width="19.7109375" customWidth="1"/>
    <col min="14" max="14" width="11.140625" customWidth="1"/>
    <col min="15" max="15" width="10.140625" customWidth="1"/>
  </cols>
  <sheetData>
    <row r="2" spans="2:15" x14ac:dyDescent="0.25">
      <c r="B2" s="229" t="str">
        <f>"Ratio Analysis - "&amp;'Data Sheet'!B1</f>
        <v>Ratio Analysis - ASIAN PAINTS LTD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</row>
    <row r="3" spans="2:15" x14ac:dyDescent="0.25">
      <c r="B3" s="8" t="s">
        <v>0</v>
      </c>
      <c r="C3" s="9">
        <f>'Data Sheet'!B16</f>
        <v>41729</v>
      </c>
      <c r="D3" s="9">
        <f>'Data Sheet'!C16</f>
        <v>42094</v>
      </c>
      <c r="E3" s="9">
        <f>'Data Sheet'!D16</f>
        <v>42460</v>
      </c>
      <c r="F3" s="9">
        <f>'Data Sheet'!E16</f>
        <v>42825</v>
      </c>
      <c r="G3" s="9">
        <f>'Data Sheet'!F16</f>
        <v>43190</v>
      </c>
      <c r="H3" s="9">
        <f>'Data Sheet'!G16</f>
        <v>43555</v>
      </c>
      <c r="I3" s="9">
        <f>'Data Sheet'!H16</f>
        <v>43921</v>
      </c>
      <c r="J3" s="9">
        <f>'Data Sheet'!I16</f>
        <v>44286</v>
      </c>
      <c r="K3" s="9">
        <f>'Data Sheet'!J16</f>
        <v>44651</v>
      </c>
      <c r="L3" s="9">
        <f>'Data Sheet'!K16</f>
        <v>45016</v>
      </c>
      <c r="M3" s="35" t="s">
        <v>81</v>
      </c>
      <c r="N3" s="35" t="s">
        <v>82</v>
      </c>
      <c r="O3" s="35" t="s">
        <v>83</v>
      </c>
    </row>
    <row r="5" spans="2:15" x14ac:dyDescent="0.25">
      <c r="B5" s="172" t="s">
        <v>5</v>
      </c>
      <c r="C5" s="24"/>
      <c r="D5" s="25">
        <f>IFERROR('Historical FS'!D7,0)</f>
        <v>0.11414466174101112</v>
      </c>
      <c r="E5" s="25">
        <f>IFERROR('Historical FS'!E7,0)</f>
        <v>4.8198124751198224E-2</v>
      </c>
      <c r="F5" s="25">
        <f>IFERROR('Historical FS'!F7,0)</f>
        <v>5.5390151974320734E-2</v>
      </c>
      <c r="G5" s="25">
        <f>IFERROR('Historical FS'!G7,0)</f>
        <v>0.11702039371955486</v>
      </c>
      <c r="H5" s="25">
        <f>IFERROR('Historical FS'!H7,0)</f>
        <v>0.14357471670861943</v>
      </c>
      <c r="I5" s="25">
        <f>IFERROR('Historical FS'!I7,0)</f>
        <v>5.0473671435691925E-2</v>
      </c>
      <c r="J5" s="25">
        <f>IFERROR('Historical FS'!J7,0)</f>
        <v>7.4292287711052118E-2</v>
      </c>
      <c r="K5" s="25">
        <f>IFERROR('Historical FS'!K7,0)</f>
        <v>0.34028284711453471</v>
      </c>
      <c r="L5" s="25">
        <f>IFERROR('Historical FS'!L7,0)</f>
        <v>0.18512278497715551</v>
      </c>
      <c r="M5" s="24"/>
      <c r="N5" s="25">
        <f>IFERROR(AVERAGE(D5:L5),0)</f>
        <v>0.12538884890368207</v>
      </c>
      <c r="O5" s="25">
        <f>IFERROR(MEDIAN(C5:L5),0)</f>
        <v>0.11414466174101112</v>
      </c>
    </row>
    <row r="6" spans="2:15" x14ac:dyDescent="0.25">
      <c r="B6" s="166" t="s">
        <v>84</v>
      </c>
      <c r="D6" s="26">
        <f>IFERROR('Historical FS'!D18/'Historical FS'!C18-1,0)</f>
        <v>0.11939650439695271</v>
      </c>
      <c r="E6" s="26">
        <f>IFERROR('Historical FS'!E18/'Historical FS'!D18-1,0)</f>
        <v>0.21496818836412013</v>
      </c>
      <c r="F6" s="26">
        <f>IFERROR('Historical FS'!F18/'Historical FS'!E18-1,0)</f>
        <v>9.861139652995865E-2</v>
      </c>
      <c r="G6" s="26">
        <f>IFERROR('Historical FS'!G18/'Historical FS'!F18-1,0)</f>
        <v>7.0229410507188561E-2</v>
      </c>
      <c r="H6" s="26">
        <f>IFERROR('Historical FS'!H18/'Historical FS'!G18-1,0)</f>
        <v>0.17507123885381137</v>
      </c>
      <c r="I6" s="26">
        <f>IFERROR('Historical FS'!I18/'Historical FS'!H18-1,0)</f>
        <v>0.10408665211132084</v>
      </c>
      <c r="J6" s="26">
        <f>IFERROR('Historical FS'!J18/'Historical FS'!I18-1,0)</f>
        <v>0.16810446447043792</v>
      </c>
      <c r="K6" s="26">
        <f>IFERROR('Historical FS'!K18/'Historical FS'!J18-1,0)</f>
        <v>-1.0707224647830249E-2</v>
      </c>
      <c r="L6" s="26">
        <f>IFERROR('Historical FS'!L18/'Historical FS'!K18-1,0)</f>
        <v>0.3031532534906034</v>
      </c>
      <c r="N6" s="26">
        <f t="shared" ref="N6:N9" si="0">IFERROR(AVERAGE(D6:L6),0)</f>
        <v>0.13810154267517369</v>
      </c>
      <c r="O6" s="26">
        <f t="shared" ref="O6:O31" si="1">IFERROR(MEDIAN(C6:L6),0)</f>
        <v>0.11939650439695271</v>
      </c>
    </row>
    <row r="7" spans="2:15" x14ac:dyDescent="0.25">
      <c r="B7" s="166" t="s">
        <v>85</v>
      </c>
      <c r="D7" s="26">
        <f>IFERROR('Historical FS'!D33/'Historical FS'!C33-1,0)</f>
        <v>0.13225970004415832</v>
      </c>
      <c r="E7" s="26">
        <f>IFERROR('Historical FS'!E33/'Historical FS'!D33-1,0)</f>
        <v>0.25855253337955753</v>
      </c>
      <c r="F7" s="26">
        <f>IFERROR('Historical FS'!F33/'Historical FS'!E33-1,0)</f>
        <v>0.13225318973927314</v>
      </c>
      <c r="G7" s="26">
        <f>IFERROR('Historical FS'!G33/'Historical FS'!F33-1,0)</f>
        <v>6.0462098839684675E-2</v>
      </c>
      <c r="H7" s="26">
        <f>IFERROR('Historical FS'!H33/'Historical FS'!G33-1,0)</f>
        <v>5.3408019168514898E-2</v>
      </c>
      <c r="I7" s="26">
        <f>IFERROR('Historical FS'!I33/'Historical FS'!H33-1,0)</f>
        <v>9.7680045975619745E-2</v>
      </c>
      <c r="J7" s="26">
        <f>IFERROR('Historical FS'!J33/'Historical FS'!I33-1,0)</f>
        <v>0.18608502524083659</v>
      </c>
      <c r="K7" s="26">
        <f>IFERROR('Historical FS'!K33/'Historical FS'!J33-1,0)</f>
        <v>-2.7095844901089516E-2</v>
      </c>
      <c r="L7" s="26">
        <f>IFERROR('Historical FS'!L33/'Historical FS'!K33-1,0)</f>
        <v>0.35845519757767907</v>
      </c>
      <c r="N7" s="26">
        <f t="shared" si="0"/>
        <v>0.13911777389602603</v>
      </c>
      <c r="O7" s="26">
        <f t="shared" si="1"/>
        <v>0.13225318973927314</v>
      </c>
    </row>
    <row r="8" spans="2:15" x14ac:dyDescent="0.25">
      <c r="B8" s="166" t="s">
        <v>86</v>
      </c>
      <c r="D8" s="26">
        <f>IFERROR('Historical FS'!D39/'Historical FS'!C39-1,0)</f>
        <v>0.13032563590864332</v>
      </c>
      <c r="E8" s="26">
        <f>IFERROR('Historical FS'!E39/'Historical FS'!D39-1,0)</f>
        <v>0.23962923780765588</v>
      </c>
      <c r="F8" s="26">
        <f>IFERROR('Historical FS'!F39/'Historical FS'!E39-1,0)</f>
        <v>0.13953632952027806</v>
      </c>
      <c r="G8" s="26">
        <f>IFERROR('Historical FS'!G39/'Historical FS'!F39-1,0)</f>
        <v>4.0307501549907254E-2</v>
      </c>
      <c r="H8" s="26">
        <f>IFERROR('Historical FS'!H39/'Historical FS'!G39-1,0)</f>
        <v>5.2690796750448632E-2</v>
      </c>
      <c r="I8" s="26">
        <f>IFERROR('Historical FS'!I39/'Historical FS'!H39-1,0)</f>
        <v>0.25640386949511607</v>
      </c>
      <c r="J8" s="26">
        <f>IFERROR('Historical FS'!J39/'Historical FS'!I39-1,0)</f>
        <v>0.15592299013405908</v>
      </c>
      <c r="K8" s="26">
        <f>IFERROR('Historical FS'!K39/'Historical FS'!J39-1,0)</f>
        <v>-3.802603882435629E-2</v>
      </c>
      <c r="L8" s="26">
        <f>IFERROR('Historical FS'!L39/'Historical FS'!K39-1,0)</f>
        <v>0.3599962396387455</v>
      </c>
      <c r="N8" s="26">
        <f t="shared" si="0"/>
        <v>0.14853184022005528</v>
      </c>
      <c r="O8" s="26">
        <f t="shared" si="1"/>
        <v>0.13953632952027806</v>
      </c>
    </row>
    <row r="9" spans="2:15" x14ac:dyDescent="0.25">
      <c r="B9" s="173" t="s">
        <v>87</v>
      </c>
      <c r="C9" s="27"/>
      <c r="D9" s="28">
        <f>IFERROR('Historical FS'!D47/'Historical FS'!C47-1,0)</f>
        <v>0.15093040638892163</v>
      </c>
      <c r="E9" s="28">
        <f>IFERROR('Historical FS'!E47/'Historical FS'!D47-1,0)</f>
        <v>0.22951239937789469</v>
      </c>
      <c r="F9" s="28">
        <f>IFERROR('Historical FS'!F47/'Historical FS'!E47-1,0)</f>
        <v>0.37333889352237981</v>
      </c>
      <c r="G9" s="28">
        <f>IFERROR('Historical FS'!G47/'Historical FS'!F47-1,0)</f>
        <v>-0.15534727423632066</v>
      </c>
      <c r="H9" s="28">
        <f>IFERROR('Historical FS'!H47/'Historical FS'!G47-1,0)</f>
        <v>0.20690233672858005</v>
      </c>
      <c r="I9" s="28">
        <f>IFERROR('Historical FS'!I47/'Historical FS'!H47-1,0)</f>
        <v>0.14285714285714279</v>
      </c>
      <c r="J9" s="28">
        <f>IFERROR('Historical FS'!J47/'Historical FS'!I47-1,0)</f>
        <v>0.48749826244092298</v>
      </c>
      <c r="K9" s="28">
        <f>IFERROR('Historical FS'!K47/'Historical FS'!J47-1,0)</f>
        <v>7.2831552941588606E-2</v>
      </c>
      <c r="L9" s="28">
        <f>IFERROR('Historical FS'!L47/'Historical FS'!K47-1,0)</f>
        <v>0.33942521789783719</v>
      </c>
      <c r="M9" s="27"/>
      <c r="N9" s="28">
        <f t="shared" si="0"/>
        <v>0.2053276597687719</v>
      </c>
      <c r="O9" s="28">
        <f>IFERROR(MEDIAN(C9:L9),0)</f>
        <v>0.20690233672858005</v>
      </c>
    </row>
    <row r="11" spans="2:15" x14ac:dyDescent="0.25">
      <c r="B11" s="172" t="s">
        <v>88</v>
      </c>
      <c r="C11" s="25">
        <f>IFERROR('Historical FS'!C13,0)</f>
        <v>0.30943334776279285</v>
      </c>
      <c r="D11" s="25">
        <f>IFERROR('Historical FS'!D13,0)</f>
        <v>0.31703324064321942</v>
      </c>
      <c r="E11" s="25">
        <f>IFERROR('Historical FS'!E13,0)</f>
        <v>0.34037441080083447</v>
      </c>
      <c r="F11" s="25">
        <f>IFERROR('Historical FS'!F13,0)</f>
        <v>0.35382642001488518</v>
      </c>
      <c r="G11" s="25">
        <f>IFERROR('Historical FS'!G13,0)</f>
        <v>0.33465263558312119</v>
      </c>
      <c r="H11" s="25">
        <f>IFERROR('Historical FS'!H13,0)</f>
        <v>0.3292243867375117</v>
      </c>
      <c r="I11" s="25">
        <f>IFERROR('Historical FS'!I13,0)</f>
        <v>0.34897544684272364</v>
      </c>
      <c r="J11" s="25">
        <f>IFERROR('Historical FS'!J13,0)</f>
        <v>0.35360356729835285</v>
      </c>
      <c r="K11" s="25">
        <f>IFERROR('Historical FS'!K13,0)</f>
        <v>0.29245139732685294</v>
      </c>
      <c r="L11" s="25">
        <f>IFERROR('Historical FS'!L13,0)</f>
        <v>0.31088223670495074</v>
      </c>
      <c r="M11" s="24"/>
      <c r="N11" s="25">
        <f>IFERROR(AVERAGE(C11:L11),0)</f>
        <v>0.32904570897152452</v>
      </c>
      <c r="O11" s="25">
        <f t="shared" si="1"/>
        <v>0.33193851116031647</v>
      </c>
    </row>
    <row r="12" spans="2:15" x14ac:dyDescent="0.25">
      <c r="B12" s="166" t="s">
        <v>89</v>
      </c>
      <c r="C12" s="26">
        <f>IFERROR('Historical FS'!C19,0)</f>
        <v>0.16396066567542564</v>
      </c>
      <c r="D12" s="26">
        <f>IFERROR('Historical FS'!D19,0)</f>
        <v>0.16473354162902507</v>
      </c>
      <c r="E12" s="26">
        <f>IFERROR('Historical FS'!E19,0)</f>
        <v>0.19094292186730338</v>
      </c>
      <c r="F12" s="26">
        <f>IFERROR('Historical FS'!F19,0)</f>
        <v>0.19876258050895004</v>
      </c>
      <c r="G12" s="26">
        <f>IFERROR('Historical FS'!G19,0)</f>
        <v>0.19043659414367703</v>
      </c>
      <c r="H12" s="26">
        <f>IFERROR('Historical FS'!H19,0)</f>
        <v>0.19568163000977651</v>
      </c>
      <c r="I12" s="26">
        <f>IFERROR('Historical FS'!I19,0)</f>
        <v>0.20566862514688591</v>
      </c>
      <c r="J12" s="26">
        <f>IFERROR('Historical FS'!J19,0)</f>
        <v>0.22362856178317034</v>
      </c>
      <c r="K12" s="26">
        <f>IFERROR('Historical FS'!K19,0)</f>
        <v>0.16506524798909186</v>
      </c>
      <c r="L12" s="26">
        <f>IFERROR('Historical FS'!L19,0)</f>
        <v>0.1815046657459756</v>
      </c>
      <c r="N12" s="26">
        <f t="shared" ref="N12:N41" si="2">IFERROR(AVERAGE(C12:L12),0)</f>
        <v>0.18803850344992817</v>
      </c>
      <c r="O12" s="26">
        <f t="shared" si="1"/>
        <v>0.19068975800549021</v>
      </c>
    </row>
    <row r="13" spans="2:15" x14ac:dyDescent="0.25">
      <c r="B13" s="166" t="s">
        <v>90</v>
      </c>
      <c r="C13" s="26">
        <f>IFERROR(('Historical FS'!C18-'Historical FS'!C21)/'Historical FS'!C6,0)</f>
        <v>0.14385816468732135</v>
      </c>
      <c r="D13" s="26">
        <f>IFERROR(('Historical FS'!D18-'Historical FS'!D21)/'Historical FS'!D6,0)</f>
        <v>0.14520251541285292</v>
      </c>
      <c r="E13" s="26">
        <f>IFERROR(('Historical FS'!E18-'Historical FS'!E21)/'Historical FS'!E6,0)</f>
        <v>0.17163309507276406</v>
      </c>
      <c r="F13" s="26">
        <f>IFERROR(('Historical FS'!F18-'Historical FS'!F21)/'Historical FS'!F6,0)</f>
        <v>0.17653510591893901</v>
      </c>
      <c r="G13" s="26">
        <f>IFERROR(('Historical FS'!G18-'Historical FS'!G21)/'Historical FS'!G6,0)</f>
        <v>0.16901135543001156</v>
      </c>
      <c r="H13" s="26">
        <f>IFERROR(('Historical FS'!H18-'Historical FS'!H21)/'Historical FS'!H6,0)</f>
        <v>0.16334608965739844</v>
      </c>
      <c r="I13" s="26">
        <f>IFERROR(('Historical FS'!I18-'Historical FS'!I21)/'Historical FS'!I6,0)</f>
        <v>0.16705151833755943</v>
      </c>
      <c r="J13" s="26">
        <f>IFERROR(('Historical FS'!J18-'Historical FS'!J21)/'Historical FS'!J6,0)</f>
        <v>0.18718598577152007</v>
      </c>
      <c r="K13" s="26">
        <f>IFERROR(('Historical FS'!K18-'Historical FS'!K21)/'Historical FS'!K6,0)</f>
        <v>0.13701287366053996</v>
      </c>
      <c r="L13" s="26">
        <f>IFERROR(('Historical FS'!L18-'Historical FS'!L21)/'Historical FS'!L6,0)</f>
        <v>0.15662629292760291</v>
      </c>
      <c r="N13" s="26">
        <f t="shared" si="2"/>
        <v>0.161746299687651</v>
      </c>
      <c r="O13" s="26">
        <f t="shared" si="1"/>
        <v>0.16519880399747894</v>
      </c>
    </row>
    <row r="14" spans="2:15" x14ac:dyDescent="0.25">
      <c r="B14" s="166" t="s">
        <v>91</v>
      </c>
      <c r="C14" s="26">
        <f>IFERROR('Historical FS'!C34,0)</f>
        <v>0.15009938324289701</v>
      </c>
      <c r="D14" s="26">
        <f>IFERROR('Historical FS'!D34,0)</f>
        <v>0.15253987070390135</v>
      </c>
      <c r="E14" s="26">
        <f>IFERROR('Historical FS'!E34,0)</f>
        <v>0.18315186431129485</v>
      </c>
      <c r="F14" s="26">
        <f>IFERROR('Historical FS'!F34,0)</f>
        <v>0.19649063636345532</v>
      </c>
      <c r="G14" s="26">
        <f>IFERROR('Historical FS'!G34,0)</f>
        <v>0.18654169056527523</v>
      </c>
      <c r="H14" s="26">
        <f>IFERROR('Historical FS'!H34,0)</f>
        <v>0.17183355829716335</v>
      </c>
      <c r="I14" s="26">
        <f>IFERROR('Historical FS'!I34,0)</f>
        <v>0.17955544560578876</v>
      </c>
      <c r="J14" s="26">
        <f>IFERROR('Historical FS'!J34,0)</f>
        <v>0.19824029984170632</v>
      </c>
      <c r="K14" s="26">
        <f>IFERROR('Historical FS'!K34,0)</f>
        <v>0.14390157408883728</v>
      </c>
      <c r="L14" s="26">
        <f>IFERROR('Historical FS'!L34,0)</f>
        <v>0.16494817561402181</v>
      </c>
      <c r="N14" s="26">
        <f t="shared" si="2"/>
        <v>0.17273024986343413</v>
      </c>
      <c r="O14" s="26">
        <f t="shared" si="1"/>
        <v>0.17569450195147607</v>
      </c>
    </row>
    <row r="15" spans="2:15" x14ac:dyDescent="0.25">
      <c r="B15" s="173" t="s">
        <v>92</v>
      </c>
      <c r="C15" s="28">
        <f>IFERROR('Historical FS'!C40,0)</f>
        <v>0.10333238682625823</v>
      </c>
      <c r="D15" s="28">
        <f>IFERROR('Historical FS'!D40,0)</f>
        <v>0.10483310638210361</v>
      </c>
      <c r="E15" s="28">
        <f>IFERROR('Historical FS'!E40,0)</f>
        <v>0.12397864553736164</v>
      </c>
      <c r="F15" s="28">
        <f>IFERROR('Historical FS'!F40,0)</f>
        <v>0.1338634536339488</v>
      </c>
      <c r="G15" s="28">
        <f>IFERROR('Historical FS'!G40,0)</f>
        <v>0.12467019920295051</v>
      </c>
      <c r="H15" s="28">
        <f>IFERROR('Historical FS'!H40,0)</f>
        <v>0.11476221834259964</v>
      </c>
      <c r="I15" s="28">
        <f>IFERROR('Historical FS'!I40,0)</f>
        <v>0.13725969447708569</v>
      </c>
      <c r="J15" s="28">
        <f>IFERROR('Historical FS'!J40,0)</f>
        <v>0.14768944939825804</v>
      </c>
      <c r="K15" s="28">
        <f>IFERROR('Historical FS'!K40,0)</f>
        <v>0.10600255383955616</v>
      </c>
      <c r="L15" s="28">
        <f>IFERROR('Historical FS'!L40,0)</f>
        <v>0.12164399878336565</v>
      </c>
      <c r="M15" s="27"/>
      <c r="N15" s="28">
        <f t="shared" si="2"/>
        <v>0.12180357064234881</v>
      </c>
      <c r="O15" s="28">
        <f t="shared" si="1"/>
        <v>0.12281132216036364</v>
      </c>
    </row>
    <row r="16" spans="2:15" x14ac:dyDescent="0.25">
      <c r="N16" s="14"/>
    </row>
    <row r="17" spans="2:15" x14ac:dyDescent="0.25">
      <c r="B17" s="172" t="s">
        <v>93</v>
      </c>
      <c r="C17" s="25">
        <f>IFERROR('Historical FS'!C16,0)</f>
        <v>0.14547268208736722</v>
      </c>
      <c r="D17" s="25">
        <f>IFERROR('Historical FS'!D16,0)</f>
        <v>0.15229969901419435</v>
      </c>
      <c r="E17" s="25">
        <f>IFERROR('Historical FS'!E16,0)</f>
        <v>0.14943148893353111</v>
      </c>
      <c r="F17" s="25">
        <f>IFERROR('Historical FS'!F16,0)</f>
        <v>0.15506383950593511</v>
      </c>
      <c r="G17" s="25">
        <f>IFERROR('Historical FS'!G16,0)</f>
        <v>0.14421604143944414</v>
      </c>
      <c r="H17" s="25">
        <f>IFERROR('Historical FS'!H16,0)</f>
        <v>0.13354275672773522</v>
      </c>
      <c r="I17" s="25">
        <f>IFERROR('Historical FS'!I16,0)</f>
        <v>0.14330682169583772</v>
      </c>
      <c r="J17" s="25">
        <f>IFERROR('Historical FS'!J16,0)</f>
        <v>0.12997500551518251</v>
      </c>
      <c r="K17" s="25">
        <f>IFERROR('Historical FS'!K16,0)</f>
        <v>0.1273861493377611</v>
      </c>
      <c r="L17" s="25">
        <f>IFERROR('Historical FS'!L16,0)</f>
        <v>0.12937757095897515</v>
      </c>
      <c r="M17" s="24"/>
      <c r="N17" s="25">
        <f t="shared" si="2"/>
        <v>0.14100720552159635</v>
      </c>
      <c r="O17" s="25">
        <f t="shared" si="1"/>
        <v>0.14376143156764093</v>
      </c>
    </row>
    <row r="18" spans="2:15" x14ac:dyDescent="0.25">
      <c r="B18" s="166" t="s">
        <v>18</v>
      </c>
      <c r="C18" s="26">
        <f>IFERROR('Historical FS'!C22,0)</f>
        <v>2.0102500988104288E-2</v>
      </c>
      <c r="D18" s="26">
        <f>IFERROR('Historical FS'!D22,0)</f>
        <v>1.953102621617215E-2</v>
      </c>
      <c r="E18" s="26">
        <f>IFERROR('Historical FS'!E22,0)</f>
        <v>1.9309826794539322E-2</v>
      </c>
      <c r="F18" s="26">
        <f>IFERROR('Historical FS'!F22,0)</f>
        <v>2.2227474590011016E-2</v>
      </c>
      <c r="G18" s="26">
        <f>IFERROR('Historical FS'!G22,0)</f>
        <v>2.1425238713665449E-2</v>
      </c>
      <c r="H18" s="26">
        <f>IFERROR('Historical FS'!H22,0)</f>
        <v>3.2335540352378074E-2</v>
      </c>
      <c r="I18" s="26">
        <f>IFERROR('Historical FS'!I22,0)</f>
        <v>3.8617106809326486E-2</v>
      </c>
      <c r="J18" s="26">
        <f>IFERROR('Historical FS'!J22,0)</f>
        <v>3.6442576011650275E-2</v>
      </c>
      <c r="K18" s="26">
        <f>IFERROR('Historical FS'!K22,0)</f>
        <v>2.8052374328551871E-2</v>
      </c>
      <c r="L18" s="26">
        <f>IFERROR('Historical FS'!L22,0)</f>
        <v>2.4878372818372688E-2</v>
      </c>
      <c r="N18" s="26">
        <f t="shared" si="2"/>
        <v>2.6292203762277162E-2</v>
      </c>
      <c r="O18" s="26">
        <f t="shared" si="1"/>
        <v>2.3552923704191854E-2</v>
      </c>
    </row>
    <row r="19" spans="2:15" x14ac:dyDescent="0.25">
      <c r="B19" s="173" t="s">
        <v>94</v>
      </c>
      <c r="C19" s="28">
        <f>C13</f>
        <v>0.14385816468732135</v>
      </c>
      <c r="D19" s="28">
        <f t="shared" ref="D19:L19" si="3">D13</f>
        <v>0.14520251541285292</v>
      </c>
      <c r="E19" s="28">
        <f t="shared" si="3"/>
        <v>0.17163309507276406</v>
      </c>
      <c r="F19" s="28">
        <f t="shared" si="3"/>
        <v>0.17653510591893901</v>
      </c>
      <c r="G19" s="28">
        <f t="shared" si="3"/>
        <v>0.16901135543001156</v>
      </c>
      <c r="H19" s="28">
        <f t="shared" si="3"/>
        <v>0.16334608965739844</v>
      </c>
      <c r="I19" s="28">
        <f t="shared" si="3"/>
        <v>0.16705151833755943</v>
      </c>
      <c r="J19" s="28">
        <f t="shared" si="3"/>
        <v>0.18718598577152007</v>
      </c>
      <c r="K19" s="28">
        <f t="shared" si="3"/>
        <v>0.13701287366053996</v>
      </c>
      <c r="L19" s="28">
        <f t="shared" si="3"/>
        <v>0.15662629292760291</v>
      </c>
      <c r="M19" s="27"/>
      <c r="N19" s="28">
        <f t="shared" si="2"/>
        <v>0.161746299687651</v>
      </c>
      <c r="O19" s="28">
        <f t="shared" si="1"/>
        <v>0.16519880399747894</v>
      </c>
    </row>
    <row r="20" spans="2:15" x14ac:dyDescent="0.25">
      <c r="N20" s="14"/>
    </row>
    <row r="21" spans="2:15" x14ac:dyDescent="0.25">
      <c r="B21" s="172" t="s">
        <v>95</v>
      </c>
      <c r="C21" s="25">
        <f>IFERROR(('Historical FS'!C18-'Historical FS'!C21)/SUM('Historical FS'!C53:C55),0)</f>
        <v>0.40994597014716583</v>
      </c>
      <c r="D21" s="25">
        <f>IFERROR(('Historical FS'!D18-'Historical FS'!D21)/SUM('Historical FS'!D53:D55),0)</f>
        <v>0.38309437208968844</v>
      </c>
      <c r="E21" s="25">
        <f>IFERROR(('Historical FS'!E18-'Historical FS'!E21)/SUM('Historical FS'!E53:E55),0)</f>
        <v>0.35768409093896003</v>
      </c>
      <c r="F21" s="25">
        <f>IFERROR(('Historical FS'!F18-'Historical FS'!F21)/SUM('Historical FS'!F53:F55),0)</f>
        <v>0.32568533713528403</v>
      </c>
      <c r="G21" s="25">
        <f>IFERROR(('Historical FS'!G18-'Historical FS'!G21)/SUM('Historical FS'!G53:G55),0)</f>
        <v>0.31793918820706524</v>
      </c>
      <c r="H21" s="25">
        <f>IFERROR(('Historical FS'!H18-'Historical FS'!H21)/SUM('Historical FS'!H53:H55),0)</f>
        <v>0.29126564505590763</v>
      </c>
      <c r="I21" s="25">
        <f>IFERROR(('Historical FS'!I18-'Historical FS'!I21)/SUM('Historical FS'!I53:I55),0)</f>
        <v>0.30015308490077913</v>
      </c>
      <c r="J21" s="25">
        <f>IFERROR(('Historical FS'!J18-'Historical FS'!J21)/SUM('Historical FS'!J53:J55),0)</f>
        <v>0.29241025338485616</v>
      </c>
      <c r="K21" s="25">
        <f>IFERROR(('Historical FS'!K18-'Historical FS'!K21)/SUM('Historical FS'!K53:K55),0)</f>
        <v>0.2589385678029722</v>
      </c>
      <c r="L21" s="25">
        <f>IFERROR(('Historical FS'!L18-'Historical FS'!L21)/SUM('Historical FS'!L53:L55),0)</f>
        <v>0.30135928613070662</v>
      </c>
      <c r="M21" s="24"/>
      <c r="N21" s="25">
        <f t="shared" si="2"/>
        <v>0.32384757957933852</v>
      </c>
      <c r="O21" s="25">
        <f t="shared" si="1"/>
        <v>0.30964923716888593</v>
      </c>
    </row>
    <row r="22" spans="2:15" x14ac:dyDescent="0.25">
      <c r="B22" s="166" t="s">
        <v>96</v>
      </c>
      <c r="C22" s="26">
        <f>IFERROR('Historical FS'!C50,0)</f>
        <v>0.59740568279007933</v>
      </c>
      <c r="D22" s="26">
        <f>IFERROR('Historical FS'!D50,0)</f>
        <v>0.59006676802141056</v>
      </c>
      <c r="E22" s="26">
        <f>IFERROR('Historical FS'!E50,0)</f>
        <v>0.59341230727494709</v>
      </c>
      <c r="F22" s="26">
        <f>IFERROR('Historical FS'!F50,0)</f>
        <v>0.50999132052076879</v>
      </c>
      <c r="G22" s="26">
        <f>IFERROR('Historical FS'!G50,0)</f>
        <v>0.6021492047751632</v>
      </c>
      <c r="H22" s="26">
        <f>IFERROR('Historical FS'!H50,0)</f>
        <v>0.54386695893190384</v>
      </c>
      <c r="I22" s="26">
        <f>IFERROR('Historical FS'!I50,0)</f>
        <v>0.58508970185892073</v>
      </c>
      <c r="J22" s="26">
        <f>IFERROR('Historical FS'!J50,0)</f>
        <v>0.46607312699773962</v>
      </c>
      <c r="K22" s="26">
        <f>IFERROR('Historical FS'!K50,0)</f>
        <v>0.40454355373588624</v>
      </c>
      <c r="L22" s="26">
        <f>IFERROR('Historical FS'!L50,0)</f>
        <v>0.41355030474360732</v>
      </c>
      <c r="N22" s="26">
        <f t="shared" si="2"/>
        <v>0.53061489296504261</v>
      </c>
      <c r="O22" s="26">
        <f t="shared" si="1"/>
        <v>0.56447833039541229</v>
      </c>
    </row>
    <row r="23" spans="2:15" x14ac:dyDescent="0.25">
      <c r="B23" s="166" t="s">
        <v>97</v>
      </c>
      <c r="C23" s="26">
        <f>IFERROR(('Historical FS'!C39)/SUM('Historical FS'!C53:C54),0)</f>
        <v>0.31262471467263514</v>
      </c>
      <c r="D23" s="26">
        <f>IFERROR(('Historical FS'!D39)/SUM('Historical FS'!D53:D54),0)</f>
        <v>0.30097462023127725</v>
      </c>
      <c r="E23" s="26">
        <f>IFERROR(('Historical FS'!E39)/SUM('Historical FS'!E53:E54),0)</f>
        <v>0.27117376418046801</v>
      </c>
      <c r="F23" s="26">
        <f>IFERROR(('Historical FS'!F39)/SUM('Historical FS'!F53:F54),0)</f>
        <v>0.2651603324088066</v>
      </c>
      <c r="G23" s="26">
        <f>IFERROR(('Historical FS'!G39)/SUM('Historical FS'!G53:G54),0)</f>
        <v>0.2494010270824937</v>
      </c>
      <c r="H23" s="26">
        <f>IFERROR(('Historical FS'!H39)/SUM('Historical FS'!H53:H54),0)</f>
        <v>0.2331480220261761</v>
      </c>
      <c r="I23" s="26">
        <f>IFERROR(('Historical FS'!I39)/SUM('Historical FS'!I53:I54),0)</f>
        <v>0.2738545097017222</v>
      </c>
      <c r="J23" s="26">
        <f>IFERROR(('Historical FS'!J39)/SUM('Historical FS'!J53:J54),0)</f>
        <v>0.25040429351514004</v>
      </c>
      <c r="K23" s="26">
        <f>IFERROR(('Historical FS'!K39)/SUM('Historical FS'!K53:K54),0)</f>
        <v>0.22334986055159581</v>
      </c>
      <c r="L23" s="26">
        <f>IFERROR(('Historical FS'!L39)/SUM('Historical FS'!L53:L54),0)</f>
        <v>0.2623355216877194</v>
      </c>
      <c r="N23" s="26">
        <f t="shared" si="2"/>
        <v>0.26424266660580342</v>
      </c>
      <c r="O23" s="26">
        <f t="shared" si="1"/>
        <v>0.263747927048263</v>
      </c>
    </row>
    <row r="24" spans="2:15" x14ac:dyDescent="0.25">
      <c r="B24" s="166" t="s">
        <v>98</v>
      </c>
      <c r="C24" s="26">
        <f>IFERROR(C22*C23,0)</f>
        <v>0.18676378112605932</v>
      </c>
      <c r="D24" s="26">
        <f t="shared" ref="D24:L24" si="4">IFERROR(D22*D23,0)</f>
        <v>0.17759512141634121</v>
      </c>
      <c r="E24" s="26">
        <f t="shared" si="4"/>
        <v>0.16091784907476392</v>
      </c>
      <c r="F24" s="26">
        <f t="shared" si="4"/>
        <v>0.13522946807489328</v>
      </c>
      <c r="G24" s="26">
        <f t="shared" si="4"/>
        <v>0.15017663012783253</v>
      </c>
      <c r="H24" s="26">
        <f t="shared" si="4"/>
        <v>0.12680150572036494</v>
      </c>
      <c r="I24" s="26">
        <f t="shared" si="4"/>
        <v>0.16022945343410155</v>
      </c>
      <c r="J24" s="26">
        <f t="shared" si="4"/>
        <v>0.11670671209226113</v>
      </c>
      <c r="K24" s="26">
        <f t="shared" si="4"/>
        <v>9.0354746313957193E-2</v>
      </c>
      <c r="L24" s="26">
        <f t="shared" si="4"/>
        <v>0.10848893493902957</v>
      </c>
      <c r="N24" s="26">
        <f t="shared" si="2"/>
        <v>0.14132642023196046</v>
      </c>
      <c r="O24" s="26">
        <f t="shared" si="1"/>
        <v>0.14270304910136289</v>
      </c>
    </row>
    <row r="25" spans="2:15" x14ac:dyDescent="0.25">
      <c r="B25" s="173" t="s">
        <v>99</v>
      </c>
      <c r="C25" s="29">
        <f>IFERROR(('Historical FS'!C18-'Historical FS'!C21)/'Historical FS'!C30,0)</f>
        <v>36.632631798291335</v>
      </c>
      <c r="D25" s="29">
        <f>IFERROR(('Historical FS'!D18-'Historical FS'!D21)/'Historical FS'!D30,0)</f>
        <v>46.80326704545454</v>
      </c>
      <c r="E25" s="29">
        <f>IFERROR(('Historical FS'!E18-'Historical FS'!E21)/'Historical FS'!E30,0)</f>
        <v>49.988979591836767</v>
      </c>
      <c r="F25" s="29">
        <f>IFERROR(('Historical FS'!F18-'Historical FS'!F21)/'Historical FS'!F30,0)</f>
        <v>71.228770425930904</v>
      </c>
      <c r="G25" s="29">
        <f>IFERROR(('Historical FS'!G18-'Historical FS'!G21)/'Historical FS'!G30,0)</f>
        <v>68.568603809983145</v>
      </c>
      <c r="H25" s="29">
        <f>IFERROR(('Historical FS'!H18-'Historical FS'!H21)/'Historical FS'!H30,0)</f>
        <v>28.449352765456698</v>
      </c>
      <c r="I25" s="29">
        <f>IFERROR(('Historical FS'!I18-'Historical FS'!I21)/'Historical FS'!I30,0)</f>
        <v>32.994429785986497</v>
      </c>
      <c r="J25" s="29">
        <f>IFERROR(('Historical FS'!J18-'Historical FS'!J21)/'Historical FS'!J30,0)</f>
        <v>44.355887809669362</v>
      </c>
      <c r="K25" s="29">
        <f>IFERROR(('Historical FS'!K18-'Historical FS'!K21)/'Historical FS'!K30,0)</f>
        <v>41.790692799496895</v>
      </c>
      <c r="L25" s="29">
        <f>IFERROR(('Historical FS'!L18-'Historical FS'!L21)/'Historical FS'!L30,0)</f>
        <v>37.39577708549669</v>
      </c>
      <c r="M25" s="27"/>
      <c r="N25" s="29">
        <f t="shared" si="2"/>
        <v>45.820839291760272</v>
      </c>
      <c r="O25" s="29">
        <f t="shared" si="1"/>
        <v>43.073290304583125</v>
      </c>
    </row>
    <row r="26" spans="2:15" x14ac:dyDescent="0.25">
      <c r="C26" s="14"/>
      <c r="N26" s="14"/>
    </row>
    <row r="27" spans="2:15" x14ac:dyDescent="0.25">
      <c r="B27" s="172" t="s">
        <v>100</v>
      </c>
      <c r="C27" s="30">
        <f>IFERROR('Historical FS'!C6/'Historical FS'!C65,0)</f>
        <v>11.006367648383321</v>
      </c>
      <c r="D27" s="30">
        <f>IFERROR('Historical FS'!D6/'Historical FS'!D65,0)</f>
        <v>11.518150363345658</v>
      </c>
      <c r="E27" s="30">
        <f>IFERROR('Historical FS'!E6/'Historical FS'!E65,0)</f>
        <v>12.024780088301709</v>
      </c>
      <c r="F27" s="30">
        <f>IFERROR('Historical FS'!F6/'Historical FS'!F65,0)</f>
        <v>10.41199364025992</v>
      </c>
      <c r="G27" s="30">
        <f>IFERROR('Historical FS'!G6/'Historical FS'!G65,0)</f>
        <v>9.7216331624899599</v>
      </c>
      <c r="H27" s="30">
        <f>IFERROR('Historical FS'!H6/'Historical FS'!H65,0)</f>
        <v>10.08746782150965</v>
      </c>
      <c r="I27" s="30">
        <f>IFERROR('Historical FS'!I6/'Historical FS'!I65,0)</f>
        <v>11.258369447755706</v>
      </c>
      <c r="J27" s="30">
        <f>IFERROR('Historical FS'!J6/'Historical FS'!J65,0)</f>
        <v>8.3441089552181449</v>
      </c>
      <c r="K27" s="30">
        <f>IFERROR('Historical FS'!K6/'Historical FS'!K65,0)</f>
        <v>7.5169136032070751</v>
      </c>
      <c r="L27" s="30">
        <f>IFERROR('Historical FS'!L6/'Historical FS'!L65,0)</f>
        <v>7.4377908707035241</v>
      </c>
      <c r="M27" s="24"/>
      <c r="N27" s="30">
        <f t="shared" si="2"/>
        <v>9.9327575601174676</v>
      </c>
      <c r="O27" s="30">
        <f t="shared" si="1"/>
        <v>10.249730730884785</v>
      </c>
    </row>
    <row r="28" spans="2:15" x14ac:dyDescent="0.25">
      <c r="B28" s="166" t="s">
        <v>101</v>
      </c>
      <c r="C28" s="31">
        <f>IFERROR('Historical FS'!C6/'Historical FS'!C56,0)</f>
        <v>3.2269007639231799</v>
      </c>
      <c r="D28" s="31">
        <f>IFERROR('Historical FS'!D6/'Historical FS'!D56,0)</f>
        <v>3.6268963257564661</v>
      </c>
      <c r="E28" s="31">
        <f>IFERROR('Historical FS'!E6/'Historical FS'!E56,0)</f>
        <v>3.8458091254998759</v>
      </c>
      <c r="F28" s="31">
        <f>IFERROR('Historical FS'!F6/'Historical FS'!F56,0)</f>
        <v>3.5515520070927336</v>
      </c>
      <c r="G28" s="31">
        <f>IFERROR('Historical FS'!G6/'Historical FS'!G56,0)</f>
        <v>3.4907008975438916</v>
      </c>
      <c r="H28" s="31">
        <f>IFERROR('Historical FS'!H6/'Historical FS'!H56,0)</f>
        <v>3.5246789980746303</v>
      </c>
      <c r="I28" s="31">
        <f>IFERROR('Historical FS'!I6/'Historical FS'!I56,0)</f>
        <v>4.1337632508472559</v>
      </c>
      <c r="J28" s="31">
        <f>IFERROR('Historical FS'!J6/'Historical FS'!J56,0)</f>
        <v>3.3632319433451108</v>
      </c>
      <c r="K28" s="31">
        <f>IFERROR('Historical FS'!K6/'Historical FS'!K56,0)</f>
        <v>3.8493807531491444</v>
      </c>
      <c r="L28" s="31">
        <f>IFERROR('Historical FS'!L6/'Historical FS'!L56,0)</f>
        <v>4.3909450402827428</v>
      </c>
      <c r="N28" s="31">
        <f t="shared" si="2"/>
        <v>3.7003859105515033</v>
      </c>
      <c r="O28" s="31">
        <f t="shared" si="1"/>
        <v>3.5892241664246001</v>
      </c>
    </row>
    <row r="29" spans="2:15" x14ac:dyDescent="0.25">
      <c r="B29" s="166" t="s">
        <v>102</v>
      </c>
      <c r="C29" s="31">
        <f>IFERROR('Historical FS'!C6/'Historical FS'!C66,0)</f>
        <v>5.9039596880948473</v>
      </c>
      <c r="D29" s="31">
        <f>IFERROR('Historical FS'!D6/'Historical FS'!D66,0)</f>
        <v>6.0283991286329099</v>
      </c>
      <c r="E29" s="31">
        <f>IFERROR('Historical FS'!E6/'Historical FS'!E66,0)</f>
        <v>7.142029986388021</v>
      </c>
      <c r="F29" s="31">
        <f>IFERROR('Historical FS'!F6/'Historical FS'!F66,0)</f>
        <v>5.7336635020213631</v>
      </c>
      <c r="G29" s="31">
        <f>IFERROR('Historical FS'!G6/'Historical FS'!G66,0)</f>
        <v>6.3290398787199385</v>
      </c>
      <c r="H29" s="31">
        <f>IFERROR('Historical FS'!H6/'Historical FS'!H66,0)</f>
        <v>6.1082492555224679</v>
      </c>
      <c r="I29" s="31">
        <f>IFERROR('Historical FS'!I6/'Historical FS'!I66,0)</f>
        <v>5.9623548222466747</v>
      </c>
      <c r="J29" s="31">
        <f>IFERROR('Historical FS'!J6/'Historical FS'!J66,0)</f>
        <v>5.7159979992628864</v>
      </c>
      <c r="K29" s="31">
        <f>IFERROR('Historical FS'!K6/'Historical FS'!K66,0)</f>
        <v>4.7296236945350056</v>
      </c>
      <c r="L29" s="31">
        <f>IFERROR('Historical FS'!L6/'Historical FS'!L66,0)</f>
        <v>5.5531458915667296</v>
      </c>
      <c r="N29" s="31">
        <f t="shared" si="2"/>
        <v>5.9206463846990847</v>
      </c>
      <c r="O29" s="31">
        <f t="shared" si="1"/>
        <v>5.9331572551707605</v>
      </c>
    </row>
    <row r="30" spans="2:15" x14ac:dyDescent="0.25">
      <c r="B30" s="166" t="s">
        <v>103</v>
      </c>
      <c r="C30" s="31">
        <f>IFERROR('Historical FS'!C6/'Historical FS'!C59,0)</f>
        <v>4.7706376533233401</v>
      </c>
      <c r="D30" s="31">
        <f>IFERROR('Historical FS'!D6/'Historical FS'!D59,0)</f>
        <v>5.1184418279424371</v>
      </c>
      <c r="E30" s="31">
        <f>IFERROR('Historical FS'!E6/'Historical FS'!E59,0)</f>
        <v>4.1774086378737545</v>
      </c>
      <c r="F30" s="31">
        <f>IFERROR('Historical FS'!F6/'Historical FS'!F59,0)</f>
        <v>4.5590724451682032</v>
      </c>
      <c r="G30" s="31">
        <f>IFERROR('Historical FS'!G6/'Historical FS'!G59,0)</f>
        <v>4.50789606241828</v>
      </c>
      <c r="H30" s="31">
        <f>IFERROR('Historical FS'!H6/'Historical FS'!H59,0)</f>
        <v>2.9615873631583485</v>
      </c>
      <c r="I30" s="31">
        <f>IFERROR('Historical FS'!I6/'Historical FS'!I59,0)</f>
        <v>3.2222976861794139</v>
      </c>
      <c r="J30" s="31">
        <f>IFERROR('Historical FS'!J6/'Historical FS'!J59,0)</f>
        <v>3.7061903006220001</v>
      </c>
      <c r="K30" s="31">
        <f>IFERROR('Historical FS'!K6/'Historical FS'!K59,0)</f>
        <v>5.2728689305787571</v>
      </c>
      <c r="L30" s="31">
        <f>IFERROR('Historical FS'!L6/'Historical FS'!L59,0)</f>
        <v>5.9767488207179316</v>
      </c>
      <c r="N30" s="31">
        <f t="shared" si="2"/>
        <v>4.4273149727982464</v>
      </c>
      <c r="O30" s="31">
        <f t="shared" si="1"/>
        <v>4.533484253793242</v>
      </c>
    </row>
    <row r="31" spans="2:15" x14ac:dyDescent="0.25">
      <c r="B31" s="173" t="s">
        <v>104</v>
      </c>
      <c r="C31" s="29">
        <f>IFERROR('Historical FS'!C6/SUM('Historical FS'!C53:C54),0)</f>
        <v>3.02542817672719</v>
      </c>
      <c r="D31" s="29">
        <f>IFERROR('Historical FS'!D6/SUM('Historical FS'!D53:D54),0)</f>
        <v>2.870988284314139</v>
      </c>
      <c r="E31" s="29">
        <f>IFERROR('Historical FS'!E6/SUM('Historical FS'!E53:E54),0)</f>
        <v>2.1872618708255556</v>
      </c>
      <c r="F31" s="29">
        <f>IFERROR('Historical FS'!F6/SUM('Historical FS'!F53:F54),0)</f>
        <v>1.9808269188533763</v>
      </c>
      <c r="G31" s="29">
        <f>IFERROR('Historical FS'!G6/SUM('Historical FS'!G53:G54),0)</f>
        <v>2.0004863125027494</v>
      </c>
      <c r="H31" s="29">
        <f>IFERROR('Historical FS'!H6/SUM('Historical FS'!H53:H54),0)</f>
        <v>2.0315747237488848</v>
      </c>
      <c r="I31" s="29">
        <f>IFERROR('Historical FS'!I6/SUM('Historical FS'!I53:I54),0)</f>
        <v>1.995156048867935</v>
      </c>
      <c r="J31" s="29">
        <f>IFERROR('Historical FS'!J6/SUM('Historical FS'!J53:J54),0)</f>
        <v>1.6954785499937921</v>
      </c>
      <c r="K31" s="29">
        <f>IFERROR('Historical FS'!K6/SUM('Historical FS'!K53:K54),0)</f>
        <v>2.1070233919991659</v>
      </c>
      <c r="L31" s="29">
        <f>IFERROR('Historical FS'!L6/SUM('Historical FS'!L53:L54),0)</f>
        <v>2.1565841661857039</v>
      </c>
      <c r="M31" s="27"/>
      <c r="N31" s="29">
        <f t="shared" si="2"/>
        <v>2.2050808444018495</v>
      </c>
      <c r="O31" s="29">
        <f t="shared" si="1"/>
        <v>2.0692990578740256</v>
      </c>
    </row>
    <row r="32" spans="2:15" x14ac:dyDescent="0.25">
      <c r="N32" s="14"/>
    </row>
    <row r="33" spans="2:15" x14ac:dyDescent="0.25">
      <c r="B33" s="174" t="s">
        <v>105</v>
      </c>
      <c r="N33" s="14"/>
    </row>
    <row r="34" spans="2:15" x14ac:dyDescent="0.25">
      <c r="B34" s="172" t="s">
        <v>106</v>
      </c>
      <c r="C34" s="32">
        <f>IFERROR(365/C27,0)</f>
        <v>33.162621099033821</v>
      </c>
      <c r="D34" s="32">
        <f t="shared" ref="D34:L34" si="5">IFERROR(365/D27,0)</f>
        <v>31.689115742189273</v>
      </c>
      <c r="E34" s="32">
        <f t="shared" si="5"/>
        <v>30.353985463325834</v>
      </c>
      <c r="F34" s="32">
        <f t="shared" si="5"/>
        <v>35.055726368162503</v>
      </c>
      <c r="G34" s="32">
        <f t="shared" si="5"/>
        <v>37.545131964896534</v>
      </c>
      <c r="H34" s="32">
        <f t="shared" si="5"/>
        <v>36.183510714324697</v>
      </c>
      <c r="I34" s="32">
        <f t="shared" si="5"/>
        <v>32.420325313872226</v>
      </c>
      <c r="J34" s="32">
        <f t="shared" si="5"/>
        <v>43.743436472235949</v>
      </c>
      <c r="K34" s="32">
        <f t="shared" si="5"/>
        <v>48.557163121347244</v>
      </c>
      <c r="L34" s="32">
        <f t="shared" si="5"/>
        <v>49.073711044725229</v>
      </c>
      <c r="M34" s="24"/>
      <c r="N34" s="32">
        <f t="shared" si="2"/>
        <v>37.77847273041133</v>
      </c>
      <c r="O34" s="32">
        <f t="shared" ref="O34:O37" si="6">IFERROR(MEDIAN(C34:L34),0)</f>
        <v>35.619618541243597</v>
      </c>
    </row>
    <row r="35" spans="2:15" x14ac:dyDescent="0.25">
      <c r="B35" s="166" t="s">
        <v>107</v>
      </c>
      <c r="C35" s="33">
        <f>IFERROR(365/C28,0)</f>
        <v>113.11162837131772</v>
      </c>
      <c r="D35" s="33">
        <f t="shared" ref="D35:L35" si="7">IFERROR(365/D28,0)</f>
        <v>100.63700950257284</v>
      </c>
      <c r="E35" s="33">
        <f t="shared" si="7"/>
        <v>94.908506399822301</v>
      </c>
      <c r="F35" s="33">
        <f t="shared" si="7"/>
        <v>102.77197103437196</v>
      </c>
      <c r="G35" s="33">
        <f t="shared" si="7"/>
        <v>104.56352770207822</v>
      </c>
      <c r="H35" s="33">
        <f t="shared" si="7"/>
        <v>103.55552951045547</v>
      </c>
      <c r="I35" s="33">
        <f t="shared" si="7"/>
        <v>88.297267610860303</v>
      </c>
      <c r="J35" s="33">
        <f t="shared" si="7"/>
        <v>108.52656199410578</v>
      </c>
      <c r="K35" s="33">
        <f t="shared" si="7"/>
        <v>94.820446042235943</v>
      </c>
      <c r="L35" s="33">
        <f t="shared" si="7"/>
        <v>83.125613427513272</v>
      </c>
      <c r="N35" s="33">
        <f t="shared" si="2"/>
        <v>99.431806159533394</v>
      </c>
      <c r="O35" s="33">
        <f t="shared" si="6"/>
        <v>101.7044902684724</v>
      </c>
    </row>
    <row r="36" spans="2:15" x14ac:dyDescent="0.25">
      <c r="B36" s="166" t="s">
        <v>108</v>
      </c>
      <c r="C36" s="33">
        <f>IFERROR(365/C29,0)</f>
        <v>61.822915345443711</v>
      </c>
      <c r="D36" s="33">
        <f t="shared" ref="D36:L36" si="8">IFERROR(365/D29,0)</f>
        <v>60.546754156732959</v>
      </c>
      <c r="E36" s="33">
        <f t="shared" si="8"/>
        <v>51.105918162714616</v>
      </c>
      <c r="F36" s="33">
        <f t="shared" si="8"/>
        <v>63.659124723891068</v>
      </c>
      <c r="G36" s="33">
        <f t="shared" si="8"/>
        <v>57.670674698580349</v>
      </c>
      <c r="H36" s="33">
        <f t="shared" si="8"/>
        <v>59.755256331428114</v>
      </c>
      <c r="I36" s="33">
        <f t="shared" si="8"/>
        <v>61.217423464654587</v>
      </c>
      <c r="J36" s="33">
        <f t="shared" si="8"/>
        <v>63.855865598110604</v>
      </c>
      <c r="K36" s="33">
        <f t="shared" si="8"/>
        <v>77.173158706421162</v>
      </c>
      <c r="L36" s="33">
        <f t="shared" si="8"/>
        <v>65.728509051834251</v>
      </c>
      <c r="N36" s="33">
        <f t="shared" si="2"/>
        <v>62.253560023981152</v>
      </c>
      <c r="O36" s="33">
        <f t="shared" si="6"/>
        <v>61.520169405049145</v>
      </c>
    </row>
    <row r="37" spans="2:15" x14ac:dyDescent="0.25">
      <c r="B37" s="173" t="s">
        <v>109</v>
      </c>
      <c r="C37" s="34">
        <f>IFERROR((SUM(C34,C36)-C35),0)</f>
        <v>-18.126091926840189</v>
      </c>
      <c r="D37" s="34">
        <f t="shared" ref="D37:L37" si="9">IFERROR((SUM(D34,D36)-D35),0)</f>
        <v>-8.4011396036506056</v>
      </c>
      <c r="E37" s="34">
        <f t="shared" si="9"/>
        <v>-13.448602773781857</v>
      </c>
      <c r="F37" s="34">
        <f t="shared" si="9"/>
        <v>-4.0571199423183799</v>
      </c>
      <c r="G37" s="34">
        <f t="shared" si="9"/>
        <v>-9.3477210386013354</v>
      </c>
      <c r="H37" s="34">
        <f t="shared" si="9"/>
        <v>-7.6167624647026599</v>
      </c>
      <c r="I37" s="34">
        <f t="shared" si="9"/>
        <v>5.3404811676665105</v>
      </c>
      <c r="J37" s="34">
        <f t="shared" si="9"/>
        <v>-0.92725992375922317</v>
      </c>
      <c r="K37" s="34">
        <f t="shared" si="9"/>
        <v>30.909875785532464</v>
      </c>
      <c r="L37" s="34">
        <f t="shared" si="9"/>
        <v>31.676606669046208</v>
      </c>
      <c r="M37" s="27"/>
      <c r="N37" s="34">
        <f t="shared" si="2"/>
        <v>0.60022659485909313</v>
      </c>
      <c r="O37" s="34">
        <f t="shared" si="6"/>
        <v>-5.8369412035105199</v>
      </c>
    </row>
    <row r="38" spans="2:15" x14ac:dyDescent="0.25">
      <c r="N38" s="14"/>
    </row>
    <row r="39" spans="2:15" x14ac:dyDescent="0.25">
      <c r="B39" s="172" t="s">
        <v>110</v>
      </c>
      <c r="C39" s="25">
        <f>IFERROR('Historical FS'!C83/'Historical FS'!C6,0)</f>
        <v>0.11480830776809539</v>
      </c>
      <c r="D39" s="25">
        <f>IFERROR('Historical FS'!D83/'Historical FS'!D6,0)</f>
        <v>8.7255035893548855E-2</v>
      </c>
      <c r="E39" s="25">
        <f>IFERROR('Historical FS'!E83/'Historical FS'!E6,0)</f>
        <v>0.15723656044323334</v>
      </c>
      <c r="F39" s="25">
        <f>IFERROR('Historical FS'!F83/'Historical FS'!F6,0)</f>
        <v>0.101447418302628</v>
      </c>
      <c r="G39" s="25">
        <f>IFERROR('Historical FS'!G83/'Historical FS'!G6,0)</f>
        <v>0.12559028324680305</v>
      </c>
      <c r="H39" s="25">
        <f>IFERROR('Historical FS'!H83/'Historical FS'!H6,0)</f>
        <v>0.12832553626196913</v>
      </c>
      <c r="I39" s="25">
        <f>IFERROR('Historical FS'!I83/'Historical FS'!I6,0)</f>
        <v>0.15026284866101799</v>
      </c>
      <c r="J39" s="25">
        <f>IFERROR('Historical FS'!J83/'Historical FS'!J6,0)</f>
        <v>0.16962352604156353</v>
      </c>
      <c r="K39" s="25">
        <f>IFERROR('Historical FS'!K83/'Historical FS'!K6,0)</f>
        <v>3.3916033933902565E-2</v>
      </c>
      <c r="L39" s="25">
        <f>IFERROR('Historical FS'!L83/'Historical FS'!L6,0)</f>
        <v>0.12160543530483561</v>
      </c>
      <c r="M39" s="24"/>
      <c r="N39" s="25">
        <f t="shared" si="2"/>
        <v>0.11900709858575975</v>
      </c>
      <c r="O39" s="25">
        <f t="shared" ref="O39:O41" si="10">IFERROR(MEDIAN(C39:L39),0)</f>
        <v>0.12359785927581933</v>
      </c>
    </row>
    <row r="40" spans="2:15" x14ac:dyDescent="0.25">
      <c r="B40" s="166" t="s">
        <v>111</v>
      </c>
      <c r="C40" s="26">
        <f>IFERROR('Historical FS'!C83/'Historical FS'!C70,0)</f>
        <v>0.17373752383782848</v>
      </c>
      <c r="D40" s="26">
        <f>IFERROR('Historical FS'!D83/'Historical FS'!D70,0)</f>
        <v>0.13326602725896011</v>
      </c>
      <c r="E40" s="26">
        <f>IFERROR('Historical FS'!E83/'Historical FS'!E70,0)</f>
        <v>0.21251952120601988</v>
      </c>
      <c r="F40" s="26">
        <f>IFERROR('Historical FS'!F83/'Historical FS'!F70,0)</f>
        <v>0.12317425206707838</v>
      </c>
      <c r="G40" s="26">
        <f>IFERROR('Historical FS'!G83/'Historical FS'!G70,0)</f>
        <v>0.15352221967118782</v>
      </c>
      <c r="H40" s="26">
        <f>IFERROR('Historical FS'!H83/'Historical FS'!H70,0)</f>
        <v>0.15194930838139831</v>
      </c>
      <c r="I40" s="26">
        <f>IFERROR('Historical FS'!I83/'Historical FS'!I70,0)</f>
        <v>0.1881897165504707</v>
      </c>
      <c r="J40" s="26">
        <f>IFERROR('Historical FS'!J83/'Historical FS'!J70,0)</f>
        <v>0.18093532213168634</v>
      </c>
      <c r="K40" s="26">
        <f>IFERROR('Historical FS'!K83/'Historical FS'!K70,0)</f>
        <v>4.2990744576175285E-2</v>
      </c>
      <c r="L40" s="26">
        <f>IFERROR('Historical FS'!L83/'Historical FS'!L70,0)</f>
        <v>0.16268847949112719</v>
      </c>
      <c r="N40" s="26">
        <f t="shared" si="2"/>
        <v>0.15229731151719322</v>
      </c>
      <c r="O40" s="26">
        <f t="shared" si="10"/>
        <v>0.15810534958115752</v>
      </c>
    </row>
    <row r="41" spans="2:15" x14ac:dyDescent="0.25">
      <c r="B41" s="173" t="s">
        <v>112</v>
      </c>
      <c r="C41" s="28">
        <f>IFERROR('Historical FS'!C83/'Historical FS'!C55,0)</f>
        <v>5.6311458960465579</v>
      </c>
      <c r="D41" s="28">
        <f>IFERROR('Historical FS'!D83/'Historical FS'!D55,0)</f>
        <v>2.8409498529306263</v>
      </c>
      <c r="E41" s="28">
        <f>IFERROR('Historical FS'!E83/'Historical FS'!E55,0)</f>
        <v>6.9411364409663143</v>
      </c>
      <c r="F41" s="28">
        <f>IFERROR('Historical FS'!F83/'Historical FS'!F55,0)</f>
        <v>2.7269158011207479</v>
      </c>
      <c r="G41" s="28">
        <f>IFERROR('Historical FS'!G83/'Historical FS'!G55,0)</f>
        <v>3.9611570402864484</v>
      </c>
      <c r="H41" s="28">
        <f>IFERROR('Historical FS'!H83/'Historical FS'!H55,0)</f>
        <v>1.8710215216732344</v>
      </c>
      <c r="I41" s="28">
        <f>IFERROR('Historical FS'!I83/'Historical FS'!I55,0)</f>
        <v>2.7152436298614218</v>
      </c>
      <c r="J41" s="28">
        <f>IFERROR('Historical FS'!J83/'Historical FS'!J55,0)</f>
        <v>3.3692549765807964</v>
      </c>
      <c r="K41" s="28">
        <f>IFERROR('Historical FS'!K83/'Historical FS'!K55,0)</f>
        <v>0.62197519661222012</v>
      </c>
      <c r="L41" s="28">
        <f>IFERROR('Historical FS'!L83/'Historical FS'!L55,0)</f>
        <v>2.1701110409702893</v>
      </c>
      <c r="M41" s="27"/>
      <c r="N41" s="28">
        <f t="shared" si="2"/>
        <v>3.2848911397048659</v>
      </c>
      <c r="O41" s="28">
        <f t="shared" si="10"/>
        <v>2.7839328270256871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11C8910B-1E56-46C0-A863-BF65BD186D27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  <x14:sparkline>
              <xm:f>'Ratio Analysis'!D11:L11</xm:f>
              <xm:sqref>M11</xm:sqref>
            </x14:sparkline>
            <x14:sparkline>
              <xm:f>'Ratio Analysis'!D12:L12</xm:f>
              <xm:sqref>M12</xm:sqref>
            </x14:sparkline>
            <x14:sparkline>
              <xm:f>'Ratio Analysis'!D13:L13</xm:f>
              <xm:sqref>M13</xm:sqref>
            </x14:sparkline>
            <x14:sparkline>
              <xm:f>'Ratio Analysis'!D14:L14</xm:f>
              <xm:sqref>M14</xm:sqref>
            </x14:sparkline>
            <x14:sparkline>
              <xm:f>'Ratio Analysis'!D15:L15</xm:f>
              <xm:sqref>M15</xm:sqref>
            </x14:sparkline>
            <x14:sparkline>
              <xm:f>'Ratio Analysis'!D16:L16</xm:f>
              <xm:sqref>M16</xm:sqref>
            </x14:sparkline>
            <x14:sparkline>
              <xm:f>'Ratio Analysis'!D17:L17</xm:f>
              <xm:sqref>M17</xm:sqref>
            </x14:sparkline>
            <x14:sparkline>
              <xm:f>'Ratio Analysis'!D18:L18</xm:f>
              <xm:sqref>M18</xm:sqref>
            </x14:sparkline>
            <x14:sparkline>
              <xm:f>'Ratio Analysis'!D19:L19</xm:f>
              <xm:sqref>M19</xm:sqref>
            </x14:sparkline>
            <x14:sparkline>
              <xm:f>'Ratio Analysis'!D20:L20</xm:f>
              <xm:sqref>M20</xm:sqref>
            </x14:sparkline>
            <x14:sparkline>
              <xm:f>'Ratio Analysis'!D21:L21</xm:f>
              <xm:sqref>M21</xm:sqref>
            </x14:sparkline>
            <x14:sparkline>
              <xm:f>'Ratio Analysis'!D22:L22</xm:f>
              <xm:sqref>M22</xm:sqref>
            </x14:sparkline>
            <x14:sparkline>
              <xm:f>'Ratio Analysis'!D23:L23</xm:f>
              <xm:sqref>M23</xm:sqref>
            </x14:sparkline>
            <x14:sparkline>
              <xm:f>'Ratio Analysis'!D24:L24</xm:f>
              <xm:sqref>M24</xm:sqref>
            </x14:sparkline>
            <x14:sparkline>
              <xm:f>'Ratio Analysis'!D25:L25</xm:f>
              <xm:sqref>M25</xm:sqref>
            </x14:sparkline>
            <x14:sparkline>
              <xm:f>'Ratio Analysis'!D26:L26</xm:f>
              <xm:sqref>M26</xm:sqref>
            </x14:sparkline>
            <x14:sparkline>
              <xm:f>'Ratio Analysis'!D27:L27</xm:f>
              <xm:sqref>M27</xm:sqref>
            </x14:sparkline>
            <x14:sparkline>
              <xm:f>'Ratio Analysis'!D28:L28</xm:f>
              <xm:sqref>M28</xm:sqref>
            </x14:sparkline>
            <x14:sparkline>
              <xm:f>'Ratio Analysis'!D29:L29</xm:f>
              <xm:sqref>M29</xm:sqref>
            </x14:sparkline>
            <x14:sparkline>
              <xm:f>'Ratio Analysis'!D30:L30</xm:f>
              <xm:sqref>M30</xm:sqref>
            </x14:sparkline>
            <x14:sparkline>
              <xm:f>'Ratio Analysis'!D31:L31</xm:f>
              <xm:sqref>M31</xm:sqref>
            </x14:sparkline>
            <x14:sparkline>
              <xm:f>'Ratio Analysis'!D32:L32</xm:f>
              <xm:sqref>M32</xm:sqref>
            </x14:sparkline>
            <x14:sparkline>
              <xm:f>'Ratio Analysis'!D33:L33</xm:f>
              <xm:sqref>M33</xm:sqref>
            </x14:sparkline>
            <x14:sparkline>
              <xm:f>'Ratio Analysis'!D34:L34</xm:f>
              <xm:sqref>M34</xm:sqref>
            </x14:sparkline>
            <x14:sparkline>
              <xm:f>'Ratio Analysis'!D35:L35</xm:f>
              <xm:sqref>M35</xm:sqref>
            </x14:sparkline>
            <x14:sparkline>
              <xm:f>'Ratio Analysis'!D36:L36</xm:f>
              <xm:sqref>M36</xm:sqref>
            </x14:sparkline>
            <x14:sparkline>
              <xm:f>'Ratio Analysis'!D37:L37</xm:f>
              <xm:sqref>M37</xm:sqref>
            </x14:sparkline>
            <x14:sparkline>
              <xm:f>'Ratio Analysis'!D38:L38</xm:f>
              <xm:sqref>M38</xm:sqref>
            </x14:sparkline>
            <x14:sparkline>
              <xm:f>'Ratio Analysis'!D39:L39</xm:f>
              <xm:sqref>M39</xm:sqref>
            </x14:sparkline>
            <x14:sparkline>
              <xm:f>'Ratio Analysis'!D40:L40</xm:f>
              <xm:sqref>M40</xm:sqref>
            </x14:sparkline>
            <x14:sparkline>
              <xm:f>'Ratio Analysis'!D41:L41</xm:f>
              <xm:sqref>M41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44A1-21CE-4BB2-B32E-FA7AFD36045B}">
  <dimension ref="B2:L39"/>
  <sheetViews>
    <sheetView showGridLines="0" workbookViewId="0">
      <selection activeCell="E26" sqref="E26:E29"/>
    </sheetView>
  </sheetViews>
  <sheetFormatPr defaultRowHeight="15" x14ac:dyDescent="0.25"/>
  <cols>
    <col min="1" max="1" width="1.85546875" customWidth="1"/>
    <col min="2" max="2" width="19.85546875" bestFit="1" customWidth="1"/>
    <col min="3" max="3" width="9.85546875" bestFit="1" customWidth="1"/>
  </cols>
  <sheetData>
    <row r="2" spans="2:12" x14ac:dyDescent="0.25">
      <c r="B2" s="229" t="str">
        <f>"Common Size Income Statement"&amp;" "&amp;" - "&amp;'Data Sheet'!$B$1</f>
        <v>Common Size Income Statement  - ASIAN PAINTS LTD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</row>
    <row r="4" spans="2:12" x14ac:dyDescent="0.25">
      <c r="B4" s="69" t="s">
        <v>254</v>
      </c>
      <c r="C4" s="104">
        <f>'Data Sheet'!B16</f>
        <v>41729</v>
      </c>
      <c r="D4" s="104">
        <f>'Data Sheet'!C16</f>
        <v>42094</v>
      </c>
      <c r="E4" s="104">
        <f>'Data Sheet'!D16</f>
        <v>42460</v>
      </c>
      <c r="F4" s="104">
        <f>'Data Sheet'!E16</f>
        <v>42825</v>
      </c>
      <c r="G4" s="104">
        <f>'Data Sheet'!F16</f>
        <v>43190</v>
      </c>
      <c r="H4" s="104">
        <f>'Data Sheet'!G16</f>
        <v>43555</v>
      </c>
      <c r="I4" s="104">
        <f>'Data Sheet'!H16</f>
        <v>43921</v>
      </c>
      <c r="J4" s="104">
        <f>'Data Sheet'!I16</f>
        <v>44286</v>
      </c>
      <c r="K4" s="104">
        <f>'Data Sheet'!J16</f>
        <v>44651</v>
      </c>
      <c r="L4" s="104">
        <f>'Data Sheet'!K16</f>
        <v>45016</v>
      </c>
    </row>
    <row r="6" spans="2:12" x14ac:dyDescent="0.25">
      <c r="B6" s="105" t="str">
        <f>'Data Sheet'!A17</f>
        <v>Sales</v>
      </c>
      <c r="C6" s="14">
        <f>'Data Sheet'!B17/'Data Sheet'!B$17</f>
        <v>1</v>
      </c>
      <c r="D6" s="14">
        <f>'Data Sheet'!C17/'Data Sheet'!C$17</f>
        <v>1</v>
      </c>
      <c r="E6" s="14">
        <f>'Data Sheet'!D17/'Data Sheet'!D$17</f>
        <v>1</v>
      </c>
      <c r="F6" s="14">
        <f>'Data Sheet'!E17/'Data Sheet'!E$17</f>
        <v>1</v>
      </c>
      <c r="G6" s="14">
        <f>'Data Sheet'!F17/'Data Sheet'!F$17</f>
        <v>1</v>
      </c>
      <c r="H6" s="14">
        <f>'Data Sheet'!G17/'Data Sheet'!G$17</f>
        <v>1</v>
      </c>
      <c r="I6" s="14">
        <f>'Data Sheet'!H17/'Data Sheet'!H$17</f>
        <v>1</v>
      </c>
      <c r="J6" s="14">
        <f>'Data Sheet'!I17/'Data Sheet'!I$17</f>
        <v>1</v>
      </c>
      <c r="K6" s="14">
        <f>'Data Sheet'!J17/'Data Sheet'!J$17</f>
        <v>1</v>
      </c>
      <c r="L6" s="14">
        <f>'Data Sheet'!K17/'Data Sheet'!K$17</f>
        <v>1</v>
      </c>
    </row>
    <row r="7" spans="2:12" x14ac:dyDescent="0.25">
      <c r="B7" s="105" t="str">
        <f>'Data Sheet'!A18</f>
        <v>Raw Material Cost</v>
      </c>
      <c r="C7" s="14">
        <f>'Data Sheet'!B18/'Data Sheet'!B$17</f>
        <v>0.51878543775679453</v>
      </c>
      <c r="D7" s="14">
        <f>'Data Sheet'!C18/'Data Sheet'!C$17</f>
        <v>0.50493563839397848</v>
      </c>
      <c r="E7" s="14">
        <f>'Data Sheet'!D18/'Data Sheet'!D$17</f>
        <v>0.46034646697716919</v>
      </c>
      <c r="F7" s="14">
        <f>'Data Sheet'!E18/'Data Sheet'!E$17</f>
        <v>0.4947951764673858</v>
      </c>
      <c r="G7" s="14">
        <f>'Data Sheet'!F18/'Data Sheet'!F$17</f>
        <v>0.48311366425847946</v>
      </c>
      <c r="H7" s="14">
        <f>'Data Sheet'!G18/'Data Sheet'!G$17</f>
        <v>0.51841645560606919</v>
      </c>
      <c r="I7" s="14">
        <f>'Data Sheet'!H18/'Data Sheet'!H$17</f>
        <v>0.4938828622673016</v>
      </c>
      <c r="J7" s="14">
        <f>'Data Sheet'!I18/'Data Sheet'!I$17</f>
        <v>0.48015708713619937</v>
      </c>
      <c r="K7" s="14">
        <f>'Data Sheet'!J18/'Data Sheet'!J$17</f>
        <v>0.58840195345359381</v>
      </c>
      <c r="L7" s="14">
        <f>'Data Sheet'!K18/'Data Sheet'!K$17</f>
        <v>0.55048727709657019</v>
      </c>
    </row>
    <row r="8" spans="2:12" x14ac:dyDescent="0.25">
      <c r="B8" s="105" t="str">
        <f>'Data Sheet'!A19</f>
        <v>Change in Inventory</v>
      </c>
      <c r="C8" s="14">
        <f>'Data Sheet'!B19/'Data Sheet'!B$17</f>
        <v>7.3876650215991824E-3</v>
      </c>
      <c r="D8" s="14">
        <f>'Data Sheet'!C19/'Data Sheet'!C$17</f>
        <v>1.0875297276732136E-2</v>
      </c>
      <c r="E8" s="14">
        <f>'Data Sheet'!D19/'Data Sheet'!D$17</f>
        <v>-1.3967006948818941E-2</v>
      </c>
      <c r="F8" s="14">
        <f>'Data Sheet'!E19/'Data Sheet'!E$17</f>
        <v>3.5094964211236368E-2</v>
      </c>
      <c r="G8" s="14">
        <f>'Data Sheet'!F19/'Data Sheet'!F$17</f>
        <v>-8.4477742346749252E-3</v>
      </c>
      <c r="H8" s="14">
        <f>'Data Sheet'!G19/'Data Sheet'!G$17</f>
        <v>1.5242100755036478E-2</v>
      </c>
      <c r="I8" s="14">
        <f>'Data Sheet'!H19/'Data Sheet'!H$17</f>
        <v>1.1832519017873709E-2</v>
      </c>
      <c r="J8" s="14">
        <f>'Data Sheet'!I19/'Data Sheet'!I$17</f>
        <v>4.2578590775298802E-3</v>
      </c>
      <c r="K8" s="14">
        <f>'Data Sheet'!J19/'Data Sheet'!J$17</f>
        <v>4.5529612443164016E-2</v>
      </c>
      <c r="L8" s="14">
        <f>'Data Sheet'!K19/'Data Sheet'!K$17</f>
        <v>8.9806512820616927E-3</v>
      </c>
    </row>
    <row r="9" spans="2:12" x14ac:dyDescent="0.25">
      <c r="B9" s="105" t="str">
        <f>'Data Sheet'!A20</f>
        <v>Power and Fuel</v>
      </c>
      <c r="C9" s="14">
        <f>'Data Sheet'!B20/'Data Sheet'!B$17</f>
        <v>1.0944022153175395E-2</v>
      </c>
      <c r="D9" s="14">
        <f>'Data Sheet'!C20/'Data Sheet'!C$17</f>
        <v>9.5980539482903738E-3</v>
      </c>
      <c r="E9" s="14">
        <f>'Data Sheet'!D20/'Data Sheet'!D$17</f>
        <v>8.021587094269764E-3</v>
      </c>
      <c r="F9" s="14">
        <f>'Data Sheet'!E20/'Data Sheet'!E$17</f>
        <v>7.0389105290867941E-3</v>
      </c>
      <c r="G9" s="14">
        <f>'Data Sheet'!F20/'Data Sheet'!F$17</f>
        <v>6.5558959972183504E-3</v>
      </c>
      <c r="H9" s="14">
        <f>'Data Sheet'!G20/'Data Sheet'!G$17</f>
        <v>6.2177334560629266E-3</v>
      </c>
      <c r="I9" s="14">
        <f>'Data Sheet'!H20/'Data Sheet'!H$17</f>
        <v>4.8383944585317588E-3</v>
      </c>
      <c r="J9" s="14">
        <f>'Data Sheet'!I20/'Data Sheet'!I$17</f>
        <v>3.9631019320870327E-3</v>
      </c>
      <c r="K9" s="14">
        <f>'Data Sheet'!J20/'Data Sheet'!J$17</f>
        <v>4.0283451449558234E-3</v>
      </c>
      <c r="L9" s="14">
        <f>'Data Sheet'!K20/'Data Sheet'!K$17</f>
        <v>4.0097319142359837E-3</v>
      </c>
    </row>
    <row r="10" spans="2:12" x14ac:dyDescent="0.25">
      <c r="B10" s="105" t="str">
        <f>'Data Sheet'!A21</f>
        <v>Other Mfr. Exp</v>
      </c>
      <c r="C10" s="14">
        <f>'Data Sheet'!B21/'Data Sheet'!B$17</f>
        <v>0.10573984257432467</v>
      </c>
      <c r="D10" s="14">
        <f>'Data Sheet'!C21/'Data Sheet'!C$17</f>
        <v>0.11049880795519146</v>
      </c>
      <c r="E10" s="14">
        <f>'Data Sheet'!D21/'Data Sheet'!D$17</f>
        <v>0.10757250994815538</v>
      </c>
      <c r="F10" s="14">
        <f>'Data Sheet'!E21/'Data Sheet'!E$17</f>
        <v>0.11039377930804628</v>
      </c>
      <c r="G10" s="14">
        <f>'Data Sheet'!F21/'Data Sheet'!F$17</f>
        <v>0.10054830589822611</v>
      </c>
      <c r="H10" s="14">
        <f>'Data Sheet'!G21/'Data Sheet'!G$17</f>
        <v>9.679508402490003E-2</v>
      </c>
      <c r="I10" s="14">
        <f>'Data Sheet'!H21/'Data Sheet'!H$17</f>
        <v>9.6288947986888487E-2</v>
      </c>
      <c r="J10" s="14">
        <f>'Data Sheet'!I21/'Data Sheet'!I$17</f>
        <v>9.5257679920452407E-2</v>
      </c>
      <c r="K10" s="14">
        <f>'Data Sheet'!J21/'Data Sheet'!J$17</f>
        <v>9.8980182315004703E-2</v>
      </c>
      <c r="L10" s="14">
        <f>'Data Sheet'!K21/'Data Sheet'!K$17</f>
        <v>8.455550081925646E-2</v>
      </c>
    </row>
    <row r="11" spans="2:12" x14ac:dyDescent="0.25">
      <c r="B11" s="105" t="str">
        <f>'Data Sheet'!A22</f>
        <v>Employee Cost</v>
      </c>
      <c r="C11" s="14">
        <f>'Data Sheet'!B22/'Data Sheet'!B$17</f>
        <v>6.2485014774511738E-2</v>
      </c>
      <c r="D11" s="14">
        <f>'Data Sheet'!C22/'Data Sheet'!C$17</f>
        <v>6.8809556336052347E-2</v>
      </c>
      <c r="E11" s="14">
        <f>'Data Sheet'!D22/'Data Sheet'!D$17</f>
        <v>6.9718018230752368E-2</v>
      </c>
      <c r="F11" s="14">
        <f>'Data Sheet'!E22/'Data Sheet'!E$17</f>
        <v>6.9040677891832367E-2</v>
      </c>
      <c r="G11" s="14">
        <f>'Data Sheet'!F22/'Data Sheet'!F$17</f>
        <v>6.6681724028280112E-2</v>
      </c>
      <c r="H11" s="14">
        <f>'Data Sheet'!G22/'Data Sheet'!G$17</f>
        <v>6.4588440930492666E-2</v>
      </c>
      <c r="I11" s="14">
        <f>'Data Sheet'!H22/'Data Sheet'!H$17</f>
        <v>6.7846867462428101E-2</v>
      </c>
      <c r="J11" s="14">
        <f>'Data Sheet'!I22/'Data Sheet'!I$17</f>
        <v>7.1276422790438249E-2</v>
      </c>
      <c r="K11" s="14">
        <f>'Data Sheet'!J22/'Data Sheet'!J$17</f>
        <v>6.1667734202756716E-2</v>
      </c>
      <c r="L11" s="14">
        <f>'Data Sheet'!K22/'Data Sheet'!K$17</f>
        <v>5.9045904747048232E-2</v>
      </c>
    </row>
    <row r="12" spans="2:12" x14ac:dyDescent="0.25">
      <c r="B12" s="105" t="str">
        <f>'Data Sheet'!A23</f>
        <v>Selling and admin</v>
      </c>
      <c r="C12" s="14">
        <f>'Data Sheet'!B23/'Data Sheet'!B$17</f>
        <v>0.23128841434424652</v>
      </c>
      <c r="D12" s="14">
        <f>'Data Sheet'!C23/'Data Sheet'!C$17</f>
        <v>0.24616937171967335</v>
      </c>
      <c r="E12" s="14">
        <f>'Data Sheet'!D23/'Data Sheet'!D$17</f>
        <v>0.27413395517917194</v>
      </c>
      <c r="F12" s="14">
        <f>'Data Sheet'!E23/'Data Sheet'!E$17</f>
        <v>0.28973860691714709</v>
      </c>
      <c r="G12" s="14">
        <f>'Data Sheet'!F23/'Data Sheet'!F$17</f>
        <v>0.13402557572119314</v>
      </c>
      <c r="H12" s="14">
        <f>'Data Sheet'!G23/'Data Sheet'!G$17</f>
        <v>0.12301736006981241</v>
      </c>
      <c r="I12" s="14">
        <f>'Data Sheet'!H23/'Data Sheet'!H$17</f>
        <v>0.11436749335147506</v>
      </c>
      <c r="J12" s="14">
        <f>'Data Sheet'!I23/'Data Sheet'!I$17</f>
        <v>0.10342705842961683</v>
      </c>
      <c r="K12" s="14">
        <f>'Data Sheet'!J23/'Data Sheet'!J$17</f>
        <v>0.10109452230279906</v>
      </c>
      <c r="L12" s="14">
        <f>'Data Sheet'!K23/'Data Sheet'!K$17</f>
        <v>0.10150719411840266</v>
      </c>
    </row>
    <row r="13" spans="2:12" x14ac:dyDescent="0.25">
      <c r="B13" s="105" t="str">
        <f>'Data Sheet'!A24</f>
        <v>Other Expenses</v>
      </c>
      <c r="C13" s="14">
        <f>'Data Sheet'!B24/'Data Sheet'!B$17</f>
        <v>-8.5815732256879287E-2</v>
      </c>
      <c r="D13" s="14">
        <f>'Data Sheet'!C24/'Data Sheet'!C$17</f>
        <v>-9.3869672705478996E-2</v>
      </c>
      <c r="E13" s="14">
        <f>'Data Sheet'!D24/'Data Sheet'!D$17</f>
        <v>-0.12470246624564078</v>
      </c>
      <c r="F13" s="14">
        <f>'Data Sheet'!E24/'Data Sheet'!E$17</f>
        <v>-0.13467476741121193</v>
      </c>
      <c r="G13" s="14">
        <f>'Data Sheet'!F24/'Data Sheet'!F$17</f>
        <v>1.0190465718251008E-2</v>
      </c>
      <c r="H13" s="14">
        <f>'Data Sheet'!G24/'Data Sheet'!G$17</f>
        <v>1.0525396657922789E-2</v>
      </c>
      <c r="I13" s="14">
        <f>'Data Sheet'!H24/'Data Sheet'!H$17</f>
        <v>2.8939328344362667E-2</v>
      </c>
      <c r="J13" s="14">
        <f>'Data Sheet'!I24/'Data Sheet'!I$17</f>
        <v>2.6547947085565692E-2</v>
      </c>
      <c r="K13" s="14">
        <f>'Data Sheet'!J24/'Data Sheet'!J$17</f>
        <v>2.6291627034962038E-2</v>
      </c>
      <c r="L13" s="14">
        <f>'Data Sheet'!K24/'Data Sheet'!K$17</f>
        <v>2.7870376840572496E-2</v>
      </c>
    </row>
    <row r="14" spans="2:12" x14ac:dyDescent="0.25">
      <c r="B14" s="105" t="str">
        <f>'Data Sheet'!A25</f>
        <v>Other Income</v>
      </c>
      <c r="C14" s="14">
        <f>'Data Sheet'!B25/'Data Sheet'!B$17</f>
        <v>1.0168268227557758E-2</v>
      </c>
      <c r="D14" s="14">
        <f>'Data Sheet'!C25/'Data Sheet'!C$17</f>
        <v>1.0439756567263496E-2</v>
      </c>
      <c r="E14" s="14">
        <f>'Data Sheet'!D25/'Data Sheet'!D$17</f>
        <v>1.4952187893485543E-2</v>
      </c>
      <c r="F14" s="14">
        <f>'Data Sheet'!E25/'Data Sheet'!E$17</f>
        <v>2.2433954610247383E-2</v>
      </c>
      <c r="G14" s="14">
        <f>'Data Sheet'!F25/'Data Sheet'!F$17</f>
        <v>1.9995185606747286E-2</v>
      </c>
      <c r="H14" s="14">
        <f>'Data Sheet'!G25/'Data Sheet'!G$17</f>
        <v>1.422911383654892E-2</v>
      </c>
      <c r="I14" s="14">
        <f>'Data Sheet'!H25/'Data Sheet'!H$17</f>
        <v>1.7566949100129878E-2</v>
      </c>
      <c r="J14" s="14">
        <f>'Data Sheet'!I25/'Data Sheet'!I$17</f>
        <v>1.5274407388456295E-2</v>
      </c>
      <c r="K14" s="14">
        <f>'Data Sheet'!J25/'Data Sheet'!J$17</f>
        <v>1.0167250375241226E-2</v>
      </c>
      <c r="L14" s="14">
        <f>'Data Sheet'!K25/'Data Sheet'!K$17</f>
        <v>1.2510224395952401E-2</v>
      </c>
    </row>
    <row r="15" spans="2:12" x14ac:dyDescent="0.25">
      <c r="B15" s="105" t="str">
        <f>'Data Sheet'!A26</f>
        <v>Depreciation</v>
      </c>
      <c r="C15" s="14">
        <f>'Data Sheet'!B26/'Data Sheet'!B$17</f>
        <v>2.0102500988104288E-2</v>
      </c>
      <c r="D15" s="14">
        <f>'Data Sheet'!C26/'Data Sheet'!C$17</f>
        <v>1.953102621617215E-2</v>
      </c>
      <c r="E15" s="14">
        <f>'Data Sheet'!D26/'Data Sheet'!D$17</f>
        <v>1.9309826794539322E-2</v>
      </c>
      <c r="F15" s="14">
        <f>'Data Sheet'!E26/'Data Sheet'!E$17</f>
        <v>2.2227474590011016E-2</v>
      </c>
      <c r="G15" s="14">
        <f>'Data Sheet'!F26/'Data Sheet'!F$17</f>
        <v>2.1425238713665449E-2</v>
      </c>
      <c r="H15" s="14">
        <f>'Data Sheet'!G26/'Data Sheet'!G$17</f>
        <v>3.2335540352378074E-2</v>
      </c>
      <c r="I15" s="14">
        <f>'Data Sheet'!H26/'Data Sheet'!H$17</f>
        <v>3.8617106809326486E-2</v>
      </c>
      <c r="J15" s="14">
        <f>'Data Sheet'!I26/'Data Sheet'!I$17</f>
        <v>3.6442576011650275E-2</v>
      </c>
      <c r="K15" s="14">
        <f>'Data Sheet'!J26/'Data Sheet'!J$17</f>
        <v>2.8052374328551871E-2</v>
      </c>
      <c r="L15" s="14">
        <f>'Data Sheet'!K26/'Data Sheet'!K$17</f>
        <v>2.4878372818372688E-2</v>
      </c>
    </row>
    <row r="16" spans="2:12" x14ac:dyDescent="0.25">
      <c r="B16" s="105" t="str">
        <f>'Data Sheet'!A27</f>
        <v>Interest</v>
      </c>
      <c r="C16" s="14">
        <f>'Data Sheet'!B27/'Data Sheet'!B$17</f>
        <v>3.9270496719821081E-3</v>
      </c>
      <c r="D16" s="14">
        <f>'Data Sheet'!C27/'Data Sheet'!C$17</f>
        <v>3.1024012762150706E-3</v>
      </c>
      <c r="E16" s="14">
        <f>'Data Sheet'!D27/'Data Sheet'!D$17</f>
        <v>3.4334186549547386E-3</v>
      </c>
      <c r="F16" s="14">
        <f>'Data Sheet'!E27/'Data Sheet'!E$17</f>
        <v>2.4784241657310885E-3</v>
      </c>
      <c r="G16" s="14">
        <f>'Data Sheet'!F27/'Data Sheet'!F$17</f>
        <v>2.4648504714836358E-3</v>
      </c>
      <c r="H16" s="14">
        <f>'Data Sheet'!G27/'Data Sheet'!G$17</f>
        <v>5.7416451967840128E-3</v>
      </c>
      <c r="I16" s="14">
        <f>'Data Sheet'!H27/'Data Sheet'!H$17</f>
        <v>5.0630218319005502E-3</v>
      </c>
      <c r="J16" s="14">
        <f>'Data Sheet'!I27/'Data Sheet'!I$17</f>
        <v>4.2200933182700148E-3</v>
      </c>
      <c r="K16" s="14">
        <f>'Data Sheet'!J27/'Data Sheet'!J$17</f>
        <v>3.2785499469439143E-3</v>
      </c>
      <c r="L16" s="14">
        <f>'Data Sheet'!K27/'Data Sheet'!K$17</f>
        <v>4.1883417095335005E-3</v>
      </c>
    </row>
    <row r="17" spans="2:12" x14ac:dyDescent="0.25">
      <c r="B17" s="105" t="str">
        <f>'Data Sheet'!A28</f>
        <v>Profit before tax</v>
      </c>
      <c r="C17" s="14">
        <f>'Data Sheet'!B28/'Data Sheet'!B$17</f>
        <v>0.1500993832428969</v>
      </c>
      <c r="D17" s="14">
        <f>'Data Sheet'!C28/'Data Sheet'!C$17</f>
        <v>0.15253987070390135</v>
      </c>
      <c r="E17" s="14">
        <f>'Data Sheet'!D28/'Data Sheet'!D$17</f>
        <v>0.18315186431129477</v>
      </c>
      <c r="F17" s="14">
        <f>'Data Sheet'!E28/'Data Sheet'!E$17</f>
        <v>0.19649063636345529</v>
      </c>
      <c r="G17" s="14">
        <f>'Data Sheet'!F28/'Data Sheet'!F$17</f>
        <v>0.18654169056527517</v>
      </c>
      <c r="H17" s="14">
        <f>'Data Sheet'!G28/'Data Sheet'!G$17</f>
        <v>0.17183355829716326</v>
      </c>
      <c r="I17" s="14">
        <f>'Data Sheet'!H28/'Data Sheet'!H$17</f>
        <v>0.17955544560578884</v>
      </c>
      <c r="J17" s="14">
        <f>'Data Sheet'!I28/'Data Sheet'!I$17</f>
        <v>0.19824029984170621</v>
      </c>
      <c r="K17" s="14">
        <f>'Data Sheet'!J28/'Data Sheet'!J$17</f>
        <v>0.14390157408883733</v>
      </c>
      <c r="L17" s="14">
        <f>'Data Sheet'!K28/'Data Sheet'!K$17</f>
        <v>0.16494817561402192</v>
      </c>
    </row>
    <row r="18" spans="2:12" x14ac:dyDescent="0.25">
      <c r="B18" s="105" t="str">
        <f>'Data Sheet'!A29</f>
        <v>Tax</v>
      </c>
      <c r="C18" s="14">
        <f>'Data Sheet'!B29/'Data Sheet'!B$17</f>
        <v>4.676699641663877E-2</v>
      </c>
      <c r="D18" s="14">
        <f>'Data Sheet'!C29/'Data Sheet'!C$17</f>
        <v>4.7706764321797747E-2</v>
      </c>
      <c r="E18" s="14">
        <f>'Data Sheet'!D29/'Data Sheet'!D$17</f>
        <v>5.9173218773933209E-2</v>
      </c>
      <c r="F18" s="14">
        <f>'Data Sheet'!E29/'Data Sheet'!E$17</f>
        <v>6.2627182729506528E-2</v>
      </c>
      <c r="G18" s="14">
        <f>'Data Sheet'!F29/'Data Sheet'!F$17</f>
        <v>6.1871491362324706E-2</v>
      </c>
      <c r="H18" s="14">
        <f>'Data Sheet'!G29/'Data Sheet'!G$17</f>
        <v>5.7071339954563712E-2</v>
      </c>
      <c r="I18" s="14">
        <f>'Data Sheet'!H29/'Data Sheet'!H$17</f>
        <v>4.2295751128703075E-2</v>
      </c>
      <c r="J18" s="14">
        <f>'Data Sheet'!I29/'Data Sheet'!I$17</f>
        <v>5.05508504434483E-2</v>
      </c>
      <c r="K18" s="14">
        <f>'Data Sheet'!J29/'Data Sheet'!J$17</f>
        <v>3.7899020249281136E-2</v>
      </c>
      <c r="L18" s="14">
        <f>'Data Sheet'!K29/'Data Sheet'!K$17</f>
        <v>4.3304176830656176E-2</v>
      </c>
    </row>
    <row r="19" spans="2:12" x14ac:dyDescent="0.25">
      <c r="B19" s="105" t="str">
        <f>'Data Sheet'!A30</f>
        <v>Net profit</v>
      </c>
      <c r="C19" s="14">
        <f>'Data Sheet'!B30/'Data Sheet'!B$17</f>
        <v>9.9735932709075076E-2</v>
      </c>
      <c r="D19" s="14">
        <f>'Data Sheet'!C30/'Data Sheet'!C$17</f>
        <v>0.10246958192498712</v>
      </c>
      <c r="E19" s="14">
        <f>'Data Sheet'!D30/'Data Sheet'!D$17</f>
        <v>0.12228295714042473</v>
      </c>
      <c r="F19" s="14">
        <f>'Data Sheet'!E30/'Data Sheet'!E$17</f>
        <v>0.12876319795724203</v>
      </c>
      <c r="G19" s="14">
        <f>'Data Sheet'!F30/'Data Sheet'!F$17</f>
        <v>0.12118778808348515</v>
      </c>
      <c r="H19" s="14">
        <f>'Data Sheet'!G30/'Data Sheet'!G$17</f>
        <v>0.11205329693718286</v>
      </c>
      <c r="I19" s="14">
        <f>'Data Sheet'!H30/'Data Sheet'!H$17</f>
        <v>0.13384476467313997</v>
      </c>
      <c r="J19" s="14">
        <f>'Data Sheet'!I30/'Data Sheet'!I$17</f>
        <v>0.14458252486207437</v>
      </c>
      <c r="K19" s="14">
        <f>'Data Sheet'!J30/'Data Sheet'!J$17</f>
        <v>0.10413871829692715</v>
      </c>
      <c r="L19" s="14">
        <f>'Data Sheet'!K30/'Data Sheet'!K$17</f>
        <v>0.11906691459407301</v>
      </c>
    </row>
    <row r="20" spans="2:12" x14ac:dyDescent="0.25">
      <c r="B20" s="105"/>
    </row>
    <row r="21" spans="2:12" x14ac:dyDescent="0.25">
      <c r="B21" s="229" t="str">
        <f>"Common Size Balance Sheet"&amp;" "&amp;" - "&amp;'Data Sheet'!$B$1</f>
        <v>Common Size Balance Sheet  - ASIAN PAINTS LTD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</row>
    <row r="22" spans="2:12" x14ac:dyDescent="0.25">
      <c r="B22" s="105"/>
    </row>
    <row r="23" spans="2:12" x14ac:dyDescent="0.25">
      <c r="B23" s="69" t="s">
        <v>254</v>
      </c>
      <c r="C23" s="104">
        <f>'Data Sheet'!B16</f>
        <v>41729</v>
      </c>
      <c r="D23" s="104">
        <f>'Data Sheet'!C16</f>
        <v>42094</v>
      </c>
      <c r="E23" s="104">
        <f>'Data Sheet'!D16</f>
        <v>42460</v>
      </c>
      <c r="F23" s="104">
        <f>'Data Sheet'!E16</f>
        <v>42825</v>
      </c>
      <c r="G23" s="104">
        <f>'Data Sheet'!F16</f>
        <v>43190</v>
      </c>
      <c r="H23" s="104">
        <f>'Data Sheet'!G16</f>
        <v>43555</v>
      </c>
      <c r="I23" s="104">
        <f>'Data Sheet'!H16</f>
        <v>43921</v>
      </c>
      <c r="J23" s="104">
        <f>'Data Sheet'!I16</f>
        <v>44286</v>
      </c>
      <c r="K23" s="104">
        <f>'Data Sheet'!J16</f>
        <v>44651</v>
      </c>
      <c r="L23" s="104">
        <f>'Data Sheet'!K16</f>
        <v>45016</v>
      </c>
    </row>
    <row r="24" spans="2:12" x14ac:dyDescent="0.25"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</row>
    <row r="25" spans="2:12" x14ac:dyDescent="0.25">
      <c r="B25" s="108" t="s">
        <v>36</v>
      </c>
      <c r="C25" s="109">
        <f>'Data Sheet'!B61/'Data Sheet'!B$61</f>
        <v>1</v>
      </c>
      <c r="D25" s="109">
        <f>'Data Sheet'!C61/'Data Sheet'!C$61</f>
        <v>1</v>
      </c>
      <c r="E25" s="109">
        <f>'Data Sheet'!D61/'Data Sheet'!D$61</f>
        <v>1</v>
      </c>
      <c r="F25" s="109">
        <f>'Data Sheet'!E61/'Data Sheet'!E$61</f>
        <v>1</v>
      </c>
      <c r="G25" s="109">
        <f>'Data Sheet'!F61/'Data Sheet'!F$61</f>
        <v>1</v>
      </c>
      <c r="H25" s="109">
        <f>'Data Sheet'!G61/'Data Sheet'!G$61</f>
        <v>1</v>
      </c>
      <c r="I25" s="109">
        <f>'Data Sheet'!H61/'Data Sheet'!H$61</f>
        <v>1</v>
      </c>
      <c r="J25" s="109">
        <f>'Data Sheet'!I61/'Data Sheet'!I$61</f>
        <v>1</v>
      </c>
      <c r="K25" s="109">
        <f>'Data Sheet'!J61/'Data Sheet'!J$61</f>
        <v>1</v>
      </c>
      <c r="L25" s="109">
        <f>'Data Sheet'!K61/'Data Sheet'!K$61</f>
        <v>1</v>
      </c>
    </row>
    <row r="26" spans="2:12" x14ac:dyDescent="0.25">
      <c r="B26" s="105" t="str">
        <f>'Data Sheet'!A57</f>
        <v>Equity Share Capital</v>
      </c>
      <c r="C26" s="14">
        <f>'Data Sheet'!B57/'Data Sheet'!B$61</f>
        <v>1.1878049384550612E-2</v>
      </c>
      <c r="D26" s="14">
        <f>'Data Sheet'!C57/'Data Sheet'!C$61</f>
        <v>1.0759997756464188E-2</v>
      </c>
      <c r="E26" s="14">
        <f>'Data Sheet'!D57/'Data Sheet'!D$61</f>
        <v>9.0841677691984955E-3</v>
      </c>
      <c r="F26" s="14">
        <f>'Data Sheet'!E57/'Data Sheet'!E$61</f>
        <v>7.732247551226543E-3</v>
      </c>
      <c r="G26" s="14">
        <f>'Data Sheet'!F57/'Data Sheet'!F$61</f>
        <v>6.969167681429406E-3</v>
      </c>
      <c r="H26" s="14">
        <f>'Data Sheet'!G57/'Data Sheet'!G$61</f>
        <v>5.9031906277617358E-3</v>
      </c>
      <c r="I26" s="14">
        <f>'Data Sheet'!H57/'Data Sheet'!H$61</f>
        <v>5.9437463324073601E-3</v>
      </c>
      <c r="J26" s="14">
        <f>'Data Sheet'!I57/'Data Sheet'!I$61</f>
        <v>4.712276974985434E-3</v>
      </c>
      <c r="K26" s="14">
        <f>'Data Sheet'!J57/'Data Sheet'!J$61</f>
        <v>4.1779860382439044E-3</v>
      </c>
      <c r="L26" s="14">
        <f>'Data Sheet'!K57/'Data Sheet'!K$61</f>
        <v>3.7208104322338864E-3</v>
      </c>
    </row>
    <row r="27" spans="2:12" x14ac:dyDescent="0.25">
      <c r="B27" s="105" t="str">
        <f>'Data Sheet'!A58</f>
        <v>Reserves</v>
      </c>
      <c r="C27" s="14">
        <f>'Data Sheet'!B58/'Data Sheet'!B$61</f>
        <v>0.48831017658567999</v>
      </c>
      <c r="D27" s="14">
        <f>'Data Sheet'!C58/'Data Sheet'!C$61</f>
        <v>0.52122272701777994</v>
      </c>
      <c r="E27" s="14">
        <f>'Data Sheet'!D58/'Data Sheet'!D$61</f>
        <v>0.60885327534820899</v>
      </c>
      <c r="F27" s="14">
        <f>'Data Sheet'!E58/'Data Sheet'!E$61</f>
        <v>0.60522813435344402</v>
      </c>
      <c r="G27" s="14">
        <f>'Data Sheet'!F58/'Data Sheet'!F$61</f>
        <v>0.60408486807115636</v>
      </c>
      <c r="H27" s="14">
        <f>'Data Sheet'!G58/'Data Sheet'!G$61</f>
        <v>0.57694149243884485</v>
      </c>
      <c r="I27" s="14">
        <f>'Data Sheet'!H58/'Data Sheet'!H$61</f>
        <v>0.62177832775745645</v>
      </c>
      <c r="J27" s="14">
        <f>'Data Sheet'!I58/'Data Sheet'!I$61</f>
        <v>0.62442435252862394</v>
      </c>
      <c r="K27" s="14">
        <f>'Data Sheet'!J58/'Data Sheet'!J$61</f>
        <v>0.59741193104232293</v>
      </c>
      <c r="L27" s="14">
        <f>'Data Sheet'!K58/'Data Sheet'!K$61</f>
        <v>0.61663006757739625</v>
      </c>
    </row>
    <row r="28" spans="2:12" x14ac:dyDescent="0.25">
      <c r="B28" s="105" t="str">
        <f>'Data Sheet'!A59</f>
        <v>Borrowings</v>
      </c>
      <c r="C28" s="14">
        <f>'Data Sheet'!B59/'Data Sheet'!B$61</f>
        <v>3.0852960844044878E-2</v>
      </c>
      <c r="D28" s="14">
        <f>'Data Sheet'!C59/'Data Sheet'!C$61</f>
        <v>4.6908968534410234E-2</v>
      </c>
      <c r="E28" s="14">
        <f>'Data Sheet'!D59/'Data Sheet'!D$61</f>
        <v>3.0617395726690803E-2</v>
      </c>
      <c r="F28" s="14">
        <f>'Data Sheet'!E59/'Data Sheet'!E$61</f>
        <v>4.5169803928839465E-2</v>
      </c>
      <c r="G28" s="14">
        <f>'Data Sheet'!F59/'Data Sheet'!F$61</f>
        <v>3.8756913222528021E-2</v>
      </c>
      <c r="H28" s="14">
        <f>'Data Sheet'!G59/'Data Sheet'!G$61</f>
        <v>8.1211951130049892E-2</v>
      </c>
      <c r="I28" s="14">
        <f>'Data Sheet'!H59/'Data Sheet'!H$61</f>
        <v>6.9308593336088742E-2</v>
      </c>
      <c r="J28" s="14">
        <f>'Data Sheet'!I59/'Data Sheet'!I$61</f>
        <v>5.3701878720768106E-2</v>
      </c>
      <c r="K28" s="14">
        <f>'Data Sheet'!J59/'Data Sheet'!J$61</f>
        <v>6.9119708969646448E-2</v>
      </c>
      <c r="L28" s="14">
        <f>'Data Sheet'!K59/'Data Sheet'!K$61</f>
        <v>7.4967813360548932E-2</v>
      </c>
    </row>
    <row r="29" spans="2:12" x14ac:dyDescent="0.25">
      <c r="B29" s="105" t="str">
        <f>'Data Sheet'!A60</f>
        <v>Other Liabilities</v>
      </c>
      <c r="C29" s="14">
        <f>'Data Sheet'!B60/'Data Sheet'!B$61</f>
        <v>0.46895881318572458</v>
      </c>
      <c r="D29" s="14">
        <f>'Data Sheet'!C60/'Data Sheet'!C$61</f>
        <v>0.42110830669134552</v>
      </c>
      <c r="E29" s="14">
        <f>'Data Sheet'!D60/'Data Sheet'!D$61</f>
        <v>0.35144516115590163</v>
      </c>
      <c r="F29" s="14">
        <f>'Data Sheet'!E60/'Data Sheet'!E$61</f>
        <v>0.34186981416648998</v>
      </c>
      <c r="G29" s="14">
        <f>'Data Sheet'!F60/'Data Sheet'!F$61</f>
        <v>0.35018905102488612</v>
      </c>
      <c r="H29" s="14">
        <f>'Data Sheet'!G60/'Data Sheet'!G$61</f>
        <v>0.3359433658033435</v>
      </c>
      <c r="I29" s="14">
        <f>'Data Sheet'!H60/'Data Sheet'!H$61</f>
        <v>0.30296933257404746</v>
      </c>
      <c r="J29" s="14">
        <f>'Data Sheet'!I60/'Data Sheet'!I$61</f>
        <v>0.31716149177562253</v>
      </c>
      <c r="K29" s="14">
        <f>'Data Sheet'!J60/'Data Sheet'!J$61</f>
        <v>0.32929037394978661</v>
      </c>
      <c r="L29" s="14">
        <f>'Data Sheet'!K60/'Data Sheet'!K$61</f>
        <v>0.30468130862982085</v>
      </c>
    </row>
    <row r="31" spans="2:12" x14ac:dyDescent="0.25">
      <c r="B31" s="108" t="s">
        <v>46</v>
      </c>
      <c r="C31" s="109">
        <f>'Data Sheet'!B66/'Data Sheet'!B$66</f>
        <v>1</v>
      </c>
      <c r="D31" s="109">
        <f>'Data Sheet'!C66/'Data Sheet'!C$66</f>
        <v>1</v>
      </c>
      <c r="E31" s="109">
        <f>'Data Sheet'!D66/'Data Sheet'!D$66</f>
        <v>1</v>
      </c>
      <c r="F31" s="109">
        <f>'Data Sheet'!E66/'Data Sheet'!E$66</f>
        <v>1</v>
      </c>
      <c r="G31" s="109">
        <f>'Data Sheet'!F66/'Data Sheet'!F$66</f>
        <v>1</v>
      </c>
      <c r="H31" s="109">
        <f>'Data Sheet'!G66/'Data Sheet'!G$66</f>
        <v>1</v>
      </c>
      <c r="I31" s="109">
        <f>'Data Sheet'!H66/'Data Sheet'!H$66</f>
        <v>1</v>
      </c>
      <c r="J31" s="109">
        <f>'Data Sheet'!I66/'Data Sheet'!I$66</f>
        <v>1</v>
      </c>
      <c r="K31" s="109">
        <f>'Data Sheet'!J66/'Data Sheet'!J$66</f>
        <v>1</v>
      </c>
      <c r="L31" s="109">
        <f>'Data Sheet'!K66/'Data Sheet'!K$66</f>
        <v>1</v>
      </c>
    </row>
    <row r="32" spans="2:12" x14ac:dyDescent="0.25">
      <c r="B32" s="105" t="str">
        <f>'Data Sheet'!A62</f>
        <v>Net Block</v>
      </c>
      <c r="C32" s="14">
        <f>'Data Sheet'!B62/'Data Sheet'!B$66</f>
        <v>0.31720781633107958</v>
      </c>
      <c r="D32" s="14">
        <f>'Data Sheet'!C62/'Data Sheet'!C$66</f>
        <v>0.29839475012619887</v>
      </c>
      <c r="E32" s="14">
        <f>'Data Sheet'!D62/'Data Sheet'!D$66</f>
        <v>0.32354771224250711</v>
      </c>
      <c r="F32" s="14">
        <f>'Data Sheet'!E62/'Data Sheet'!E$66</f>
        <v>0.26631917769901142</v>
      </c>
      <c r="G32" s="14">
        <f>'Data Sheet'!F62/'Data Sheet'!F$66</f>
        <v>0.2711697913609058</v>
      </c>
      <c r="H32" s="14">
        <f>'Data Sheet'!G62/'Data Sheet'!G$66</f>
        <v>0.39981684846425963</v>
      </c>
      <c r="I32" s="14">
        <f>'Data Sheet'!H62/'Data Sheet'!H$66</f>
        <v>0.38866784360114692</v>
      </c>
      <c r="J32" s="14">
        <f>'Data Sheet'!I62/'Data Sheet'!I$66</f>
        <v>0.28781243644173965</v>
      </c>
      <c r="K32" s="14">
        <f>'Data Sheet'!J62/'Data Sheet'!J$66</f>
        <v>0.240393615765538</v>
      </c>
      <c r="L32" s="14">
        <f>'Data Sheet'!K62/'Data Sheet'!K$66</f>
        <v>0.22384057304825222</v>
      </c>
    </row>
    <row r="33" spans="2:12" x14ac:dyDescent="0.25">
      <c r="B33" s="105" t="str">
        <f>'Data Sheet'!A63</f>
        <v>Capital Work in Progress</v>
      </c>
      <c r="C33" s="14">
        <f>'Data Sheet'!B63/'Data Sheet'!B$66</f>
        <v>8.8664338608613804E-3</v>
      </c>
      <c r="D33" s="14">
        <f>'Data Sheet'!C63/'Data Sheet'!C$66</f>
        <v>2.1986650961915981E-2</v>
      </c>
      <c r="E33" s="14">
        <f>'Data Sheet'!D63/'Data Sheet'!D$66</f>
        <v>1.0094677257285944E-2</v>
      </c>
      <c r="F33" s="14">
        <f>'Data Sheet'!E63/'Data Sheet'!E$66</f>
        <v>2.0760665495651417E-2</v>
      </c>
      <c r="G33" s="14">
        <f>'Data Sheet'!F63/'Data Sheet'!F$66</f>
        <v>0.10208973311982143</v>
      </c>
      <c r="H33" s="14">
        <f>'Data Sheet'!G63/'Data Sheet'!G$66</f>
        <v>1.2903690355742316E-2</v>
      </c>
      <c r="I33" s="14">
        <f>'Data Sheet'!H63/'Data Sheet'!H$66</f>
        <v>8.6900644876648069E-3</v>
      </c>
      <c r="J33" s="14">
        <f>'Data Sheet'!I63/'Data Sheet'!I$66</f>
        <v>8.9892873319728384E-3</v>
      </c>
      <c r="K33" s="14">
        <f>'Data Sheet'!J63/'Data Sheet'!J$66</f>
        <v>1.8574005278235488E-2</v>
      </c>
      <c r="L33" s="14">
        <f>'Data Sheet'!K63/'Data Sheet'!K$66</f>
        <v>3.9550678780247588E-2</v>
      </c>
    </row>
    <row r="34" spans="2:12" x14ac:dyDescent="0.25">
      <c r="B34" s="105" t="str">
        <f>'Data Sheet'!A64</f>
        <v>Investments</v>
      </c>
      <c r="C34" s="14">
        <f>'Data Sheet'!B64/'Data Sheet'!B$66</f>
        <v>0.17628228942219581</v>
      </c>
      <c r="D34" s="14">
        <f>'Data Sheet'!C64/'Data Sheet'!C$66</f>
        <v>0.17811318638173762</v>
      </c>
      <c r="E34" s="14">
        <f>'Data Sheet'!D64/'Data Sheet'!D$66</f>
        <v>0.25685408602873561</v>
      </c>
      <c r="F34" s="14">
        <f>'Data Sheet'!E64/'Data Sheet'!E$66</f>
        <v>0.21378068372995493</v>
      </c>
      <c r="G34" s="14">
        <f>'Data Sheet'!F64/'Data Sheet'!F$66</f>
        <v>0.15553479207293502</v>
      </c>
      <c r="H34" s="14">
        <f>'Data Sheet'!G64/'Data Sheet'!G$66</f>
        <v>0.15807774585755044</v>
      </c>
      <c r="I34" s="14">
        <f>'Data Sheet'!H64/'Data Sheet'!H$66</f>
        <v>0.12509937743099039</v>
      </c>
      <c r="J34" s="14">
        <f>'Data Sheet'!I64/'Data Sheet'!I$66</f>
        <v>0.23270552100824649</v>
      </c>
      <c r="K34" s="14">
        <f>'Data Sheet'!J64/'Data Sheet'!J$66</f>
        <v>0.14145261675123255</v>
      </c>
      <c r="L34" s="14">
        <f>'Data Sheet'!K64/'Data Sheet'!K$66</f>
        <v>0.16531500236817637</v>
      </c>
    </row>
    <row r="35" spans="2:12" x14ac:dyDescent="0.25">
      <c r="B35" s="105" t="str">
        <f>'Data Sheet'!A65</f>
        <v>Other Assets</v>
      </c>
      <c r="C35" s="14">
        <f>'Data Sheet'!B74/'Data Sheet'!B$66</f>
        <v>7.5477375733709814E-2</v>
      </c>
      <c r="D35" s="14">
        <f>'Data Sheet'!C74/'Data Sheet'!C$66</f>
        <v>9.2623254248695955E-2</v>
      </c>
      <c r="E35" s="14">
        <f>'Data Sheet'!D74/'Data Sheet'!D$66</f>
        <v>6.7684247511371809E-2</v>
      </c>
      <c r="F35" s="14">
        <f>'Data Sheet'!E74/'Data Sheet'!E$66</f>
        <v>0.10617894607015289</v>
      </c>
      <c r="G35" s="14">
        <f>'Data Sheet'!F74/'Data Sheet'!F$66</f>
        <v>0.12292240043942376</v>
      </c>
      <c r="H35" s="14">
        <f>'Data Sheet'!G74/'Data Sheet'!G$66</f>
        <v>9.0588620479984977E-2</v>
      </c>
      <c r="I35" s="14">
        <f>'Data Sheet'!H74/'Data Sheet'!H$66</f>
        <v>0.10774031678085906</v>
      </c>
      <c r="J35" s="14">
        <f>'Data Sheet'!I74/'Data Sheet'!I$66</f>
        <v>0.1260367058472126</v>
      </c>
      <c r="K35" s="14">
        <f>'Data Sheet'!J74/'Data Sheet'!J$66</f>
        <v>0.12529863758105408</v>
      </c>
      <c r="L35" s="14">
        <f>'Data Sheet'!K74/'Data Sheet'!K$66</f>
        <v>0.11777536499203044</v>
      </c>
    </row>
    <row r="36" spans="2:12" x14ac:dyDescent="0.25">
      <c r="B36" s="105" t="str">
        <f>'Data Sheet'!A67</f>
        <v>Receivables</v>
      </c>
      <c r="C36" s="14">
        <f>'Data Sheet'!B67/'Data Sheet'!B$66</f>
        <v>0.13749164128092725</v>
      </c>
      <c r="D36" s="14">
        <f>'Data Sheet'!C67/'Data Sheet'!C$66</f>
        <v>0.13260081889057154</v>
      </c>
      <c r="E36" s="14">
        <f>'Data Sheet'!D67/'Data Sheet'!D$66</f>
        <v>0.11240047618010365</v>
      </c>
      <c r="F36" s="14">
        <f>'Data Sheet'!E67/'Data Sheet'!E$66</f>
        <v>0.11661248235617511</v>
      </c>
      <c r="G36" s="14">
        <f>'Data Sheet'!F67/'Data Sheet'!F$66</f>
        <v>0.12574072836230374</v>
      </c>
      <c r="H36" s="14">
        <f>'Data Sheet'!G67/'Data Sheet'!G$66</f>
        <v>0.11738253315313585</v>
      </c>
      <c r="I36" s="14">
        <f>'Data Sheet'!H67/'Data Sheet'!H$66</f>
        <v>0.111241996360137</v>
      </c>
      <c r="J36" s="14">
        <f>'Data Sheet'!I67/'Data Sheet'!I$66</f>
        <v>0.12783721618012767</v>
      </c>
      <c r="K36" s="14">
        <f>'Data Sheet'!J67/'Data Sheet'!J$66</f>
        <v>0.168628255503534</v>
      </c>
      <c r="L36" s="14">
        <f>'Data Sheet'!K67/'Data Sheet'!K$66</f>
        <v>0.17987046211053581</v>
      </c>
    </row>
    <row r="37" spans="2:12" x14ac:dyDescent="0.25">
      <c r="B37" s="105" t="str">
        <f>'Data Sheet'!A68</f>
        <v>Inventory</v>
      </c>
      <c r="C37" s="14">
        <f>'Data Sheet'!B68/'Data Sheet'!B$66</f>
        <v>0.256316714961488</v>
      </c>
      <c r="D37" s="14">
        <f>'Data Sheet'!C68/'Data Sheet'!C$66</f>
        <v>0.2533535251556453</v>
      </c>
      <c r="E37" s="14">
        <f>'Data Sheet'!D68/'Data Sheet'!D$66</f>
        <v>0.18924465599586324</v>
      </c>
      <c r="F37" s="14">
        <f>'Data Sheet'!E68/'Data Sheet'!E$66</f>
        <v>0.21176136762113276</v>
      </c>
      <c r="G37" s="14">
        <f>'Data Sheet'!F68/'Data Sheet'!F$66</f>
        <v>0.19314228668912223</v>
      </c>
      <c r="H37" s="14">
        <f>'Data Sheet'!G68/'Data Sheet'!G$66</f>
        <v>0.19385137646748937</v>
      </c>
      <c r="I37" s="14">
        <f>'Data Sheet'!H68/'Data Sheet'!H$66</f>
        <v>0.21005182188342153</v>
      </c>
      <c r="J37" s="14">
        <f>'Data Sheet'!I68/'Data Sheet'!I$66</f>
        <v>0.18661442157193148</v>
      </c>
      <c r="K37" s="14">
        <f>'Data Sheet'!J68/'Data Sheet'!J$66</f>
        <v>0.26800525994155522</v>
      </c>
      <c r="L37" s="14">
        <f>'Data Sheet'!K68/'Data Sheet'!K$66</f>
        <v>0.24091549314896857</v>
      </c>
    </row>
    <row r="38" spans="2:12" x14ac:dyDescent="0.25">
      <c r="B38" s="105" t="str">
        <f>'Data Sheet'!A69</f>
        <v>Cash &amp; Bank</v>
      </c>
      <c r="C38" s="14">
        <f>'Data Sheet'!B69/'Data Sheet'!B$66</f>
        <v>2.8357728409738218E-2</v>
      </c>
      <c r="D38" s="14">
        <f>'Data Sheet'!C69/'Data Sheet'!C$66</f>
        <v>2.2927814235234729E-2</v>
      </c>
      <c r="E38" s="14">
        <f>'Data Sheet'!D69/'Data Sheet'!D$66</f>
        <v>4.0174144784132629E-2</v>
      </c>
      <c r="F38" s="14">
        <f>'Data Sheet'!E69/'Data Sheet'!E$66</f>
        <v>6.4586677027921383E-2</v>
      </c>
      <c r="G38" s="14">
        <f>'Data Sheet'!F69/'Data Sheet'!F$66</f>
        <v>2.9400267955488002E-2</v>
      </c>
      <c r="H38" s="14">
        <f>'Data Sheet'!G69/'Data Sheet'!G$66</f>
        <v>2.7379185221837375E-2</v>
      </c>
      <c r="I38" s="14">
        <f>'Data Sheet'!H69/'Data Sheet'!H$66</f>
        <v>4.8508579455780382E-2</v>
      </c>
      <c r="J38" s="14">
        <f>'Data Sheet'!I69/'Data Sheet'!I$66</f>
        <v>3.0004411618769326E-2</v>
      </c>
      <c r="K38" s="14">
        <f>'Data Sheet'!J69/'Data Sheet'!J$66</f>
        <v>3.7647609178850648E-2</v>
      </c>
      <c r="L38" s="14">
        <f>'Data Sheet'!K69/'Data Sheet'!K$66</f>
        <v>3.2732425551788971E-2</v>
      </c>
    </row>
    <row r="39" spans="2:12" x14ac:dyDescent="0.25">
      <c r="B39" s="105"/>
    </row>
  </sheetData>
  <mergeCells count="2">
    <mergeCell ref="B2:L2"/>
    <mergeCell ref="B21:L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DD3B-8424-4E6C-8975-D52B5E340906}">
  <dimension ref="B2:M50"/>
  <sheetViews>
    <sheetView showGridLines="0" workbookViewId="0">
      <pane ySplit="4" topLeftCell="A5" activePane="bottomLeft" state="frozen"/>
      <selection pane="bottomLeft" activeCell="K25" sqref="K25"/>
    </sheetView>
  </sheetViews>
  <sheetFormatPr defaultRowHeight="15" x14ac:dyDescent="0.25"/>
  <cols>
    <col min="1" max="1" width="1.85546875" customWidth="1"/>
    <col min="2" max="2" width="19.7109375" bestFit="1" customWidth="1"/>
    <col min="3" max="3" width="11.5703125" bestFit="1" customWidth="1"/>
    <col min="4" max="11" width="11.28515625" bestFit="1" customWidth="1"/>
    <col min="13" max="13" width="9.7109375" bestFit="1" customWidth="1"/>
  </cols>
  <sheetData>
    <row r="2" spans="2:13" x14ac:dyDescent="0.25">
      <c r="B2" s="229" t="str">
        <f>'Data Sheet'!B1&amp; " - "&amp;'Data Sheet'!A15&amp; " FORECASTING"</f>
        <v>ASIAN PAINTS LTD - PROFIT &amp; LOSS FORECASTING</v>
      </c>
      <c r="C2" s="229"/>
      <c r="D2" s="229"/>
      <c r="E2" s="229"/>
      <c r="F2" s="229"/>
      <c r="G2" s="229"/>
      <c r="H2" s="229"/>
      <c r="I2" s="229"/>
      <c r="J2" s="229"/>
      <c r="K2" s="229"/>
    </row>
    <row r="3" spans="2:13" x14ac:dyDescent="0.25">
      <c r="B3" s="8" t="s">
        <v>113</v>
      </c>
      <c r="C3" s="8">
        <v>1</v>
      </c>
      <c r="D3" s="8">
        <v>2</v>
      </c>
      <c r="E3" s="8">
        <v>3</v>
      </c>
      <c r="F3" s="8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</row>
    <row r="4" spans="2:13" x14ac:dyDescent="0.25">
      <c r="B4" s="8" t="s">
        <v>0</v>
      </c>
      <c r="C4" s="37">
        <f>'Historical FS'!I3</f>
        <v>43921</v>
      </c>
      <c r="D4" s="37">
        <f>'Historical FS'!J3</f>
        <v>44286</v>
      </c>
      <c r="E4" s="37">
        <f>'Historical FS'!K3</f>
        <v>44651</v>
      </c>
      <c r="F4" s="37">
        <f>'Historical FS'!L3</f>
        <v>45016</v>
      </c>
      <c r="G4" s="44">
        <f>F4+365</f>
        <v>45381</v>
      </c>
      <c r="H4" s="44">
        <f t="shared" ref="H4:K4" si="0">G4+365</f>
        <v>45746</v>
      </c>
      <c r="I4" s="44">
        <f t="shared" si="0"/>
        <v>46111</v>
      </c>
      <c r="J4" s="44">
        <f t="shared" si="0"/>
        <v>46476</v>
      </c>
      <c r="K4" s="44">
        <f t="shared" si="0"/>
        <v>46841</v>
      </c>
    </row>
    <row r="5" spans="2:13" x14ac:dyDescent="0.25">
      <c r="B5" s="50"/>
      <c r="C5" s="51"/>
      <c r="D5" s="51"/>
      <c r="E5" s="51"/>
      <c r="F5" s="51"/>
      <c r="G5" s="52"/>
      <c r="H5" s="52"/>
      <c r="I5" s="52"/>
      <c r="J5" s="52"/>
      <c r="K5" s="52"/>
    </row>
    <row r="6" spans="2:13" x14ac:dyDescent="0.25">
      <c r="B6" s="171" t="s">
        <v>4</v>
      </c>
      <c r="C6" s="53">
        <f>'Historical FS'!I6</f>
        <v>20211.25</v>
      </c>
      <c r="D6" s="53">
        <f>'Historical FS'!J6</f>
        <v>21712.79</v>
      </c>
      <c r="E6" s="53">
        <f>'Historical FS'!K6</f>
        <v>29101.279999999999</v>
      </c>
      <c r="F6" s="53">
        <f>'Historical FS'!L6</f>
        <v>34488.589999999997</v>
      </c>
      <c r="G6" s="54">
        <f t="shared" ref="G6:K6" si="1">FORECAST(G3,$C$6:$F$6,$C$3:$F$3)</f>
        <v>38933.604999999996</v>
      </c>
      <c r="H6" s="54">
        <f t="shared" si="1"/>
        <v>43955.655999999995</v>
      </c>
      <c r="I6" s="54">
        <f t="shared" si="1"/>
        <v>48977.706999999995</v>
      </c>
      <c r="J6" s="54">
        <f t="shared" si="1"/>
        <v>53999.757999999994</v>
      </c>
      <c r="K6" s="54">
        <f t="shared" si="1"/>
        <v>59021.808999999994</v>
      </c>
    </row>
    <row r="7" spans="2:13" x14ac:dyDescent="0.25">
      <c r="B7" s="39" t="s">
        <v>5</v>
      </c>
      <c r="C7" s="46">
        <f>'Historical FS'!I7</f>
        <v>5.0473671435691925E-2</v>
      </c>
      <c r="D7" s="46">
        <f>'Historical FS'!J7</f>
        <v>7.4292287711052118E-2</v>
      </c>
      <c r="E7" s="46">
        <f>'Historical FS'!K7</f>
        <v>0.34028284711453471</v>
      </c>
      <c r="F7" s="46">
        <f>'Historical FS'!L7</f>
        <v>0.18512278497715551</v>
      </c>
      <c r="G7" s="42">
        <f t="shared" ref="G7:K7" si="2">G6/F6-1</f>
        <v>0.12888363948772619</v>
      </c>
      <c r="H7" s="42">
        <f t="shared" si="2"/>
        <v>0.12899013589930863</v>
      </c>
      <c r="I7" s="42">
        <f t="shared" si="2"/>
        <v>0.11425266864405348</v>
      </c>
      <c r="J7" s="42">
        <f t="shared" si="2"/>
        <v>0.10253748710612354</v>
      </c>
      <c r="K7" s="42">
        <f t="shared" si="2"/>
        <v>9.3001361228322477E-2</v>
      </c>
    </row>
    <row r="8" spans="2:13" x14ac:dyDescent="0.25">
      <c r="G8" s="36"/>
      <c r="H8" s="36"/>
      <c r="I8" s="36"/>
      <c r="J8" s="36"/>
      <c r="K8" s="36"/>
    </row>
    <row r="9" spans="2:13" x14ac:dyDescent="0.25">
      <c r="B9" s="166" t="s">
        <v>7</v>
      </c>
      <c r="C9" s="38">
        <f>'Historical FS'!I9</f>
        <v>13158.020000000002</v>
      </c>
      <c r="D9" s="38">
        <f>'Historical FS'!J9</f>
        <v>14035.069999999998</v>
      </c>
      <c r="E9" s="38">
        <f>'Historical FS'!K9</f>
        <v>20590.57</v>
      </c>
      <c r="F9" s="38">
        <f>'Historical FS'!L9</f>
        <v>23766.7</v>
      </c>
      <c r="G9" s="41">
        <f t="shared" ref="G9:K9" si="3">FORECAST(G3,$C$9:$F$9,$C$3:$F$3)</f>
        <v>27482.974999999999</v>
      </c>
      <c r="H9" s="41">
        <f t="shared" si="3"/>
        <v>31321.129000000001</v>
      </c>
      <c r="I9" s="41">
        <f t="shared" si="3"/>
        <v>35159.282999999996</v>
      </c>
      <c r="J9" s="41">
        <f t="shared" si="3"/>
        <v>38997.436999999998</v>
      </c>
      <c r="K9" s="41">
        <f t="shared" si="3"/>
        <v>42835.591</v>
      </c>
    </row>
    <row r="10" spans="2:13" x14ac:dyDescent="0.25">
      <c r="B10" s="39" t="s">
        <v>8</v>
      </c>
      <c r="C10" s="40">
        <f>C9/C6</f>
        <v>0.65102455315727636</v>
      </c>
      <c r="D10" s="40">
        <f t="shared" ref="D10:K10" si="4">D9/D6</f>
        <v>0.64639643270164715</v>
      </c>
      <c r="E10" s="40">
        <f t="shared" si="4"/>
        <v>0.70754860267314701</v>
      </c>
      <c r="F10" s="40">
        <f t="shared" si="4"/>
        <v>0.68911776329504926</v>
      </c>
      <c r="G10" s="42">
        <f t="shared" si="4"/>
        <v>0.7058934049389981</v>
      </c>
      <c r="H10" s="42">
        <f t="shared" si="4"/>
        <v>0.71256197382198105</v>
      </c>
      <c r="I10" s="42">
        <f t="shared" si="4"/>
        <v>0.7178629861132535</v>
      </c>
      <c r="J10" s="42">
        <f t="shared" si="4"/>
        <v>0.72217799568657326</v>
      </c>
      <c r="K10" s="42">
        <f t="shared" si="4"/>
        <v>0.72575869370591484</v>
      </c>
    </row>
    <row r="11" spans="2:13" x14ac:dyDescent="0.25">
      <c r="G11" s="36"/>
      <c r="H11" s="36"/>
      <c r="I11" s="36"/>
      <c r="J11" s="36"/>
      <c r="K11" s="36"/>
    </row>
    <row r="12" spans="2:13" x14ac:dyDescent="0.25">
      <c r="B12" s="175" t="s">
        <v>9</v>
      </c>
      <c r="C12" s="55">
        <f>C6-C9</f>
        <v>7053.2299999999977</v>
      </c>
      <c r="D12" s="55">
        <f t="shared" ref="D12:K12" si="5">D6-D9</f>
        <v>7677.720000000003</v>
      </c>
      <c r="E12" s="55">
        <f t="shared" si="5"/>
        <v>8510.7099999999991</v>
      </c>
      <c r="F12" s="55">
        <f t="shared" si="5"/>
        <v>10721.889999999996</v>
      </c>
      <c r="G12" s="56">
        <f t="shared" si="5"/>
        <v>11450.629999999997</v>
      </c>
      <c r="H12" s="56">
        <f t="shared" si="5"/>
        <v>12634.526999999995</v>
      </c>
      <c r="I12" s="56">
        <f t="shared" si="5"/>
        <v>13818.423999999999</v>
      </c>
      <c r="J12" s="56">
        <f t="shared" si="5"/>
        <v>15002.320999999996</v>
      </c>
      <c r="K12" s="56">
        <f t="shared" si="5"/>
        <v>16186.217999999993</v>
      </c>
    </row>
    <row r="13" spans="2:13" x14ac:dyDescent="0.25">
      <c r="B13" s="39" t="s">
        <v>88</v>
      </c>
      <c r="C13" s="40">
        <f t="shared" ref="C13" si="6">C12/C6</f>
        <v>0.34897544684272364</v>
      </c>
      <c r="D13" s="40">
        <f>D12/D6</f>
        <v>0.35360356729835285</v>
      </c>
      <c r="E13" s="40">
        <f t="shared" ref="E13:K13" si="7">E12/E6</f>
        <v>0.29245139732685294</v>
      </c>
      <c r="F13" s="40">
        <f t="shared" si="7"/>
        <v>0.31088223670495074</v>
      </c>
      <c r="G13" s="42">
        <f t="shared" si="7"/>
        <v>0.2941065950610019</v>
      </c>
      <c r="H13" s="42">
        <f t="shared" si="7"/>
        <v>0.28743802617801895</v>
      </c>
      <c r="I13" s="42">
        <f t="shared" si="7"/>
        <v>0.2821370138867465</v>
      </c>
      <c r="J13" s="42">
        <f t="shared" si="7"/>
        <v>0.27782200431342668</v>
      </c>
      <c r="K13" s="42">
        <f t="shared" si="7"/>
        <v>0.27424130629408522</v>
      </c>
    </row>
    <row r="14" spans="2:13" x14ac:dyDescent="0.25">
      <c r="G14" s="36"/>
      <c r="H14" s="36"/>
      <c r="I14" s="36"/>
      <c r="J14" s="36"/>
      <c r="K14" s="36"/>
    </row>
    <row r="15" spans="2:13" x14ac:dyDescent="0.25">
      <c r="B15" s="166" t="s">
        <v>114</v>
      </c>
      <c r="C15" s="38">
        <f>'Historical FS'!I15</f>
        <v>2896.4100000000003</v>
      </c>
      <c r="D15" s="38">
        <f>'Historical FS'!J15</f>
        <v>2822.12</v>
      </c>
      <c r="E15" s="38">
        <f>'Historical FS'!K15</f>
        <v>3707.1</v>
      </c>
      <c r="F15" s="38">
        <f>'Historical FS'!L15</f>
        <v>4462.05</v>
      </c>
      <c r="G15" s="41">
        <f t="shared" ref="G15:K15" si="8">FORECAST(G3,$C$15:$F$15,$C$3:$F$3)</f>
        <v>4867.3950000000004</v>
      </c>
      <c r="H15" s="41">
        <f t="shared" si="8"/>
        <v>5425.5849999999991</v>
      </c>
      <c r="I15" s="41">
        <f t="shared" si="8"/>
        <v>5983.7749999999996</v>
      </c>
      <c r="J15" s="41">
        <f t="shared" si="8"/>
        <v>6541.9650000000001</v>
      </c>
      <c r="K15" s="41">
        <f t="shared" si="8"/>
        <v>7100.1549999999988</v>
      </c>
      <c r="M15" s="38"/>
    </row>
    <row r="16" spans="2:13" x14ac:dyDescent="0.25">
      <c r="B16" s="39" t="s">
        <v>12</v>
      </c>
      <c r="C16" s="40">
        <f>C15/C6</f>
        <v>0.14330682169583772</v>
      </c>
      <c r="D16" s="40">
        <f t="shared" ref="D16:K16" si="9">D15/D6</f>
        <v>0.12997500551518251</v>
      </c>
      <c r="E16" s="40">
        <f t="shared" si="9"/>
        <v>0.1273861493377611</v>
      </c>
      <c r="F16" s="40">
        <f t="shared" si="9"/>
        <v>0.12937757095897515</v>
      </c>
      <c r="G16" s="42">
        <f t="shared" si="9"/>
        <v>0.12501783484986814</v>
      </c>
      <c r="H16" s="42">
        <f t="shared" si="9"/>
        <v>0.12343314817096575</v>
      </c>
      <c r="I16" s="42">
        <f t="shared" si="9"/>
        <v>0.12217344107187379</v>
      </c>
      <c r="J16" s="42">
        <f t="shared" si="9"/>
        <v>0.12114804292271089</v>
      </c>
      <c r="K16" s="42">
        <f t="shared" si="9"/>
        <v>0.12029714304419235</v>
      </c>
    </row>
    <row r="17" spans="2:11" x14ac:dyDescent="0.25">
      <c r="G17" s="36"/>
      <c r="H17" s="36"/>
      <c r="I17" s="36"/>
      <c r="J17" s="36"/>
      <c r="K17" s="36"/>
    </row>
    <row r="18" spans="2:11" x14ac:dyDescent="0.25">
      <c r="B18" s="175" t="s">
        <v>13</v>
      </c>
      <c r="C18" s="55">
        <f>C12-C15</f>
        <v>4156.8199999999979</v>
      </c>
      <c r="D18" s="55">
        <f t="shared" ref="D18:K18" si="10">D12-D15</f>
        <v>4855.6000000000031</v>
      </c>
      <c r="E18" s="55">
        <f t="shared" si="10"/>
        <v>4803.6099999999988</v>
      </c>
      <c r="F18" s="55">
        <f t="shared" si="10"/>
        <v>6259.8399999999956</v>
      </c>
      <c r="G18" s="56">
        <f t="shared" si="10"/>
        <v>6583.2349999999969</v>
      </c>
      <c r="H18" s="56">
        <f t="shared" si="10"/>
        <v>7208.9419999999955</v>
      </c>
      <c r="I18" s="56">
        <f t="shared" si="10"/>
        <v>7834.6489999999994</v>
      </c>
      <c r="J18" s="56">
        <f t="shared" si="10"/>
        <v>8460.3559999999961</v>
      </c>
      <c r="K18" s="56">
        <f t="shared" si="10"/>
        <v>9086.0629999999946</v>
      </c>
    </row>
    <row r="19" spans="2:11" x14ac:dyDescent="0.25">
      <c r="B19" s="39" t="s">
        <v>14</v>
      </c>
      <c r="C19" s="40">
        <f>C18/C6</f>
        <v>0.20566862514688591</v>
      </c>
      <c r="D19" s="40">
        <f t="shared" ref="D19:K19" si="11">D18/D6</f>
        <v>0.22362856178317034</v>
      </c>
      <c r="E19" s="40">
        <f t="shared" si="11"/>
        <v>0.16506524798909186</v>
      </c>
      <c r="F19" s="40">
        <f t="shared" si="11"/>
        <v>0.1815046657459756</v>
      </c>
      <c r="G19" s="42">
        <f t="shared" si="11"/>
        <v>0.16908876021113373</v>
      </c>
      <c r="H19" s="42">
        <f t="shared" si="11"/>
        <v>0.16400487800705321</v>
      </c>
      <c r="I19" s="42">
        <f t="shared" si="11"/>
        <v>0.1599635728148727</v>
      </c>
      <c r="J19" s="42">
        <f t="shared" si="11"/>
        <v>0.15667396139071579</v>
      </c>
      <c r="K19" s="42">
        <f t="shared" si="11"/>
        <v>0.15394416324989285</v>
      </c>
    </row>
    <row r="20" spans="2:11" x14ac:dyDescent="0.25">
      <c r="G20" s="36"/>
      <c r="H20" s="36"/>
      <c r="I20" s="36"/>
      <c r="J20" s="36"/>
      <c r="K20" s="36"/>
    </row>
    <row r="21" spans="2:11" x14ac:dyDescent="0.25">
      <c r="B21" s="166" t="s">
        <v>17</v>
      </c>
      <c r="C21" s="38">
        <f>'Historical FS'!I21</f>
        <v>780.5</v>
      </c>
      <c r="D21" s="38">
        <f>'Historical FS'!J21</f>
        <v>791.27</v>
      </c>
      <c r="E21" s="38">
        <f>'Historical FS'!K21</f>
        <v>816.36</v>
      </c>
      <c r="F21" s="38">
        <f>'Historical FS'!L21</f>
        <v>858.02</v>
      </c>
      <c r="G21" s="41">
        <f t="shared" ref="G21:K21" si="12">FORECAST(G3,$C$21:$F$21,$C$3:$F$3)</f>
        <v>875.95</v>
      </c>
      <c r="H21" s="41">
        <f t="shared" si="12"/>
        <v>901.71499999999992</v>
      </c>
      <c r="I21" s="41">
        <f t="shared" si="12"/>
        <v>927.48</v>
      </c>
      <c r="J21" s="41">
        <f t="shared" si="12"/>
        <v>953.245</v>
      </c>
      <c r="K21" s="41">
        <f t="shared" si="12"/>
        <v>979.01</v>
      </c>
    </row>
    <row r="22" spans="2:11" x14ac:dyDescent="0.25">
      <c r="B22" s="39" t="s">
        <v>18</v>
      </c>
      <c r="C22" s="40">
        <f t="shared" ref="C22:K22" si="13">C21/C6</f>
        <v>3.8617106809326486E-2</v>
      </c>
      <c r="D22" s="40">
        <f t="shared" si="13"/>
        <v>3.6442576011650275E-2</v>
      </c>
      <c r="E22" s="40">
        <f t="shared" si="13"/>
        <v>2.8052374328551871E-2</v>
      </c>
      <c r="F22" s="40">
        <f t="shared" si="13"/>
        <v>2.4878372818372688E-2</v>
      </c>
      <c r="G22" s="42">
        <f t="shared" si="13"/>
        <v>2.2498558764337394E-2</v>
      </c>
      <c r="H22" s="42">
        <f t="shared" si="13"/>
        <v>2.0514197308305445E-2</v>
      </c>
      <c r="I22" s="42">
        <f t="shared" si="13"/>
        <v>1.8936778726697027E-2</v>
      </c>
      <c r="J22" s="42">
        <f t="shared" si="13"/>
        <v>1.7652764295721476E-2</v>
      </c>
      <c r="K22" s="42">
        <f t="shared" si="13"/>
        <v>1.6587258448821859E-2</v>
      </c>
    </row>
    <row r="23" spans="2:11" x14ac:dyDescent="0.25">
      <c r="B23" s="39"/>
      <c r="C23" s="40"/>
      <c r="D23" s="40"/>
      <c r="E23" s="40"/>
      <c r="F23" s="40"/>
      <c r="G23" s="42"/>
      <c r="H23" s="42"/>
      <c r="I23" s="42"/>
      <c r="J23" s="42"/>
      <c r="K23" s="42"/>
    </row>
    <row r="24" spans="2:11" x14ac:dyDescent="0.25">
      <c r="B24" s="175" t="s">
        <v>115</v>
      </c>
      <c r="C24" s="55">
        <f>C18-C21</f>
        <v>3376.3199999999979</v>
      </c>
      <c r="D24" s="55">
        <f t="shared" ref="D24:K24" si="14">D18-D21</f>
        <v>4064.3300000000031</v>
      </c>
      <c r="E24" s="55">
        <f t="shared" si="14"/>
        <v>3987.2499999999986</v>
      </c>
      <c r="F24" s="55">
        <f t="shared" si="14"/>
        <v>5401.8199999999961</v>
      </c>
      <c r="G24" s="56">
        <f t="shared" si="14"/>
        <v>5707.2849999999971</v>
      </c>
      <c r="H24" s="56">
        <f t="shared" si="14"/>
        <v>6307.2269999999953</v>
      </c>
      <c r="I24" s="56">
        <f t="shared" si="14"/>
        <v>6907.1689999999999</v>
      </c>
      <c r="J24" s="56">
        <f t="shared" si="14"/>
        <v>7507.1109999999962</v>
      </c>
      <c r="K24" s="56">
        <f t="shared" si="14"/>
        <v>8107.0529999999944</v>
      </c>
    </row>
    <row r="25" spans="2:11" x14ac:dyDescent="0.25">
      <c r="B25" s="39" t="s">
        <v>116</v>
      </c>
      <c r="C25" s="40">
        <f>C24/C6</f>
        <v>0.16705151833755943</v>
      </c>
      <c r="D25" s="40">
        <f t="shared" ref="D25:K25" si="15">D24/D6</f>
        <v>0.18718598577152007</v>
      </c>
      <c r="E25" s="40">
        <f t="shared" si="15"/>
        <v>0.13701287366053996</v>
      </c>
      <c r="F25" s="40">
        <f t="shared" si="15"/>
        <v>0.15662629292760291</v>
      </c>
      <c r="G25" s="42">
        <f t="shared" si="15"/>
        <v>0.14659020144679635</v>
      </c>
      <c r="H25" s="42">
        <f t="shared" si="15"/>
        <v>0.14349068069874776</v>
      </c>
      <c r="I25" s="42">
        <f t="shared" si="15"/>
        <v>0.14102679408817567</v>
      </c>
      <c r="J25" s="42">
        <f t="shared" si="15"/>
        <v>0.13902119709499433</v>
      </c>
      <c r="K25" s="42">
        <f t="shared" si="15"/>
        <v>0.13735690480107099</v>
      </c>
    </row>
    <row r="26" spans="2:11" x14ac:dyDescent="0.25">
      <c r="B26" s="39"/>
      <c r="C26" s="40"/>
      <c r="D26" s="40"/>
      <c r="E26" s="40"/>
      <c r="F26" s="40"/>
      <c r="G26" s="42"/>
      <c r="H26" s="42"/>
      <c r="I26" s="42"/>
      <c r="J26" s="42"/>
      <c r="K26" s="42"/>
    </row>
    <row r="27" spans="2:11" x14ac:dyDescent="0.25">
      <c r="B27" s="166" t="s">
        <v>15</v>
      </c>
      <c r="C27" s="38">
        <f>'Historical FS'!I30</f>
        <v>102.33</v>
      </c>
      <c r="D27" s="38">
        <f>'Historical FS'!J30</f>
        <v>91.63</v>
      </c>
      <c r="E27" s="38">
        <f>'Historical FS'!K30</f>
        <v>95.41</v>
      </c>
      <c r="F27" s="38">
        <f>'Historical FS'!L30</f>
        <v>144.44999999999999</v>
      </c>
      <c r="G27" s="41">
        <f t="shared" ref="G27:K27" si="16">FORECAST(G3,$C$27:$F$27,$C$3:$F$3)</f>
        <v>140.99</v>
      </c>
      <c r="H27" s="41">
        <f t="shared" si="16"/>
        <v>154.00400000000002</v>
      </c>
      <c r="I27" s="41">
        <f t="shared" si="16"/>
        <v>167.018</v>
      </c>
      <c r="J27" s="41">
        <f t="shared" si="16"/>
        <v>180.03199999999998</v>
      </c>
      <c r="K27" s="41">
        <f t="shared" si="16"/>
        <v>193.04599999999999</v>
      </c>
    </row>
    <row r="28" spans="2:11" x14ac:dyDescent="0.25">
      <c r="B28" s="39" t="s">
        <v>16</v>
      </c>
      <c r="C28" s="40">
        <f t="shared" ref="C28:K28" si="17">C27/C6</f>
        <v>5.0630218319005502E-3</v>
      </c>
      <c r="D28" s="40">
        <f t="shared" si="17"/>
        <v>4.2200933182700148E-3</v>
      </c>
      <c r="E28" s="40">
        <f t="shared" si="17"/>
        <v>3.2785499469439143E-3</v>
      </c>
      <c r="F28" s="40">
        <f t="shared" si="17"/>
        <v>4.1883417095335005E-3</v>
      </c>
      <c r="G28" s="42">
        <f t="shared" si="17"/>
        <v>3.6212932247090919E-3</v>
      </c>
      <c r="H28" s="42">
        <f t="shared" si="17"/>
        <v>3.5036219229670931E-3</v>
      </c>
      <c r="I28" s="42">
        <f t="shared" si="17"/>
        <v>3.4100820603953554E-3</v>
      </c>
      <c r="J28" s="42">
        <f t="shared" si="17"/>
        <v>3.3339408669201816E-3</v>
      </c>
      <c r="K28" s="42">
        <f t="shared" si="17"/>
        <v>3.2707570857409677E-3</v>
      </c>
    </row>
    <row r="29" spans="2:11" x14ac:dyDescent="0.25">
      <c r="B29" s="39"/>
      <c r="C29" s="40"/>
      <c r="D29" s="40"/>
      <c r="E29" s="40"/>
      <c r="F29" s="40"/>
      <c r="G29" s="42"/>
      <c r="H29" s="42"/>
      <c r="I29" s="42"/>
      <c r="J29" s="42"/>
      <c r="K29" s="42"/>
    </row>
    <row r="30" spans="2:11" x14ac:dyDescent="0.25">
      <c r="B30" s="166" t="s">
        <v>180</v>
      </c>
      <c r="C30" s="38">
        <f>'Historical FS'!I27</f>
        <v>355.05</v>
      </c>
      <c r="D30" s="38">
        <f>'Historical FS'!J27</f>
        <v>331.65</v>
      </c>
      <c r="E30" s="38">
        <f>'Historical FS'!K27</f>
        <v>295.88</v>
      </c>
      <c r="F30" s="38">
        <f>'Historical FS'!L27</f>
        <v>431.46</v>
      </c>
      <c r="G30" s="41">
        <f>FORECAST(G3,$C$30:$F$30,$C$3:$F$3)</f>
        <v>401.87499999999994</v>
      </c>
      <c r="H30" s="41">
        <f t="shared" ref="H30:K30" si="18">FORECAST(H3,$C$30:$F$30,$C$3:$F$3)</f>
        <v>421.22099999999995</v>
      </c>
      <c r="I30" s="41">
        <f t="shared" si="18"/>
        <v>440.56699999999989</v>
      </c>
      <c r="J30" s="41">
        <f t="shared" si="18"/>
        <v>459.9129999999999</v>
      </c>
      <c r="K30" s="41">
        <f t="shared" si="18"/>
        <v>479.2589999999999</v>
      </c>
    </row>
    <row r="31" spans="2:11" x14ac:dyDescent="0.25">
      <c r="B31" s="39" t="s">
        <v>380</v>
      </c>
      <c r="C31" s="40">
        <f>C30/C6</f>
        <v>1.7566949100129878E-2</v>
      </c>
      <c r="D31" s="40">
        <f t="shared" ref="D31:F31" si="19">D30/D6</f>
        <v>1.5274407388456295E-2</v>
      </c>
      <c r="E31" s="40">
        <f t="shared" si="19"/>
        <v>1.0167250375241226E-2</v>
      </c>
      <c r="F31" s="40">
        <f t="shared" si="19"/>
        <v>1.2510224395952401E-2</v>
      </c>
      <c r="G31" s="40">
        <f t="shared" ref="G31" si="20">G30/G6</f>
        <v>1.0322059824668176E-2</v>
      </c>
      <c r="H31" s="40">
        <f t="shared" ref="H31" si="21">H30/H6</f>
        <v>9.5828623283429094E-3</v>
      </c>
      <c r="I31" s="40">
        <f t="shared" ref="I31" si="22">I30/I6</f>
        <v>8.9952557395143046E-3</v>
      </c>
      <c r="J31" s="40">
        <f t="shared" ref="J31" si="23">J30/J6</f>
        <v>8.516945575941284E-3</v>
      </c>
      <c r="K31" s="40">
        <f t="shared" ref="K31" si="24">K30/K6</f>
        <v>8.120032376506792E-3</v>
      </c>
    </row>
    <row r="32" spans="2:11" x14ac:dyDescent="0.25">
      <c r="G32" s="36"/>
      <c r="H32" s="36"/>
      <c r="I32" s="36"/>
      <c r="J32" s="36"/>
      <c r="K32" s="36"/>
    </row>
    <row r="33" spans="2:11" x14ac:dyDescent="0.25">
      <c r="B33" s="175" t="s">
        <v>117</v>
      </c>
      <c r="C33" s="55">
        <f>C24-C27+C30</f>
        <v>3629.0399999999981</v>
      </c>
      <c r="D33" s="55">
        <f t="shared" ref="D33:K33" si="25">D24-D27+D30</f>
        <v>4304.3500000000031</v>
      </c>
      <c r="E33" s="55">
        <f t="shared" si="25"/>
        <v>4187.7199999999984</v>
      </c>
      <c r="F33" s="55">
        <f t="shared" si="25"/>
        <v>5688.8299999999963</v>
      </c>
      <c r="G33" s="55">
        <f t="shared" si="25"/>
        <v>5968.1699999999973</v>
      </c>
      <c r="H33" s="55">
        <f t="shared" si="25"/>
        <v>6574.443999999995</v>
      </c>
      <c r="I33" s="55">
        <f t="shared" si="25"/>
        <v>7180.7179999999998</v>
      </c>
      <c r="J33" s="55">
        <f t="shared" si="25"/>
        <v>7786.9919999999956</v>
      </c>
      <c r="K33" s="55">
        <f t="shared" si="25"/>
        <v>8393.2659999999942</v>
      </c>
    </row>
    <row r="34" spans="2:11" x14ac:dyDescent="0.25">
      <c r="B34" s="39" t="s">
        <v>118</v>
      </c>
      <c r="C34" s="40">
        <f>C33/C6</f>
        <v>0.17955544560578876</v>
      </c>
      <c r="D34" s="40">
        <f t="shared" ref="D34:K34" si="26">D33/D6</f>
        <v>0.19824029984170632</v>
      </c>
      <c r="E34" s="40">
        <f t="shared" si="26"/>
        <v>0.14390157408883728</v>
      </c>
      <c r="F34" s="40">
        <f t="shared" si="26"/>
        <v>0.16494817561402181</v>
      </c>
      <c r="G34" s="42">
        <f t="shared" si="26"/>
        <v>0.15329096804675543</v>
      </c>
      <c r="H34" s="42">
        <f t="shared" si="26"/>
        <v>0.14956992110412357</v>
      </c>
      <c r="I34" s="42">
        <f t="shared" si="26"/>
        <v>0.14661196776729463</v>
      </c>
      <c r="J34" s="42">
        <f t="shared" si="26"/>
        <v>0.14420420180401541</v>
      </c>
      <c r="K34" s="42">
        <f t="shared" si="26"/>
        <v>0.1422061800918368</v>
      </c>
    </row>
    <row r="35" spans="2:11" x14ac:dyDescent="0.25">
      <c r="B35" s="39"/>
      <c r="C35" s="40"/>
      <c r="D35" s="40"/>
      <c r="E35" s="40"/>
      <c r="F35" s="40"/>
      <c r="G35" s="42"/>
      <c r="H35" s="42"/>
      <c r="I35" s="42"/>
      <c r="J35" s="42"/>
      <c r="K35" s="42"/>
    </row>
    <row r="36" spans="2:11" x14ac:dyDescent="0.25">
      <c r="B36" s="166" t="s">
        <v>21</v>
      </c>
      <c r="C36" s="38">
        <f>'Historical FS'!I36</f>
        <v>854.85</v>
      </c>
      <c r="D36" s="38">
        <f>'Historical FS'!J36</f>
        <v>1097.5999999999999</v>
      </c>
      <c r="E36" s="38">
        <f>'Historical FS'!K36</f>
        <v>1102.9100000000001</v>
      </c>
      <c r="F36" s="38">
        <f>'Historical FS'!L36</f>
        <v>1493.5</v>
      </c>
      <c r="G36" s="41">
        <f>FORECAST(G3,$C$36:$F$36,$C$3:$F$3)</f>
        <v>1617.53</v>
      </c>
      <c r="H36" s="41">
        <f t="shared" ref="H36:K36" si="27">FORECAST(H3,$C$36:$F$36,$C$3:$F$3)</f>
        <v>1809.6560000000002</v>
      </c>
      <c r="I36" s="41">
        <f t="shared" si="27"/>
        <v>2001.7820000000002</v>
      </c>
      <c r="J36" s="41">
        <f t="shared" si="27"/>
        <v>2193.9080000000004</v>
      </c>
      <c r="K36" s="41">
        <f t="shared" si="27"/>
        <v>2386.0340000000001</v>
      </c>
    </row>
    <row r="37" spans="2:11" x14ac:dyDescent="0.25">
      <c r="B37" s="39" t="s">
        <v>22</v>
      </c>
      <c r="C37" s="40">
        <f>C36/C33</f>
        <v>0.23555816414258329</v>
      </c>
      <c r="D37" s="40">
        <f t="shared" ref="D37:K37" si="28">D36/D33</f>
        <v>0.25499785101118616</v>
      </c>
      <c r="E37" s="40">
        <f t="shared" si="28"/>
        <v>0.26336765590822703</v>
      </c>
      <c r="F37" s="40">
        <f t="shared" si="28"/>
        <v>0.26253201449155644</v>
      </c>
      <c r="G37" s="42">
        <f t="shared" si="28"/>
        <v>0.27102612693673284</v>
      </c>
      <c r="H37" s="42">
        <f t="shared" si="28"/>
        <v>0.27525612812277384</v>
      </c>
      <c r="I37" s="42">
        <f t="shared" si="28"/>
        <v>0.27877184426404161</v>
      </c>
      <c r="J37" s="42">
        <f t="shared" si="28"/>
        <v>0.28174011222818796</v>
      </c>
      <c r="K37" s="42">
        <f t="shared" si="28"/>
        <v>0.28427956411723421</v>
      </c>
    </row>
    <row r="38" spans="2:11" x14ac:dyDescent="0.25">
      <c r="B38" s="39"/>
      <c r="C38" s="40"/>
      <c r="D38" s="40"/>
      <c r="E38" s="40"/>
      <c r="F38" s="40"/>
      <c r="G38" s="42"/>
      <c r="H38" s="42"/>
      <c r="I38" s="42"/>
      <c r="J38" s="42"/>
      <c r="K38" s="42"/>
    </row>
    <row r="39" spans="2:11" ht="15.75" thickBot="1" x14ac:dyDescent="0.3">
      <c r="B39" s="176" t="s">
        <v>23</v>
      </c>
      <c r="C39" s="58">
        <f>C33-C36</f>
        <v>2774.1899999999982</v>
      </c>
      <c r="D39" s="58">
        <f t="shared" ref="D39:K39" si="29">D33-D36</f>
        <v>3206.7500000000032</v>
      </c>
      <c r="E39" s="58">
        <f t="shared" si="29"/>
        <v>3084.8099999999986</v>
      </c>
      <c r="F39" s="58">
        <f t="shared" si="29"/>
        <v>4195.3299999999963</v>
      </c>
      <c r="G39" s="59">
        <f t="shared" si="29"/>
        <v>4350.6399999999976</v>
      </c>
      <c r="H39" s="59">
        <f t="shared" si="29"/>
        <v>4764.787999999995</v>
      </c>
      <c r="I39" s="59">
        <f t="shared" si="29"/>
        <v>5178.9359999999997</v>
      </c>
      <c r="J39" s="59">
        <f t="shared" si="29"/>
        <v>5593.0839999999953</v>
      </c>
      <c r="K39" s="59">
        <f t="shared" si="29"/>
        <v>6007.2319999999945</v>
      </c>
    </row>
    <row r="40" spans="2:11" x14ac:dyDescent="0.25">
      <c r="B40" s="39" t="s">
        <v>24</v>
      </c>
      <c r="C40" s="40">
        <f>C39/C6</f>
        <v>0.13725969447708569</v>
      </c>
      <c r="D40" s="40">
        <f t="shared" ref="D40:K40" si="30">D39/D6</f>
        <v>0.14768944939825804</v>
      </c>
      <c r="E40" s="40">
        <f t="shared" si="30"/>
        <v>0.10600255383955616</v>
      </c>
      <c r="F40" s="40">
        <f t="shared" si="30"/>
        <v>0.12164399878336565</v>
      </c>
      <c r="G40" s="42">
        <f t="shared" si="30"/>
        <v>0.11174511068266085</v>
      </c>
      <c r="H40" s="42">
        <f t="shared" si="30"/>
        <v>0.10839988373737376</v>
      </c>
      <c r="I40" s="42">
        <f t="shared" si="30"/>
        <v>0.10574067912162569</v>
      </c>
      <c r="J40" s="42">
        <f t="shared" si="30"/>
        <v>0.10357609380397587</v>
      </c>
      <c r="K40" s="42">
        <f t="shared" si="30"/>
        <v>0.10177986920055254</v>
      </c>
    </row>
    <row r="41" spans="2:11" x14ac:dyDescent="0.25">
      <c r="G41" s="36"/>
      <c r="H41" s="36"/>
      <c r="I41" s="36"/>
      <c r="J41" s="36"/>
      <c r="K41" s="36"/>
    </row>
    <row r="42" spans="2:11" x14ac:dyDescent="0.25">
      <c r="B42" s="166" t="s">
        <v>25</v>
      </c>
      <c r="C42" s="45">
        <f>'Historical FS'!I42</f>
        <v>95.92</v>
      </c>
      <c r="D42" s="45">
        <f>'Historical FS'!J42</f>
        <v>95.92</v>
      </c>
      <c r="E42" s="45">
        <f>'Historical FS'!K42</f>
        <v>95.92</v>
      </c>
      <c r="F42" s="45">
        <f>'Historical FS'!L42</f>
        <v>95.92</v>
      </c>
      <c r="G42" s="47">
        <f>FORECAST(G3,$C$42:$F$42,$C$3:$F$3)</f>
        <v>95.92</v>
      </c>
      <c r="H42" s="47">
        <f t="shared" ref="H42:K42" si="31">FORECAST(H3,$C$42:$F$42,$C$3:$F$3)</f>
        <v>95.92</v>
      </c>
      <c r="I42" s="47">
        <f t="shared" si="31"/>
        <v>95.92</v>
      </c>
      <c r="J42" s="47">
        <f t="shared" si="31"/>
        <v>95.92</v>
      </c>
      <c r="K42" s="47">
        <f t="shared" si="31"/>
        <v>95.92</v>
      </c>
    </row>
    <row r="43" spans="2:11" x14ac:dyDescent="0.25">
      <c r="G43" s="36"/>
      <c r="H43" s="36"/>
      <c r="I43" s="36"/>
      <c r="J43" s="36"/>
      <c r="K43" s="36"/>
    </row>
    <row r="44" spans="2:11" x14ac:dyDescent="0.25">
      <c r="B44" s="166" t="s">
        <v>26</v>
      </c>
      <c r="C44" s="38">
        <f>C39/C42</f>
        <v>28.921914095079213</v>
      </c>
      <c r="D44" s="38">
        <f t="shared" ref="D44:K44" si="32">D39/D42</f>
        <v>33.431505421184355</v>
      </c>
      <c r="E44" s="38">
        <f t="shared" si="32"/>
        <v>32.160237698081723</v>
      </c>
      <c r="F44" s="38">
        <f t="shared" si="32"/>
        <v>43.737802335279362</v>
      </c>
      <c r="G44" s="41">
        <f t="shared" si="32"/>
        <v>45.356964136780626</v>
      </c>
      <c r="H44" s="41">
        <f t="shared" si="32"/>
        <v>49.674603836530387</v>
      </c>
      <c r="I44" s="41">
        <f t="shared" si="32"/>
        <v>53.992243536280228</v>
      </c>
      <c r="J44" s="41">
        <f t="shared" si="32"/>
        <v>58.309883236029975</v>
      </c>
      <c r="K44" s="41">
        <f t="shared" si="32"/>
        <v>62.627522935779758</v>
      </c>
    </row>
    <row r="45" spans="2:11" x14ac:dyDescent="0.25">
      <c r="B45" s="39" t="s">
        <v>119</v>
      </c>
      <c r="C45" s="40">
        <f>'Historical FS'!I45</f>
        <v>0.25640386949511607</v>
      </c>
      <c r="D45" s="40">
        <f>D44/C44-1</f>
        <v>0.15592299013405908</v>
      </c>
      <c r="E45" s="40">
        <f t="shared" ref="E45:K45" si="33">E44/D44-1</f>
        <v>-3.8026038824356179E-2</v>
      </c>
      <c r="F45" s="40">
        <f t="shared" si="33"/>
        <v>0.35999623963874527</v>
      </c>
      <c r="G45" s="42">
        <f t="shared" si="33"/>
        <v>3.7019733846920477E-2</v>
      </c>
      <c r="H45" s="42">
        <f t="shared" si="33"/>
        <v>9.519243145835965E-2</v>
      </c>
      <c r="I45" s="42">
        <f t="shared" si="33"/>
        <v>8.6918452615311503E-2</v>
      </c>
      <c r="J45" s="42">
        <f t="shared" si="33"/>
        <v>7.9967777165038445E-2</v>
      </c>
      <c r="K45" s="42">
        <f t="shared" si="33"/>
        <v>7.4046447362492662E-2</v>
      </c>
    </row>
    <row r="46" spans="2:11" x14ac:dyDescent="0.25">
      <c r="G46" s="36"/>
      <c r="H46" s="36"/>
      <c r="I46" s="36"/>
      <c r="J46" s="36"/>
      <c r="K46" s="36"/>
    </row>
    <row r="47" spans="2:11" x14ac:dyDescent="0.25">
      <c r="B47" s="166" t="s">
        <v>28</v>
      </c>
      <c r="C47" s="38">
        <f>'Historical FS'!I47</f>
        <v>12</v>
      </c>
      <c r="D47" s="38">
        <f>'Historical FS'!J47</f>
        <v>17.849979149291077</v>
      </c>
      <c r="E47" s="38">
        <f>'Historical FS'!K47</f>
        <v>19.150020850708923</v>
      </c>
      <c r="F47" s="38">
        <f>'Historical FS'!L47</f>
        <v>25.650020850708923</v>
      </c>
      <c r="G47" s="41">
        <f>FORECAST(G3,$C$47:$F$47,$C$3:$F$3)</f>
        <v>29.225031276063387</v>
      </c>
      <c r="H47" s="41">
        <f t="shared" ref="H47:K47" si="34">FORECAST(H3,$C$47:$F$47,$C$3:$F$3)</f>
        <v>33.450041701417845</v>
      </c>
      <c r="I47" s="41">
        <f t="shared" si="34"/>
        <v>37.675052126772314</v>
      </c>
      <c r="J47" s="41">
        <f t="shared" si="34"/>
        <v>41.900062552126769</v>
      </c>
      <c r="K47" s="41">
        <f t="shared" si="34"/>
        <v>46.125072977481238</v>
      </c>
    </row>
    <row r="48" spans="2:11" x14ac:dyDescent="0.25">
      <c r="B48" s="39" t="s">
        <v>120</v>
      </c>
      <c r="C48" s="40">
        <f>'Historical FS'!I48</f>
        <v>0.41491029814107933</v>
      </c>
      <c r="D48" s="40">
        <f>IFERROR(D47/C47-1,0)</f>
        <v>0.48749826244092298</v>
      </c>
      <c r="E48" s="40">
        <f t="shared" ref="E48:K48" si="35">IFERROR(E47/D47-1,0)</f>
        <v>7.2831552941588606E-2</v>
      </c>
      <c r="F48" s="40">
        <f t="shared" si="35"/>
        <v>0.33942521789783719</v>
      </c>
      <c r="G48" s="42">
        <f t="shared" si="35"/>
        <v>0.13937651147194519</v>
      </c>
      <c r="H48" s="42">
        <f t="shared" si="35"/>
        <v>0.14456820885645838</v>
      </c>
      <c r="I48" s="42">
        <f t="shared" si="35"/>
        <v>0.12630807647619124</v>
      </c>
      <c r="J48" s="42">
        <f t="shared" si="35"/>
        <v>0.11214345267891779</v>
      </c>
      <c r="K48" s="42">
        <f t="shared" si="35"/>
        <v>0.10083542047456961</v>
      </c>
    </row>
    <row r="49" spans="2:11" x14ac:dyDescent="0.25">
      <c r="G49" s="36"/>
      <c r="H49" s="36"/>
      <c r="I49" s="36"/>
      <c r="J49" s="36"/>
      <c r="K49" s="36"/>
    </row>
    <row r="50" spans="2:11" x14ac:dyDescent="0.25">
      <c r="B50" s="166" t="s">
        <v>30</v>
      </c>
      <c r="C50" s="72">
        <f>IFERROR(IF(C44&gt;C47,C44-C47,0),0)</f>
        <v>16.921914095079213</v>
      </c>
      <c r="D50" s="72">
        <f t="shared" ref="D50:K50" si="36">IFERROR(IF(D44&gt;D47,D44-D47,0),0)</f>
        <v>15.581526271893278</v>
      </c>
      <c r="E50" s="72">
        <f t="shared" si="36"/>
        <v>13.010216847372799</v>
      </c>
      <c r="F50" s="72">
        <f t="shared" si="36"/>
        <v>18.087781484570439</v>
      </c>
      <c r="G50" s="72">
        <f t="shared" si="36"/>
        <v>16.131932860717239</v>
      </c>
      <c r="H50" s="72">
        <f t="shared" si="36"/>
        <v>16.224562135112542</v>
      </c>
      <c r="I50" s="72">
        <f t="shared" si="36"/>
        <v>16.317191409507913</v>
      </c>
      <c r="J50" s="72">
        <f t="shared" si="36"/>
        <v>16.409820683903206</v>
      </c>
      <c r="K50" s="72">
        <f t="shared" si="36"/>
        <v>16.50244995829852</v>
      </c>
    </row>
  </sheetData>
  <mergeCells count="1">
    <mergeCell ref="B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0499-59F6-4F93-9DE0-F0796AC313D7}">
  <dimension ref="A2:K23"/>
  <sheetViews>
    <sheetView showGridLines="0" workbookViewId="0">
      <pane ySplit="4" topLeftCell="A11" activePane="bottomLeft" state="frozen"/>
      <selection pane="bottomLeft" activeCell="M1" activeCellId="1" sqref="L1:L1048576 M1:M1048576"/>
    </sheetView>
  </sheetViews>
  <sheetFormatPr defaultRowHeight="15" x14ac:dyDescent="0.25"/>
  <cols>
    <col min="1" max="1" width="1.85546875" customWidth="1"/>
    <col min="2" max="2" width="24.42578125" bestFit="1" customWidth="1"/>
    <col min="3" max="11" width="11.28515625" bestFit="1" customWidth="1"/>
  </cols>
  <sheetData>
    <row r="2" spans="1:11" x14ac:dyDescent="0.25">
      <c r="B2" s="229" t="str">
        <f>'Data Sheet'!B1&amp; " - "&amp;'Data Sheet'!A55&amp; " FORECASTING"</f>
        <v>ASIAN PAINTS LTD - BALANCE SHEET FORECASTING</v>
      </c>
      <c r="C2" s="229"/>
      <c r="D2" s="229"/>
      <c r="E2" s="229"/>
      <c r="F2" s="229"/>
      <c r="G2" s="229"/>
      <c r="H2" s="229"/>
      <c r="I2" s="229"/>
      <c r="J2" s="229"/>
      <c r="K2" s="229"/>
    </row>
    <row r="3" spans="1:11" x14ac:dyDescent="0.25">
      <c r="B3" s="8" t="s">
        <v>113</v>
      </c>
      <c r="C3" s="8">
        <v>1</v>
      </c>
      <c r="D3" s="8">
        <v>2</v>
      </c>
      <c r="E3" s="8">
        <v>3</v>
      </c>
      <c r="F3" s="8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</row>
    <row r="4" spans="1:11" x14ac:dyDescent="0.25">
      <c r="B4" s="8" t="s">
        <v>0</v>
      </c>
      <c r="C4" s="37">
        <f>'Historical FS'!I3</f>
        <v>43921</v>
      </c>
      <c r="D4" s="37">
        <f>'Historical FS'!J3</f>
        <v>44286</v>
      </c>
      <c r="E4" s="37">
        <f>'Historical FS'!K3</f>
        <v>44651</v>
      </c>
      <c r="F4" s="37">
        <f>'Historical FS'!L3</f>
        <v>45016</v>
      </c>
      <c r="G4" s="44">
        <f>F4+365</f>
        <v>45381</v>
      </c>
      <c r="H4" s="44">
        <f t="shared" ref="H4:K4" si="0">G4+365</f>
        <v>45746</v>
      </c>
      <c r="I4" s="44">
        <f t="shared" si="0"/>
        <v>46111</v>
      </c>
      <c r="J4" s="44">
        <f t="shared" si="0"/>
        <v>46476</v>
      </c>
      <c r="K4" s="44">
        <f t="shared" si="0"/>
        <v>46841</v>
      </c>
    </row>
    <row r="5" spans="1:11" x14ac:dyDescent="0.25">
      <c r="B5" s="50"/>
      <c r="C5" s="51"/>
      <c r="D5" s="51"/>
      <c r="E5" s="51"/>
      <c r="F5" s="51"/>
      <c r="G5" s="52"/>
      <c r="H5" s="52"/>
      <c r="I5" s="52"/>
      <c r="J5" s="52"/>
      <c r="K5" s="52"/>
    </row>
    <row r="6" spans="1:11" x14ac:dyDescent="0.25">
      <c r="B6" s="168" t="s">
        <v>32</v>
      </c>
      <c r="C6" s="13">
        <f>'Historical FS'!I53</f>
        <v>95.92</v>
      </c>
      <c r="D6" s="13">
        <f>'Historical FS'!J53</f>
        <v>95.92</v>
      </c>
      <c r="E6" s="13">
        <f>'Historical FS'!K53</f>
        <v>95.92</v>
      </c>
      <c r="F6" s="13">
        <f>'Historical FS'!L53</f>
        <v>95.92</v>
      </c>
      <c r="G6" s="48">
        <f>FORECAST(G3,$C$6:$F$6,$C$3:$F$3)</f>
        <v>95.92</v>
      </c>
      <c r="H6" s="48">
        <f t="shared" ref="H6:K6" si="1">FORECAST(H3,$C$6:$F$6,$C$3:$F$3)</f>
        <v>95.92</v>
      </c>
      <c r="I6" s="48">
        <f t="shared" si="1"/>
        <v>95.92</v>
      </c>
      <c r="J6" s="48">
        <f t="shared" si="1"/>
        <v>95.92</v>
      </c>
      <c r="K6" s="48">
        <f t="shared" si="1"/>
        <v>95.92</v>
      </c>
    </row>
    <row r="7" spans="1:11" x14ac:dyDescent="0.25">
      <c r="B7" s="168" t="s">
        <v>33</v>
      </c>
      <c r="C7" s="13">
        <f>'Historical FS'!I54</f>
        <v>10034.24</v>
      </c>
      <c r="D7" s="13">
        <f>'Historical FS'!J54</f>
        <v>12710.37</v>
      </c>
      <c r="E7" s="13">
        <f>'Historical FS'!K54</f>
        <v>13715.64</v>
      </c>
      <c r="F7" s="13">
        <f>'Historical FS'!L54</f>
        <v>15896.31</v>
      </c>
      <c r="G7" s="48">
        <f>FORECAST(G3,$C$7:$F$7,$C$3:$F$3)</f>
        <v>17737.009999999998</v>
      </c>
      <c r="H7" s="48">
        <f t="shared" ref="H7:K7" si="2">FORECAST(H3,$C$7:$F$7,$C$3:$F$3)</f>
        <v>19596.157999999999</v>
      </c>
      <c r="I7" s="48">
        <f t="shared" si="2"/>
        <v>21455.305999999997</v>
      </c>
      <c r="J7" s="48">
        <f t="shared" si="2"/>
        <v>23314.453999999998</v>
      </c>
      <c r="K7" s="48">
        <f t="shared" si="2"/>
        <v>25173.601999999999</v>
      </c>
    </row>
    <row r="8" spans="1:11" x14ac:dyDescent="0.25">
      <c r="B8" s="168" t="s">
        <v>34</v>
      </c>
      <c r="C8" s="13">
        <f>'Historical FS'!I55</f>
        <v>1118.5</v>
      </c>
      <c r="D8" s="13">
        <f>'Historical FS'!J55</f>
        <v>1093.1199999999999</v>
      </c>
      <c r="E8" s="13">
        <f>'Historical FS'!K55</f>
        <v>1586.88</v>
      </c>
      <c r="F8" s="13">
        <f>'Historical FS'!L55</f>
        <v>1932.62</v>
      </c>
      <c r="G8" s="48">
        <f>FORECAST(G3,$C$8:$F$8,$C$3:$F$3)</f>
        <v>2166.81</v>
      </c>
      <c r="H8" s="48">
        <f t="shared" ref="H8:K8" si="3">FORECAST(H3,$C$8:$F$8,$C$3:$F$3)</f>
        <v>2460.4219999999996</v>
      </c>
      <c r="I8" s="48">
        <f t="shared" si="3"/>
        <v>2754.0339999999997</v>
      </c>
      <c r="J8" s="48">
        <f t="shared" si="3"/>
        <v>3047.6459999999997</v>
      </c>
      <c r="K8" s="48">
        <f t="shared" si="3"/>
        <v>3341.2579999999998</v>
      </c>
    </row>
    <row r="9" spans="1:11" x14ac:dyDescent="0.25">
      <c r="B9" s="168" t="s">
        <v>35</v>
      </c>
      <c r="C9" s="13">
        <f>'Historical FS'!I56</f>
        <v>4889.3100000000004</v>
      </c>
      <c r="D9" s="13">
        <f>'Historical FS'!J56</f>
        <v>6455.93</v>
      </c>
      <c r="E9" s="13">
        <f>'Historical FS'!K56</f>
        <v>7559.99</v>
      </c>
      <c r="F9" s="13">
        <f>'Historical FS'!L56</f>
        <v>7854.48</v>
      </c>
      <c r="G9" s="48">
        <f>FORECAST(G3,$C$9:$F$9,$C$3:$F$3)</f>
        <v>9189.82</v>
      </c>
      <c r="H9" s="48">
        <f t="shared" ref="H9:K9" si="4">FORECAST(H3,$C$9:$F$9,$C$3:$F$3)</f>
        <v>10189.777</v>
      </c>
      <c r="I9" s="48">
        <f t="shared" si="4"/>
        <v>11189.734</v>
      </c>
      <c r="J9" s="48">
        <f t="shared" si="4"/>
        <v>12189.690999999999</v>
      </c>
      <c r="K9" s="48">
        <f t="shared" si="4"/>
        <v>13189.647999999999</v>
      </c>
    </row>
    <row r="10" spans="1:11" ht="15.75" thickBot="1" x14ac:dyDescent="0.3">
      <c r="A10" t="s">
        <v>2</v>
      </c>
      <c r="B10" s="179" t="s">
        <v>36</v>
      </c>
      <c r="C10" s="60">
        <f>SUM(C6:C9)</f>
        <v>16137.970000000001</v>
      </c>
      <c r="D10" s="60">
        <f t="shared" ref="D10:K10" si="5">SUM(D6:D9)</f>
        <v>20355.34</v>
      </c>
      <c r="E10" s="60">
        <f t="shared" si="5"/>
        <v>22958.43</v>
      </c>
      <c r="F10" s="60">
        <f t="shared" si="5"/>
        <v>25779.329999999998</v>
      </c>
      <c r="G10" s="61">
        <f t="shared" si="5"/>
        <v>29189.559999999998</v>
      </c>
      <c r="H10" s="61">
        <f t="shared" si="5"/>
        <v>32342.276999999995</v>
      </c>
      <c r="I10" s="61">
        <f t="shared" si="5"/>
        <v>35494.993999999992</v>
      </c>
      <c r="J10" s="61">
        <f t="shared" si="5"/>
        <v>38647.710999999996</v>
      </c>
      <c r="K10" s="61">
        <f t="shared" si="5"/>
        <v>41800.428</v>
      </c>
    </row>
    <row r="11" spans="1:11" x14ac:dyDescent="0.25">
      <c r="B11" s="1"/>
      <c r="G11" s="49"/>
      <c r="H11" s="49"/>
      <c r="I11" s="49"/>
      <c r="J11" s="49"/>
      <c r="K11" s="49"/>
    </row>
    <row r="12" spans="1:11" x14ac:dyDescent="0.25">
      <c r="B12" s="168" t="s">
        <v>37</v>
      </c>
      <c r="C12" s="13">
        <f>'Historical FS'!I59</f>
        <v>6272.31</v>
      </c>
      <c r="D12" s="13">
        <f>'Historical FS'!J59</f>
        <v>5858.52</v>
      </c>
      <c r="E12" s="13">
        <f>'Historical FS'!K59</f>
        <v>5519.06</v>
      </c>
      <c r="F12" s="13">
        <f>'Historical FS'!L59</f>
        <v>5770.46</v>
      </c>
      <c r="G12" s="48">
        <f>FORECAST(G3,$C$12:$F$12,$C$3:$F$3)</f>
        <v>5393.8350000000009</v>
      </c>
      <c r="H12" s="48">
        <f t="shared" ref="H12:K12" si="6">FORECAST(H3,$C$12:$F$12,$C$3:$F$3)</f>
        <v>5209.3340000000007</v>
      </c>
      <c r="I12" s="48">
        <f t="shared" si="6"/>
        <v>5024.8330000000005</v>
      </c>
      <c r="J12" s="48">
        <f t="shared" si="6"/>
        <v>4840.3320000000003</v>
      </c>
      <c r="K12" s="48">
        <f t="shared" si="6"/>
        <v>4655.8310000000001</v>
      </c>
    </row>
    <row r="13" spans="1:11" x14ac:dyDescent="0.25">
      <c r="B13" s="168" t="s">
        <v>38</v>
      </c>
      <c r="C13" s="13">
        <f>'Historical FS'!I60</f>
        <v>140.24</v>
      </c>
      <c r="D13" s="13">
        <f>'Historical FS'!J60</f>
        <v>182.98</v>
      </c>
      <c r="E13" s="13">
        <f>'Historical FS'!K60</f>
        <v>426.43</v>
      </c>
      <c r="F13" s="13">
        <f>'Historical FS'!L60</f>
        <v>1019.59</v>
      </c>
      <c r="G13" s="48">
        <f>FORECAST(G3,$C$13:$F$13,$C$3:$F$3)</f>
        <v>1162.6849999999999</v>
      </c>
      <c r="H13" s="48">
        <f t="shared" ref="H13:K13" si="7">FORECAST(H3,$C$13:$F$13,$C$3:$F$3)</f>
        <v>1450.835</v>
      </c>
      <c r="I13" s="48">
        <f t="shared" si="7"/>
        <v>1738.9849999999997</v>
      </c>
      <c r="J13" s="48">
        <f t="shared" si="7"/>
        <v>2027.1349999999998</v>
      </c>
      <c r="K13" s="48">
        <f t="shared" si="7"/>
        <v>2315.2849999999999</v>
      </c>
    </row>
    <row r="14" spans="1:11" x14ac:dyDescent="0.25">
      <c r="B14" s="168" t="s">
        <v>39</v>
      </c>
      <c r="C14" s="13">
        <f>'Historical FS'!I61</f>
        <v>2018.85</v>
      </c>
      <c r="D14" s="13">
        <f>'Historical FS'!J61</f>
        <v>4736.8</v>
      </c>
      <c r="E14" s="13">
        <f>'Historical FS'!K61</f>
        <v>3247.53</v>
      </c>
      <c r="F14" s="13">
        <f>'Historical FS'!L61</f>
        <v>4261.71</v>
      </c>
      <c r="G14" s="48">
        <f>FORECAST(G3,$C$14:$F$14,$C$3:$F$3)</f>
        <v>4876.05</v>
      </c>
      <c r="H14" s="48">
        <f t="shared" ref="H14:K14" si="8">FORECAST(H3,$C$14:$F$14,$C$3:$F$3)</f>
        <v>5399.9810000000007</v>
      </c>
      <c r="I14" s="48">
        <f t="shared" si="8"/>
        <v>5923.9120000000003</v>
      </c>
      <c r="J14" s="48">
        <f t="shared" si="8"/>
        <v>6447.8430000000008</v>
      </c>
      <c r="K14" s="48">
        <f t="shared" si="8"/>
        <v>6971.7740000000013</v>
      </c>
    </row>
    <row r="15" spans="1:11" x14ac:dyDescent="0.25">
      <c r="B15" s="168" t="s">
        <v>40</v>
      </c>
      <c r="C15" s="13">
        <f>'Historical FS'!I62</f>
        <v>1738.71</v>
      </c>
      <c r="D15" s="13">
        <f>'Historical FS'!J62</f>
        <v>2565.5200000000004</v>
      </c>
      <c r="E15" s="13">
        <f>'Historical FS'!K62</f>
        <v>2876.66</v>
      </c>
      <c r="F15" s="13">
        <f>'Historical FS'!L62</f>
        <v>3036.17</v>
      </c>
      <c r="G15" s="48">
        <f>FORECAST(G3,$C$15:$F$15,$C$3:$F$3)</f>
        <v>3605.1450000000004</v>
      </c>
      <c r="H15" s="48">
        <f t="shared" ref="H15:K15" si="9">FORECAST(H3,$C$15:$F$15,$C$3:$F$3)</f>
        <v>4025.4970000000003</v>
      </c>
      <c r="I15" s="48">
        <f t="shared" si="9"/>
        <v>4445.8490000000002</v>
      </c>
      <c r="J15" s="48">
        <f t="shared" si="9"/>
        <v>4866.201</v>
      </c>
      <c r="K15" s="48">
        <f t="shared" si="9"/>
        <v>5286.5529999999999</v>
      </c>
    </row>
    <row r="16" spans="1:11" x14ac:dyDescent="0.25">
      <c r="A16" t="s">
        <v>2</v>
      </c>
      <c r="B16" s="178" t="s">
        <v>41</v>
      </c>
      <c r="C16" s="62">
        <f>SUM(C12:C15)</f>
        <v>10170.11</v>
      </c>
      <c r="D16" s="62">
        <f t="shared" ref="D16:K16" si="10">SUM(D12:D15)</f>
        <v>13343.82</v>
      </c>
      <c r="E16" s="62">
        <f t="shared" si="10"/>
        <v>12069.68</v>
      </c>
      <c r="F16" s="62">
        <f t="shared" si="10"/>
        <v>14087.93</v>
      </c>
      <c r="G16" s="63">
        <f t="shared" si="10"/>
        <v>15037.715</v>
      </c>
      <c r="H16" s="63">
        <f t="shared" si="10"/>
        <v>16085.647000000001</v>
      </c>
      <c r="I16" s="63">
        <f t="shared" si="10"/>
        <v>17133.578999999998</v>
      </c>
      <c r="J16" s="63">
        <f t="shared" si="10"/>
        <v>18181.511000000002</v>
      </c>
      <c r="K16" s="63">
        <f t="shared" si="10"/>
        <v>19229.442999999999</v>
      </c>
    </row>
    <row r="17" spans="1:11" x14ac:dyDescent="0.25">
      <c r="B17" s="1"/>
      <c r="G17" s="49"/>
      <c r="H17" s="49"/>
      <c r="I17" s="49"/>
      <c r="J17" s="49"/>
      <c r="K17" s="49"/>
    </row>
    <row r="18" spans="1:11" x14ac:dyDescent="0.25">
      <c r="B18" s="168" t="s">
        <v>42</v>
      </c>
      <c r="C18" s="13">
        <f>'Historical FS'!I65</f>
        <v>1795.22</v>
      </c>
      <c r="D18" s="13">
        <f>'Historical FS'!J65</f>
        <v>2602.17</v>
      </c>
      <c r="E18" s="13">
        <f>'Historical FS'!K65</f>
        <v>3871.44</v>
      </c>
      <c r="F18" s="13">
        <f>'Historical FS'!L65</f>
        <v>4636.9399999999996</v>
      </c>
      <c r="G18" s="48">
        <f>FORECAST(G3,$C$18:$F$18,$C$3:$F$3)</f>
        <v>5675.0499999999993</v>
      </c>
      <c r="H18" s="48">
        <f t="shared" ref="H18:K18" si="11">FORECAST(H3,$C$18:$F$18,$C$3:$F$3)</f>
        <v>6654.4930000000004</v>
      </c>
      <c r="I18" s="48">
        <f t="shared" si="11"/>
        <v>7633.9359999999997</v>
      </c>
      <c r="J18" s="48">
        <f t="shared" si="11"/>
        <v>8613.378999999999</v>
      </c>
      <c r="K18" s="48">
        <f t="shared" si="11"/>
        <v>9592.8220000000001</v>
      </c>
    </row>
    <row r="19" spans="1:11" x14ac:dyDescent="0.25">
      <c r="B19" s="168" t="s">
        <v>43</v>
      </c>
      <c r="C19" s="13">
        <f>'Historical FS'!I66</f>
        <v>3389.81</v>
      </c>
      <c r="D19" s="13">
        <f>'Historical FS'!J66</f>
        <v>3798.6</v>
      </c>
      <c r="E19" s="13">
        <f>'Historical FS'!K66</f>
        <v>6152.98</v>
      </c>
      <c r="F19" s="13">
        <f>'Historical FS'!L66</f>
        <v>6210.64</v>
      </c>
      <c r="G19" s="48">
        <f>FORECAST(G3,$C$19:$F$19,$C$3:$F$3)</f>
        <v>7592.2249999999995</v>
      </c>
      <c r="H19" s="48">
        <f t="shared" ref="H19:K19" si="12">FORECAST(H3,$C$19:$F$19,$C$3:$F$3)</f>
        <v>8673.9120000000003</v>
      </c>
      <c r="I19" s="48">
        <f t="shared" si="12"/>
        <v>9755.5989999999983</v>
      </c>
      <c r="J19" s="48">
        <f t="shared" si="12"/>
        <v>10837.286</v>
      </c>
      <c r="K19" s="48">
        <f t="shared" si="12"/>
        <v>11918.972999999998</v>
      </c>
    </row>
    <row r="20" spans="1:11" x14ac:dyDescent="0.25">
      <c r="B20" s="168" t="s">
        <v>44</v>
      </c>
      <c r="C20" s="13">
        <f>'Historical FS'!I67</f>
        <v>782.83</v>
      </c>
      <c r="D20" s="13">
        <f>'Historical FS'!J67</f>
        <v>610.75</v>
      </c>
      <c r="E20" s="13">
        <f>'Historical FS'!K67</f>
        <v>864.33</v>
      </c>
      <c r="F20" s="13">
        <f>'Historical FS'!L67</f>
        <v>843.82</v>
      </c>
      <c r="G20" s="48">
        <f>FORECAST(G3,$C$20:$F$20,$C$3:$F$3)</f>
        <v>884.56999999999994</v>
      </c>
      <c r="H20" s="48">
        <f t="shared" ref="H20:K20" si="13">FORECAST(H3,$C$20:$F$20,$C$3:$F$3)</f>
        <v>928.22500000000002</v>
      </c>
      <c r="I20" s="48">
        <f t="shared" si="13"/>
        <v>971.88</v>
      </c>
      <c r="J20" s="48">
        <f t="shared" si="13"/>
        <v>1015.5350000000001</v>
      </c>
      <c r="K20" s="48">
        <f t="shared" si="13"/>
        <v>1059.19</v>
      </c>
    </row>
    <row r="21" spans="1:11" x14ac:dyDescent="0.25">
      <c r="A21" t="s">
        <v>2</v>
      </c>
      <c r="B21" s="178" t="s">
        <v>45</v>
      </c>
      <c r="C21" s="62">
        <f>SUM(C18:C20)</f>
        <v>5967.86</v>
      </c>
      <c r="D21" s="62">
        <f t="shared" ref="D21:K21" si="14">SUM(D18:D20)</f>
        <v>7011.52</v>
      </c>
      <c r="E21" s="62">
        <f t="shared" si="14"/>
        <v>10888.75</v>
      </c>
      <c r="F21" s="62">
        <f t="shared" si="14"/>
        <v>11691.4</v>
      </c>
      <c r="G21" s="63">
        <f t="shared" si="14"/>
        <v>14151.844999999998</v>
      </c>
      <c r="H21" s="63">
        <f t="shared" si="14"/>
        <v>16256.630000000001</v>
      </c>
      <c r="I21" s="63">
        <f t="shared" si="14"/>
        <v>18361.414999999997</v>
      </c>
      <c r="J21" s="63">
        <f t="shared" si="14"/>
        <v>20466.2</v>
      </c>
      <c r="K21" s="63">
        <f t="shared" si="14"/>
        <v>22570.984999999997</v>
      </c>
    </row>
    <row r="22" spans="1:11" x14ac:dyDescent="0.25">
      <c r="G22" s="49"/>
      <c r="H22" s="49"/>
      <c r="I22" s="49"/>
      <c r="J22" s="49"/>
      <c r="K22" s="49"/>
    </row>
    <row r="23" spans="1:11" ht="15.75" thickBot="1" x14ac:dyDescent="0.3">
      <c r="A23" t="s">
        <v>2</v>
      </c>
      <c r="B23" s="177" t="s">
        <v>46</v>
      </c>
      <c r="C23" s="60">
        <f>C21+C16</f>
        <v>16137.970000000001</v>
      </c>
      <c r="D23" s="60">
        <f t="shared" ref="D23:K23" si="15">D21+D16</f>
        <v>20355.34</v>
      </c>
      <c r="E23" s="60">
        <f t="shared" si="15"/>
        <v>22958.43</v>
      </c>
      <c r="F23" s="60">
        <f t="shared" si="15"/>
        <v>25779.33</v>
      </c>
      <c r="G23" s="61">
        <f t="shared" si="15"/>
        <v>29189.559999999998</v>
      </c>
      <c r="H23" s="61">
        <f t="shared" si="15"/>
        <v>32342.277000000002</v>
      </c>
      <c r="I23" s="61">
        <f t="shared" si="15"/>
        <v>35494.993999999992</v>
      </c>
      <c r="J23" s="61">
        <f t="shared" si="15"/>
        <v>38647.711000000003</v>
      </c>
      <c r="K23" s="61">
        <f t="shared" si="15"/>
        <v>41800.428</v>
      </c>
    </row>
  </sheetData>
  <mergeCells count="1">
    <mergeCell ref="B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1035-75F8-403D-9870-62A6224161F9}">
  <dimension ref="A2:K42"/>
  <sheetViews>
    <sheetView showGridLines="0" workbookViewId="0">
      <pane ySplit="4" topLeftCell="A24" activePane="bottomLeft" state="frozen"/>
      <selection pane="bottomLeft" activeCell="M1" activeCellId="1" sqref="L1:L1048576 M1:M1048576"/>
    </sheetView>
  </sheetViews>
  <sheetFormatPr defaultRowHeight="15" x14ac:dyDescent="0.25"/>
  <cols>
    <col min="1" max="1" width="1.85546875" customWidth="1"/>
    <col min="2" max="2" width="28.7109375" bestFit="1" customWidth="1"/>
    <col min="3" max="9" width="11.140625" bestFit="1" customWidth="1"/>
    <col min="10" max="11" width="12.7109375" bestFit="1" customWidth="1"/>
  </cols>
  <sheetData>
    <row r="2" spans="1:11" x14ac:dyDescent="0.25">
      <c r="B2" s="229" t="str">
        <f>'Data Sheet'!B1&amp; " - "&amp;'Data Sheet'!A80&amp; " FORECASTING"</f>
        <v>ASIAN PAINTS LTD - CASH FLOW: FORECASTING</v>
      </c>
      <c r="C2" s="229"/>
      <c r="D2" s="229"/>
      <c r="E2" s="229"/>
      <c r="F2" s="229"/>
      <c r="G2" s="229"/>
      <c r="H2" s="229"/>
      <c r="I2" s="229"/>
      <c r="J2" s="229"/>
      <c r="K2" s="229"/>
    </row>
    <row r="3" spans="1:11" x14ac:dyDescent="0.25">
      <c r="B3" s="8" t="s">
        <v>113</v>
      </c>
      <c r="C3" s="8">
        <v>1</v>
      </c>
      <c r="D3" s="8">
        <v>2</v>
      </c>
      <c r="E3" s="8">
        <v>3</v>
      </c>
      <c r="F3" s="8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</row>
    <row r="4" spans="1:11" x14ac:dyDescent="0.25">
      <c r="B4" s="8" t="s">
        <v>0</v>
      </c>
      <c r="C4" s="37">
        <f>'Historical FS'!I3</f>
        <v>43921</v>
      </c>
      <c r="D4" s="37">
        <f>'Historical FS'!J3</f>
        <v>44286</v>
      </c>
      <c r="E4" s="37">
        <f>'Historical FS'!K3</f>
        <v>44651</v>
      </c>
      <c r="F4" s="37">
        <f>'Historical FS'!L3</f>
        <v>45016</v>
      </c>
      <c r="G4" s="44">
        <f>F4+365</f>
        <v>45381</v>
      </c>
      <c r="H4" s="44">
        <f t="shared" ref="H4:K4" si="0">G4+365</f>
        <v>45746</v>
      </c>
      <c r="I4" s="44">
        <f t="shared" si="0"/>
        <v>46111</v>
      </c>
      <c r="J4" s="44">
        <f t="shared" si="0"/>
        <v>46476</v>
      </c>
      <c r="K4" s="44">
        <f t="shared" si="0"/>
        <v>46841</v>
      </c>
    </row>
    <row r="5" spans="1:11" x14ac:dyDescent="0.25">
      <c r="B5" s="50"/>
      <c r="C5" s="51"/>
      <c r="D5" s="51"/>
      <c r="E5" s="51"/>
      <c r="F5" s="51"/>
      <c r="G5" s="52"/>
      <c r="H5" s="52"/>
      <c r="I5" s="52"/>
      <c r="J5" s="52"/>
      <c r="K5" s="52"/>
    </row>
    <row r="6" spans="1:11" x14ac:dyDescent="0.25">
      <c r="A6" t="s">
        <v>2</v>
      </c>
      <c r="B6" s="171" t="s">
        <v>49</v>
      </c>
    </row>
    <row r="7" spans="1:11" x14ac:dyDescent="0.25">
      <c r="B7" s="166" t="s">
        <v>50</v>
      </c>
      <c r="C7" s="13">
        <f>'Historical FS'!I76</f>
        <v>4380</v>
      </c>
      <c r="D7" s="13">
        <f>'Historical FS'!J76</f>
        <v>4970</v>
      </c>
      <c r="E7" s="13">
        <f>'Historical FS'!K76</f>
        <v>4957</v>
      </c>
      <c r="F7" s="13">
        <f>'Historical FS'!L76</f>
        <v>6460</v>
      </c>
      <c r="G7" s="48">
        <f>FORECAST(G3,$C$7:$F$7,$C$3:$F$3)</f>
        <v>6748.5</v>
      </c>
      <c r="H7" s="48">
        <f t="shared" ref="H7:K7" si="1">FORECAST(H3,$C$7:$F$7,$C$3:$F$3)</f>
        <v>7371.2000000000007</v>
      </c>
      <c r="I7" s="48">
        <f t="shared" si="1"/>
        <v>7993.9000000000005</v>
      </c>
      <c r="J7" s="48">
        <f t="shared" si="1"/>
        <v>8616.6</v>
      </c>
      <c r="K7" s="48">
        <f t="shared" si="1"/>
        <v>9239.2999999999993</v>
      </c>
    </row>
    <row r="8" spans="1:11" x14ac:dyDescent="0.25">
      <c r="B8" s="166" t="s">
        <v>42</v>
      </c>
      <c r="C8" s="13">
        <f>'Historical FS'!I77</f>
        <v>160</v>
      </c>
      <c r="D8" s="13">
        <f>'Historical FS'!J77</f>
        <v>-849</v>
      </c>
      <c r="E8" s="13">
        <f>'Historical FS'!K77</f>
        <v>-1326</v>
      </c>
      <c r="F8" s="13">
        <f>'Historical FS'!L77</f>
        <v>-834</v>
      </c>
      <c r="G8" s="48">
        <f>FORECAST(G3,$C$8:$F$8,$C$3:$F$3)</f>
        <v>-1577</v>
      </c>
      <c r="H8" s="48">
        <f t="shared" ref="H8:K8" si="2">FORECAST(H3,$C$8:$F$8,$C$3:$F$3)</f>
        <v>-1922.8999999999996</v>
      </c>
      <c r="I8" s="48">
        <f t="shared" si="2"/>
        <v>-2268.7999999999997</v>
      </c>
      <c r="J8" s="48">
        <f t="shared" si="2"/>
        <v>-2614.6999999999998</v>
      </c>
      <c r="K8" s="48">
        <f t="shared" si="2"/>
        <v>-2960.6</v>
      </c>
    </row>
    <row r="9" spans="1:11" x14ac:dyDescent="0.25">
      <c r="B9" s="166" t="s">
        <v>43</v>
      </c>
      <c r="C9" s="13">
        <f>'Historical FS'!I78</f>
        <v>-251</v>
      </c>
      <c r="D9" s="13">
        <f>'Historical FS'!J78</f>
        <v>-409</v>
      </c>
      <c r="E9" s="13">
        <f>'Historical FS'!K78</f>
        <v>-2354</v>
      </c>
      <c r="F9" s="13">
        <f>'Historical FS'!L78</f>
        <v>-56</v>
      </c>
      <c r="G9" s="48">
        <f>FORECAST(G3,$C$9:$F$9,$C$3:$F$3)</f>
        <v>-1107.5</v>
      </c>
      <c r="H9" s="48">
        <f t="shared" ref="H9:K9" si="3">FORECAST(H3,$C$9:$F$9,$C$3:$F$3)</f>
        <v>-1243.5</v>
      </c>
      <c r="I9" s="48">
        <f t="shared" si="3"/>
        <v>-1379.5</v>
      </c>
      <c r="J9" s="48">
        <f t="shared" si="3"/>
        <v>-1515.5</v>
      </c>
      <c r="K9" s="48">
        <f t="shared" si="3"/>
        <v>-1651.5</v>
      </c>
    </row>
    <row r="10" spans="1:11" x14ac:dyDescent="0.25">
      <c r="B10" s="166" t="s">
        <v>51</v>
      </c>
      <c r="C10" s="13">
        <f>'Historical FS'!I79</f>
        <v>-241</v>
      </c>
      <c r="D10" s="13">
        <f>'Historical FS'!J79</f>
        <v>1143</v>
      </c>
      <c r="E10" s="13">
        <f>'Historical FS'!K79</f>
        <v>644</v>
      </c>
      <c r="F10" s="13">
        <f>'Historical FS'!L79</f>
        <v>-539</v>
      </c>
      <c r="G10" s="48">
        <f>FORECAST(G3,$C$10:$F$10,$C$3:$F$3)</f>
        <v>-96.5</v>
      </c>
      <c r="H10" s="48">
        <f t="shared" ref="H10:K10" si="4">FORECAST(H3,$C$10:$F$10,$C$3:$F$3)</f>
        <v>-235.80000000000007</v>
      </c>
      <c r="I10" s="48">
        <f t="shared" si="4"/>
        <v>-375.10000000000014</v>
      </c>
      <c r="J10" s="48">
        <f t="shared" si="4"/>
        <v>-514.40000000000009</v>
      </c>
      <c r="K10" s="48">
        <f t="shared" si="4"/>
        <v>-653.70000000000005</v>
      </c>
    </row>
    <row r="11" spans="1:11" x14ac:dyDescent="0.25">
      <c r="B11" s="166" t="s">
        <v>52</v>
      </c>
      <c r="C11" s="13">
        <f>'Historical FS'!I80</f>
        <v>0</v>
      </c>
      <c r="D11" s="13">
        <f>'Historical FS'!J80</f>
        <v>0</v>
      </c>
      <c r="E11" s="13">
        <f>'Historical FS'!K80</f>
        <v>0</v>
      </c>
      <c r="F11" s="13">
        <f>'Historical FS'!L80</f>
        <v>0</v>
      </c>
      <c r="G11" s="48">
        <f>FORECAST(G3,$C$11:$F$11,$C$3:$F$3)</f>
        <v>0</v>
      </c>
      <c r="H11" s="48">
        <f t="shared" ref="H11:K11" si="5">FORECAST(H3,$C$11:$F$11,$C$3:$F$3)</f>
        <v>0</v>
      </c>
      <c r="I11" s="48">
        <f t="shared" si="5"/>
        <v>0</v>
      </c>
      <c r="J11" s="48">
        <f t="shared" si="5"/>
        <v>0</v>
      </c>
      <c r="K11" s="48">
        <f t="shared" si="5"/>
        <v>0</v>
      </c>
    </row>
    <row r="12" spans="1:11" x14ac:dyDescent="0.25">
      <c r="B12" s="166" t="s">
        <v>53</v>
      </c>
      <c r="C12" s="13">
        <f>'Historical FS'!I81</f>
        <v>0</v>
      </c>
      <c r="D12" s="13">
        <f>'Historical FS'!J81</f>
        <v>-92</v>
      </c>
      <c r="E12" s="13">
        <f>'Historical FS'!K81</f>
        <v>242</v>
      </c>
      <c r="F12" s="13">
        <f>'Historical FS'!L81</f>
        <v>657</v>
      </c>
      <c r="G12" s="48">
        <f>FORECAST(G3,$C$12:$F$12,$C$3:$F$3)</f>
        <v>778</v>
      </c>
      <c r="H12" s="48">
        <f t="shared" ref="H12:K12" si="6">FORECAST(H3,$C$12:$F$12,$C$3:$F$3)</f>
        <v>1008.5</v>
      </c>
      <c r="I12" s="48">
        <f t="shared" si="6"/>
        <v>1239</v>
      </c>
      <c r="J12" s="48">
        <f t="shared" si="6"/>
        <v>1469.5</v>
      </c>
      <c r="K12" s="48">
        <f t="shared" si="6"/>
        <v>1700</v>
      </c>
    </row>
    <row r="13" spans="1:11" x14ac:dyDescent="0.25">
      <c r="B13" s="166" t="s">
        <v>54</v>
      </c>
      <c r="C13" s="13">
        <f>'Historical FS'!I82</f>
        <v>-1011</v>
      </c>
      <c r="D13" s="13">
        <f>'Historical FS'!J82</f>
        <v>-1080</v>
      </c>
      <c r="E13" s="13">
        <f>'Historical FS'!K82</f>
        <v>-1176</v>
      </c>
      <c r="F13" s="13">
        <f>'Historical FS'!L82</f>
        <v>-1494</v>
      </c>
      <c r="G13" s="48">
        <f t="shared" ref="G13:K13" si="7">FORECAST(G3,$C$13:$F$13,$C$3:$F$3)</f>
        <v>-1576.5</v>
      </c>
      <c r="H13" s="48">
        <f t="shared" si="7"/>
        <v>-1731</v>
      </c>
      <c r="I13" s="48">
        <f t="shared" si="7"/>
        <v>-1885.5</v>
      </c>
      <c r="J13" s="48">
        <f t="shared" si="7"/>
        <v>-2040</v>
      </c>
      <c r="K13" s="48">
        <f t="shared" si="7"/>
        <v>-2194.5</v>
      </c>
    </row>
    <row r="14" spans="1:11" x14ac:dyDescent="0.25">
      <c r="B14" s="178" t="s">
        <v>55</v>
      </c>
      <c r="C14" s="62">
        <f t="shared" ref="C14:K14" si="8">SUM(C7:C13)</f>
        <v>3037</v>
      </c>
      <c r="D14" s="62">
        <f t="shared" si="8"/>
        <v>3683</v>
      </c>
      <c r="E14" s="62">
        <f t="shared" si="8"/>
        <v>987</v>
      </c>
      <c r="F14" s="62">
        <f t="shared" si="8"/>
        <v>4194</v>
      </c>
      <c r="G14" s="63">
        <f t="shared" si="8"/>
        <v>3169</v>
      </c>
      <c r="H14" s="63">
        <f t="shared" si="8"/>
        <v>3246.5000000000009</v>
      </c>
      <c r="I14" s="63">
        <f t="shared" si="8"/>
        <v>3324</v>
      </c>
      <c r="J14" s="63">
        <f t="shared" si="8"/>
        <v>3401.5</v>
      </c>
      <c r="K14" s="63">
        <f t="shared" si="8"/>
        <v>3478.9999999999991</v>
      </c>
    </row>
    <row r="15" spans="1:11" x14ac:dyDescent="0.25">
      <c r="G15" s="49"/>
      <c r="H15" s="49"/>
      <c r="I15" s="49"/>
      <c r="J15" s="49"/>
      <c r="K15" s="49"/>
    </row>
    <row r="16" spans="1:11" x14ac:dyDescent="0.25">
      <c r="A16" t="s">
        <v>2</v>
      </c>
      <c r="B16" s="171" t="s">
        <v>56</v>
      </c>
      <c r="G16" s="49"/>
      <c r="H16" s="49"/>
      <c r="I16" s="49"/>
      <c r="J16" s="49"/>
      <c r="K16" s="49"/>
    </row>
    <row r="17" spans="1:11" x14ac:dyDescent="0.25">
      <c r="B17" s="166" t="s">
        <v>57</v>
      </c>
      <c r="C17" s="13">
        <f>'Historical FS'!I86</f>
        <v>-404</v>
      </c>
      <c r="D17" s="13">
        <f>'Historical FS'!J86</f>
        <v>-282</v>
      </c>
      <c r="E17" s="13">
        <f>'Historical FS'!K86</f>
        <v>-551</v>
      </c>
      <c r="F17" s="13">
        <f>'Historical FS'!L86</f>
        <v>-1446</v>
      </c>
      <c r="G17" s="48">
        <f t="shared" ref="G17:K17" si="9">FORECAST(G3,$C$17:$F$17,$C$3:$F$3)</f>
        <v>-1519.5</v>
      </c>
      <c r="H17" s="48">
        <f t="shared" si="9"/>
        <v>-1859</v>
      </c>
      <c r="I17" s="48">
        <f t="shared" si="9"/>
        <v>-2198.5</v>
      </c>
      <c r="J17" s="48">
        <f t="shared" si="9"/>
        <v>-2538</v>
      </c>
      <c r="K17" s="48">
        <f t="shared" si="9"/>
        <v>-2877.5</v>
      </c>
    </row>
    <row r="18" spans="1:11" x14ac:dyDescent="0.25">
      <c r="B18" s="166" t="s">
        <v>58</v>
      </c>
      <c r="C18" s="13">
        <f>'Historical FS'!I87</f>
        <v>37</v>
      </c>
      <c r="D18" s="13">
        <f>'Historical FS'!J87</f>
        <v>28</v>
      </c>
      <c r="E18" s="13">
        <f>'Historical FS'!K87</f>
        <v>40</v>
      </c>
      <c r="F18" s="13">
        <f>'Historical FS'!L87</f>
        <v>26</v>
      </c>
      <c r="G18" s="48">
        <f t="shared" ref="G18:K18" si="10">FORECAST(G3,$C$18:$F$18,$C$3:$F$3)</f>
        <v>27.5</v>
      </c>
      <c r="H18" s="48">
        <f t="shared" si="10"/>
        <v>25.4</v>
      </c>
      <c r="I18" s="48">
        <f t="shared" si="10"/>
        <v>23.299999999999997</v>
      </c>
      <c r="J18" s="48">
        <f t="shared" si="10"/>
        <v>21.2</v>
      </c>
      <c r="K18" s="48">
        <f t="shared" si="10"/>
        <v>19.099999999999998</v>
      </c>
    </row>
    <row r="19" spans="1:11" x14ac:dyDescent="0.25">
      <c r="B19" s="166" t="s">
        <v>59</v>
      </c>
      <c r="C19" s="13">
        <f>'Historical FS'!I88</f>
        <v>-25</v>
      </c>
      <c r="D19" s="13">
        <f>'Historical FS'!J88</f>
        <v>-140</v>
      </c>
      <c r="E19" s="13">
        <f>'Historical FS'!K88</f>
        <v>0</v>
      </c>
      <c r="F19" s="13">
        <f>'Historical FS'!L88</f>
        <v>-146</v>
      </c>
      <c r="G19" s="48">
        <f t="shared" ref="G19:K19" si="11">FORECAST(G3,$C$19:$F$19,$C$3:$F$3)</f>
        <v>-133.5</v>
      </c>
      <c r="H19" s="48">
        <f t="shared" si="11"/>
        <v>-155.80000000000001</v>
      </c>
      <c r="I19" s="48">
        <f t="shared" si="11"/>
        <v>-178.1</v>
      </c>
      <c r="J19" s="48">
        <f t="shared" si="11"/>
        <v>-200.4</v>
      </c>
      <c r="K19" s="48">
        <f t="shared" si="11"/>
        <v>-222.70000000000002</v>
      </c>
    </row>
    <row r="20" spans="1:11" x14ac:dyDescent="0.25">
      <c r="B20" s="166" t="s">
        <v>60</v>
      </c>
      <c r="C20" s="13">
        <f>'Historical FS'!I89</f>
        <v>134</v>
      </c>
      <c r="D20" s="13">
        <f>'Historical FS'!J89</f>
        <v>272</v>
      </c>
      <c r="E20" s="13">
        <f>'Historical FS'!K89</f>
        <v>207</v>
      </c>
      <c r="F20" s="13">
        <f>'Historical FS'!L89</f>
        <v>446</v>
      </c>
      <c r="G20" s="48">
        <f t="shared" ref="G20:K20" si="12">FORECAST(G3,$C$20:$F$20,$C$3:$F$3)</f>
        <v>482.5</v>
      </c>
      <c r="H20" s="48">
        <f t="shared" si="12"/>
        <v>569.59999999999991</v>
      </c>
      <c r="I20" s="48">
        <f t="shared" si="12"/>
        <v>656.69999999999993</v>
      </c>
      <c r="J20" s="48">
        <f t="shared" si="12"/>
        <v>743.8</v>
      </c>
      <c r="K20" s="48">
        <f t="shared" si="12"/>
        <v>830.9</v>
      </c>
    </row>
    <row r="21" spans="1:11" x14ac:dyDescent="0.25">
      <c r="B21" s="166" t="s">
        <v>61</v>
      </c>
      <c r="C21" s="13">
        <f>'Historical FS'!I90</f>
        <v>65</v>
      </c>
      <c r="D21" s="13">
        <f>'Historical FS'!J90</f>
        <v>73</v>
      </c>
      <c r="E21" s="13">
        <f>'Historical FS'!K90</f>
        <v>77</v>
      </c>
      <c r="F21" s="13">
        <f>'Historical FS'!L90</f>
        <v>87</v>
      </c>
      <c r="G21" s="48">
        <f t="shared" ref="G21:K21" si="13">FORECAST(G3,$C$21:$F$21,$C$3:$F$3)</f>
        <v>93</v>
      </c>
      <c r="H21" s="48">
        <f t="shared" si="13"/>
        <v>100</v>
      </c>
      <c r="I21" s="48">
        <f t="shared" si="13"/>
        <v>107</v>
      </c>
      <c r="J21" s="48">
        <f t="shared" si="13"/>
        <v>114</v>
      </c>
      <c r="K21" s="48">
        <f t="shared" si="13"/>
        <v>121</v>
      </c>
    </row>
    <row r="22" spans="1:11" x14ac:dyDescent="0.25">
      <c r="B22" s="166" t="s">
        <v>62</v>
      </c>
      <c r="C22" s="13">
        <f>'Historical FS'!I91</f>
        <v>27</v>
      </c>
      <c r="D22" s="13">
        <f>'Historical FS'!J91</f>
        <v>8</v>
      </c>
      <c r="E22" s="13">
        <f>'Historical FS'!K91</f>
        <v>15</v>
      </c>
      <c r="F22" s="13">
        <f>'Historical FS'!L91</f>
        <v>56</v>
      </c>
      <c r="G22" s="48">
        <f t="shared" ref="G22:K22" si="14">FORECAST(G3,$C$22:$F$22,$C$3:$F$3)</f>
        <v>50</v>
      </c>
      <c r="H22" s="48">
        <f t="shared" si="14"/>
        <v>59.400000000000006</v>
      </c>
      <c r="I22" s="48">
        <f t="shared" si="14"/>
        <v>68.8</v>
      </c>
      <c r="J22" s="48">
        <f t="shared" si="14"/>
        <v>78.2</v>
      </c>
      <c r="K22" s="48">
        <f t="shared" si="14"/>
        <v>87.600000000000009</v>
      </c>
    </row>
    <row r="23" spans="1:11" x14ac:dyDescent="0.25">
      <c r="B23" s="166" t="s">
        <v>63</v>
      </c>
      <c r="C23" s="13">
        <f>'Historical FS'!I92</f>
        <v>0</v>
      </c>
      <c r="D23" s="13">
        <f>'Historical FS'!J92</f>
        <v>0</v>
      </c>
      <c r="E23" s="13">
        <f>'Historical FS'!K92</f>
        <v>0</v>
      </c>
      <c r="F23" s="13">
        <f>'Historical FS'!L92</f>
        <v>0</v>
      </c>
      <c r="G23" s="48">
        <f t="shared" ref="G23:K23" si="15">FORECAST(G3,$C$23:$F$23,$C$3:$F$3)</f>
        <v>0</v>
      </c>
      <c r="H23" s="48">
        <f t="shared" si="15"/>
        <v>0</v>
      </c>
      <c r="I23" s="48">
        <f t="shared" si="15"/>
        <v>0</v>
      </c>
      <c r="J23" s="48">
        <f t="shared" si="15"/>
        <v>0</v>
      </c>
      <c r="K23" s="48">
        <f t="shared" si="15"/>
        <v>0</v>
      </c>
    </row>
    <row r="24" spans="1:11" x14ac:dyDescent="0.25">
      <c r="B24" s="166" t="s">
        <v>64</v>
      </c>
      <c r="C24" s="13">
        <f>'Historical FS'!I93</f>
        <v>0</v>
      </c>
      <c r="D24" s="13">
        <f>'Historical FS'!J93</f>
        <v>0</v>
      </c>
      <c r="E24" s="13">
        <f>'Historical FS'!K93</f>
        <v>0</v>
      </c>
      <c r="F24" s="13">
        <f>'Historical FS'!L93</f>
        <v>-180</v>
      </c>
      <c r="G24" s="48">
        <f t="shared" ref="G24:K24" si="16">FORECAST(G3,$C$24:$F$24,$C$3:$F$3)</f>
        <v>-180</v>
      </c>
      <c r="H24" s="48">
        <f t="shared" si="16"/>
        <v>-234</v>
      </c>
      <c r="I24" s="48">
        <f t="shared" si="16"/>
        <v>-288</v>
      </c>
      <c r="J24" s="48">
        <f t="shared" si="16"/>
        <v>-342</v>
      </c>
      <c r="K24" s="48">
        <f t="shared" si="16"/>
        <v>-396</v>
      </c>
    </row>
    <row r="25" spans="1:11" x14ac:dyDescent="0.25">
      <c r="B25" s="166" t="s">
        <v>65</v>
      </c>
      <c r="C25" s="13">
        <f>'Historical FS'!I94</f>
        <v>0</v>
      </c>
      <c r="D25" s="13">
        <f>'Historical FS'!J94</f>
        <v>0</v>
      </c>
      <c r="E25" s="13">
        <f>'Historical FS'!K94</f>
        <v>0</v>
      </c>
      <c r="F25" s="13">
        <f>'Historical FS'!L94</f>
        <v>0</v>
      </c>
      <c r="G25" s="48">
        <f t="shared" ref="G25:K25" si="17">FORECAST(G3,$C$25:$F$25,$C$3:$F$3)</f>
        <v>0</v>
      </c>
      <c r="H25" s="48">
        <f t="shared" si="17"/>
        <v>0</v>
      </c>
      <c r="I25" s="48">
        <f t="shared" si="17"/>
        <v>0</v>
      </c>
      <c r="J25" s="48">
        <f t="shared" si="17"/>
        <v>0</v>
      </c>
      <c r="K25" s="48">
        <f t="shared" si="17"/>
        <v>0</v>
      </c>
    </row>
    <row r="26" spans="1:11" x14ac:dyDescent="0.25">
      <c r="B26" s="166" t="s">
        <v>66</v>
      </c>
      <c r="C26" s="13">
        <f>'Historical FS'!I95</f>
        <v>0</v>
      </c>
      <c r="D26" s="13">
        <f>'Historical FS'!J95</f>
        <v>0</v>
      </c>
      <c r="E26" s="13">
        <f>'Historical FS'!K95</f>
        <v>0</v>
      </c>
      <c r="F26" s="13">
        <f>'Historical FS'!L95</f>
        <v>0</v>
      </c>
      <c r="G26" s="48">
        <f t="shared" ref="G26:K26" si="18">FORECAST(G3,$C$26:$F$26,$C$3:$F$3)</f>
        <v>0</v>
      </c>
      <c r="H26" s="48">
        <f t="shared" si="18"/>
        <v>0</v>
      </c>
      <c r="I26" s="48">
        <f t="shared" si="18"/>
        <v>0</v>
      </c>
      <c r="J26" s="48">
        <f t="shared" si="18"/>
        <v>0</v>
      </c>
      <c r="K26" s="48">
        <f t="shared" si="18"/>
        <v>0</v>
      </c>
    </row>
    <row r="27" spans="1:11" x14ac:dyDescent="0.25">
      <c r="B27" s="166" t="s">
        <v>67</v>
      </c>
      <c r="C27" s="13">
        <f>'Historical FS'!I96</f>
        <v>0</v>
      </c>
      <c r="D27" s="13">
        <f>'Historical FS'!J96</f>
        <v>0</v>
      </c>
      <c r="E27" s="13">
        <f>'Historical FS'!K96</f>
        <v>0</v>
      </c>
      <c r="F27" s="13">
        <f>'Historical FS'!L96</f>
        <v>0</v>
      </c>
      <c r="G27" s="48">
        <f t="shared" ref="G27:K27" si="19">FORECAST(G3,$C$27:$F$27,$C$3:$F$3)</f>
        <v>0</v>
      </c>
      <c r="H27" s="48">
        <f t="shared" si="19"/>
        <v>0</v>
      </c>
      <c r="I27" s="48">
        <f t="shared" si="19"/>
        <v>0</v>
      </c>
      <c r="J27" s="48">
        <f t="shared" si="19"/>
        <v>0</v>
      </c>
      <c r="K27" s="48">
        <f t="shared" si="19"/>
        <v>0</v>
      </c>
    </row>
    <row r="28" spans="1:11" x14ac:dyDescent="0.25">
      <c r="B28" s="166" t="s">
        <v>68</v>
      </c>
      <c r="C28" s="13">
        <f>'Historical FS'!I97</f>
        <v>-353</v>
      </c>
      <c r="D28" s="13">
        <f>'Historical FS'!J97</f>
        <v>-500</v>
      </c>
      <c r="E28" s="13">
        <f>'Historical FS'!K97</f>
        <v>-105</v>
      </c>
      <c r="F28" s="13">
        <f>'Historical FS'!L97</f>
        <v>-126</v>
      </c>
      <c r="G28" s="48">
        <f t="shared" ref="G28:K28" si="20">FORECAST(G3,$C$28:$F$28,$C$3:$F$3)</f>
        <v>-2</v>
      </c>
      <c r="H28" s="48">
        <f t="shared" si="20"/>
        <v>105.59999999999991</v>
      </c>
      <c r="I28" s="48">
        <f t="shared" si="20"/>
        <v>213.19999999999993</v>
      </c>
      <c r="J28" s="48">
        <f t="shared" si="20"/>
        <v>320.79999999999995</v>
      </c>
      <c r="K28" s="48">
        <f t="shared" si="20"/>
        <v>428.4</v>
      </c>
    </row>
    <row r="29" spans="1:11" x14ac:dyDescent="0.25">
      <c r="B29" s="178" t="s">
        <v>69</v>
      </c>
      <c r="C29" s="62">
        <f>SUM(C17:C28)</f>
        <v>-519</v>
      </c>
      <c r="D29" s="62">
        <f t="shared" ref="D29:F29" si="21">SUM(D17:D28)</f>
        <v>-541</v>
      </c>
      <c r="E29" s="62">
        <f t="shared" si="21"/>
        <v>-317</v>
      </c>
      <c r="F29" s="62">
        <f t="shared" si="21"/>
        <v>-1283</v>
      </c>
      <c r="G29" s="63">
        <f>SUM(G17:G28)</f>
        <v>-1182</v>
      </c>
      <c r="H29" s="63">
        <f t="shared" ref="H29:K29" si="22">SUM(H17:H28)</f>
        <v>-1388.8</v>
      </c>
      <c r="I29" s="63">
        <f t="shared" si="22"/>
        <v>-1595.6</v>
      </c>
      <c r="J29" s="63">
        <f t="shared" si="22"/>
        <v>-1802.4000000000003</v>
      </c>
      <c r="K29" s="63">
        <f t="shared" si="22"/>
        <v>-2009.1999999999998</v>
      </c>
    </row>
    <row r="30" spans="1:11" x14ac:dyDescent="0.25">
      <c r="G30" s="49"/>
      <c r="H30" s="49"/>
      <c r="I30" s="49"/>
      <c r="J30" s="49"/>
      <c r="K30" s="49"/>
    </row>
    <row r="31" spans="1:11" x14ac:dyDescent="0.25">
      <c r="A31" t="s">
        <v>2</v>
      </c>
      <c r="B31" s="171" t="s">
        <v>70</v>
      </c>
      <c r="G31" s="49"/>
      <c r="H31" s="49"/>
      <c r="I31" s="49"/>
      <c r="J31" s="49"/>
      <c r="K31" s="49"/>
    </row>
    <row r="32" spans="1:11" x14ac:dyDescent="0.25">
      <c r="B32" s="166" t="s">
        <v>71</v>
      </c>
      <c r="C32" s="13">
        <f>'Historical FS'!I101</f>
        <v>0</v>
      </c>
      <c r="D32" s="13">
        <f>'Historical FS'!J101</f>
        <v>0</v>
      </c>
      <c r="E32" s="13">
        <f>'Historical FS'!K101</f>
        <v>0</v>
      </c>
      <c r="F32" s="13">
        <f>'Historical FS'!L101</f>
        <v>0</v>
      </c>
      <c r="G32" s="48">
        <f t="shared" ref="G32:K32" si="23">FORECAST(G3,$C$32:$F$32,$C$3:$F$3)</f>
        <v>0</v>
      </c>
      <c r="H32" s="48">
        <f t="shared" si="23"/>
        <v>0</v>
      </c>
      <c r="I32" s="48">
        <f t="shared" si="23"/>
        <v>0</v>
      </c>
      <c r="J32" s="48">
        <f t="shared" si="23"/>
        <v>0</v>
      </c>
      <c r="K32" s="48">
        <f t="shared" si="23"/>
        <v>0</v>
      </c>
    </row>
    <row r="33" spans="1:11" x14ac:dyDescent="0.25">
      <c r="B33" s="166" t="s">
        <v>72</v>
      </c>
      <c r="C33" s="13">
        <f>'Historical FS'!I102</f>
        <v>0</v>
      </c>
      <c r="D33" s="13">
        <f>'Historical FS'!J102</f>
        <v>0</v>
      </c>
      <c r="E33" s="13">
        <f>'Historical FS'!K102</f>
        <v>0</v>
      </c>
      <c r="F33" s="13">
        <f>'Historical FS'!L102</f>
        <v>0</v>
      </c>
      <c r="G33" s="48">
        <f t="shared" ref="G33:K33" si="24">FORECAST(G3,$C$33:$F$33,$C$3:$F$3)</f>
        <v>0</v>
      </c>
      <c r="H33" s="48">
        <f t="shared" si="24"/>
        <v>0</v>
      </c>
      <c r="I33" s="48">
        <f t="shared" si="24"/>
        <v>0</v>
      </c>
      <c r="J33" s="48">
        <f t="shared" si="24"/>
        <v>0</v>
      </c>
      <c r="K33" s="48">
        <f t="shared" si="24"/>
        <v>0</v>
      </c>
    </row>
    <row r="34" spans="1:11" x14ac:dyDescent="0.25">
      <c r="B34" s="166" t="s">
        <v>73</v>
      </c>
      <c r="C34" s="13">
        <f>'Historical FS'!I103</f>
        <v>18</v>
      </c>
      <c r="D34" s="13">
        <f>'Historical FS'!J103</f>
        <v>155</v>
      </c>
      <c r="E34" s="13">
        <f>'Historical FS'!K103</f>
        <v>418</v>
      </c>
      <c r="F34" s="13">
        <f>'Historical FS'!L103</f>
        <v>254</v>
      </c>
      <c r="G34" s="48">
        <f t="shared" ref="G34:K34" si="25">FORECAST(G3,$C$34:$F$34,$C$3:$F$3)</f>
        <v>454</v>
      </c>
      <c r="H34" s="48">
        <f t="shared" si="25"/>
        <v>551.09999999999991</v>
      </c>
      <c r="I34" s="48">
        <f t="shared" si="25"/>
        <v>648.19999999999993</v>
      </c>
      <c r="J34" s="48">
        <f t="shared" si="25"/>
        <v>745.3</v>
      </c>
      <c r="K34" s="48">
        <f t="shared" si="25"/>
        <v>842.4</v>
      </c>
    </row>
    <row r="35" spans="1:11" x14ac:dyDescent="0.25">
      <c r="B35" s="166" t="s">
        <v>74</v>
      </c>
      <c r="C35" s="13">
        <f>'Historical FS'!I104</f>
        <v>-279</v>
      </c>
      <c r="D35" s="13">
        <f>'Historical FS'!J104</f>
        <v>-14</v>
      </c>
      <c r="E35" s="13">
        <f>'Historical FS'!K104</f>
        <v>-8</v>
      </c>
      <c r="F35" s="13">
        <f>'Historical FS'!L104</f>
        <v>-25</v>
      </c>
      <c r="G35" s="48">
        <f t="shared" ref="G35:K35" si="26">FORECAST(G3,$C$35:$F$35,$C$3:$F$3)</f>
        <v>110.5</v>
      </c>
      <c r="H35" s="48">
        <f t="shared" si="26"/>
        <v>187.29999999999995</v>
      </c>
      <c r="I35" s="48">
        <f t="shared" si="26"/>
        <v>264.10000000000002</v>
      </c>
      <c r="J35" s="48">
        <f t="shared" si="26"/>
        <v>340.9</v>
      </c>
      <c r="K35" s="48">
        <f t="shared" si="26"/>
        <v>417.69999999999993</v>
      </c>
    </row>
    <row r="36" spans="1:11" x14ac:dyDescent="0.25">
      <c r="B36" s="166" t="s">
        <v>75</v>
      </c>
      <c r="C36" s="13">
        <f>'Historical FS'!I105</f>
        <v>-101</v>
      </c>
      <c r="D36" s="13">
        <f>'Historical FS'!J105</f>
        <v>-89</v>
      </c>
      <c r="E36" s="13">
        <f>'Historical FS'!K105</f>
        <v>-94</v>
      </c>
      <c r="F36" s="13">
        <f>'Historical FS'!L105</f>
        <v>-142</v>
      </c>
      <c r="G36" s="48">
        <f t="shared" ref="G36:K36" si="27">FORECAST(G3,$C$36:$F$36,$C$3:$F$3)</f>
        <v>-138.5</v>
      </c>
      <c r="H36" s="48">
        <f t="shared" si="27"/>
        <v>-151.30000000000001</v>
      </c>
      <c r="I36" s="48">
        <f t="shared" si="27"/>
        <v>-164.10000000000002</v>
      </c>
      <c r="J36" s="48">
        <f t="shared" si="27"/>
        <v>-176.9</v>
      </c>
      <c r="K36" s="48">
        <f t="shared" si="27"/>
        <v>-189.7</v>
      </c>
    </row>
    <row r="37" spans="1:11" x14ac:dyDescent="0.25">
      <c r="B37" s="166" t="s">
        <v>76</v>
      </c>
      <c r="C37" s="13">
        <f>'Historical FS'!I106</f>
        <v>-2121</v>
      </c>
      <c r="D37" s="13">
        <f>'Historical FS'!J106</f>
        <v>-499</v>
      </c>
      <c r="E37" s="13">
        <f>'Historical FS'!K106</f>
        <v>-1763</v>
      </c>
      <c r="F37" s="13">
        <f>'Historical FS'!L106</f>
        <v>-1936</v>
      </c>
      <c r="G37" s="48">
        <f t="shared" ref="G37:K37" si="28">FORECAST(G3,$C$37:$F$37,$C$3:$F$3)</f>
        <v>-1757</v>
      </c>
      <c r="H37" s="48">
        <f t="shared" si="28"/>
        <v>-1827.9</v>
      </c>
      <c r="I37" s="48">
        <f t="shared" si="28"/>
        <v>-1898.8000000000002</v>
      </c>
      <c r="J37" s="48">
        <f t="shared" si="28"/>
        <v>-1969.7</v>
      </c>
      <c r="K37" s="48">
        <f t="shared" si="28"/>
        <v>-2040.6</v>
      </c>
    </row>
    <row r="38" spans="1:11" x14ac:dyDescent="0.25">
      <c r="B38" s="166" t="s">
        <v>77</v>
      </c>
      <c r="C38" s="13">
        <f>'Historical FS'!I107</f>
        <v>-179</v>
      </c>
      <c r="D38" s="13">
        <f>'Historical FS'!J107</f>
        <v>-203</v>
      </c>
      <c r="E38" s="13">
        <f>'Historical FS'!K107</f>
        <v>-221</v>
      </c>
      <c r="F38" s="13">
        <f>'Historical FS'!L107</f>
        <v>-256</v>
      </c>
      <c r="G38" s="48">
        <f t="shared" ref="G38:K38" si="29">FORECAST(G3,$C$38:$F$38,$C$3:$F$3)</f>
        <v>-277</v>
      </c>
      <c r="H38" s="48">
        <f t="shared" si="29"/>
        <v>-301.89999999999998</v>
      </c>
      <c r="I38" s="48">
        <f t="shared" si="29"/>
        <v>-326.79999999999995</v>
      </c>
      <c r="J38" s="48">
        <f t="shared" si="29"/>
        <v>-351.7</v>
      </c>
      <c r="K38" s="48">
        <f t="shared" si="29"/>
        <v>-376.6</v>
      </c>
    </row>
    <row r="39" spans="1:11" x14ac:dyDescent="0.25">
      <c r="B39" s="166" t="s">
        <v>78</v>
      </c>
      <c r="C39" s="13">
        <f>'Historical FS'!I108</f>
        <v>-209</v>
      </c>
      <c r="D39" s="13">
        <f>'Historical FS'!J108</f>
        <v>0</v>
      </c>
      <c r="E39" s="13">
        <f>'Historical FS'!K108</f>
        <v>-140</v>
      </c>
      <c r="F39" s="13">
        <f>'Historical FS'!L108</f>
        <v>-36</v>
      </c>
      <c r="G39" s="48">
        <f t="shared" ref="G39:K39" si="30">FORECAST(G3,$C$39:$F$39,$C$3:$F$3)</f>
        <v>-1.5</v>
      </c>
      <c r="H39" s="48">
        <f t="shared" si="30"/>
        <v>36.399999999999977</v>
      </c>
      <c r="I39" s="48">
        <f t="shared" si="30"/>
        <v>74.300000000000011</v>
      </c>
      <c r="J39" s="48">
        <f t="shared" si="30"/>
        <v>112.19999999999999</v>
      </c>
      <c r="K39" s="48">
        <f t="shared" si="30"/>
        <v>150.09999999999997</v>
      </c>
    </row>
    <row r="40" spans="1:11" x14ac:dyDescent="0.25">
      <c r="B40" s="178" t="s">
        <v>79</v>
      </c>
      <c r="C40" s="62">
        <f>SUM(C32:C39)</f>
        <v>-2871</v>
      </c>
      <c r="D40" s="62">
        <f t="shared" ref="D40:F40" si="31">SUM(D32:D39)</f>
        <v>-650</v>
      </c>
      <c r="E40" s="62">
        <f t="shared" si="31"/>
        <v>-1808</v>
      </c>
      <c r="F40" s="62">
        <f t="shared" si="31"/>
        <v>-2141</v>
      </c>
      <c r="G40" s="63">
        <f>SUM(G32:G39)</f>
        <v>-1609.5</v>
      </c>
      <c r="H40" s="63">
        <f t="shared" ref="H40:K40" si="32">SUM(H32:H39)</f>
        <v>-1506.3000000000002</v>
      </c>
      <c r="I40" s="63">
        <f t="shared" si="32"/>
        <v>-1403.1000000000004</v>
      </c>
      <c r="J40" s="63">
        <f t="shared" si="32"/>
        <v>-1299.9000000000001</v>
      </c>
      <c r="K40" s="63">
        <f t="shared" si="32"/>
        <v>-1196.7000000000003</v>
      </c>
    </row>
    <row r="41" spans="1:11" x14ac:dyDescent="0.25">
      <c r="G41" s="49"/>
      <c r="H41" s="49"/>
      <c r="I41" s="49"/>
      <c r="J41" s="49"/>
      <c r="K41" s="49"/>
    </row>
    <row r="42" spans="1:11" ht="15.75" thickBot="1" x14ac:dyDescent="0.3">
      <c r="A42" t="s">
        <v>2</v>
      </c>
      <c r="B42" s="176" t="s">
        <v>80</v>
      </c>
      <c r="C42" s="60">
        <f>SUM(C40,C29,C14)</f>
        <v>-353</v>
      </c>
      <c r="D42" s="60">
        <f t="shared" ref="D42:K42" si="33">SUM(D40,D29,D14)</f>
        <v>2492</v>
      </c>
      <c r="E42" s="60">
        <f t="shared" si="33"/>
        <v>-1138</v>
      </c>
      <c r="F42" s="60">
        <f t="shared" si="33"/>
        <v>770</v>
      </c>
      <c r="G42" s="61">
        <f t="shared" si="33"/>
        <v>377.5</v>
      </c>
      <c r="H42" s="61">
        <f t="shared" si="33"/>
        <v>351.40000000000055</v>
      </c>
      <c r="I42" s="61">
        <f t="shared" si="33"/>
        <v>325.29999999999973</v>
      </c>
      <c r="J42" s="61">
        <f t="shared" si="33"/>
        <v>299.19999999999982</v>
      </c>
      <c r="K42" s="61">
        <f t="shared" si="33"/>
        <v>273.099999999999</v>
      </c>
    </row>
  </sheetData>
  <mergeCells count="1">
    <mergeCell ref="B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3162-78D0-4FB2-8EA2-B36A41335F60}">
  <sheetPr>
    <tabColor rgb="FF002060"/>
  </sheetPr>
  <dimension ref="D5:S9"/>
  <sheetViews>
    <sheetView showGridLines="0" workbookViewId="0">
      <selection activeCell="F10" sqref="F10"/>
    </sheetView>
  </sheetViews>
  <sheetFormatPr defaultRowHeight="15" x14ac:dyDescent="0.25"/>
  <cols>
    <col min="1" max="1" width="1.85546875" customWidth="1"/>
  </cols>
  <sheetData>
    <row r="5" spans="4:19" ht="15" customHeight="1" x14ac:dyDescent="0.25">
      <c r="D5" s="227" t="str">
        <f>"DISCOUNTED CASH FLOWS FOR "&amp;'Data Sheet'!B1</f>
        <v>DISCOUNTED CASH FLOWS FOR ASIAN PAINTS LTD</v>
      </c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</row>
    <row r="6" spans="4:19" ht="15" customHeight="1" x14ac:dyDescent="0.25"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</row>
    <row r="7" spans="4:19" ht="15" customHeight="1" x14ac:dyDescent="0.25"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</row>
    <row r="8" spans="4:19" ht="15" customHeight="1" x14ac:dyDescent="0.25">
      <c r="D8" s="165"/>
      <c r="E8" s="165"/>
      <c r="F8" s="228" t="s">
        <v>370</v>
      </c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</row>
    <row r="9" spans="4:19" x14ac:dyDescent="0.25">
      <c r="D9" s="165"/>
      <c r="E9" s="165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</row>
  </sheetData>
  <mergeCells count="2">
    <mergeCell ref="D5:S7"/>
    <mergeCell ref="F8:Q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86C5-0839-4683-9674-84ED5CDE5854}">
  <dimension ref="B2:K39"/>
  <sheetViews>
    <sheetView showGridLines="0" zoomScaleNormal="100" workbookViewId="0">
      <selection activeCell="K18" sqref="K18"/>
    </sheetView>
  </sheetViews>
  <sheetFormatPr defaultRowHeight="15" x14ac:dyDescent="0.25"/>
  <cols>
    <col min="1" max="1" width="1.85546875" customWidth="1"/>
    <col min="2" max="2" width="29.85546875" customWidth="1"/>
    <col min="3" max="3" width="12.140625" bestFit="1" customWidth="1"/>
    <col min="4" max="4" width="13.5703125" customWidth="1"/>
    <col min="5" max="5" width="14.7109375" customWidth="1"/>
    <col min="6" max="6" width="18.140625" customWidth="1"/>
    <col min="7" max="7" width="17.28515625" customWidth="1"/>
    <col min="10" max="10" width="10" bestFit="1" customWidth="1"/>
    <col min="11" max="11" width="12.5703125" bestFit="1" customWidth="1"/>
  </cols>
  <sheetData>
    <row r="2" spans="2:11" x14ac:dyDescent="0.25">
      <c r="B2" s="65" t="str">
        <f>'Data Sheet'!B1&amp;" - "&amp;"WACC"</f>
        <v>ASIAN PAINTS LTD - WACC</v>
      </c>
      <c r="C2" s="65"/>
      <c r="D2" s="65"/>
      <c r="E2" s="65"/>
      <c r="F2" s="65"/>
      <c r="G2" s="65"/>
      <c r="H2" s="65"/>
      <c r="I2" s="65"/>
      <c r="J2" s="65"/>
      <c r="K2" s="65"/>
    </row>
    <row r="4" spans="2:11" x14ac:dyDescent="0.25">
      <c r="B4" s="171" t="s">
        <v>121</v>
      </c>
    </row>
    <row r="5" spans="2:11" x14ac:dyDescent="0.25">
      <c r="B5" s="78"/>
      <c r="C5" s="78"/>
      <c r="D5" s="78"/>
      <c r="E5" s="78"/>
      <c r="F5" s="78"/>
      <c r="G5" s="78"/>
      <c r="H5" s="184" t="s">
        <v>122</v>
      </c>
      <c r="I5" s="184" t="s">
        <v>122</v>
      </c>
      <c r="J5" s="184" t="s">
        <v>123</v>
      </c>
      <c r="K5" s="184" t="s">
        <v>124</v>
      </c>
    </row>
    <row r="6" spans="2:11" ht="17.25" x14ac:dyDescent="0.25">
      <c r="B6" s="182" t="s">
        <v>125</v>
      </c>
      <c r="C6" s="182"/>
      <c r="D6" s="183" t="s">
        <v>126</v>
      </c>
      <c r="E6" s="183" t="s">
        <v>127</v>
      </c>
      <c r="F6" s="183" t="s">
        <v>128</v>
      </c>
      <c r="G6" s="183" t="s">
        <v>372</v>
      </c>
      <c r="H6" s="182" t="s">
        <v>129</v>
      </c>
      <c r="I6" s="182" t="s">
        <v>130</v>
      </c>
      <c r="J6" s="182" t="s">
        <v>373</v>
      </c>
      <c r="K6" s="182" t="s">
        <v>374</v>
      </c>
    </row>
    <row r="8" spans="2:11" x14ac:dyDescent="0.25">
      <c r="B8" s="166" t="str">
        <f>Peers!C5</f>
        <v>Asian Paints</v>
      </c>
      <c r="D8" s="185" t="s">
        <v>131</v>
      </c>
      <c r="E8" s="95">
        <f>Peers!F5</f>
        <v>2326.77</v>
      </c>
      <c r="F8" s="93">
        <f>Peers!E5</f>
        <v>284536.40000000002</v>
      </c>
      <c r="G8" s="181">
        <v>0.3</v>
      </c>
      <c r="H8" s="80">
        <f>E8/F8</f>
        <v>8.1774071788354667E-3</v>
      </c>
      <c r="I8" s="80">
        <f>E8/(E8+F8)</f>
        <v>8.1110795784624413E-3</v>
      </c>
      <c r="J8" s="72">
        <f>'Beta - Regression'!K8</f>
        <v>0.6181234813448645</v>
      </c>
      <c r="K8" s="81">
        <f t="shared" ref="K8:K10" si="0">J8/(1+(1-G8)*H8)</f>
        <v>0.6146053665094926</v>
      </c>
    </row>
    <row r="9" spans="2:11" x14ac:dyDescent="0.25">
      <c r="B9" s="166" t="str">
        <f>Peers!C6</f>
        <v>Berger Paints</v>
      </c>
      <c r="D9" s="185" t="s">
        <v>131</v>
      </c>
      <c r="E9" s="95">
        <f>Peers!F6</f>
        <v>1154.17</v>
      </c>
      <c r="F9" s="93">
        <f>Peers!E6</f>
        <v>64657.97</v>
      </c>
      <c r="G9" s="181">
        <v>0.3</v>
      </c>
      <c r="H9" s="80">
        <f>E9/F9</f>
        <v>1.7850390292178987E-2</v>
      </c>
      <c r="I9" s="80">
        <f>E9/(E9+F9)</f>
        <v>1.7537341894671713E-2</v>
      </c>
      <c r="J9" s="72">
        <f>'Beta - Comps'!K8</f>
        <v>0.58345734489612788</v>
      </c>
      <c r="K9" s="81">
        <f t="shared" si="0"/>
        <v>0.57625685801919668</v>
      </c>
    </row>
    <row r="10" spans="2:11" x14ac:dyDescent="0.25">
      <c r="B10" s="166" t="str">
        <f>Peers!C7</f>
        <v>Kansai Nerolac</v>
      </c>
      <c r="D10" s="185" t="s">
        <v>131</v>
      </c>
      <c r="E10" s="95">
        <f>Peers!F7</f>
        <v>323.27</v>
      </c>
      <c r="F10" s="93">
        <f>Peers!E7</f>
        <v>24982.99</v>
      </c>
      <c r="G10" s="181">
        <v>0.3</v>
      </c>
      <c r="H10" s="80">
        <f>E10/F10</f>
        <v>1.2939604106634152E-2</v>
      </c>
      <c r="I10" s="80">
        <f>E10/(E10+F10)</f>
        <v>1.2774309597704281E-2</v>
      </c>
      <c r="J10" s="72">
        <f>'Beta - Comps'!X8</f>
        <v>0.89032497067429839</v>
      </c>
      <c r="K10" s="81">
        <f t="shared" si="0"/>
        <v>0.88233304249226197</v>
      </c>
    </row>
    <row r="12" spans="2:11" x14ac:dyDescent="0.25">
      <c r="F12" s="187" t="s">
        <v>132</v>
      </c>
      <c r="G12" s="83">
        <f>AVERAGE(G8:G10)</f>
        <v>0.3</v>
      </c>
      <c r="H12" s="83">
        <f>AVERAGE(H8:H10)</f>
        <v>1.2989133859216203E-2</v>
      </c>
      <c r="I12" s="83">
        <f>AVERAGE(I8:I10)</f>
        <v>1.2807577023612812E-2</v>
      </c>
      <c r="J12" s="85">
        <f>AVERAGE(J8:J10)</f>
        <v>0.69730193230509696</v>
      </c>
      <c r="K12" s="85">
        <f>AVERAGE(K8:K10)</f>
        <v>0.69106508900698371</v>
      </c>
    </row>
    <row r="13" spans="2:11" x14ac:dyDescent="0.25">
      <c r="F13" s="148" t="s">
        <v>83</v>
      </c>
      <c r="G13" s="84">
        <f>MEDIAN(G8:G10)</f>
        <v>0.3</v>
      </c>
      <c r="H13" s="84">
        <f>MEDIAN(H8:H10)</f>
        <v>1.2939604106634152E-2</v>
      </c>
      <c r="I13" s="84">
        <f>MEDIAN(I8:I10)</f>
        <v>1.2774309597704281E-2</v>
      </c>
      <c r="J13" s="86">
        <f>MEDIAN(J8:J10)</f>
        <v>0.6181234813448645</v>
      </c>
      <c r="K13" s="86">
        <f>MEDIAN(K8:K10)</f>
        <v>0.6146053665094926</v>
      </c>
    </row>
    <row r="16" spans="2:11" x14ac:dyDescent="0.25">
      <c r="B16" s="188" t="s">
        <v>133</v>
      </c>
      <c r="C16" s="88"/>
      <c r="D16" s="79"/>
      <c r="E16" s="79"/>
      <c r="G16" s="188" t="s">
        <v>134</v>
      </c>
      <c r="H16" s="79"/>
      <c r="I16" s="79"/>
      <c r="J16" s="79"/>
      <c r="K16" s="79"/>
    </row>
    <row r="18" spans="2:11" x14ac:dyDescent="0.25">
      <c r="G18" s="166" t="s">
        <v>135</v>
      </c>
      <c r="K18" s="180">
        <v>7.1139999999999995E-2</v>
      </c>
    </row>
    <row r="19" spans="2:11" x14ac:dyDescent="0.25">
      <c r="B19" s="166" t="s">
        <v>136</v>
      </c>
      <c r="E19" s="73">
        <f>Peers!J5</f>
        <v>0.12476498262820901</v>
      </c>
      <c r="G19" s="166" t="s">
        <v>137</v>
      </c>
      <c r="K19" s="90">
        <f>Rm!F8-WACC!K18</f>
        <v>9.8851666666666657E-2</v>
      </c>
    </row>
    <row r="20" spans="2:11" ht="17.25" x14ac:dyDescent="0.25">
      <c r="B20" s="166" t="s">
        <v>138</v>
      </c>
      <c r="E20" s="181">
        <v>0.3</v>
      </c>
      <c r="G20" s="166" t="s">
        <v>375</v>
      </c>
      <c r="K20" s="72">
        <f>K30</f>
        <v>0.62018697731934291</v>
      </c>
    </row>
    <row r="21" spans="2:11" x14ac:dyDescent="0.25">
      <c r="B21" s="186" t="s">
        <v>139</v>
      </c>
      <c r="C21" s="87"/>
      <c r="D21" s="87"/>
      <c r="E21" s="91">
        <f>E19*(1-E20)</f>
        <v>8.7335487839746304E-2</v>
      </c>
      <c r="G21" s="186" t="s">
        <v>134</v>
      </c>
      <c r="H21" s="87"/>
      <c r="I21" s="87"/>
      <c r="J21" s="87"/>
      <c r="K21" s="91">
        <f>K18+K19*K20</f>
        <v>0.13244651635297924</v>
      </c>
    </row>
    <row r="25" spans="2:11" x14ac:dyDescent="0.25">
      <c r="B25" s="188" t="s">
        <v>140</v>
      </c>
      <c r="C25" s="88"/>
      <c r="D25" s="79"/>
      <c r="E25" s="79"/>
      <c r="G25" s="188" t="s">
        <v>141</v>
      </c>
      <c r="H25" s="88"/>
      <c r="I25" s="79"/>
      <c r="J25" s="79"/>
      <c r="K25" s="79"/>
    </row>
    <row r="27" spans="2:11" x14ac:dyDescent="0.25">
      <c r="D27" s="70" t="s">
        <v>142</v>
      </c>
      <c r="E27" s="70" t="s">
        <v>143</v>
      </c>
      <c r="G27" s="166" t="s">
        <v>144</v>
      </c>
      <c r="K27" s="72">
        <f>K13</f>
        <v>0.6146053665094926</v>
      </c>
    </row>
    <row r="28" spans="2:11" x14ac:dyDescent="0.25">
      <c r="B28" s="166" t="s">
        <v>127</v>
      </c>
      <c r="C28" s="93">
        <f>E8</f>
        <v>2326.77</v>
      </c>
      <c r="D28" s="73">
        <f>C28/$C$30</f>
        <v>8.1110795784624413E-3</v>
      </c>
      <c r="E28" s="73">
        <f>I12</f>
        <v>1.2807577023612812E-2</v>
      </c>
      <c r="G28" s="166" t="s">
        <v>145</v>
      </c>
      <c r="K28" s="73">
        <f>E32</f>
        <v>1.2973739187541513E-2</v>
      </c>
    </row>
    <row r="29" spans="2:11" x14ac:dyDescent="0.25">
      <c r="B29" s="166" t="s">
        <v>146</v>
      </c>
      <c r="C29" s="93">
        <f>F8</f>
        <v>284536.40000000002</v>
      </c>
      <c r="D29" s="73">
        <f>C29/$C$30</f>
        <v>0.99188892042153753</v>
      </c>
      <c r="E29" s="73">
        <f>E30-E28</f>
        <v>0.98719242297638721</v>
      </c>
      <c r="G29" s="166" t="s">
        <v>138</v>
      </c>
      <c r="K29" s="73">
        <f>E20</f>
        <v>0.3</v>
      </c>
    </row>
    <row r="30" spans="2:11" x14ac:dyDescent="0.25">
      <c r="B30" s="186" t="s">
        <v>147</v>
      </c>
      <c r="C30" s="94">
        <f>SUM(C28:C29)</f>
        <v>286863.17000000004</v>
      </c>
      <c r="D30" s="89">
        <f>C30/$C$30</f>
        <v>1</v>
      </c>
      <c r="E30" s="89">
        <f>D30</f>
        <v>1</v>
      </c>
      <c r="G30" s="186" t="s">
        <v>148</v>
      </c>
      <c r="H30" s="87"/>
      <c r="I30" s="87"/>
      <c r="J30" s="87"/>
      <c r="K30" s="92">
        <f>K27*(1+(1-K29)*K28)</f>
        <v>0.62018697731934291</v>
      </c>
    </row>
    <row r="31" spans="2:11" x14ac:dyDescent="0.25">
      <c r="B31" s="166"/>
    </row>
    <row r="32" spans="2:11" x14ac:dyDescent="0.25">
      <c r="B32" s="166" t="s">
        <v>149</v>
      </c>
      <c r="D32" s="80">
        <f>D28/D29</f>
        <v>8.1774071788354667E-3</v>
      </c>
      <c r="E32" s="80">
        <f>E28/E29</f>
        <v>1.2973739187541513E-2</v>
      </c>
      <c r="G32" s="188" t="s">
        <v>150</v>
      </c>
      <c r="H32" s="88"/>
      <c r="I32" s="79"/>
      <c r="J32" s="79"/>
      <c r="K32" s="79"/>
    </row>
    <row r="34" spans="2:11" x14ac:dyDescent="0.25">
      <c r="J34" s="148" t="s">
        <v>151</v>
      </c>
      <c r="K34" s="148" t="s">
        <v>152</v>
      </c>
    </row>
    <row r="35" spans="2:11" x14ac:dyDescent="0.25">
      <c r="B35" s="189" t="s">
        <v>153</v>
      </c>
      <c r="G35" s="166" t="s">
        <v>154</v>
      </c>
      <c r="J35" s="73">
        <f>E21</f>
        <v>8.7335487839746304E-2</v>
      </c>
      <c r="K35" s="73">
        <f>E28</f>
        <v>1.2807577023612812E-2</v>
      </c>
    </row>
    <row r="36" spans="2:11" x14ac:dyDescent="0.25">
      <c r="B36" s="190" t="s">
        <v>155</v>
      </c>
      <c r="G36" s="166" t="s">
        <v>156</v>
      </c>
      <c r="J36" s="73">
        <f>K21</f>
        <v>0.13244651635297924</v>
      </c>
      <c r="K36" s="73">
        <f>E29</f>
        <v>0.98719242297638721</v>
      </c>
    </row>
    <row r="37" spans="2:11" x14ac:dyDescent="0.25">
      <c r="B37" s="190" t="s">
        <v>157</v>
      </c>
      <c r="G37" s="186" t="s">
        <v>158</v>
      </c>
      <c r="H37" s="87"/>
      <c r="I37" s="87"/>
      <c r="J37" s="87"/>
      <c r="K37" s="91">
        <f>SUMPRODUCT(J35:J36,K35:K36)</f>
        <v>0.13186875338068163</v>
      </c>
    </row>
    <row r="38" spans="2:11" x14ac:dyDescent="0.25">
      <c r="B38" s="190" t="s">
        <v>159</v>
      </c>
    </row>
    <row r="39" spans="2:11" x14ac:dyDescent="0.25">
      <c r="B39" s="190" t="s">
        <v>160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4FFD-6693-4AB1-9583-5A9980067C28}">
  <dimension ref="A2:K65"/>
  <sheetViews>
    <sheetView showGridLines="0" workbookViewId="0">
      <selection activeCell="G14" sqref="G14"/>
    </sheetView>
  </sheetViews>
  <sheetFormatPr defaultRowHeight="15" x14ac:dyDescent="0.25"/>
  <cols>
    <col min="1" max="1" width="1.85546875" customWidth="1"/>
    <col min="7" max="9" width="11.140625" bestFit="1" customWidth="1"/>
    <col min="10" max="10" width="15" customWidth="1"/>
    <col min="11" max="11" width="11.140625" bestFit="1" customWidth="1"/>
  </cols>
  <sheetData>
    <row r="2" spans="1:11" x14ac:dyDescent="0.25">
      <c r="B2" s="65" t="str">
        <f>'Data Sheet'!B1&amp; " - Intrinsic Growth"</f>
        <v>ASIAN PAINTS LTD - Intrinsic Growth</v>
      </c>
      <c r="C2" s="77"/>
      <c r="D2" s="77"/>
      <c r="E2" s="77"/>
      <c r="F2" s="77"/>
      <c r="G2" s="77"/>
      <c r="H2" s="77"/>
      <c r="I2" s="77"/>
      <c r="J2" s="77"/>
      <c r="K2" s="77"/>
    </row>
    <row r="4" spans="1:11" x14ac:dyDescent="0.25">
      <c r="A4" t="s">
        <v>2</v>
      </c>
      <c r="B4" s="65" t="s">
        <v>286</v>
      </c>
      <c r="C4" s="8"/>
      <c r="D4" s="8"/>
      <c r="E4" s="8"/>
      <c r="F4" s="8"/>
      <c r="G4" s="9">
        <f>'Raw BS (Manual)'!J2</f>
        <v>43525</v>
      </c>
      <c r="H4" s="9">
        <f>'Raw BS (Manual)'!K2</f>
        <v>43891</v>
      </c>
      <c r="I4" s="9">
        <f>'Raw BS (Manual)'!L2</f>
        <v>44256</v>
      </c>
      <c r="J4" s="9">
        <f>'Raw BS (Manual)'!M2</f>
        <v>44621</v>
      </c>
      <c r="K4" s="9">
        <f>'Raw BS (Manual)'!N2</f>
        <v>44986</v>
      </c>
    </row>
    <row r="6" spans="1:11" x14ac:dyDescent="0.25">
      <c r="B6" s="11" t="s">
        <v>287</v>
      </c>
    </row>
    <row r="7" spans="1:11" x14ac:dyDescent="0.25">
      <c r="B7" s="115" t="str">
        <f>'Raw BS (Manual)'!B36</f>
        <v>Inventories</v>
      </c>
      <c r="C7" s="115"/>
      <c r="D7" s="115"/>
      <c r="E7" s="115"/>
      <c r="F7" s="115"/>
      <c r="G7" s="122">
        <f>'Raw BS (Manual)'!J36</f>
        <v>3150</v>
      </c>
      <c r="H7" s="122">
        <f>'Raw BS (Manual)'!K36</f>
        <v>3390</v>
      </c>
      <c r="I7" s="122">
        <f>'Raw BS (Manual)'!L36</f>
        <v>3799</v>
      </c>
      <c r="J7" s="122">
        <f>'Raw BS (Manual)'!M36</f>
        <v>6153</v>
      </c>
      <c r="K7" s="122">
        <f>'Raw BS (Manual)'!N36</f>
        <v>6211</v>
      </c>
    </row>
    <row r="8" spans="1:11" x14ac:dyDescent="0.25">
      <c r="B8" s="115" t="str">
        <f>'Raw BS (Manual)'!B37</f>
        <v>Trade receivables</v>
      </c>
      <c r="C8" s="115"/>
      <c r="D8" s="115"/>
      <c r="E8" s="115"/>
      <c r="F8" s="115"/>
      <c r="G8" s="122">
        <f>'Raw BS (Manual)'!J37</f>
        <v>1907</v>
      </c>
      <c r="H8" s="122">
        <f>'Raw BS (Manual)'!K37</f>
        <v>1795</v>
      </c>
      <c r="I8" s="122">
        <f>'Raw BS (Manual)'!L37</f>
        <v>2602</v>
      </c>
      <c r="J8" s="122">
        <f>'Raw BS (Manual)'!M37</f>
        <v>3871</v>
      </c>
      <c r="K8" s="122">
        <f>'Raw BS (Manual)'!N37</f>
        <v>4637</v>
      </c>
    </row>
    <row r="9" spans="1:11" x14ac:dyDescent="0.25">
      <c r="B9" s="115" t="str">
        <f>'Raw BS (Manual)'!B39</f>
        <v>Short term loans</v>
      </c>
      <c r="C9" s="115"/>
      <c r="D9" s="115"/>
      <c r="E9" s="115"/>
      <c r="F9" s="115"/>
      <c r="G9" s="122">
        <f>'Raw BS (Manual)'!J39</f>
        <v>16</v>
      </c>
      <c r="H9" s="122">
        <f>'Raw BS (Manual)'!K39</f>
        <v>12</v>
      </c>
      <c r="I9" s="122">
        <f>'Raw BS (Manual)'!L39</f>
        <v>11</v>
      </c>
      <c r="J9" s="122">
        <f>'Raw BS (Manual)'!M39</f>
        <v>8</v>
      </c>
      <c r="K9" s="122">
        <f>'Raw BS (Manual)'!N39</f>
        <v>12</v>
      </c>
    </row>
    <row r="10" spans="1:11" x14ac:dyDescent="0.25">
      <c r="B10" t="str">
        <f>'Raw BS (Manual)'!B40</f>
        <v>Other asset items</v>
      </c>
      <c r="G10" s="123">
        <f>'Raw BS (Manual)'!J40</f>
        <v>1456</v>
      </c>
      <c r="H10" s="123">
        <f>'Raw BS (Manual)'!K40</f>
        <v>1727</v>
      </c>
      <c r="I10" s="123">
        <f>'Raw BS (Manual)'!L40</f>
        <v>2555</v>
      </c>
      <c r="J10" s="123">
        <f>'Raw BS (Manual)'!M40</f>
        <v>2869</v>
      </c>
      <c r="K10" s="123">
        <f>'Raw BS (Manual)'!N40</f>
        <v>3024</v>
      </c>
    </row>
    <row r="11" spans="1:11" x14ac:dyDescent="0.25">
      <c r="B11" s="82" t="s">
        <v>45</v>
      </c>
      <c r="C11" s="120"/>
      <c r="D11" s="120"/>
      <c r="E11" s="120"/>
      <c r="F11" s="120"/>
      <c r="G11" s="124">
        <f>SUM(G7:G10)</f>
        <v>6529</v>
      </c>
      <c r="H11" s="124">
        <f t="shared" ref="H11:K11" si="0">SUM(H7:H10)</f>
        <v>6924</v>
      </c>
      <c r="I11" s="124">
        <f t="shared" si="0"/>
        <v>8967</v>
      </c>
      <c r="J11" s="124">
        <f t="shared" si="0"/>
        <v>12901</v>
      </c>
      <c r="K11" s="124">
        <f t="shared" si="0"/>
        <v>13884</v>
      </c>
    </row>
    <row r="12" spans="1:11" x14ac:dyDescent="0.25">
      <c r="G12" s="123"/>
      <c r="H12" s="123"/>
      <c r="I12" s="123"/>
      <c r="J12" s="123"/>
      <c r="K12" s="123"/>
    </row>
    <row r="13" spans="1:11" x14ac:dyDescent="0.25">
      <c r="B13" s="11" t="s">
        <v>288</v>
      </c>
      <c r="G13" s="123"/>
      <c r="H13" s="123"/>
      <c r="I13" s="123"/>
      <c r="J13" s="123"/>
      <c r="K13" s="123"/>
    </row>
    <row r="14" spans="1:11" x14ac:dyDescent="0.25">
      <c r="B14" s="115" t="str">
        <f>'Raw BS (Manual)'!B13</f>
        <v>Trade Payables</v>
      </c>
      <c r="C14" s="115"/>
      <c r="D14" s="115"/>
      <c r="E14" s="115"/>
      <c r="F14" s="115"/>
      <c r="G14" s="122">
        <f>'Raw BS (Manual)'!J13</f>
        <v>2394</v>
      </c>
      <c r="H14" s="122">
        <f>'Raw BS (Manual)'!K13</f>
        <v>2137</v>
      </c>
      <c r="I14" s="122">
        <f>'Raw BS (Manual)'!L13</f>
        <v>3379</v>
      </c>
      <c r="J14" s="122">
        <f>'Raw BS (Manual)'!M13</f>
        <v>4164</v>
      </c>
      <c r="K14" s="122">
        <f>'Raw BS (Manual)'!N13</f>
        <v>3635</v>
      </c>
    </row>
    <row r="15" spans="1:11" x14ac:dyDescent="0.25">
      <c r="B15" s="115" t="str">
        <f>'Raw BS (Manual)'!B14</f>
        <v>Advance from Customers</v>
      </c>
      <c r="C15" s="115"/>
      <c r="D15" s="115"/>
      <c r="E15" s="115"/>
      <c r="F15" s="115"/>
      <c r="G15" s="122">
        <f>'Raw BS (Manual)'!J14</f>
        <v>13</v>
      </c>
      <c r="H15" s="122">
        <f>'Raw BS (Manual)'!K14</f>
        <v>29</v>
      </c>
      <c r="I15" s="122">
        <f>'Raw BS (Manual)'!L14</f>
        <v>41</v>
      </c>
      <c r="J15" s="122">
        <f>'Raw BS (Manual)'!M14</f>
        <v>76</v>
      </c>
      <c r="K15" s="122">
        <f>'Raw BS (Manual)'!N14</f>
        <v>108</v>
      </c>
    </row>
    <row r="16" spans="1:11" x14ac:dyDescent="0.25">
      <c r="B16" s="115" t="str">
        <f>'Raw BS (Manual)'!B15</f>
        <v>Other liability items</v>
      </c>
      <c r="C16" s="115"/>
      <c r="D16" s="115"/>
      <c r="E16" s="115"/>
      <c r="F16" s="115"/>
      <c r="G16" s="122">
        <f>'Raw BS (Manual)'!J15</f>
        <v>2690</v>
      </c>
      <c r="H16" s="122">
        <f>'Raw BS (Manual)'!K15</f>
        <v>2320</v>
      </c>
      <c r="I16" s="122">
        <f>'Raw BS (Manual)'!L15</f>
        <v>2613</v>
      </c>
      <c r="J16" s="122">
        <f>'Raw BS (Manual)'!M15</f>
        <v>2932</v>
      </c>
      <c r="K16" s="122">
        <f>'Raw BS (Manual)'!N15</f>
        <v>3657</v>
      </c>
    </row>
    <row r="17" spans="1:11" x14ac:dyDescent="0.25">
      <c r="B17" s="82" t="s">
        <v>289</v>
      </c>
      <c r="C17" s="120"/>
      <c r="D17" s="120"/>
      <c r="E17" s="120"/>
      <c r="F17" s="120"/>
      <c r="G17" s="124">
        <f>SUM(G14:G16)</f>
        <v>5097</v>
      </c>
      <c r="H17" s="124">
        <f>SUM(H14:H16)</f>
        <v>4486</v>
      </c>
      <c r="I17" s="124">
        <f>SUM(I14:I16)</f>
        <v>6033</v>
      </c>
      <c r="J17" s="124">
        <f>SUM(J14:J16)</f>
        <v>7172</v>
      </c>
      <c r="K17" s="124">
        <f>SUM(K14:K16)</f>
        <v>7400</v>
      </c>
    </row>
    <row r="18" spans="1:11" x14ac:dyDescent="0.25">
      <c r="G18" s="123"/>
      <c r="H18" s="123"/>
      <c r="I18" s="123"/>
      <c r="J18" s="123"/>
      <c r="K18" s="123"/>
    </row>
    <row r="19" spans="1:11" ht="15.75" thickBot="1" x14ac:dyDescent="0.3">
      <c r="A19" t="s">
        <v>2</v>
      </c>
      <c r="B19" s="57" t="s">
        <v>290</v>
      </c>
      <c r="C19" s="57"/>
      <c r="D19" s="57"/>
      <c r="E19" s="57"/>
      <c r="F19" s="57"/>
      <c r="G19" s="125">
        <f>G11-G17</f>
        <v>1432</v>
      </c>
      <c r="H19" s="125">
        <f t="shared" ref="H19:K19" si="1">H11-H17</f>
        <v>2438</v>
      </c>
      <c r="I19" s="125">
        <f t="shared" si="1"/>
        <v>2934</v>
      </c>
      <c r="J19" s="125">
        <f t="shared" si="1"/>
        <v>5729</v>
      </c>
      <c r="K19" s="125">
        <f t="shared" si="1"/>
        <v>6484</v>
      </c>
    </row>
    <row r="20" spans="1:11" x14ac:dyDescent="0.25">
      <c r="G20" s="123"/>
      <c r="H20" s="123"/>
      <c r="I20" s="123"/>
      <c r="J20" s="123"/>
      <c r="K20" s="123"/>
    </row>
    <row r="21" spans="1:11" x14ac:dyDescent="0.25">
      <c r="B21" s="11" t="s">
        <v>291</v>
      </c>
      <c r="G21" s="123"/>
      <c r="H21" s="123"/>
      <c r="I21" s="123"/>
      <c r="J21" s="123"/>
      <c r="K21" s="123"/>
    </row>
    <row r="22" spans="1:11" x14ac:dyDescent="0.25">
      <c r="B22" s="115" t="str">
        <f>'Raw BS (Manual)'!B19</f>
        <v>Land</v>
      </c>
      <c r="C22" s="115"/>
      <c r="D22" s="115"/>
      <c r="E22" s="115"/>
      <c r="F22" s="115"/>
      <c r="G22" s="122">
        <f>'Raw BS (Manual)'!J19</f>
        <v>605</v>
      </c>
      <c r="H22" s="122">
        <f>'Raw BS (Manual)'!K19</f>
        <v>640</v>
      </c>
      <c r="I22" s="122">
        <f>'Raw BS (Manual)'!L19</f>
        <v>644</v>
      </c>
      <c r="J22" s="122">
        <f>'Raw BS (Manual)'!M19</f>
        <v>644</v>
      </c>
      <c r="K22" s="122">
        <f>'Raw BS (Manual)'!N19</f>
        <v>799</v>
      </c>
    </row>
    <row r="23" spans="1:11" x14ac:dyDescent="0.25">
      <c r="B23" s="115" t="str">
        <f>'Raw BS (Manual)'!B20</f>
        <v>Building</v>
      </c>
      <c r="C23" s="115"/>
      <c r="D23" s="115"/>
      <c r="E23" s="115"/>
      <c r="F23" s="115"/>
      <c r="G23" s="122">
        <f>'Raw BS (Manual)'!J20</f>
        <v>2402</v>
      </c>
      <c r="H23" s="122">
        <f>'Raw BS (Manual)'!K20</f>
        <v>2257</v>
      </c>
      <c r="I23" s="122">
        <f>'Raw BS (Manual)'!L20</f>
        <v>2249</v>
      </c>
      <c r="J23" s="122">
        <f>'Raw BS (Manual)'!M20</f>
        <v>2325</v>
      </c>
      <c r="K23" s="122">
        <f>'Raw BS (Manual)'!N20</f>
        <v>2617</v>
      </c>
    </row>
    <row r="24" spans="1:11" x14ac:dyDescent="0.25">
      <c r="B24" s="115" t="str">
        <f>'Raw BS (Manual)'!B21</f>
        <v>Plant Machinery</v>
      </c>
      <c r="C24" s="115"/>
      <c r="D24" s="115"/>
      <c r="E24" s="115"/>
      <c r="F24" s="115"/>
      <c r="G24" s="122">
        <f>'Raw BS (Manual)'!J21</f>
        <v>4006</v>
      </c>
      <c r="H24" s="122">
        <f>'Raw BS (Manual)'!K21</f>
        <v>4208</v>
      </c>
      <c r="I24" s="122">
        <f>'Raw BS (Manual)'!L21</f>
        <v>4340</v>
      </c>
      <c r="J24" s="122">
        <f>'Raw BS (Manual)'!M21</f>
        <v>4531</v>
      </c>
      <c r="K24" s="122">
        <f>'Raw BS (Manual)'!N21</f>
        <v>4825</v>
      </c>
    </row>
    <row r="25" spans="1:11" x14ac:dyDescent="0.25">
      <c r="B25" s="115" t="str">
        <f>'Raw BS (Manual)'!B22</f>
        <v>Equipments</v>
      </c>
      <c r="C25" s="115"/>
      <c r="D25" s="115"/>
      <c r="E25" s="115"/>
      <c r="F25" s="115"/>
      <c r="G25" s="122">
        <f>'Raw BS (Manual)'!J22</f>
        <v>221</v>
      </c>
      <c r="H25" s="122">
        <f>'Raw BS (Manual)'!K22</f>
        <v>241</v>
      </c>
      <c r="I25" s="122">
        <f>'Raw BS (Manual)'!L22</f>
        <v>243</v>
      </c>
      <c r="J25" s="122">
        <f>'Raw BS (Manual)'!M22</f>
        <v>253</v>
      </c>
      <c r="K25" s="122">
        <f>'Raw BS (Manual)'!N22</f>
        <v>270</v>
      </c>
    </row>
    <row r="26" spans="1:11" x14ac:dyDescent="0.25">
      <c r="B26" s="115" t="str">
        <f>'Raw BS (Manual)'!B23</f>
        <v>Computers</v>
      </c>
      <c r="C26" s="115"/>
      <c r="D26" s="115"/>
      <c r="E26" s="115"/>
      <c r="F26" s="115"/>
      <c r="G26" s="122">
        <f>'Raw BS (Manual)'!J23</f>
        <v>0</v>
      </c>
      <c r="H26" s="122">
        <f>'Raw BS (Manual)'!K23</f>
        <v>0</v>
      </c>
      <c r="I26" s="122">
        <f>'Raw BS (Manual)'!L23</f>
        <v>0</v>
      </c>
      <c r="J26" s="122">
        <f>'Raw BS (Manual)'!M23</f>
        <v>0</v>
      </c>
      <c r="K26" s="122">
        <f>'Raw BS (Manual)'!N23</f>
        <v>0</v>
      </c>
    </row>
    <row r="27" spans="1:11" x14ac:dyDescent="0.25">
      <c r="B27" s="115" t="str">
        <f>'Raw BS (Manual)'!B24</f>
        <v>Furniture n fittings</v>
      </c>
      <c r="C27" s="115"/>
      <c r="D27" s="115"/>
      <c r="E27" s="115"/>
      <c r="F27" s="115"/>
      <c r="G27" s="122">
        <f>'Raw BS (Manual)'!J24</f>
        <v>88</v>
      </c>
      <c r="H27" s="122">
        <f>'Raw BS (Manual)'!K24</f>
        <v>94</v>
      </c>
      <c r="I27" s="122">
        <f>'Raw BS (Manual)'!L24</f>
        <v>99</v>
      </c>
      <c r="J27" s="122">
        <f>'Raw BS (Manual)'!M24</f>
        <v>113</v>
      </c>
      <c r="K27" s="122">
        <f>'Raw BS (Manual)'!N24</f>
        <v>146</v>
      </c>
    </row>
    <row r="28" spans="1:11" x14ac:dyDescent="0.25">
      <c r="B28" s="115" t="str">
        <f>'Raw BS (Manual)'!B25</f>
        <v>Vehicles</v>
      </c>
      <c r="C28" s="115"/>
      <c r="D28" s="115"/>
      <c r="E28" s="115"/>
      <c r="F28" s="115"/>
      <c r="G28" s="122">
        <f>'Raw BS (Manual)'!J25</f>
        <v>47</v>
      </c>
      <c r="H28" s="122">
        <f>'Raw BS (Manual)'!K25</f>
        <v>43</v>
      </c>
      <c r="I28" s="122">
        <f>'Raw BS (Manual)'!L25</f>
        <v>38</v>
      </c>
      <c r="J28" s="122">
        <f>'Raw BS (Manual)'!M25</f>
        <v>32</v>
      </c>
      <c r="K28" s="122">
        <f>'Raw BS (Manual)'!N25</f>
        <v>30</v>
      </c>
    </row>
    <row r="29" spans="1:11" x14ac:dyDescent="0.25">
      <c r="B29" s="115" t="str">
        <f>'Raw BS (Manual)'!B26</f>
        <v>Intangible Assets</v>
      </c>
      <c r="C29" s="115"/>
      <c r="D29" s="115"/>
      <c r="E29" s="115"/>
      <c r="F29" s="115"/>
      <c r="G29" s="122">
        <f>'Raw BS (Manual)'!J26</f>
        <v>512</v>
      </c>
      <c r="H29" s="122">
        <f>'Raw BS (Manual)'!K26</f>
        <v>505</v>
      </c>
      <c r="I29" s="122">
        <f>'Raw BS (Manual)'!L26</f>
        <v>476</v>
      </c>
      <c r="J29" s="122">
        <f>'Raw BS (Manual)'!M26</f>
        <v>345</v>
      </c>
      <c r="K29" s="122">
        <f>'Raw BS (Manual)'!N26</f>
        <v>330</v>
      </c>
    </row>
    <row r="30" spans="1:11" x14ac:dyDescent="0.25">
      <c r="B30" s="115" t="str">
        <f>'Raw BS (Manual)'!B27</f>
        <v>Other fixed assets</v>
      </c>
      <c r="C30" s="115"/>
      <c r="D30" s="115"/>
      <c r="E30" s="115"/>
      <c r="F30" s="115"/>
      <c r="G30" s="122">
        <f>'Raw BS (Manual)'!J27</f>
        <v>261</v>
      </c>
      <c r="H30" s="122">
        <f>'Raw BS (Manual)'!K27</f>
        <v>293</v>
      </c>
      <c r="I30" s="122">
        <f>'Raw BS (Manual)'!L27</f>
        <v>302</v>
      </c>
      <c r="J30" s="122">
        <f>'Raw BS (Manual)'!M27</f>
        <v>294</v>
      </c>
      <c r="K30" s="122">
        <f>'Raw BS (Manual)'!N27</f>
        <v>289</v>
      </c>
    </row>
    <row r="31" spans="1:11" ht="8.25" customHeight="1" x14ac:dyDescent="0.25">
      <c r="B31" s="100"/>
      <c r="C31" s="100"/>
      <c r="D31" s="100"/>
      <c r="E31" s="100"/>
      <c r="F31" s="100"/>
      <c r="G31" s="126"/>
      <c r="H31" s="126"/>
      <c r="I31" s="126"/>
      <c r="J31" s="126"/>
      <c r="K31" s="126"/>
    </row>
    <row r="32" spans="1:11" x14ac:dyDescent="0.25">
      <c r="B32" s="82" t="s">
        <v>277</v>
      </c>
      <c r="C32" s="120"/>
      <c r="D32" s="120"/>
      <c r="E32" s="120"/>
      <c r="F32" s="120"/>
      <c r="G32" s="124">
        <f>SUM(G22:G30)</f>
        <v>8142</v>
      </c>
      <c r="H32" s="124">
        <f>SUM(H22:H30)</f>
        <v>8281</v>
      </c>
      <c r="I32" s="124">
        <f>SUM(I22:I30)</f>
        <v>8391</v>
      </c>
      <c r="J32" s="124">
        <f>SUM(J22:J30)</f>
        <v>8537</v>
      </c>
      <c r="K32" s="124">
        <f>SUM(K22:K30)</f>
        <v>9306</v>
      </c>
    </row>
    <row r="33" spans="1:11" x14ac:dyDescent="0.25">
      <c r="B33" t="s">
        <v>278</v>
      </c>
      <c r="G33" s="123">
        <f>-'Raw BS (Manual)'!J29</f>
        <v>-1592</v>
      </c>
      <c r="H33" s="123">
        <f>-'Raw BS (Manual)'!K29</f>
        <v>-2010</v>
      </c>
      <c r="I33" s="123">
        <f>-'Raw BS (Manual)'!L29</f>
        <v>-2533</v>
      </c>
      <c r="J33" s="123">
        <f>-'Raw BS (Manual)'!M29</f>
        <v>-3019</v>
      </c>
      <c r="K33" s="123">
        <f>-'Raw BS (Manual)'!N29</f>
        <v>-3536</v>
      </c>
    </row>
    <row r="34" spans="1:11" ht="15.75" thickBot="1" x14ac:dyDescent="0.3">
      <c r="A34" s="111" t="s">
        <v>2</v>
      </c>
      <c r="B34" s="57" t="s">
        <v>292</v>
      </c>
      <c r="C34" s="57"/>
      <c r="D34" s="57"/>
      <c r="E34" s="57"/>
      <c r="F34" s="57"/>
      <c r="G34" s="125">
        <f>SUM(G32:G33)</f>
        <v>6550</v>
      </c>
      <c r="H34" s="125">
        <f t="shared" ref="H34:K34" si="2">SUM(H32:H33)</f>
        <v>6271</v>
      </c>
      <c r="I34" s="125">
        <f t="shared" si="2"/>
        <v>5858</v>
      </c>
      <c r="J34" s="125">
        <f t="shared" si="2"/>
        <v>5518</v>
      </c>
      <c r="K34" s="125">
        <f t="shared" si="2"/>
        <v>5770</v>
      </c>
    </row>
    <row r="35" spans="1:11" x14ac:dyDescent="0.25">
      <c r="G35" s="123"/>
      <c r="H35" s="123"/>
      <c r="I35" s="123"/>
      <c r="J35" s="123"/>
      <c r="K35" s="123"/>
    </row>
    <row r="36" spans="1:11" x14ac:dyDescent="0.25">
      <c r="A36" t="s">
        <v>2</v>
      </c>
      <c r="B36" s="11" t="s">
        <v>293</v>
      </c>
      <c r="C36" s="11"/>
      <c r="D36" s="11"/>
      <c r="E36" s="11"/>
      <c r="F36" s="11"/>
      <c r="G36" s="127">
        <f>G34+G19</f>
        <v>7982</v>
      </c>
      <c r="H36" s="127">
        <f t="shared" ref="H36:K36" si="3">H34+H19</f>
        <v>8709</v>
      </c>
      <c r="I36" s="127">
        <f t="shared" si="3"/>
        <v>8792</v>
      </c>
      <c r="J36" s="127">
        <f t="shared" si="3"/>
        <v>11247</v>
      </c>
      <c r="K36" s="127">
        <f t="shared" si="3"/>
        <v>12254</v>
      </c>
    </row>
    <row r="37" spans="1:11" x14ac:dyDescent="0.25">
      <c r="B37" t="s">
        <v>115</v>
      </c>
      <c r="G37" s="123">
        <f>'Historical FS'!H18-'Historical FS'!H21</f>
        <v>3142.8000000000015</v>
      </c>
      <c r="H37" s="123">
        <f>'Historical FS'!I18-'Historical FS'!I21</f>
        <v>3376.3199999999979</v>
      </c>
      <c r="I37" s="123">
        <f>'Historical FS'!J18-'Historical FS'!J21</f>
        <v>4064.3300000000031</v>
      </c>
      <c r="J37" s="123">
        <f>'Historical FS'!K18-'Historical FS'!K21</f>
        <v>3987.2499999999986</v>
      </c>
      <c r="K37" s="123">
        <f>'Historical FS'!L18-'Historical FS'!L21</f>
        <v>5401.8199999999961</v>
      </c>
    </row>
    <row r="39" spans="1:11" ht="15.75" thickBot="1" x14ac:dyDescent="0.3">
      <c r="A39" t="s">
        <v>2</v>
      </c>
      <c r="B39" s="57" t="s">
        <v>294</v>
      </c>
      <c r="C39" s="57"/>
      <c r="D39" s="57"/>
      <c r="E39" s="57"/>
      <c r="F39" s="57"/>
      <c r="G39" s="121">
        <f>G37/G36</f>
        <v>0.39373590578802325</v>
      </c>
      <c r="H39" s="121">
        <f t="shared" ref="H39:K39" si="4">H37/H36</f>
        <v>0.38768170857733353</v>
      </c>
      <c r="I39" s="121">
        <f t="shared" si="4"/>
        <v>0.46227593266606043</v>
      </c>
      <c r="J39" s="121">
        <f t="shared" si="4"/>
        <v>0.35451676002489541</v>
      </c>
      <c r="K39" s="121">
        <f t="shared" si="4"/>
        <v>0.44082095642239238</v>
      </c>
    </row>
    <row r="41" spans="1:11" x14ac:dyDescent="0.25">
      <c r="A41" t="s">
        <v>2</v>
      </c>
      <c r="B41" s="65" t="s">
        <v>295</v>
      </c>
      <c r="C41" s="8"/>
      <c r="D41" s="8"/>
      <c r="E41" s="8"/>
      <c r="F41" s="8"/>
      <c r="G41" s="9">
        <f>'Intrinsic Growth'!G4</f>
        <v>43525</v>
      </c>
      <c r="H41" s="9">
        <f>'Intrinsic Growth'!H4</f>
        <v>43891</v>
      </c>
      <c r="I41" s="9">
        <f>'Intrinsic Growth'!I4</f>
        <v>44256</v>
      </c>
      <c r="J41" s="9">
        <f>'Intrinsic Growth'!J4</f>
        <v>44621</v>
      </c>
      <c r="K41" s="9">
        <f>'Intrinsic Growth'!K4</f>
        <v>44986</v>
      </c>
    </row>
    <row r="43" spans="1:11" x14ac:dyDescent="0.25">
      <c r="B43" s="115" t="s">
        <v>296</v>
      </c>
      <c r="C43" s="115"/>
      <c r="D43" s="115"/>
      <c r="E43" s="115"/>
      <c r="F43" s="115"/>
      <c r="G43" s="122">
        <f>-SUM('Cash Flow Data (Manual)'!J15:J16)</f>
        <v>1134</v>
      </c>
      <c r="H43" s="122">
        <f>-SUM('Cash Flow Data (Manual)'!K15:K16)</f>
        <v>367</v>
      </c>
      <c r="I43" s="122">
        <f>-SUM('Cash Flow Data (Manual)'!L15:L16)</f>
        <v>254</v>
      </c>
      <c r="J43" s="122">
        <f>-SUM('Cash Flow Data (Manual)'!M15:M16)</f>
        <v>511</v>
      </c>
      <c r="K43" s="122">
        <f>-SUM('Cash Flow Data (Manual)'!N15:N16)</f>
        <v>1420</v>
      </c>
    </row>
    <row r="44" spans="1:11" x14ac:dyDescent="0.25">
      <c r="B44" s="115" t="s">
        <v>297</v>
      </c>
      <c r="C44" s="115"/>
      <c r="D44" s="115"/>
      <c r="E44" s="115"/>
      <c r="F44" s="115"/>
      <c r="G44" s="122"/>
      <c r="H44" s="122">
        <f>H19-G19</f>
        <v>1006</v>
      </c>
      <c r="I44" s="122">
        <f t="shared" ref="I44:K44" si="5">I19-H19</f>
        <v>496</v>
      </c>
      <c r="J44" s="122">
        <f t="shared" si="5"/>
        <v>2795</v>
      </c>
      <c r="K44" s="122">
        <f t="shared" si="5"/>
        <v>755</v>
      </c>
    </row>
    <row r="45" spans="1:11" x14ac:dyDescent="0.25">
      <c r="B45" s="115"/>
      <c r="C45" s="115"/>
      <c r="D45" s="115"/>
      <c r="E45" s="115"/>
      <c r="F45" s="115"/>
      <c r="G45" s="122"/>
      <c r="H45" s="122"/>
      <c r="I45" s="122"/>
      <c r="J45" s="122"/>
      <c r="K45" s="122"/>
    </row>
    <row r="46" spans="1:11" x14ac:dyDescent="0.25">
      <c r="B46" s="115" t="s">
        <v>115</v>
      </c>
      <c r="C46" s="115"/>
      <c r="D46" s="115"/>
      <c r="E46" s="115"/>
      <c r="F46" s="115"/>
      <c r="G46" s="122">
        <f>G37</f>
        <v>3142.8000000000015</v>
      </c>
      <c r="H46" s="122">
        <f t="shared" ref="H46:K46" si="6">H37</f>
        <v>3376.3199999999979</v>
      </c>
      <c r="I46" s="122">
        <f t="shared" si="6"/>
        <v>4064.3300000000031</v>
      </c>
      <c r="J46" s="122">
        <f t="shared" si="6"/>
        <v>3987.2499999999986</v>
      </c>
      <c r="K46" s="122">
        <f t="shared" si="6"/>
        <v>5401.8199999999961</v>
      </c>
    </row>
    <row r="47" spans="1:11" x14ac:dyDescent="0.25">
      <c r="B47" s="115" t="s">
        <v>298</v>
      </c>
      <c r="C47" s="115"/>
      <c r="D47" s="115"/>
      <c r="E47" s="115"/>
      <c r="F47" s="115"/>
      <c r="G47" s="128">
        <v>0.25</v>
      </c>
      <c r="H47" s="128">
        <v>0.25</v>
      </c>
      <c r="I47" s="128">
        <v>0.25</v>
      </c>
      <c r="J47" s="128">
        <v>0.25</v>
      </c>
      <c r="K47" s="128">
        <v>0.25</v>
      </c>
    </row>
    <row r="48" spans="1:11" x14ac:dyDescent="0.25">
      <c r="B48" s="115" t="s">
        <v>301</v>
      </c>
      <c r="C48" s="115"/>
      <c r="D48" s="115"/>
      <c r="E48" s="115"/>
      <c r="F48" s="115"/>
      <c r="G48" s="122">
        <f>G46*(1-G47)</f>
        <v>2357.1000000000013</v>
      </c>
      <c r="H48" s="122">
        <f t="shared" ref="H48:K48" si="7">H46*(1-H47)</f>
        <v>2532.2399999999984</v>
      </c>
      <c r="I48" s="122">
        <f t="shared" si="7"/>
        <v>3048.2475000000022</v>
      </c>
      <c r="J48" s="122">
        <f t="shared" si="7"/>
        <v>2990.4374999999991</v>
      </c>
      <c r="K48" s="122">
        <f t="shared" si="7"/>
        <v>4051.3649999999971</v>
      </c>
    </row>
    <row r="49" spans="1:11" x14ac:dyDescent="0.25">
      <c r="B49" s="115"/>
      <c r="C49" s="115"/>
      <c r="D49" s="115"/>
      <c r="E49" s="115"/>
      <c r="F49" s="115"/>
      <c r="G49" s="122"/>
      <c r="H49" s="122"/>
      <c r="I49" s="122"/>
      <c r="J49" s="122"/>
      <c r="K49" s="122"/>
    </row>
    <row r="50" spans="1:11" x14ac:dyDescent="0.25">
      <c r="B50" s="115" t="s">
        <v>299</v>
      </c>
      <c r="C50" s="115"/>
      <c r="D50" s="115"/>
      <c r="E50" s="115"/>
      <c r="F50" s="115"/>
      <c r="G50" s="122"/>
      <c r="H50" s="122">
        <f>SUM(H43:H44)</f>
        <v>1373</v>
      </c>
      <c r="I50" s="122">
        <f t="shared" ref="I50:K50" si="8">SUM(I43:I44)</f>
        <v>750</v>
      </c>
      <c r="J50" s="122">
        <f t="shared" si="8"/>
        <v>3306</v>
      </c>
      <c r="K50" s="122">
        <f t="shared" si="8"/>
        <v>2175</v>
      </c>
    </row>
    <row r="51" spans="1:11" ht="4.5" customHeight="1" x14ac:dyDescent="0.25">
      <c r="H51" s="21"/>
      <c r="I51" s="21"/>
      <c r="J51" s="21"/>
      <c r="K51" s="21"/>
    </row>
    <row r="52" spans="1:11" ht="15.75" thickBot="1" x14ac:dyDescent="0.3">
      <c r="B52" s="57" t="s">
        <v>300</v>
      </c>
      <c r="C52" s="57"/>
      <c r="D52" s="57"/>
      <c r="E52" s="57"/>
      <c r="F52" s="57"/>
      <c r="G52" s="57"/>
      <c r="H52" s="121">
        <f>H50/H48</f>
        <v>0.54220768963447419</v>
      </c>
      <c r="I52" s="121">
        <f t="shared" ref="I52:K52" si="9">I50/I48</f>
        <v>0.24604301323957437</v>
      </c>
      <c r="J52" s="121">
        <f t="shared" si="9"/>
        <v>1.1055238572951285</v>
      </c>
      <c r="K52" s="121">
        <f t="shared" si="9"/>
        <v>0.53685609664890765</v>
      </c>
    </row>
    <row r="53" spans="1:11" x14ac:dyDescent="0.25">
      <c r="H53" s="14"/>
      <c r="I53" s="14"/>
      <c r="J53" s="14"/>
      <c r="K53" s="14"/>
    </row>
    <row r="54" spans="1:11" x14ac:dyDescent="0.25">
      <c r="J54" s="74" t="s">
        <v>302</v>
      </c>
      <c r="K54" s="129">
        <f>AVERAGE(H52:K52)</f>
        <v>0.60765766420452116</v>
      </c>
    </row>
    <row r="55" spans="1:11" x14ac:dyDescent="0.25">
      <c r="J55" s="74" t="s">
        <v>303</v>
      </c>
      <c r="K55" s="129">
        <f>MEDIAN(H52:K52)</f>
        <v>0.53953189314169092</v>
      </c>
    </row>
    <row r="57" spans="1:11" x14ac:dyDescent="0.25">
      <c r="A57" t="s">
        <v>2</v>
      </c>
      <c r="B57" s="65" t="s">
        <v>304</v>
      </c>
      <c r="C57" s="8"/>
      <c r="D57" s="8"/>
      <c r="E57" s="8"/>
      <c r="F57" s="8"/>
      <c r="G57" s="9">
        <f>G41</f>
        <v>43525</v>
      </c>
      <c r="H57" s="9">
        <f t="shared" ref="H57:K57" si="10">H41</f>
        <v>43891</v>
      </c>
      <c r="I57" s="9">
        <f t="shared" si="10"/>
        <v>44256</v>
      </c>
      <c r="J57" s="9">
        <f t="shared" si="10"/>
        <v>44621</v>
      </c>
      <c r="K57" s="9">
        <f t="shared" si="10"/>
        <v>44986</v>
      </c>
    </row>
    <row r="59" spans="1:11" x14ac:dyDescent="0.25">
      <c r="B59" s="115" t="s">
        <v>300</v>
      </c>
      <c r="C59" s="115"/>
      <c r="D59" s="115"/>
      <c r="E59" s="115"/>
      <c r="F59" s="115"/>
      <c r="G59" s="115"/>
      <c r="H59" s="128">
        <f>H52</f>
        <v>0.54220768963447419</v>
      </c>
      <c r="I59" s="128">
        <f t="shared" ref="I59:K59" si="11">I52</f>
        <v>0.24604301323957437</v>
      </c>
      <c r="J59" s="128">
        <f t="shared" si="11"/>
        <v>1.1055238572951285</v>
      </c>
      <c r="K59" s="128">
        <f t="shared" si="11"/>
        <v>0.53685609664890765</v>
      </c>
    </row>
    <row r="60" spans="1:11" x14ac:dyDescent="0.25">
      <c r="B60" s="115" t="s">
        <v>294</v>
      </c>
      <c r="C60" s="115"/>
      <c r="D60" s="115"/>
      <c r="E60" s="115"/>
      <c r="F60" s="115"/>
      <c r="G60" s="115"/>
      <c r="H60" s="128">
        <f>H39</f>
        <v>0.38768170857733353</v>
      </c>
      <c r="I60" s="128">
        <f t="shared" ref="I60:K60" si="12">I39</f>
        <v>0.46227593266606043</v>
      </c>
      <c r="J60" s="128">
        <f t="shared" si="12"/>
        <v>0.35451676002489541</v>
      </c>
      <c r="K60" s="128">
        <f t="shared" si="12"/>
        <v>0.44082095642239238</v>
      </c>
    </row>
    <row r="61" spans="1:11" ht="6" customHeight="1" x14ac:dyDescent="0.25"/>
    <row r="62" spans="1:11" ht="15.75" thickBot="1" x14ac:dyDescent="0.3">
      <c r="B62" s="57" t="s">
        <v>305</v>
      </c>
      <c r="C62" s="57"/>
      <c r="D62" s="57"/>
      <c r="E62" s="57"/>
      <c r="F62" s="57"/>
      <c r="G62" s="57"/>
      <c r="H62" s="130">
        <f>H59*H60</f>
        <v>0.21020400352126153</v>
      </c>
      <c r="I62" s="130">
        <f t="shared" ref="I62:K62" si="13">I59*I60</f>
        <v>0.11373976342129209</v>
      </c>
      <c r="J62" s="130">
        <f t="shared" si="13"/>
        <v>0.39192673601849376</v>
      </c>
      <c r="K62" s="130">
        <f t="shared" si="13"/>
        <v>0.23665741798596379</v>
      </c>
    </row>
    <row r="64" spans="1:11" x14ac:dyDescent="0.25">
      <c r="J64" s="74" t="s">
        <v>302</v>
      </c>
      <c r="K64" s="129">
        <f>AVERAGE(H62:K62)</f>
        <v>0.2381319802367528</v>
      </c>
    </row>
    <row r="65" spans="10:11" x14ac:dyDescent="0.25">
      <c r="J65" s="74" t="s">
        <v>303</v>
      </c>
      <c r="K65" s="129">
        <f>MEDIAN(H62:K62)</f>
        <v>0.22343071075361265</v>
      </c>
    </row>
  </sheetData>
  <pageMargins left="0.7" right="0.7" top="0.75" bottom="0.75" header="0.3" footer="0.3"/>
  <ignoredErrors>
    <ignoredError sqref="G43:K43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FC14-F1B6-43CA-ABEE-C8B98359EF16}">
  <dimension ref="A2:K43"/>
  <sheetViews>
    <sheetView showGridLines="0" workbookViewId="0">
      <selection activeCell="D43" sqref="D43"/>
    </sheetView>
  </sheetViews>
  <sheetFormatPr defaultRowHeight="15" x14ac:dyDescent="0.25"/>
  <cols>
    <col min="1" max="1" width="1.85546875" customWidth="1"/>
    <col min="2" max="2" width="27.5703125" bestFit="1" customWidth="1"/>
    <col min="4" max="4" width="11.140625" bestFit="1" customWidth="1"/>
    <col min="6" max="6" width="10" bestFit="1" customWidth="1"/>
    <col min="7" max="9" width="12" bestFit="1" customWidth="1"/>
    <col min="10" max="11" width="10.7109375" bestFit="1" customWidth="1"/>
  </cols>
  <sheetData>
    <row r="2" spans="1:11" x14ac:dyDescent="0.25">
      <c r="B2" s="65" t="str">
        <f>"Discounted Cash Flows Valuation - "&amp;'Data Sheet'!B1</f>
        <v>Discounted Cash Flows Valuation - ASIAN PAINTS LTD</v>
      </c>
      <c r="C2" s="77"/>
      <c r="D2" s="77"/>
      <c r="E2" s="77"/>
      <c r="F2" s="77"/>
      <c r="G2" s="77"/>
      <c r="H2" s="77"/>
      <c r="I2" s="77"/>
      <c r="J2" s="77"/>
      <c r="K2" s="77"/>
    </row>
    <row r="4" spans="1:11" x14ac:dyDescent="0.25">
      <c r="A4" t="s">
        <v>2</v>
      </c>
      <c r="B4" s="65" t="s">
        <v>306</v>
      </c>
      <c r="C4" s="77"/>
      <c r="D4" s="77"/>
      <c r="E4" s="77"/>
      <c r="F4" s="132">
        <f>'Intrinsic Growth'!K4</f>
        <v>44986</v>
      </c>
      <c r="G4" s="131">
        <f>F4+366</f>
        <v>45352</v>
      </c>
      <c r="H4" s="131">
        <f t="shared" ref="H4:K4" si="0">G4+366</f>
        <v>45718</v>
      </c>
      <c r="I4" s="131">
        <f t="shared" si="0"/>
        <v>46084</v>
      </c>
      <c r="J4" s="131">
        <f t="shared" si="0"/>
        <v>46450</v>
      </c>
      <c r="K4" s="131">
        <f t="shared" si="0"/>
        <v>46816</v>
      </c>
    </row>
    <row r="6" spans="1:11" x14ac:dyDescent="0.25">
      <c r="B6" s="115" t="s">
        <v>115</v>
      </c>
      <c r="C6" s="115"/>
      <c r="D6" s="115"/>
      <c r="E6" s="115"/>
      <c r="F6" s="136">
        <f>'Data Sheet'!K33-'Data Sheet'!K26</f>
        <v>5833.2800000000007</v>
      </c>
      <c r="G6" s="115">
        <f>F6*(1+$D$16)</f>
        <v>7043.6856000000007</v>
      </c>
      <c r="H6" s="115">
        <f>G6*(1+$D$16)</f>
        <v>8505.2503620000007</v>
      </c>
      <c r="I6" s="115">
        <f>H6*(1+$D$16)</f>
        <v>10270.089812115</v>
      </c>
      <c r="J6" s="115">
        <f>I6*(1+$D$16)</f>
        <v>12401.133448128863</v>
      </c>
      <c r="K6" s="115">
        <f>J6*(1+$D$16)</f>
        <v>14974.368638615602</v>
      </c>
    </row>
    <row r="7" spans="1:11" x14ac:dyDescent="0.25">
      <c r="B7" s="115" t="s">
        <v>138</v>
      </c>
      <c r="C7" s="115"/>
      <c r="D7" s="115"/>
      <c r="E7" s="115"/>
      <c r="F7" s="137">
        <v>0.25</v>
      </c>
      <c r="G7" s="128">
        <f>F7</f>
        <v>0.25</v>
      </c>
      <c r="H7" s="128">
        <f t="shared" ref="H7:K7" si="1">G7</f>
        <v>0.25</v>
      </c>
      <c r="I7" s="128">
        <f t="shared" si="1"/>
        <v>0.25</v>
      </c>
      <c r="J7" s="128">
        <f t="shared" si="1"/>
        <v>0.25</v>
      </c>
      <c r="K7" s="128">
        <f t="shared" si="1"/>
        <v>0.25</v>
      </c>
    </row>
    <row r="8" spans="1:11" x14ac:dyDescent="0.25">
      <c r="B8" s="115" t="s">
        <v>301</v>
      </c>
      <c r="C8" s="115"/>
      <c r="D8" s="115"/>
      <c r="E8" s="115"/>
      <c r="F8" s="138">
        <f t="shared" ref="F8:K8" si="2">F6*(1-F7)</f>
        <v>4374.9600000000009</v>
      </c>
      <c r="G8" s="115">
        <f t="shared" si="2"/>
        <v>5282.7642000000005</v>
      </c>
      <c r="H8" s="115">
        <f t="shared" si="2"/>
        <v>6378.937771500001</v>
      </c>
      <c r="I8" s="115">
        <f t="shared" si="2"/>
        <v>7702.5673590862498</v>
      </c>
      <c r="J8" s="115">
        <f t="shared" si="2"/>
        <v>9300.8500860966469</v>
      </c>
      <c r="K8" s="115">
        <f t="shared" si="2"/>
        <v>11230.776478961701</v>
      </c>
    </row>
    <row r="9" spans="1:11" x14ac:dyDescent="0.25">
      <c r="B9" s="115" t="s">
        <v>307</v>
      </c>
      <c r="C9" s="115"/>
      <c r="D9" s="115"/>
      <c r="E9" s="115"/>
      <c r="F9" s="137">
        <f>'Intrinsic Growth'!K55</f>
        <v>0.53953189314169092</v>
      </c>
      <c r="G9" s="135">
        <f>F9+(($K$9-$F$9)/5)</f>
        <v>0.52990551451335277</v>
      </c>
      <c r="H9" s="135">
        <f t="shared" ref="H9:J9" si="3">G9+(($K$9-$F$9)/5)</f>
        <v>0.52027913588501462</v>
      </c>
      <c r="I9" s="135">
        <f t="shared" si="3"/>
        <v>0.51065275725667647</v>
      </c>
      <c r="J9" s="135">
        <f t="shared" si="3"/>
        <v>0.50102637862833832</v>
      </c>
      <c r="K9" s="128">
        <v>0.4914</v>
      </c>
    </row>
    <row r="10" spans="1:11" x14ac:dyDescent="0.25">
      <c r="B10" s="115" t="s">
        <v>308</v>
      </c>
      <c r="C10" s="115"/>
      <c r="D10" s="115"/>
      <c r="E10" s="115"/>
      <c r="F10" s="138">
        <f t="shared" ref="F10:K10" si="4">F8*(1-F9)</f>
        <v>2014.5295487808282</v>
      </c>
      <c r="G10" s="115">
        <f t="shared" si="4"/>
        <v>2483.3983185462798</v>
      </c>
      <c r="H10" s="115">
        <f t="shared" si="4"/>
        <v>3060.1095398796997</v>
      </c>
      <c r="I10" s="115">
        <f t="shared" si="4"/>
        <v>3769.2300992135797</v>
      </c>
      <c r="J10" s="115">
        <f t="shared" si="4"/>
        <v>4640.878849294575</v>
      </c>
      <c r="K10" s="115">
        <f t="shared" si="4"/>
        <v>5711.9729171999206</v>
      </c>
    </row>
    <row r="11" spans="1:11" x14ac:dyDescent="0.25">
      <c r="B11" s="115" t="s">
        <v>309</v>
      </c>
      <c r="C11" s="115"/>
      <c r="D11" s="115"/>
      <c r="E11" s="115"/>
      <c r="F11" s="138"/>
      <c r="G11" s="115">
        <v>0.5</v>
      </c>
      <c r="H11" s="115">
        <f>G11+1</f>
        <v>1.5</v>
      </c>
      <c r="I11" s="115">
        <f t="shared" ref="I11:K11" si="5">H11+1</f>
        <v>2.5</v>
      </c>
      <c r="J11" s="115">
        <f t="shared" si="5"/>
        <v>3.5</v>
      </c>
      <c r="K11" s="115">
        <f t="shared" si="5"/>
        <v>4.5</v>
      </c>
    </row>
    <row r="12" spans="1:11" x14ac:dyDescent="0.25">
      <c r="B12" s="115" t="s">
        <v>310</v>
      </c>
      <c r="C12" s="115"/>
      <c r="D12" s="115"/>
      <c r="E12" s="115"/>
      <c r="F12" s="138"/>
      <c r="G12" s="140">
        <f>1/(1+$D$18)^G11</f>
        <v>0.93994396668164004</v>
      </c>
      <c r="H12" s="140">
        <f t="shared" ref="H12:K12" si="6">1/(1+$D$18)^H11</f>
        <v>0.8304354757335618</v>
      </c>
      <c r="I12" s="140">
        <f t="shared" si="6"/>
        <v>0.73368530870138904</v>
      </c>
      <c r="J12" s="140">
        <f t="shared" si="6"/>
        <v>0.64820705272586365</v>
      </c>
      <c r="K12" s="140">
        <f t="shared" si="6"/>
        <v>0.57268746998253073</v>
      </c>
    </row>
    <row r="13" spans="1:11" ht="8.1" customHeight="1" x14ac:dyDescent="0.25">
      <c r="F13" s="139"/>
    </row>
    <row r="14" spans="1:11" ht="15.75" thickBot="1" x14ac:dyDescent="0.3">
      <c r="B14" s="57" t="s">
        <v>311</v>
      </c>
      <c r="C14" s="57"/>
      <c r="D14" s="57"/>
      <c r="E14" s="57"/>
      <c r="F14" s="141"/>
      <c r="G14" s="57">
        <f>G12*G10</f>
        <v>2334.2552663849056</v>
      </c>
      <c r="H14" s="57">
        <f t="shared" ref="H14:K14" si="7">H12*H10</f>
        <v>2541.2235215468095</v>
      </c>
      <c r="I14" s="57">
        <f t="shared" si="7"/>
        <v>2765.4287489080825</v>
      </c>
      <c r="J14" s="57">
        <f t="shared" si="7"/>
        <v>3008.2504009590339</v>
      </c>
      <c r="K14" s="57">
        <f t="shared" si="7"/>
        <v>3271.1753185599582</v>
      </c>
    </row>
    <row r="16" spans="1:11" x14ac:dyDescent="0.25">
      <c r="B16" s="36" t="s">
        <v>312</v>
      </c>
      <c r="C16" s="36"/>
      <c r="D16" s="133">
        <v>0.20749999999999999</v>
      </c>
    </row>
    <row r="17" spans="1:11" x14ac:dyDescent="0.25">
      <c r="B17" s="36" t="s">
        <v>313</v>
      </c>
      <c r="C17" s="36"/>
      <c r="D17" s="134">
        <v>7.0000000000000007E-2</v>
      </c>
    </row>
    <row r="18" spans="1:11" x14ac:dyDescent="0.25">
      <c r="B18" s="36" t="s">
        <v>158</v>
      </c>
      <c r="C18" s="36"/>
      <c r="D18" s="133">
        <f>WACC!K37</f>
        <v>0.13186875338068163</v>
      </c>
    </row>
    <row r="21" spans="1:11" x14ac:dyDescent="0.25">
      <c r="A21" t="s">
        <v>2</v>
      </c>
      <c r="B21" s="65" t="s">
        <v>314</v>
      </c>
      <c r="C21" s="77"/>
      <c r="D21" s="77"/>
      <c r="F21" s="65" t="s">
        <v>366</v>
      </c>
      <c r="G21" s="77"/>
      <c r="H21" s="77"/>
      <c r="I21" s="77"/>
      <c r="J21" s="77"/>
      <c r="K21" s="77"/>
    </row>
    <row r="22" spans="1:11" x14ac:dyDescent="0.25">
      <c r="F22" s="161">
        <f>D33</f>
        <v>77764.260623974231</v>
      </c>
      <c r="G22" s="162">
        <v>0.11</v>
      </c>
      <c r="H22" s="103">
        <v>0.12</v>
      </c>
      <c r="I22" s="103">
        <v>0.13189999999999999</v>
      </c>
      <c r="J22" s="162">
        <v>0.14000000000000001</v>
      </c>
      <c r="K22" s="103">
        <v>0.15</v>
      </c>
    </row>
    <row r="23" spans="1:11" x14ac:dyDescent="0.25">
      <c r="B23" t="s">
        <v>315</v>
      </c>
      <c r="D23">
        <f>K10*(1+D16)</f>
        <v>6897.2072975189039</v>
      </c>
      <c r="F23" s="163">
        <v>0.05</v>
      </c>
      <c r="G23" s="117">
        <f t="dataTable" ref="G23:K27" dt2D="1" dtr="1" r1="D24" r2="D25"/>
        <v>79752.736542377941</v>
      </c>
      <c r="H23" s="117">
        <v>70348.107501518069</v>
      </c>
      <c r="I23" s="117">
        <v>62149.200132563303</v>
      </c>
      <c r="J23" s="117">
        <v>57808.602113704888</v>
      </c>
      <c r="K23" s="117">
        <v>53419.775227970284</v>
      </c>
    </row>
    <row r="24" spans="1:11" x14ac:dyDescent="0.25">
      <c r="B24" t="s">
        <v>158</v>
      </c>
      <c r="D24" s="73">
        <f>D18</f>
        <v>0.13186875338068163</v>
      </c>
      <c r="F24" s="163">
        <v>0.06</v>
      </c>
      <c r="G24" s="117">
        <v>92919.217199581763</v>
      </c>
      <c r="H24" s="117">
        <v>79752.736542377941</v>
      </c>
      <c r="I24" s="117">
        <v>68856.970212703018</v>
      </c>
      <c r="J24" s="117">
        <v>63294.63572087315</v>
      </c>
      <c r="K24" s="117">
        <v>57808.602113704896</v>
      </c>
    </row>
    <row r="25" spans="1:11" x14ac:dyDescent="0.25">
      <c r="B25" t="s">
        <v>316</v>
      </c>
      <c r="D25" s="90">
        <f>D17</f>
        <v>7.0000000000000007E-2</v>
      </c>
      <c r="F25" s="163">
        <v>7.0000000000000007E-2</v>
      </c>
      <c r="G25" s="117">
        <v>112668.93818538754</v>
      </c>
      <c r="H25" s="117">
        <v>92919.217199581792</v>
      </c>
      <c r="I25" s="164">
        <v>77732.032725844256</v>
      </c>
      <c r="J25" s="117">
        <v>70348.107501518069</v>
      </c>
      <c r="K25" s="117">
        <v>63294.635720873164</v>
      </c>
    </row>
    <row r="26" spans="1:11" x14ac:dyDescent="0.25">
      <c r="F26" s="163">
        <v>0.08</v>
      </c>
      <c r="G26" s="117">
        <v>145585.13982839708</v>
      </c>
      <c r="H26" s="117">
        <v>112668.93818538754</v>
      </c>
      <c r="I26" s="117">
        <v>90027.15786447344</v>
      </c>
      <c r="J26" s="117">
        <v>79752.736542377927</v>
      </c>
      <c r="K26" s="117">
        <v>70348.107501518069</v>
      </c>
    </row>
    <row r="27" spans="1:11" ht="15.75" thickBot="1" x14ac:dyDescent="0.3">
      <c r="B27" s="57" t="s">
        <v>317</v>
      </c>
      <c r="C27" s="57"/>
      <c r="D27" s="57">
        <f>D23/(D24-D25)</f>
        <v>111481.27157306747</v>
      </c>
      <c r="F27" s="163">
        <v>0.09</v>
      </c>
      <c r="G27" s="117">
        <v>211417.54311441624</v>
      </c>
      <c r="H27" s="117">
        <v>145585.13982839708</v>
      </c>
      <c r="I27" s="117">
        <v>108191.07781867741</v>
      </c>
      <c r="J27" s="117">
        <v>92919.217199581748</v>
      </c>
      <c r="K27" s="117">
        <v>79752.736542377941</v>
      </c>
    </row>
    <row r="29" spans="1:11" x14ac:dyDescent="0.25">
      <c r="A29" t="s">
        <v>2</v>
      </c>
      <c r="B29" s="65" t="s">
        <v>322</v>
      </c>
      <c r="C29" s="77"/>
      <c r="D29" s="77"/>
      <c r="F29" s="65" t="s">
        <v>367</v>
      </c>
      <c r="G29" s="77"/>
      <c r="H29" s="77"/>
      <c r="I29" s="77"/>
      <c r="J29" s="77"/>
      <c r="K29" s="77"/>
    </row>
    <row r="30" spans="1:11" x14ac:dyDescent="0.25">
      <c r="F30" s="161">
        <f>D40</f>
        <v>809.38555450429692</v>
      </c>
      <c r="G30" s="162">
        <v>0.11</v>
      </c>
      <c r="H30" s="103">
        <v>0.12</v>
      </c>
      <c r="I30" s="103">
        <v>0.13189999999999999</v>
      </c>
      <c r="J30" s="162">
        <v>0.14000000000000001</v>
      </c>
      <c r="K30" s="103">
        <v>0.15</v>
      </c>
    </row>
    <row r="31" spans="1:11" x14ac:dyDescent="0.25">
      <c r="B31" t="s">
        <v>311</v>
      </c>
      <c r="D31">
        <f>SUM(G14:K14)</f>
        <v>13920.33325635879</v>
      </c>
      <c r="F31" s="163">
        <v>0.05</v>
      </c>
      <c r="G31">
        <f t="dataTable" ref="G31:K35" dt2D="1" dtr="1" r1="D24" r2="D25" ca="1"/>
        <v>830.11616932797506</v>
      </c>
      <c r="H31">
        <v>732.06934844308626</v>
      </c>
      <c r="I31">
        <v>646.59263279984987</v>
      </c>
      <c r="J31">
        <v>601.34025392990111</v>
      </c>
      <c r="K31">
        <v>555.58507085028634</v>
      </c>
    </row>
    <row r="32" spans="1:11" x14ac:dyDescent="0.25">
      <c r="B32" t="s">
        <v>318</v>
      </c>
      <c r="D32" s="72">
        <f>D27*K12</f>
        <v>63843.927367615433</v>
      </c>
      <c r="F32" s="163">
        <v>0.06</v>
      </c>
      <c r="G32">
        <v>967.38171856681925</v>
      </c>
      <c r="H32">
        <v>830.11616932797506</v>
      </c>
      <c r="I32">
        <v>716.52367725966872</v>
      </c>
      <c r="J32">
        <v>658.53423277941954</v>
      </c>
      <c r="K32">
        <v>601.34025392990111</v>
      </c>
    </row>
    <row r="33" spans="2:11" x14ac:dyDescent="0.25">
      <c r="B33" s="11" t="s">
        <v>319</v>
      </c>
      <c r="C33" s="11"/>
      <c r="D33" s="142">
        <f>SUM(D31:D32)</f>
        <v>77764.260623974231</v>
      </c>
      <c r="F33" s="163">
        <v>7.0000000000000007E-2</v>
      </c>
      <c r="G33">
        <v>1173.2800424250861</v>
      </c>
      <c r="H33">
        <v>967.38171856681947</v>
      </c>
      <c r="I33" s="36">
        <v>809.04956645610093</v>
      </c>
      <c r="J33">
        <v>732.06934844308626</v>
      </c>
      <c r="K33">
        <v>658.53423277941965</v>
      </c>
    </row>
    <row r="34" spans="2:11" x14ac:dyDescent="0.25">
      <c r="D34" s="90"/>
      <c r="F34" s="163">
        <v>0.08</v>
      </c>
      <c r="G34">
        <v>1516.4439155221964</v>
      </c>
      <c r="H34">
        <v>1173.2800424250861</v>
      </c>
      <c r="I34">
        <v>937.23090428314276</v>
      </c>
      <c r="J34">
        <v>830.11616932797483</v>
      </c>
      <c r="K34">
        <v>732.06934844308626</v>
      </c>
    </row>
    <row r="35" spans="2:11" x14ac:dyDescent="0.25">
      <c r="B35" t="s">
        <v>320</v>
      </c>
      <c r="D35" s="72">
        <f>'Data Sheet'!K69</f>
        <v>843.82</v>
      </c>
      <c r="F35" s="163">
        <v>0.09</v>
      </c>
      <c r="G35">
        <v>2202.7716617164178</v>
      </c>
      <c r="H35">
        <v>1516.4439155221964</v>
      </c>
      <c r="I35">
        <v>1126.5966515741663</v>
      </c>
      <c r="J35">
        <v>967.38171856681902</v>
      </c>
      <c r="K35">
        <v>830.11616932797506</v>
      </c>
    </row>
    <row r="36" spans="2:11" x14ac:dyDescent="0.25">
      <c r="B36" t="s">
        <v>321</v>
      </c>
      <c r="D36">
        <f>SUM('Raw BS (Manual)'!N7:N8)</f>
        <v>972</v>
      </c>
    </row>
    <row r="37" spans="2:11" x14ac:dyDescent="0.25">
      <c r="B37" s="11" t="s">
        <v>323</v>
      </c>
      <c r="C37" s="11"/>
      <c r="D37" s="142">
        <f>D33+D35-D36</f>
        <v>77636.080623974238</v>
      </c>
    </row>
    <row r="38" spans="2:11" x14ac:dyDescent="0.25">
      <c r="B38" s="11" t="s">
        <v>324</v>
      </c>
      <c r="C38" s="11"/>
      <c r="D38" s="142">
        <f>'Data Sheet'!B6</f>
        <v>95.919775429550342</v>
      </c>
    </row>
    <row r="39" spans="2:11" ht="8.1" customHeight="1" x14ac:dyDescent="0.25"/>
    <row r="40" spans="2:11" ht="15.75" thickBot="1" x14ac:dyDescent="0.3">
      <c r="B40" s="57" t="s">
        <v>325</v>
      </c>
      <c r="C40" s="57"/>
      <c r="D40" s="57">
        <f>D37/D38</f>
        <v>809.38555450429692</v>
      </c>
    </row>
    <row r="42" spans="2:11" x14ac:dyDescent="0.25">
      <c r="B42" s="143" t="s">
        <v>326</v>
      </c>
      <c r="D42">
        <f>'Data Sheet'!B8</f>
        <v>2947.85</v>
      </c>
    </row>
    <row r="43" spans="2:11" x14ac:dyDescent="0.25">
      <c r="B43" t="s">
        <v>327</v>
      </c>
      <c r="D43" s="144">
        <f>D42/D40</f>
        <v>3.6420837802144765</v>
      </c>
    </row>
  </sheetData>
  <pageMargins left="0.7" right="0.7" top="0.75" bottom="0.75" header="0.3" footer="0.3"/>
  <pageSetup orientation="portrait" r:id="rId1"/>
  <ignoredErrors>
    <ignoredError sqref="D36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901E-5487-4483-AA5A-60B60041BE25}">
  <sheetPr>
    <tabColor rgb="FF002060"/>
  </sheetPr>
  <dimension ref="D5:S9"/>
  <sheetViews>
    <sheetView showGridLines="0" workbookViewId="0">
      <selection activeCell="D5" sqref="D5:S9"/>
    </sheetView>
  </sheetViews>
  <sheetFormatPr defaultRowHeight="15" x14ac:dyDescent="0.25"/>
  <cols>
    <col min="1" max="1" width="1.85546875" customWidth="1"/>
  </cols>
  <sheetData>
    <row r="5" spans="4:19" x14ac:dyDescent="0.25">
      <c r="D5" s="227" t="str">
        <f>"COMPARABLE VALUATION FOR "&amp;'Data Sheet'!B1</f>
        <v>COMPARABLE VALUATION FOR ASIAN PAINTS LTD</v>
      </c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</row>
    <row r="6" spans="4:19" x14ac:dyDescent="0.25"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</row>
    <row r="7" spans="4:19" x14ac:dyDescent="0.25"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</row>
    <row r="8" spans="4:19" x14ac:dyDescent="0.25">
      <c r="D8" s="165"/>
      <c r="E8" s="165"/>
      <c r="F8" s="228" t="s">
        <v>371</v>
      </c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</row>
    <row r="9" spans="4:19" x14ac:dyDescent="0.25">
      <c r="D9" s="165"/>
      <c r="E9" s="165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</row>
  </sheetData>
  <mergeCells count="2">
    <mergeCell ref="D5:S7"/>
    <mergeCell ref="F8:Q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2BEB-FFE8-406B-BEC7-9CD19FD823E7}">
  <dimension ref="B2:R31"/>
  <sheetViews>
    <sheetView showGridLines="0" zoomScaleNormal="100" workbookViewId="0">
      <selection activeCell="F12" sqref="F12"/>
    </sheetView>
  </sheetViews>
  <sheetFormatPr defaultRowHeight="15" x14ac:dyDescent="0.25"/>
  <cols>
    <col min="1" max="1" width="1.85546875" customWidth="1"/>
    <col min="2" max="2" width="21" customWidth="1"/>
    <col min="4" max="4" width="10" bestFit="1" customWidth="1"/>
    <col min="5" max="5" width="12.5703125" customWidth="1"/>
    <col min="6" max="6" width="11.5703125" bestFit="1" customWidth="1"/>
    <col min="7" max="7" width="10" bestFit="1" customWidth="1"/>
    <col min="8" max="8" width="11.5703125" bestFit="1" customWidth="1"/>
    <col min="9" max="9" width="5.28515625" customWidth="1"/>
    <col min="10" max="10" width="1.85546875" customWidth="1"/>
    <col min="11" max="11" width="11.5703125" bestFit="1" customWidth="1"/>
    <col min="12" max="12" width="10" bestFit="1" customWidth="1"/>
    <col min="13" max="13" width="11.42578125" bestFit="1" customWidth="1"/>
    <col min="14" max="14" width="1.85546875" customWidth="1"/>
    <col min="15" max="16" width="12.5703125" bestFit="1" customWidth="1"/>
    <col min="17" max="17" width="11.5703125" bestFit="1" customWidth="1"/>
  </cols>
  <sheetData>
    <row r="2" spans="2:18" x14ac:dyDescent="0.25">
      <c r="B2" s="65" t="str">
        <f>"Peer Pricing - "&amp;'Data Sheet'!B1</f>
        <v>Peer Pricing - ASIAN PAINTS LTD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4" spans="2:18" x14ac:dyDescent="0.25">
      <c r="B4" s="148" t="s">
        <v>328</v>
      </c>
      <c r="C4" s="145"/>
      <c r="D4" s="145"/>
      <c r="E4" s="145"/>
      <c r="F4" s="145"/>
      <c r="G4" s="145"/>
      <c r="H4" s="145"/>
      <c r="I4" s="145"/>
      <c r="J4" s="145"/>
      <c r="K4" s="145"/>
    </row>
    <row r="5" spans="2:18" ht="6" customHeight="1" x14ac:dyDescent="0.25"/>
    <row r="6" spans="2:18" x14ac:dyDescent="0.25">
      <c r="B6" s="8"/>
      <c r="C6" s="8"/>
      <c r="D6" s="230" t="s">
        <v>336</v>
      </c>
      <c r="E6" s="230"/>
      <c r="F6" s="230"/>
      <c r="G6" s="230"/>
      <c r="H6" s="230"/>
      <c r="I6" s="8"/>
      <c r="J6" s="8"/>
      <c r="K6" s="230" t="s">
        <v>340</v>
      </c>
      <c r="L6" s="230"/>
      <c r="M6" s="230"/>
      <c r="N6" s="147"/>
      <c r="O6" s="230" t="s">
        <v>339</v>
      </c>
      <c r="P6" s="230"/>
      <c r="Q6" s="230"/>
      <c r="R6" s="150"/>
    </row>
    <row r="7" spans="2:18" ht="30" x14ac:dyDescent="0.25">
      <c r="B7" s="146" t="s">
        <v>329</v>
      </c>
      <c r="C7" s="149" t="s">
        <v>330</v>
      </c>
      <c r="D7" s="149" t="s">
        <v>331</v>
      </c>
      <c r="E7" s="149" t="s">
        <v>332</v>
      </c>
      <c r="F7" s="149" t="s">
        <v>333</v>
      </c>
      <c r="G7" s="149" t="s">
        <v>334</v>
      </c>
      <c r="H7" s="149" t="s">
        <v>335</v>
      </c>
      <c r="I7" s="10"/>
      <c r="J7" s="10"/>
      <c r="K7" s="10" t="s">
        <v>337</v>
      </c>
      <c r="L7" s="10" t="s">
        <v>13</v>
      </c>
      <c r="M7" s="10" t="s">
        <v>338</v>
      </c>
      <c r="N7" s="10"/>
      <c r="O7" s="149" t="s">
        <v>349</v>
      </c>
      <c r="P7" s="149" t="s">
        <v>350</v>
      </c>
      <c r="Q7" s="149" t="s">
        <v>351</v>
      </c>
      <c r="R7" s="151"/>
    </row>
    <row r="9" spans="2:18" x14ac:dyDescent="0.25">
      <c r="B9" s="152" t="str">
        <f>Peers!C17</f>
        <v>Asian Paints</v>
      </c>
      <c r="C9" s="152"/>
      <c r="D9" s="156">
        <f>Peers!D17</f>
        <v>2966.4</v>
      </c>
      <c r="E9" s="156">
        <f>Peers!E17</f>
        <v>95.92</v>
      </c>
      <c r="F9" s="156">
        <f>E9*D9</f>
        <v>284537.08799999999</v>
      </c>
      <c r="G9" s="156">
        <f>Peers!Q17</f>
        <v>1482.9499999999998</v>
      </c>
      <c r="H9" s="156">
        <f t="shared" ref="H9:H12" si="0">F9+G9</f>
        <v>286020.038</v>
      </c>
      <c r="I9" s="156"/>
      <c r="J9" s="156"/>
      <c r="K9" s="156">
        <f>Peers!K17</f>
        <v>35551.31</v>
      </c>
      <c r="L9" s="156">
        <f>Peers!N17</f>
        <v>8494.7954275534448</v>
      </c>
      <c r="M9" s="156">
        <f>Peers!L17</f>
        <v>5540.8</v>
      </c>
      <c r="N9" s="152"/>
      <c r="O9" s="153">
        <f>$H9/K9</f>
        <v>8.0452742247754028</v>
      </c>
      <c r="P9" s="153">
        <f t="shared" ref="P9:P12" si="1">$H9/L9</f>
        <v>33.670032485099597</v>
      </c>
      <c r="Q9" s="153">
        <f>F9/M9</f>
        <v>51.353069592838573</v>
      </c>
    </row>
    <row r="10" spans="2:18" x14ac:dyDescent="0.25">
      <c r="B10" s="115" t="str">
        <f>Peers!C18</f>
        <v>Berger Paints</v>
      </c>
      <c r="C10" s="115"/>
      <c r="D10" s="116">
        <f>Peers!D18</f>
        <v>554.65</v>
      </c>
      <c r="E10" s="116">
        <f>Peers!E18</f>
        <v>116.57</v>
      </c>
      <c r="F10" s="116">
        <f t="shared" ref="F10:F12" si="2">E10*D10</f>
        <v>64655.55049999999</v>
      </c>
      <c r="G10" s="116">
        <f>Peers!Q18</f>
        <v>909.48</v>
      </c>
      <c r="H10" s="116">
        <f t="shared" si="0"/>
        <v>65565.030499999993</v>
      </c>
      <c r="I10" s="116"/>
      <c r="J10" s="116"/>
      <c r="K10" s="116">
        <f>Peers!K18</f>
        <v>11122.27</v>
      </c>
      <c r="L10" s="116">
        <f>Peers!N18</f>
        <v>1928.867707719505</v>
      </c>
      <c r="M10" s="116">
        <f>Peers!L18</f>
        <v>1133.21</v>
      </c>
      <c r="N10" s="115"/>
      <c r="O10" s="154">
        <f t="shared" ref="O10:O12" si="3">$H10/K10</f>
        <v>5.8949324643260761</v>
      </c>
      <c r="P10" s="154">
        <f t="shared" si="1"/>
        <v>33.991460501724788</v>
      </c>
      <c r="Q10" s="154">
        <f t="shared" ref="Q10:Q12" si="4">F10/M10</f>
        <v>57.055224097916529</v>
      </c>
    </row>
    <row r="11" spans="2:18" x14ac:dyDescent="0.25">
      <c r="B11" s="115" t="str">
        <f>Peers!C19</f>
        <v>Kansai Nerolac</v>
      </c>
      <c r="C11" s="115"/>
      <c r="D11" s="116">
        <f>Peers!D19</f>
        <v>309.05</v>
      </c>
      <c r="E11" s="116">
        <f>Peers!E19</f>
        <v>80.84</v>
      </c>
      <c r="F11" s="116">
        <f t="shared" si="2"/>
        <v>24983.602000000003</v>
      </c>
      <c r="G11" s="116">
        <f>Peers!Q19</f>
        <v>196.40999999999997</v>
      </c>
      <c r="H11" s="116">
        <f t="shared" si="0"/>
        <v>25180.012000000002</v>
      </c>
      <c r="I11" s="116"/>
      <c r="J11" s="116"/>
      <c r="K11" s="116">
        <f>Peers!K19</f>
        <v>7765.64</v>
      </c>
      <c r="L11" s="116">
        <f>Peers!N19</f>
        <v>1086.0332039672271</v>
      </c>
      <c r="M11" s="116">
        <f>Peers!L19</f>
        <v>1157.81</v>
      </c>
      <c r="N11" s="115"/>
      <c r="O11" s="154">
        <f t="shared" si="3"/>
        <v>3.2424902519302981</v>
      </c>
      <c r="P11" s="154">
        <f t="shared" si="1"/>
        <v>23.185305852545419</v>
      </c>
      <c r="Q11" s="154">
        <f t="shared" si="4"/>
        <v>21.578326322971822</v>
      </c>
    </row>
    <row r="12" spans="2:18" x14ac:dyDescent="0.25">
      <c r="B12" s="115" t="str">
        <f>Peers!C20</f>
        <v>Akzo Nobel</v>
      </c>
      <c r="C12" s="115"/>
      <c r="D12" s="116">
        <f>Peers!D20</f>
        <v>2768.4</v>
      </c>
      <c r="E12" s="116">
        <f>Peers!E20</f>
        <v>4.55</v>
      </c>
      <c r="F12" s="116">
        <f t="shared" si="2"/>
        <v>12596.22</v>
      </c>
      <c r="G12" s="116">
        <f>Peers!Q20</f>
        <v>-500.40000000000003</v>
      </c>
      <c r="H12" s="116">
        <f t="shared" si="0"/>
        <v>12095.82</v>
      </c>
      <c r="I12" s="116"/>
      <c r="J12" s="116"/>
      <c r="K12" s="116">
        <f>Peers!K20</f>
        <v>3939.6</v>
      </c>
      <c r="L12" s="116">
        <f>Peers!N20</f>
        <v>656.76960784313735</v>
      </c>
      <c r="M12" s="116">
        <f>Peers!L20</f>
        <v>413.3</v>
      </c>
      <c r="N12" s="115"/>
      <c r="O12" s="154">
        <f t="shared" si="3"/>
        <v>3.07031678342979</v>
      </c>
      <c r="P12" s="154">
        <f t="shared" si="1"/>
        <v>18.417143326292532</v>
      </c>
      <c r="Q12" s="154">
        <f t="shared" si="4"/>
        <v>30.477183643842242</v>
      </c>
    </row>
    <row r="13" spans="2:18" x14ac:dyDescent="0.25">
      <c r="B13" s="115"/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5"/>
      <c r="O13" s="154"/>
      <c r="P13" s="154"/>
      <c r="Q13" s="154"/>
    </row>
    <row r="14" spans="2:18" ht="6" customHeight="1" x14ac:dyDescent="0.25"/>
    <row r="15" spans="2:18" x14ac:dyDescent="0.25">
      <c r="B15" s="152" t="s">
        <v>352</v>
      </c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3">
        <f>MAX(O9:O13)</f>
        <v>8.0452742247754028</v>
      </c>
      <c r="P15" s="153">
        <f>MAX(P9:P13)</f>
        <v>33.991460501724788</v>
      </c>
      <c r="Q15" s="153">
        <f>MAX(Q9:Q13)</f>
        <v>57.055224097916529</v>
      </c>
    </row>
    <row r="16" spans="2:18" x14ac:dyDescent="0.25">
      <c r="B16" s="152" t="s">
        <v>353</v>
      </c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3">
        <f>QUARTILE(O9:O13,3)</f>
        <v>6.4325179044384075</v>
      </c>
      <c r="P16" s="153">
        <f>QUARTILE(P9:P13,3)</f>
        <v>33.750389489255895</v>
      </c>
      <c r="Q16" s="153">
        <f>QUARTILE(Q9:Q13,3)</f>
        <v>52.778608219108065</v>
      </c>
    </row>
    <row r="17" spans="2:17" x14ac:dyDescent="0.25">
      <c r="B17" s="159" t="s">
        <v>132</v>
      </c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60">
        <f>AVERAGE(O9:O13)</f>
        <v>5.0632534311153918</v>
      </c>
      <c r="P17" s="160">
        <f>AVERAGE(P9:P13)</f>
        <v>27.315985541415582</v>
      </c>
      <c r="Q17" s="160">
        <f>AVERAGE(Q9:Q13)</f>
        <v>40.115950914392293</v>
      </c>
    </row>
    <row r="18" spans="2:17" x14ac:dyDescent="0.25">
      <c r="B18" s="159" t="s">
        <v>83</v>
      </c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60">
        <f>MEDIAN(O9:O13)</f>
        <v>4.5687113581281871</v>
      </c>
      <c r="P18" s="160">
        <f>MEDIAN(P9:P13)</f>
        <v>28.427669168822508</v>
      </c>
      <c r="Q18" s="160">
        <f>MEDIAN(Q9:Q13)</f>
        <v>40.915126618340409</v>
      </c>
    </row>
    <row r="19" spans="2:17" x14ac:dyDescent="0.25">
      <c r="B19" s="152" t="s">
        <v>354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3">
        <f>QUARTILE(O9:O13,1)</f>
        <v>3.1994468848051709</v>
      </c>
      <c r="P19" s="153">
        <f>QUARTILE(P9:P13,1)</f>
        <v>21.993265220982195</v>
      </c>
      <c r="Q19" s="153">
        <f>QUARTILE(Q9:Q13,1)</f>
        <v>28.252469313624637</v>
      </c>
    </row>
    <row r="20" spans="2:17" x14ac:dyDescent="0.25">
      <c r="B20" s="152" t="s">
        <v>355</v>
      </c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3">
        <f>MIN(O9:O13)</f>
        <v>3.07031678342979</v>
      </c>
      <c r="P20" s="153">
        <f>MIN(P9:P13)</f>
        <v>18.417143326292532</v>
      </c>
      <c r="Q20" s="153">
        <f>MIN(Q9:Q13)</f>
        <v>21.578326322971822</v>
      </c>
    </row>
    <row r="22" spans="2:17" x14ac:dyDescent="0.25">
      <c r="B22" s="155" t="str">
        <f>'Data Sheet'!B1&amp; " Comparable Valuation"</f>
        <v>ASIAN PAINTS LTD Comparable Valuation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49" t="s">
        <v>349</v>
      </c>
      <c r="P22" s="149" t="s">
        <v>350</v>
      </c>
      <c r="Q22" s="149" t="s">
        <v>351</v>
      </c>
    </row>
    <row r="23" spans="2:17" ht="4.5" customHeight="1" x14ac:dyDescent="0.25"/>
    <row r="24" spans="2:17" x14ac:dyDescent="0.25">
      <c r="B24" s="115" t="s">
        <v>356</v>
      </c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6">
        <f>O$18*K9</f>
        <v>162423.6737933362</v>
      </c>
      <c r="P24" s="116">
        <f>P$18*L9</f>
        <v>241487.23407131547</v>
      </c>
      <c r="Q24" s="116">
        <f>Q25+Q26</f>
        <v>228185.48356690057</v>
      </c>
    </row>
    <row r="25" spans="2:17" x14ac:dyDescent="0.25">
      <c r="B25" s="115" t="s">
        <v>334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6">
        <f>$G$9</f>
        <v>1482.9499999999998</v>
      </c>
      <c r="P25" s="116">
        <f t="shared" ref="P25:Q25" si="5">$G$9</f>
        <v>1482.9499999999998</v>
      </c>
      <c r="Q25" s="116">
        <f t="shared" si="5"/>
        <v>1482.9499999999998</v>
      </c>
    </row>
    <row r="26" spans="2:17" x14ac:dyDescent="0.25">
      <c r="B26" s="115" t="s">
        <v>357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6">
        <f>O24-O25</f>
        <v>160940.72379333619</v>
      </c>
      <c r="P26" s="116">
        <f t="shared" ref="P26" si="6">P24-P25</f>
        <v>240004.28407131546</v>
      </c>
      <c r="Q26" s="116">
        <f>Q18*M9</f>
        <v>226702.53356690056</v>
      </c>
    </row>
    <row r="27" spans="2:17" x14ac:dyDescent="0.25">
      <c r="B27" s="115" t="s">
        <v>332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6">
        <f>$E$9</f>
        <v>95.92</v>
      </c>
      <c r="P27" s="116">
        <f t="shared" ref="P27:Q27" si="7">$E$9</f>
        <v>95.92</v>
      </c>
      <c r="Q27" s="116">
        <f t="shared" si="7"/>
        <v>95.92</v>
      </c>
    </row>
    <row r="28" spans="2:17" ht="6" customHeight="1" x14ac:dyDescent="0.25">
      <c r="O28" s="117"/>
      <c r="P28" s="117"/>
      <c r="Q28" s="117"/>
    </row>
    <row r="29" spans="2:17" x14ac:dyDescent="0.25">
      <c r="B29" s="157" t="s">
        <v>358</v>
      </c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8">
        <f>O26/O27</f>
        <v>1677.8640929246892</v>
      </c>
      <c r="P29" s="158">
        <f t="shared" ref="P29:Q29" si="8">P26/P27</f>
        <v>2502.1297338544146</v>
      </c>
      <c r="Q29" s="158">
        <f t="shared" si="8"/>
        <v>2363.4542698801142</v>
      </c>
    </row>
    <row r="31" spans="2:17" x14ac:dyDescent="0.25">
      <c r="O31" t="str">
        <f>IF(O29&gt;$D$9,"Undervalued","Overvalued")</f>
        <v>Overvalued</v>
      </c>
      <c r="P31" t="str">
        <f t="shared" ref="P31:Q31" si="9">IF(P29&gt;$D$9,"Undervalued","Overvalued")</f>
        <v>Overvalued</v>
      </c>
      <c r="Q31" t="str">
        <f t="shared" si="9"/>
        <v>Overvalued</v>
      </c>
    </row>
  </sheetData>
  <mergeCells count="3">
    <mergeCell ref="D6:H6"/>
    <mergeCell ref="K6:M6"/>
    <mergeCell ref="O6:Q6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F6EA-6C8D-465F-8401-48FC1C71DE23}">
  <dimension ref="B2:Q10"/>
  <sheetViews>
    <sheetView showGridLines="0" workbookViewId="0">
      <selection activeCell="N9" sqref="N9"/>
    </sheetView>
  </sheetViews>
  <sheetFormatPr defaultRowHeight="15" x14ac:dyDescent="0.25"/>
  <cols>
    <col min="1" max="1" width="1.85546875" customWidth="1"/>
  </cols>
  <sheetData>
    <row r="2" spans="2:17" x14ac:dyDescent="0.25">
      <c r="B2" s="65" t="str">
        <f>"Football Field Analysis - "&amp;'Data Sheet'!B1</f>
        <v>Football Field Analysis - ASIAN PAINTS LTD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4" spans="2:17" x14ac:dyDescent="0.25">
      <c r="L4" s="65" t="s">
        <v>368</v>
      </c>
      <c r="M4" s="77"/>
      <c r="N4" s="77"/>
      <c r="O4" s="77"/>
      <c r="P4" s="77"/>
      <c r="Q4" s="77"/>
    </row>
    <row r="5" spans="2:17" x14ac:dyDescent="0.25">
      <c r="N5" t="s">
        <v>364</v>
      </c>
      <c r="O5" t="s">
        <v>355</v>
      </c>
      <c r="P5" t="s">
        <v>365</v>
      </c>
      <c r="Q5" t="s">
        <v>352</v>
      </c>
    </row>
    <row r="6" spans="2:17" x14ac:dyDescent="0.25">
      <c r="L6" t="s">
        <v>359</v>
      </c>
      <c r="N6">
        <v>352</v>
      </c>
      <c r="O6">
        <v>352</v>
      </c>
      <c r="P6">
        <v>2459</v>
      </c>
      <c r="Q6">
        <v>2459</v>
      </c>
    </row>
    <row r="7" spans="2:17" x14ac:dyDescent="0.25">
      <c r="L7" t="s">
        <v>360</v>
      </c>
      <c r="N7">
        <v>605</v>
      </c>
      <c r="O7">
        <v>605</v>
      </c>
      <c r="P7">
        <v>1528</v>
      </c>
      <c r="Q7">
        <v>1528</v>
      </c>
    </row>
    <row r="8" spans="2:17" x14ac:dyDescent="0.25">
      <c r="L8" t="s">
        <v>361</v>
      </c>
      <c r="N8">
        <v>918</v>
      </c>
      <c r="O8">
        <v>918</v>
      </c>
      <c r="P8">
        <v>1250</v>
      </c>
      <c r="Q8">
        <v>1250</v>
      </c>
    </row>
    <row r="9" spans="2:17" x14ac:dyDescent="0.25">
      <c r="L9" t="s">
        <v>362</v>
      </c>
      <c r="N9">
        <v>1632</v>
      </c>
      <c r="O9">
        <v>1632</v>
      </c>
      <c r="P9">
        <v>2840</v>
      </c>
      <c r="Q9">
        <v>2840</v>
      </c>
    </row>
    <row r="10" spans="2:17" x14ac:dyDescent="0.25">
      <c r="L10" t="s">
        <v>363</v>
      </c>
      <c r="N10">
        <v>400</v>
      </c>
      <c r="O10">
        <v>400</v>
      </c>
      <c r="P10">
        <v>950</v>
      </c>
      <c r="Q10">
        <v>950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8CB5-5DEA-4E6F-B920-C2E611CE4A87}">
  <sheetPr>
    <tabColor rgb="FF002060"/>
  </sheetPr>
  <dimension ref="D5:S9"/>
  <sheetViews>
    <sheetView showGridLines="0" workbookViewId="0">
      <selection activeCell="D5" sqref="D5:S9"/>
    </sheetView>
  </sheetViews>
  <sheetFormatPr defaultRowHeight="15" x14ac:dyDescent="0.25"/>
  <cols>
    <col min="1" max="1" width="1.85546875" customWidth="1"/>
  </cols>
  <sheetData>
    <row r="5" spans="4:19" x14ac:dyDescent="0.25">
      <c r="D5" s="227" t="str">
        <f>"DATA SOURCE FOR "&amp;'Data Sheet'!B1</f>
        <v>DATA SOURCE FOR ASIAN PAINTS LTD</v>
      </c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</row>
    <row r="6" spans="4:19" x14ac:dyDescent="0.25"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</row>
    <row r="7" spans="4:19" x14ac:dyDescent="0.25"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</row>
    <row r="8" spans="4:19" x14ac:dyDescent="0.25">
      <c r="D8" s="165"/>
      <c r="E8" s="165"/>
      <c r="F8" s="228" t="s">
        <v>376</v>
      </c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</row>
    <row r="9" spans="4:19" x14ac:dyDescent="0.25">
      <c r="D9" s="165"/>
      <c r="E9" s="165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</row>
  </sheetData>
  <mergeCells count="2">
    <mergeCell ref="D5:S7"/>
    <mergeCell ref="F8:Q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Normal="100" zoomScalePageLayoutView="120" workbookViewId="0">
      <pane xSplit="1" ySplit="1" topLeftCell="B2" activePane="bottomRight" state="frozen"/>
      <selection pane="topRight" activeCell="C4" sqref="C4"/>
      <selection pane="bottomLeft" activeCell="C4" sqref="C4"/>
      <selection pane="bottomRight" activeCell="B25" sqref="B25"/>
    </sheetView>
  </sheetViews>
  <sheetFormatPr defaultColWidth="8.85546875" defaultRowHeight="15" x14ac:dyDescent="0.2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 x14ac:dyDescent="0.25">
      <c r="A1" s="1" t="s">
        <v>161</v>
      </c>
      <c r="B1" s="1" t="s">
        <v>162</v>
      </c>
      <c r="E1" s="231" t="str">
        <f>IF(B2&lt;&gt;B3, "A NEW VERSION OF THE WORKSHEET IS AVAILABLE", "")</f>
        <v/>
      </c>
      <c r="F1" s="231"/>
      <c r="G1" s="231"/>
      <c r="H1" s="231"/>
      <c r="I1" s="231"/>
      <c r="J1" s="231"/>
      <c r="K1" s="231"/>
    </row>
    <row r="2" spans="1:11" x14ac:dyDescent="0.25">
      <c r="A2" s="1" t="s">
        <v>163</v>
      </c>
      <c r="B2" s="2">
        <v>2.1</v>
      </c>
      <c r="E2" s="232" t="s">
        <v>164</v>
      </c>
      <c r="F2" s="232"/>
      <c r="G2" s="232"/>
      <c r="H2" s="232"/>
      <c r="I2" s="232"/>
      <c r="J2" s="232"/>
      <c r="K2" s="232"/>
    </row>
    <row r="3" spans="1:11" x14ac:dyDescent="0.25">
      <c r="A3" s="1" t="s">
        <v>165</v>
      </c>
      <c r="B3" s="2">
        <v>2.1</v>
      </c>
    </row>
    <row r="4" spans="1:11" x14ac:dyDescent="0.25">
      <c r="A4" s="1"/>
    </row>
    <row r="5" spans="1:11" x14ac:dyDescent="0.25">
      <c r="A5" s="1" t="s">
        <v>166</v>
      </c>
    </row>
    <row r="6" spans="1:11" x14ac:dyDescent="0.25">
      <c r="A6" s="2" t="s">
        <v>167</v>
      </c>
      <c r="B6" s="2">
        <f>IF(B9&gt;0, B9/B8, 0)</f>
        <v>95.919775429550342</v>
      </c>
    </row>
    <row r="7" spans="1:11" x14ac:dyDescent="0.25">
      <c r="A7" s="2" t="s">
        <v>168</v>
      </c>
      <c r="B7">
        <v>1</v>
      </c>
    </row>
    <row r="8" spans="1:11" x14ac:dyDescent="0.25">
      <c r="A8" s="2" t="s">
        <v>169</v>
      </c>
      <c r="B8">
        <v>2947.85</v>
      </c>
    </row>
    <row r="9" spans="1:11" x14ac:dyDescent="0.25">
      <c r="A9" s="2" t="s">
        <v>170</v>
      </c>
      <c r="B9">
        <v>282757.11</v>
      </c>
    </row>
    <row r="15" spans="1:11" x14ac:dyDescent="0.25">
      <c r="A15" s="1" t="s">
        <v>171</v>
      </c>
    </row>
    <row r="16" spans="1:11" s="6" customFormat="1" x14ac:dyDescent="0.25">
      <c r="A16" s="5" t="s">
        <v>172</v>
      </c>
      <c r="B16" s="4">
        <v>41729</v>
      </c>
      <c r="C16" s="4">
        <v>42094</v>
      </c>
      <c r="D16" s="4">
        <v>42460</v>
      </c>
      <c r="E16" s="4">
        <v>42825</v>
      </c>
      <c r="F16" s="4">
        <v>43190</v>
      </c>
      <c r="G16" s="4">
        <v>43555</v>
      </c>
      <c r="H16" s="4">
        <v>43921</v>
      </c>
      <c r="I16" s="4">
        <v>44286</v>
      </c>
      <c r="J16" s="4">
        <v>44651</v>
      </c>
      <c r="K16" s="4">
        <v>45016</v>
      </c>
    </row>
    <row r="17" spans="1:11" s="3" customFormat="1" x14ac:dyDescent="0.25">
      <c r="A17" s="3" t="s">
        <v>4</v>
      </c>
      <c r="B17">
        <v>12220.37</v>
      </c>
      <c r="C17">
        <v>13615.26</v>
      </c>
      <c r="D17">
        <v>14271.49</v>
      </c>
      <c r="E17">
        <v>15061.99</v>
      </c>
      <c r="F17">
        <v>16824.55</v>
      </c>
      <c r="G17">
        <v>19240.13</v>
      </c>
      <c r="H17">
        <v>20211.25</v>
      </c>
      <c r="I17">
        <v>21712.79</v>
      </c>
      <c r="J17">
        <v>29101.279999999999</v>
      </c>
      <c r="K17">
        <v>34488.589999999997</v>
      </c>
    </row>
    <row r="18" spans="1:11" s="3" customFormat="1" x14ac:dyDescent="0.25">
      <c r="A18" s="2" t="s">
        <v>173</v>
      </c>
      <c r="B18">
        <v>6339.75</v>
      </c>
      <c r="C18">
        <v>6874.83</v>
      </c>
      <c r="D18">
        <v>6569.83</v>
      </c>
      <c r="E18">
        <v>7452.6</v>
      </c>
      <c r="F18">
        <v>8128.17</v>
      </c>
      <c r="G18">
        <v>9974.4</v>
      </c>
      <c r="H18">
        <v>9981.99</v>
      </c>
      <c r="I18">
        <v>10425.549999999999</v>
      </c>
      <c r="J18">
        <v>17123.25</v>
      </c>
      <c r="K18">
        <v>18985.53</v>
      </c>
    </row>
    <row r="19" spans="1:11" s="3" customFormat="1" x14ac:dyDescent="0.25">
      <c r="A19" s="2" t="s">
        <v>174</v>
      </c>
      <c r="B19">
        <v>90.28</v>
      </c>
      <c r="C19">
        <v>148.07</v>
      </c>
      <c r="D19">
        <v>-199.33</v>
      </c>
      <c r="E19">
        <v>528.6</v>
      </c>
      <c r="F19">
        <v>-142.13</v>
      </c>
      <c r="G19">
        <v>293.26</v>
      </c>
      <c r="H19">
        <v>239.15</v>
      </c>
      <c r="I19">
        <v>92.45</v>
      </c>
      <c r="J19">
        <v>1324.97</v>
      </c>
      <c r="K19">
        <v>309.73</v>
      </c>
    </row>
    <row r="20" spans="1:11" s="3" customFormat="1" x14ac:dyDescent="0.25">
      <c r="A20" s="2" t="s">
        <v>175</v>
      </c>
      <c r="B20">
        <v>133.74</v>
      </c>
      <c r="C20">
        <v>130.68</v>
      </c>
      <c r="D20">
        <v>114.48</v>
      </c>
      <c r="E20">
        <v>106.02</v>
      </c>
      <c r="F20">
        <v>110.3</v>
      </c>
      <c r="G20">
        <v>119.63</v>
      </c>
      <c r="H20">
        <v>97.79</v>
      </c>
      <c r="I20">
        <v>86.05</v>
      </c>
      <c r="J20">
        <v>117.23</v>
      </c>
      <c r="K20">
        <v>138.29</v>
      </c>
    </row>
    <row r="21" spans="1:11" s="3" customFormat="1" x14ac:dyDescent="0.25">
      <c r="A21" s="2" t="s">
        <v>176</v>
      </c>
      <c r="B21">
        <v>1292.18</v>
      </c>
      <c r="C21">
        <v>1504.47</v>
      </c>
      <c r="D21">
        <v>1535.22</v>
      </c>
      <c r="E21">
        <v>1662.75</v>
      </c>
      <c r="F21">
        <v>1691.68</v>
      </c>
      <c r="G21">
        <v>1862.35</v>
      </c>
      <c r="H21">
        <v>1946.12</v>
      </c>
      <c r="I21">
        <v>2068.31</v>
      </c>
      <c r="J21">
        <v>2880.45</v>
      </c>
      <c r="K21">
        <v>2916.2</v>
      </c>
    </row>
    <row r="22" spans="1:11" s="3" customFormat="1" x14ac:dyDescent="0.25">
      <c r="A22" s="2" t="s">
        <v>177</v>
      </c>
      <c r="B22">
        <v>763.59</v>
      </c>
      <c r="C22">
        <v>936.86</v>
      </c>
      <c r="D22">
        <v>994.98</v>
      </c>
      <c r="E22">
        <v>1039.8900000000001</v>
      </c>
      <c r="F22">
        <v>1121.8900000000001</v>
      </c>
      <c r="G22">
        <v>1242.69</v>
      </c>
      <c r="H22">
        <v>1371.27</v>
      </c>
      <c r="I22">
        <v>1547.61</v>
      </c>
      <c r="J22">
        <v>1794.61</v>
      </c>
      <c r="K22">
        <v>2036.41</v>
      </c>
    </row>
    <row r="23" spans="1:11" s="3" customFormat="1" x14ac:dyDescent="0.25">
      <c r="A23" s="2" t="s">
        <v>178</v>
      </c>
      <c r="B23">
        <v>2826.43</v>
      </c>
      <c r="C23">
        <v>3351.66</v>
      </c>
      <c r="D23">
        <v>3912.3</v>
      </c>
      <c r="E23">
        <v>4364.04</v>
      </c>
      <c r="F23">
        <v>2254.92</v>
      </c>
      <c r="G23">
        <v>2366.87</v>
      </c>
      <c r="H23">
        <v>2311.5100000000002</v>
      </c>
      <c r="I23">
        <v>2245.69</v>
      </c>
      <c r="J23">
        <v>2941.98</v>
      </c>
      <c r="K23">
        <v>3500.84</v>
      </c>
    </row>
    <row r="24" spans="1:11" s="3" customFormat="1" x14ac:dyDescent="0.25">
      <c r="A24" s="2" t="s">
        <v>179</v>
      </c>
      <c r="B24">
        <v>-1048.7</v>
      </c>
      <c r="C24">
        <v>-1278.06</v>
      </c>
      <c r="D24">
        <v>-1779.69</v>
      </c>
      <c r="E24">
        <v>-2028.47</v>
      </c>
      <c r="F24">
        <v>171.45</v>
      </c>
      <c r="G24">
        <v>202.51</v>
      </c>
      <c r="H24">
        <v>584.9</v>
      </c>
      <c r="I24">
        <v>576.42999999999995</v>
      </c>
      <c r="J24">
        <v>765.12</v>
      </c>
      <c r="K24">
        <v>961.21</v>
      </c>
    </row>
    <row r="25" spans="1:11" s="3" customFormat="1" x14ac:dyDescent="0.25">
      <c r="A25" s="3" t="s">
        <v>180</v>
      </c>
      <c r="B25">
        <v>124.26</v>
      </c>
      <c r="C25">
        <v>142.13999999999999</v>
      </c>
      <c r="D25">
        <v>213.39</v>
      </c>
      <c r="E25">
        <v>337.9</v>
      </c>
      <c r="F25">
        <v>336.41</v>
      </c>
      <c r="G25">
        <v>273.77</v>
      </c>
      <c r="H25">
        <v>355.05</v>
      </c>
      <c r="I25">
        <v>331.65</v>
      </c>
      <c r="J25">
        <v>295.88</v>
      </c>
      <c r="K25">
        <v>431.46</v>
      </c>
    </row>
    <row r="26" spans="1:11" s="3" customFormat="1" x14ac:dyDescent="0.25">
      <c r="A26" s="3" t="s">
        <v>17</v>
      </c>
      <c r="B26">
        <v>245.66</v>
      </c>
      <c r="C26">
        <v>265.92</v>
      </c>
      <c r="D26">
        <v>275.58</v>
      </c>
      <c r="E26">
        <v>334.79</v>
      </c>
      <c r="F26">
        <v>360.47</v>
      </c>
      <c r="G26">
        <v>622.14</v>
      </c>
      <c r="H26">
        <v>780.5</v>
      </c>
      <c r="I26">
        <v>791.27</v>
      </c>
      <c r="J26">
        <v>816.36</v>
      </c>
      <c r="K26">
        <v>858.02</v>
      </c>
    </row>
    <row r="27" spans="1:11" s="3" customFormat="1" x14ac:dyDescent="0.25">
      <c r="A27" s="3" t="s">
        <v>15</v>
      </c>
      <c r="B27">
        <v>47.99</v>
      </c>
      <c r="C27">
        <v>42.24</v>
      </c>
      <c r="D27">
        <v>49</v>
      </c>
      <c r="E27">
        <v>37.33</v>
      </c>
      <c r="F27">
        <v>41.47</v>
      </c>
      <c r="G27">
        <v>110.47</v>
      </c>
      <c r="H27">
        <v>102.33</v>
      </c>
      <c r="I27">
        <v>91.63</v>
      </c>
      <c r="J27">
        <v>95.41</v>
      </c>
      <c r="K27">
        <v>144.44999999999999</v>
      </c>
    </row>
    <row r="28" spans="1:11" s="3" customFormat="1" x14ac:dyDescent="0.25">
      <c r="A28" s="3" t="s">
        <v>181</v>
      </c>
      <c r="B28">
        <v>1834.27</v>
      </c>
      <c r="C28">
        <v>2076.87</v>
      </c>
      <c r="D28">
        <v>2613.85</v>
      </c>
      <c r="E28">
        <v>2959.54</v>
      </c>
      <c r="F28">
        <v>3138.48</v>
      </c>
      <c r="G28">
        <v>3306.1</v>
      </c>
      <c r="H28">
        <v>3629.04</v>
      </c>
      <c r="I28">
        <v>4304.3500000000004</v>
      </c>
      <c r="J28">
        <v>4187.72</v>
      </c>
      <c r="K28">
        <v>5688.83</v>
      </c>
    </row>
    <row r="29" spans="1:11" s="3" customFormat="1" x14ac:dyDescent="0.25">
      <c r="A29" s="3" t="s">
        <v>21</v>
      </c>
      <c r="B29">
        <v>571.51</v>
      </c>
      <c r="C29">
        <v>649.54</v>
      </c>
      <c r="D29">
        <v>844.49</v>
      </c>
      <c r="E29">
        <v>943.29</v>
      </c>
      <c r="F29">
        <v>1040.96</v>
      </c>
      <c r="G29">
        <v>1098.06</v>
      </c>
      <c r="H29">
        <v>854.85</v>
      </c>
      <c r="I29">
        <v>1097.5999999999999</v>
      </c>
      <c r="J29">
        <v>1102.9100000000001</v>
      </c>
      <c r="K29">
        <v>1493.5</v>
      </c>
    </row>
    <row r="30" spans="1:11" s="3" customFormat="1" x14ac:dyDescent="0.25">
      <c r="A30" s="3" t="s">
        <v>182</v>
      </c>
      <c r="B30">
        <v>1218.81</v>
      </c>
      <c r="C30">
        <v>1395.15</v>
      </c>
      <c r="D30">
        <v>1745.16</v>
      </c>
      <c r="E30">
        <v>1939.43</v>
      </c>
      <c r="F30">
        <v>2038.93</v>
      </c>
      <c r="G30">
        <v>2155.92</v>
      </c>
      <c r="H30">
        <v>2705.17</v>
      </c>
      <c r="I30">
        <v>3139.29</v>
      </c>
      <c r="J30">
        <v>3030.57</v>
      </c>
      <c r="K30">
        <v>4106.45</v>
      </c>
    </row>
    <row r="31" spans="1:11" s="3" customFormat="1" x14ac:dyDescent="0.25">
      <c r="A31" s="3" t="s">
        <v>183</v>
      </c>
      <c r="B31">
        <v>508.38</v>
      </c>
      <c r="C31">
        <v>585.11</v>
      </c>
      <c r="D31">
        <v>719.4</v>
      </c>
      <c r="E31">
        <v>987.98</v>
      </c>
      <c r="F31">
        <v>834.5</v>
      </c>
      <c r="G31">
        <v>1007.16</v>
      </c>
      <c r="H31">
        <v>1151.04</v>
      </c>
      <c r="I31">
        <v>1712.17</v>
      </c>
      <c r="J31">
        <v>1836.87</v>
      </c>
      <c r="K31">
        <v>2460.35</v>
      </c>
    </row>
    <row r="32" spans="1:11" s="3" customFormat="1" x14ac:dyDescent="0.25"/>
    <row r="33" spans="1:11" x14ac:dyDescent="0.25">
      <c r="A33" s="2" t="s">
        <v>13</v>
      </c>
      <c r="B33" s="2">
        <f>SUM(B26:B28)</f>
        <v>2127.92</v>
      </c>
      <c r="C33" s="2">
        <f t="shared" ref="C33:K33" si="0">SUM(C26:C28)</f>
        <v>2385.0299999999997</v>
      </c>
      <c r="D33" s="2">
        <f t="shared" si="0"/>
        <v>2938.43</v>
      </c>
      <c r="E33" s="2">
        <f t="shared" si="0"/>
        <v>3331.66</v>
      </c>
      <c r="F33" s="2">
        <f t="shared" si="0"/>
        <v>3540.42</v>
      </c>
      <c r="G33" s="2">
        <f t="shared" si="0"/>
        <v>4038.71</v>
      </c>
      <c r="H33" s="2">
        <f t="shared" si="0"/>
        <v>4511.87</v>
      </c>
      <c r="I33" s="2">
        <f t="shared" si="0"/>
        <v>5187.25</v>
      </c>
      <c r="J33" s="2">
        <f t="shared" si="0"/>
        <v>5099.49</v>
      </c>
      <c r="K33" s="2">
        <f t="shared" si="0"/>
        <v>6691.3</v>
      </c>
    </row>
    <row r="34" spans="1:11" x14ac:dyDescent="0.25">
      <c r="A34" s="3"/>
    </row>
    <row r="35" spans="1:11" x14ac:dyDescent="0.25">
      <c r="A35" s="3"/>
    </row>
    <row r="36" spans="1:11" x14ac:dyDescent="0.25">
      <c r="A36" s="3"/>
    </row>
    <row r="37" spans="1:11" x14ac:dyDescent="0.25">
      <c r="A37" s="3"/>
    </row>
    <row r="38" spans="1:11" x14ac:dyDescent="0.25">
      <c r="A38" s="3"/>
    </row>
    <row r="39" spans="1:11" x14ac:dyDescent="0.25">
      <c r="A39" s="3"/>
    </row>
    <row r="40" spans="1:11" x14ac:dyDescent="0.25">
      <c r="A40" s="1" t="s">
        <v>184</v>
      </c>
    </row>
    <row r="41" spans="1:11" s="6" customFormat="1" x14ac:dyDescent="0.25">
      <c r="A41" s="5" t="s">
        <v>172</v>
      </c>
      <c r="B41" s="4">
        <v>44469</v>
      </c>
      <c r="C41" s="4">
        <v>44561</v>
      </c>
      <c r="D41" s="4">
        <v>44651</v>
      </c>
      <c r="E41" s="4">
        <v>44742</v>
      </c>
      <c r="F41" s="4">
        <v>44834</v>
      </c>
      <c r="G41" s="4">
        <v>44926</v>
      </c>
      <c r="H41" s="4">
        <v>45016</v>
      </c>
      <c r="I41" s="4">
        <v>45107</v>
      </c>
      <c r="J41" s="4">
        <v>45199</v>
      </c>
      <c r="K41" s="4">
        <v>45291</v>
      </c>
    </row>
    <row r="42" spans="1:11" s="3" customFormat="1" x14ac:dyDescent="0.25">
      <c r="A42" s="3" t="s">
        <v>4</v>
      </c>
      <c r="B42">
        <v>7096.01</v>
      </c>
      <c r="C42">
        <v>8527.24</v>
      </c>
      <c r="D42">
        <v>7892.67</v>
      </c>
      <c r="E42">
        <v>8606.94</v>
      </c>
      <c r="F42">
        <v>8457.57</v>
      </c>
      <c r="G42">
        <v>8636.74</v>
      </c>
      <c r="H42">
        <v>8787.34</v>
      </c>
      <c r="I42">
        <v>9182.31</v>
      </c>
      <c r="J42">
        <v>8478.57</v>
      </c>
      <c r="K42">
        <v>9103.09</v>
      </c>
    </row>
    <row r="43" spans="1:11" s="3" customFormat="1" x14ac:dyDescent="0.25">
      <c r="A43" s="3" t="s">
        <v>185</v>
      </c>
      <c r="B43">
        <v>6191.56</v>
      </c>
      <c r="C43">
        <v>6984.93</v>
      </c>
      <c r="D43">
        <v>6449.38</v>
      </c>
      <c r="E43">
        <v>7050.99</v>
      </c>
      <c r="F43">
        <v>7229.87</v>
      </c>
      <c r="G43">
        <v>7025.31</v>
      </c>
      <c r="H43">
        <v>6922.58</v>
      </c>
      <c r="I43">
        <v>7061.02</v>
      </c>
      <c r="J43">
        <v>6762.34</v>
      </c>
      <c r="K43">
        <v>7047</v>
      </c>
    </row>
    <row r="44" spans="1:11" s="3" customFormat="1" x14ac:dyDescent="0.25">
      <c r="A44" s="3" t="s">
        <v>180</v>
      </c>
      <c r="B44">
        <v>148.4</v>
      </c>
      <c r="C44">
        <v>86.77</v>
      </c>
      <c r="D44">
        <v>-26.38</v>
      </c>
      <c r="E44">
        <v>87.52</v>
      </c>
      <c r="F44">
        <v>117.56</v>
      </c>
      <c r="G44">
        <v>122.21</v>
      </c>
      <c r="H44">
        <v>104.17</v>
      </c>
      <c r="I44">
        <v>227.74</v>
      </c>
      <c r="J44">
        <v>194.33</v>
      </c>
      <c r="K44">
        <v>186.46</v>
      </c>
    </row>
    <row r="45" spans="1:11" s="3" customFormat="1" x14ac:dyDescent="0.25">
      <c r="A45" s="3" t="s">
        <v>17</v>
      </c>
      <c r="B45">
        <v>202.75</v>
      </c>
      <c r="C45">
        <v>207.91</v>
      </c>
      <c r="D45">
        <v>205.11</v>
      </c>
      <c r="E45">
        <v>208.1</v>
      </c>
      <c r="F45">
        <v>215.7</v>
      </c>
      <c r="G45">
        <v>214.05</v>
      </c>
      <c r="H45">
        <v>220.17</v>
      </c>
      <c r="I45">
        <v>198.32</v>
      </c>
      <c r="J45">
        <v>208.72</v>
      </c>
      <c r="K45">
        <v>220.35</v>
      </c>
    </row>
    <row r="46" spans="1:11" s="3" customFormat="1" x14ac:dyDescent="0.25">
      <c r="A46" s="3" t="s">
        <v>15</v>
      </c>
      <c r="B46">
        <v>23.86</v>
      </c>
      <c r="C46">
        <v>27.45</v>
      </c>
      <c r="D46">
        <v>22.62</v>
      </c>
      <c r="E46">
        <v>28.75</v>
      </c>
      <c r="F46">
        <v>35.4</v>
      </c>
      <c r="G46">
        <v>41.39</v>
      </c>
      <c r="H46">
        <v>38.909999999999997</v>
      </c>
      <c r="I46">
        <v>45.75</v>
      </c>
      <c r="J46">
        <v>50.9</v>
      </c>
      <c r="K46">
        <v>54.42</v>
      </c>
    </row>
    <row r="47" spans="1:11" s="3" customFormat="1" x14ac:dyDescent="0.25">
      <c r="A47" s="3" t="s">
        <v>181</v>
      </c>
      <c r="B47">
        <v>826.24</v>
      </c>
      <c r="C47">
        <v>1393.72</v>
      </c>
      <c r="D47">
        <v>1189.18</v>
      </c>
      <c r="E47">
        <v>1406.62</v>
      </c>
      <c r="F47">
        <v>1094.1600000000001</v>
      </c>
      <c r="G47">
        <v>1478.2</v>
      </c>
      <c r="H47">
        <v>1709.85</v>
      </c>
      <c r="I47">
        <v>2104.96</v>
      </c>
      <c r="J47">
        <v>1650.94</v>
      </c>
      <c r="K47">
        <v>1967.78</v>
      </c>
    </row>
    <row r="48" spans="1:11" s="3" customFormat="1" x14ac:dyDescent="0.25">
      <c r="A48" s="3" t="s">
        <v>21</v>
      </c>
      <c r="B48">
        <v>221.07</v>
      </c>
      <c r="C48">
        <v>362.43</v>
      </c>
      <c r="D48">
        <v>315.13</v>
      </c>
      <c r="E48">
        <v>370.59</v>
      </c>
      <c r="F48">
        <v>290.33</v>
      </c>
      <c r="G48">
        <v>381.14</v>
      </c>
      <c r="H48">
        <v>451.44</v>
      </c>
      <c r="I48">
        <v>530.12</v>
      </c>
      <c r="J48">
        <v>418.55</v>
      </c>
      <c r="K48">
        <v>492.62</v>
      </c>
    </row>
    <row r="49" spans="1:11" s="3" customFormat="1" x14ac:dyDescent="0.25">
      <c r="A49" s="3" t="s">
        <v>182</v>
      </c>
      <c r="B49">
        <v>595.96</v>
      </c>
      <c r="C49">
        <v>1015.69</v>
      </c>
      <c r="D49">
        <v>850.42</v>
      </c>
      <c r="E49">
        <v>1016.93</v>
      </c>
      <c r="F49">
        <v>782.71</v>
      </c>
      <c r="G49">
        <v>1072.67</v>
      </c>
      <c r="H49">
        <v>1234.1400000000001</v>
      </c>
      <c r="I49">
        <v>1550.37</v>
      </c>
      <c r="J49">
        <v>1205.42</v>
      </c>
      <c r="K49">
        <v>1447.72</v>
      </c>
    </row>
    <row r="50" spans="1:11" x14ac:dyDescent="0.25">
      <c r="A50" s="3" t="s">
        <v>186</v>
      </c>
      <c r="B50">
        <v>904.45</v>
      </c>
      <c r="C50">
        <v>1542.31</v>
      </c>
      <c r="D50">
        <v>1443.29</v>
      </c>
      <c r="E50">
        <v>1555.95</v>
      </c>
      <c r="F50">
        <v>1227.7</v>
      </c>
      <c r="G50">
        <v>1611.43</v>
      </c>
      <c r="H50">
        <v>1864.76</v>
      </c>
      <c r="I50">
        <v>2121.29</v>
      </c>
      <c r="J50">
        <v>1716.23</v>
      </c>
      <c r="K50">
        <v>2056.09</v>
      </c>
    </row>
    <row r="51" spans="1:11" x14ac:dyDescent="0.25">
      <c r="A51" s="3"/>
    </row>
    <row r="52" spans="1:11" x14ac:dyDescent="0.25">
      <c r="A52" s="3"/>
    </row>
    <row r="53" spans="1:11" x14ac:dyDescent="0.25">
      <c r="A53" s="3"/>
    </row>
    <row r="54" spans="1:11" x14ac:dyDescent="0.25">
      <c r="A54" s="3"/>
    </row>
    <row r="55" spans="1:11" x14ac:dyDescent="0.25">
      <c r="A55" s="1" t="s">
        <v>187</v>
      </c>
    </row>
    <row r="56" spans="1:11" s="6" customFormat="1" x14ac:dyDescent="0.25">
      <c r="A56" s="5" t="s">
        <v>172</v>
      </c>
      <c r="B56" s="4">
        <v>41729</v>
      </c>
      <c r="C56" s="4">
        <v>42094</v>
      </c>
      <c r="D56" s="4">
        <v>42460</v>
      </c>
      <c r="E56" s="4">
        <v>42825</v>
      </c>
      <c r="F56" s="4">
        <v>43190</v>
      </c>
      <c r="G56" s="4">
        <v>43555</v>
      </c>
      <c r="H56" s="4">
        <v>43921</v>
      </c>
      <c r="I56" s="4">
        <v>44286</v>
      </c>
      <c r="J56" s="4">
        <v>44651</v>
      </c>
      <c r="K56" s="4">
        <v>45016</v>
      </c>
    </row>
    <row r="57" spans="1:11" x14ac:dyDescent="0.25">
      <c r="A57" s="3" t="s">
        <v>32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25">
      <c r="A58" s="3" t="s">
        <v>33</v>
      </c>
      <c r="B58">
        <v>3943.3</v>
      </c>
      <c r="C58">
        <v>4646.4399999999996</v>
      </c>
      <c r="D58">
        <v>6428.9</v>
      </c>
      <c r="E58">
        <v>7507.97</v>
      </c>
      <c r="F58">
        <v>8314.31</v>
      </c>
      <c r="G58">
        <v>9374.6299999999992</v>
      </c>
      <c r="H58">
        <v>10034.24</v>
      </c>
      <c r="I58">
        <v>12710.37</v>
      </c>
      <c r="J58">
        <v>13715.64</v>
      </c>
      <c r="K58">
        <v>15896.31</v>
      </c>
    </row>
    <row r="59" spans="1:11" x14ac:dyDescent="0.25">
      <c r="A59" s="3" t="s">
        <v>34</v>
      </c>
      <c r="B59">
        <v>249.15</v>
      </c>
      <c r="C59">
        <v>418.17</v>
      </c>
      <c r="D59">
        <v>323.29000000000002</v>
      </c>
      <c r="E59">
        <v>560.34</v>
      </c>
      <c r="F59">
        <v>533.42999999999995</v>
      </c>
      <c r="G59">
        <v>1319.6</v>
      </c>
      <c r="H59">
        <v>1118.5</v>
      </c>
      <c r="I59">
        <v>1093.1199999999999</v>
      </c>
      <c r="J59">
        <v>1586.88</v>
      </c>
      <c r="K59">
        <v>1932.62</v>
      </c>
    </row>
    <row r="60" spans="1:11" x14ac:dyDescent="0.25">
      <c r="A60" s="3" t="s">
        <v>35</v>
      </c>
      <c r="B60">
        <v>3787.03</v>
      </c>
      <c r="C60">
        <v>3753.97</v>
      </c>
      <c r="D60">
        <v>3710.92</v>
      </c>
      <c r="E60">
        <v>4240.96</v>
      </c>
      <c r="F60">
        <v>4819.82</v>
      </c>
      <c r="G60">
        <v>5458.69</v>
      </c>
      <c r="H60">
        <v>4889.3100000000004</v>
      </c>
      <c r="I60">
        <v>6455.93</v>
      </c>
      <c r="J60">
        <v>7559.99</v>
      </c>
      <c r="K60">
        <v>7854.48</v>
      </c>
    </row>
    <row r="61" spans="1:11" s="1" customFormat="1" x14ac:dyDescent="0.25">
      <c r="A61" s="1" t="s">
        <v>188</v>
      </c>
      <c r="B61">
        <v>8075.4</v>
      </c>
      <c r="C61">
        <v>8914.5</v>
      </c>
      <c r="D61">
        <v>10559.03</v>
      </c>
      <c r="E61">
        <v>12405.19</v>
      </c>
      <c r="F61">
        <v>13763.48</v>
      </c>
      <c r="G61">
        <v>16248.84</v>
      </c>
      <c r="H61">
        <v>16137.97</v>
      </c>
      <c r="I61">
        <v>20355.34</v>
      </c>
      <c r="J61">
        <v>22958.43</v>
      </c>
      <c r="K61">
        <v>25779.33</v>
      </c>
    </row>
    <row r="62" spans="1:11" x14ac:dyDescent="0.25">
      <c r="A62" s="3" t="s">
        <v>189</v>
      </c>
      <c r="B62">
        <v>2561.58</v>
      </c>
      <c r="C62">
        <v>2660.04</v>
      </c>
      <c r="D62">
        <v>3416.35</v>
      </c>
      <c r="E62">
        <v>3303.74</v>
      </c>
      <c r="F62">
        <v>3732.24</v>
      </c>
      <c r="G62">
        <v>6496.56</v>
      </c>
      <c r="H62">
        <v>6272.31</v>
      </c>
      <c r="I62">
        <v>5858.52</v>
      </c>
      <c r="J62">
        <v>5519.06</v>
      </c>
      <c r="K62">
        <v>5770.46</v>
      </c>
    </row>
    <row r="63" spans="1:11" x14ac:dyDescent="0.25">
      <c r="A63" s="3" t="s">
        <v>38</v>
      </c>
      <c r="B63">
        <v>71.599999999999994</v>
      </c>
      <c r="C63">
        <v>196</v>
      </c>
      <c r="D63">
        <v>106.59</v>
      </c>
      <c r="E63">
        <v>257.54000000000002</v>
      </c>
      <c r="F63">
        <v>1405.11</v>
      </c>
      <c r="G63">
        <v>209.67</v>
      </c>
      <c r="H63">
        <v>140.24</v>
      </c>
      <c r="I63">
        <v>182.98</v>
      </c>
      <c r="J63">
        <v>426.43</v>
      </c>
      <c r="K63">
        <v>1019.59</v>
      </c>
    </row>
    <row r="64" spans="1:11" x14ac:dyDescent="0.25">
      <c r="A64" s="3" t="s">
        <v>39</v>
      </c>
      <c r="B64">
        <v>1423.55</v>
      </c>
      <c r="C64">
        <v>1587.79</v>
      </c>
      <c r="D64">
        <v>2712.13</v>
      </c>
      <c r="E64">
        <v>2651.99</v>
      </c>
      <c r="F64">
        <v>2140.6999999999998</v>
      </c>
      <c r="G64">
        <v>2568.58</v>
      </c>
      <c r="H64">
        <v>2018.85</v>
      </c>
      <c r="I64">
        <v>4736.8</v>
      </c>
      <c r="J64">
        <v>3247.53</v>
      </c>
      <c r="K64">
        <v>4261.71</v>
      </c>
    </row>
    <row r="65" spans="1:11" x14ac:dyDescent="0.25">
      <c r="A65" s="3" t="s">
        <v>40</v>
      </c>
      <c r="B65">
        <v>4018.67</v>
      </c>
      <c r="C65">
        <v>4470.67</v>
      </c>
      <c r="D65">
        <v>4323.96</v>
      </c>
      <c r="E65">
        <v>6191.92</v>
      </c>
      <c r="F65">
        <v>6485.43</v>
      </c>
      <c r="G65">
        <v>6974.03</v>
      </c>
      <c r="H65">
        <v>7706.57</v>
      </c>
      <c r="I65">
        <v>9577.0400000000009</v>
      </c>
      <c r="J65">
        <v>13765.41</v>
      </c>
      <c r="K65">
        <v>14727.57</v>
      </c>
    </row>
    <row r="66" spans="1:11" s="1" customFormat="1" x14ac:dyDescent="0.25">
      <c r="A66" s="1" t="s">
        <v>188</v>
      </c>
      <c r="B66">
        <v>8075.4</v>
      </c>
      <c r="C66">
        <v>8914.5</v>
      </c>
      <c r="D66">
        <v>10559.03</v>
      </c>
      <c r="E66">
        <v>12405.19</v>
      </c>
      <c r="F66">
        <v>13763.48</v>
      </c>
      <c r="G66">
        <v>16248.84</v>
      </c>
      <c r="H66">
        <v>16137.97</v>
      </c>
      <c r="I66">
        <v>20355.34</v>
      </c>
      <c r="J66">
        <v>22958.43</v>
      </c>
      <c r="K66">
        <v>25779.33</v>
      </c>
    </row>
    <row r="67" spans="1:11" s="3" customFormat="1" x14ac:dyDescent="0.25">
      <c r="A67" s="3" t="s">
        <v>42</v>
      </c>
      <c r="B67">
        <v>1110.3</v>
      </c>
      <c r="C67">
        <v>1182.07</v>
      </c>
      <c r="D67">
        <v>1186.8399999999999</v>
      </c>
      <c r="E67">
        <v>1446.6</v>
      </c>
      <c r="F67">
        <v>1730.63</v>
      </c>
      <c r="G67">
        <v>1907.33</v>
      </c>
      <c r="H67">
        <v>1795.22</v>
      </c>
      <c r="I67">
        <v>2602.17</v>
      </c>
      <c r="J67">
        <v>3871.44</v>
      </c>
      <c r="K67">
        <v>4636.9399999999996</v>
      </c>
    </row>
    <row r="68" spans="1:11" x14ac:dyDescent="0.25">
      <c r="A68" s="3" t="s">
        <v>43</v>
      </c>
      <c r="B68">
        <v>2069.86</v>
      </c>
      <c r="C68">
        <v>2258.52</v>
      </c>
      <c r="D68">
        <v>1998.24</v>
      </c>
      <c r="E68">
        <v>2626.94</v>
      </c>
      <c r="F68">
        <v>2658.31</v>
      </c>
      <c r="G68">
        <v>3149.86</v>
      </c>
      <c r="H68">
        <v>3389.81</v>
      </c>
      <c r="I68">
        <v>3798.6</v>
      </c>
      <c r="J68">
        <v>6152.98</v>
      </c>
      <c r="K68">
        <v>6210.64</v>
      </c>
    </row>
    <row r="69" spans="1:11" x14ac:dyDescent="0.25">
      <c r="A69" s="2" t="s">
        <v>44</v>
      </c>
      <c r="B69">
        <v>229</v>
      </c>
      <c r="C69">
        <v>204.39</v>
      </c>
      <c r="D69">
        <v>424.2</v>
      </c>
      <c r="E69">
        <v>801.21</v>
      </c>
      <c r="F69">
        <v>404.65</v>
      </c>
      <c r="G69">
        <v>444.88</v>
      </c>
      <c r="H69">
        <v>782.83</v>
      </c>
      <c r="I69">
        <v>610.75</v>
      </c>
      <c r="J69">
        <v>864.33</v>
      </c>
      <c r="K69">
        <v>843.82</v>
      </c>
    </row>
    <row r="70" spans="1:11" x14ac:dyDescent="0.25">
      <c r="A70" s="2" t="s">
        <v>190</v>
      </c>
      <c r="B70">
        <v>959197800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 x14ac:dyDescent="0.25">
      <c r="A71" s="2" t="s">
        <v>191</v>
      </c>
    </row>
    <row r="72" spans="1:11" x14ac:dyDescent="0.25">
      <c r="A72" s="2" t="s">
        <v>192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25">
      <c r="A74" s="2" t="s">
        <v>255</v>
      </c>
      <c r="B74" s="2">
        <f>B65-SUM(B67:B69)</f>
        <v>609.51000000000022</v>
      </c>
      <c r="C74" s="2">
        <f t="shared" ref="C74:K74" si="1">C65-SUM(C67:C69)</f>
        <v>825.69</v>
      </c>
      <c r="D74" s="2">
        <f t="shared" si="1"/>
        <v>714.68000000000029</v>
      </c>
      <c r="E74" s="2">
        <f t="shared" si="1"/>
        <v>1317.17</v>
      </c>
      <c r="F74" s="2">
        <f t="shared" si="1"/>
        <v>1691.8400000000001</v>
      </c>
      <c r="G74" s="2">
        <f t="shared" si="1"/>
        <v>1471.9599999999991</v>
      </c>
      <c r="H74" s="2">
        <f t="shared" si="1"/>
        <v>1738.71</v>
      </c>
      <c r="I74" s="2">
        <f t="shared" si="1"/>
        <v>2565.5200000000004</v>
      </c>
      <c r="J74" s="2">
        <f t="shared" si="1"/>
        <v>2876.66</v>
      </c>
      <c r="K74" s="2">
        <f t="shared" si="1"/>
        <v>3036.17</v>
      </c>
    </row>
    <row r="75" spans="1:11" x14ac:dyDescent="0.25">
      <c r="A75" s="3"/>
    </row>
    <row r="76" spans="1:11" x14ac:dyDescent="0.25">
      <c r="A76" s="3"/>
    </row>
    <row r="77" spans="1:11" x14ac:dyDescent="0.25">
      <c r="A77" s="3"/>
    </row>
    <row r="78" spans="1:11" x14ac:dyDescent="0.25">
      <c r="A78" s="3"/>
    </row>
    <row r="79" spans="1:11" x14ac:dyDescent="0.25">
      <c r="A79" s="3"/>
    </row>
    <row r="80" spans="1:11" x14ac:dyDescent="0.25">
      <c r="A80" s="1" t="s">
        <v>193</v>
      </c>
    </row>
    <row r="81" spans="1:11" s="6" customFormat="1" x14ac:dyDescent="0.25">
      <c r="A81" s="5" t="s">
        <v>172</v>
      </c>
      <c r="B81" s="4">
        <v>41729</v>
      </c>
      <c r="C81" s="4">
        <v>42094</v>
      </c>
      <c r="D81" s="4">
        <v>42460</v>
      </c>
      <c r="E81" s="4">
        <v>42825</v>
      </c>
      <c r="F81" s="4">
        <v>43190</v>
      </c>
      <c r="G81" s="4">
        <v>43555</v>
      </c>
      <c r="H81" s="4">
        <v>43921</v>
      </c>
      <c r="I81" s="4">
        <v>44286</v>
      </c>
      <c r="J81" s="4">
        <v>44651</v>
      </c>
      <c r="K81" s="4">
        <v>45016</v>
      </c>
    </row>
    <row r="82" spans="1:11" s="1" customFormat="1" x14ac:dyDescent="0.25">
      <c r="A82" s="3" t="s">
        <v>194</v>
      </c>
      <c r="B82">
        <v>1402.03</v>
      </c>
      <c r="C82">
        <v>1187.69</v>
      </c>
      <c r="D82">
        <v>2242.9499999999998</v>
      </c>
      <c r="E82">
        <v>1527.33</v>
      </c>
      <c r="F82">
        <v>2113.44</v>
      </c>
      <c r="G82">
        <v>2469.54</v>
      </c>
      <c r="H82">
        <v>3038.15</v>
      </c>
      <c r="I82">
        <v>3683.35</v>
      </c>
      <c r="J82">
        <v>986.49</v>
      </c>
      <c r="K82">
        <v>4193.43</v>
      </c>
    </row>
    <row r="83" spans="1:11" s="3" customFormat="1" x14ac:dyDescent="0.25">
      <c r="A83" s="3" t="s">
        <v>195</v>
      </c>
      <c r="B83">
        <v>-585.99</v>
      </c>
      <c r="C83">
        <v>-464.99</v>
      </c>
      <c r="D83">
        <v>-866.21</v>
      </c>
      <c r="E83">
        <v>-681.11</v>
      </c>
      <c r="F83">
        <v>-1556.14</v>
      </c>
      <c r="G83">
        <v>-917.79</v>
      </c>
      <c r="H83">
        <v>-517.91</v>
      </c>
      <c r="I83">
        <v>-540.54</v>
      </c>
      <c r="J83">
        <v>-316.75</v>
      </c>
      <c r="K83">
        <v>-1282.3399999999999</v>
      </c>
    </row>
    <row r="84" spans="1:11" s="3" customFormat="1" x14ac:dyDescent="0.25">
      <c r="A84" s="3" t="s">
        <v>196</v>
      </c>
      <c r="B84">
        <v>-625.91</v>
      </c>
      <c r="C84">
        <v>-576.09</v>
      </c>
      <c r="D84">
        <v>-848.98</v>
      </c>
      <c r="E84">
        <v>-756.43</v>
      </c>
      <c r="F84">
        <v>-1379.14</v>
      </c>
      <c r="G84">
        <v>-1117.46</v>
      </c>
      <c r="H84">
        <v>-2871.46</v>
      </c>
      <c r="I84">
        <v>-650.4</v>
      </c>
      <c r="J84">
        <v>-1807.61</v>
      </c>
      <c r="K84">
        <v>-2140.0500000000002</v>
      </c>
    </row>
    <row r="85" spans="1:11" s="1" customFormat="1" x14ac:dyDescent="0.25">
      <c r="A85" s="3" t="s">
        <v>80</v>
      </c>
      <c r="B85">
        <v>190.13</v>
      </c>
      <c r="C85">
        <v>146.61000000000001</v>
      </c>
      <c r="D85">
        <v>527.76</v>
      </c>
      <c r="E85">
        <v>89.79</v>
      </c>
      <c r="F85">
        <v>-821.84</v>
      </c>
      <c r="G85">
        <v>434.29</v>
      </c>
      <c r="H85">
        <v>-351.22</v>
      </c>
      <c r="I85">
        <v>2492.41</v>
      </c>
      <c r="J85">
        <v>-1137.8699999999999</v>
      </c>
      <c r="K85">
        <v>771.04</v>
      </c>
    </row>
    <row r="86" spans="1:11" x14ac:dyDescent="0.25">
      <c r="A86" s="3"/>
    </row>
    <row r="87" spans="1:11" x14ac:dyDescent="0.25">
      <c r="A87" s="3"/>
    </row>
    <row r="88" spans="1:11" x14ac:dyDescent="0.25">
      <c r="A88" s="3"/>
    </row>
    <row r="89" spans="1:11" x14ac:dyDescent="0.25">
      <c r="A89" s="3"/>
    </row>
    <row r="90" spans="1:11" s="1" customFormat="1" x14ac:dyDescent="0.25">
      <c r="A90" s="1" t="s">
        <v>197</v>
      </c>
      <c r="B90">
        <v>547.95000000000005</v>
      </c>
      <c r="C90">
        <v>811.3</v>
      </c>
      <c r="D90">
        <v>868.4</v>
      </c>
      <c r="E90">
        <v>1073.5</v>
      </c>
      <c r="F90">
        <v>1120.4000000000001</v>
      </c>
      <c r="G90">
        <v>1492.7</v>
      </c>
      <c r="H90">
        <v>1666.5</v>
      </c>
      <c r="I90">
        <v>2537.4</v>
      </c>
      <c r="J90">
        <v>3079.95</v>
      </c>
      <c r="K90">
        <v>2761.65</v>
      </c>
    </row>
    <row r="92" spans="1:11" s="1" customFormat="1" x14ac:dyDescent="0.25">
      <c r="A92" s="1" t="s">
        <v>198</v>
      </c>
    </row>
    <row r="93" spans="1:11" x14ac:dyDescent="0.25">
      <c r="A93" s="2" t="s">
        <v>199</v>
      </c>
      <c r="B93" s="7">
        <v>95.92</v>
      </c>
      <c r="C93" s="7">
        <v>95.92</v>
      </c>
      <c r="D93" s="7">
        <v>95.92</v>
      </c>
      <c r="E93" s="7">
        <v>95.92</v>
      </c>
      <c r="F93" s="7">
        <v>95.92</v>
      </c>
      <c r="G93" s="7">
        <v>95.92</v>
      </c>
      <c r="H93" s="7">
        <v>95.92</v>
      </c>
      <c r="I93" s="7">
        <v>95.92</v>
      </c>
      <c r="J93" s="7">
        <v>95.92</v>
      </c>
      <c r="K93" s="7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  <ignoredErrors>
    <ignoredError sqref="B33:K33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0508-B5DB-46BD-8576-6AE0E2180EF5}">
  <dimension ref="B2:N67"/>
  <sheetViews>
    <sheetView showGridLines="0" topLeftCell="A12" zoomScaleNormal="100" workbookViewId="0">
      <selection activeCell="F33" sqref="F33"/>
    </sheetView>
  </sheetViews>
  <sheetFormatPr defaultRowHeight="15" x14ac:dyDescent="0.25"/>
  <cols>
    <col min="1" max="1" width="1.85546875" customWidth="1"/>
    <col min="2" max="2" width="28" bestFit="1" customWidth="1"/>
  </cols>
  <sheetData>
    <row r="2" spans="2:14" x14ac:dyDescent="0.25">
      <c r="B2" s="65" t="str">
        <f>"Cash Flows from Screener - "&amp;'Data Sheet'!B1</f>
        <v>Cash Flows from Screener - ASIAN PAINTS LTD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4" spans="2:14" x14ac:dyDescent="0.25">
      <c r="B4" s="171" t="s">
        <v>254</v>
      </c>
      <c r="C4" s="191">
        <v>40969</v>
      </c>
      <c r="D4" s="191">
        <v>41334</v>
      </c>
      <c r="E4" s="191">
        <v>41699</v>
      </c>
      <c r="F4" s="191">
        <v>42064</v>
      </c>
      <c r="G4" s="191">
        <v>42430</v>
      </c>
      <c r="H4" s="191">
        <v>42795</v>
      </c>
      <c r="I4" s="191">
        <v>43160</v>
      </c>
      <c r="J4" s="191">
        <v>43525</v>
      </c>
      <c r="K4" s="191">
        <v>43891</v>
      </c>
      <c r="L4" s="191">
        <v>44256</v>
      </c>
      <c r="M4" s="191">
        <v>44621</v>
      </c>
      <c r="N4" s="191">
        <v>44986</v>
      </c>
    </row>
    <row r="5" spans="2:14" x14ac:dyDescent="0.25">
      <c r="B5" s="171" t="s">
        <v>200</v>
      </c>
      <c r="C5" s="226">
        <v>710</v>
      </c>
      <c r="D5" s="226">
        <v>1187</v>
      </c>
      <c r="E5" s="226">
        <v>1402</v>
      </c>
      <c r="F5" s="226">
        <v>1188</v>
      </c>
      <c r="G5" s="226">
        <v>2243</v>
      </c>
      <c r="H5" s="226">
        <v>1527</v>
      </c>
      <c r="I5" s="226">
        <v>2113</v>
      </c>
      <c r="J5" s="226">
        <v>2470</v>
      </c>
      <c r="K5" s="226">
        <v>3038</v>
      </c>
      <c r="L5" s="226">
        <v>3683</v>
      </c>
      <c r="M5" s="226">
        <v>986</v>
      </c>
      <c r="N5" s="226">
        <v>4193</v>
      </c>
    </row>
    <row r="6" spans="2:14" x14ac:dyDescent="0.25">
      <c r="B6" s="166" t="s">
        <v>50</v>
      </c>
      <c r="C6" s="192">
        <v>1539</v>
      </c>
      <c r="D6" s="192">
        <v>1784</v>
      </c>
      <c r="E6" s="192">
        <v>2051</v>
      </c>
      <c r="F6" s="192">
        <v>2271</v>
      </c>
      <c r="G6" s="192">
        <v>2848</v>
      </c>
      <c r="H6" s="192">
        <v>3056</v>
      </c>
      <c r="I6" s="192">
        <v>3274</v>
      </c>
      <c r="J6" s="192">
        <v>3861</v>
      </c>
      <c r="K6" s="192">
        <v>4380</v>
      </c>
      <c r="L6" s="192">
        <v>4970</v>
      </c>
      <c r="M6" s="192">
        <v>4957</v>
      </c>
      <c r="N6" s="192">
        <v>6460</v>
      </c>
    </row>
    <row r="7" spans="2:14" x14ac:dyDescent="0.25">
      <c r="B7" s="166" t="s">
        <v>42</v>
      </c>
      <c r="C7" s="192">
        <v>-305</v>
      </c>
      <c r="D7" s="192">
        <v>-299</v>
      </c>
      <c r="E7" s="192">
        <v>-254</v>
      </c>
      <c r="F7" s="192">
        <v>-155</v>
      </c>
      <c r="G7" s="192">
        <v>-146</v>
      </c>
      <c r="H7" s="192">
        <v>-475</v>
      </c>
      <c r="I7" s="192">
        <v>-483</v>
      </c>
      <c r="J7" s="192">
        <v>-205</v>
      </c>
      <c r="K7" s="192">
        <v>160</v>
      </c>
      <c r="L7" s="192">
        <v>-849</v>
      </c>
      <c r="M7" s="192">
        <v>-1326</v>
      </c>
      <c r="N7" s="192">
        <v>-834</v>
      </c>
    </row>
    <row r="8" spans="2:14" x14ac:dyDescent="0.25">
      <c r="B8" s="166" t="s">
        <v>43</v>
      </c>
      <c r="C8" s="192">
        <v>-293</v>
      </c>
      <c r="D8" s="192">
        <v>-247</v>
      </c>
      <c r="E8" s="192">
        <v>-231</v>
      </c>
      <c r="F8" s="192">
        <v>-144</v>
      </c>
      <c r="G8" s="192">
        <v>202</v>
      </c>
      <c r="H8" s="192">
        <v>-629</v>
      </c>
      <c r="I8" s="192">
        <v>-39</v>
      </c>
      <c r="J8" s="192">
        <v>-492</v>
      </c>
      <c r="K8" s="192">
        <v>-251</v>
      </c>
      <c r="L8" s="192">
        <v>-409</v>
      </c>
      <c r="M8" s="192">
        <v>-2354</v>
      </c>
      <c r="N8" s="192">
        <v>-56</v>
      </c>
    </row>
    <row r="9" spans="2:14" x14ac:dyDescent="0.25">
      <c r="B9" s="166" t="s">
        <v>51</v>
      </c>
      <c r="C9" s="192">
        <v>188</v>
      </c>
      <c r="D9" s="192">
        <v>388</v>
      </c>
      <c r="E9" s="192">
        <v>317</v>
      </c>
      <c r="F9" s="192">
        <v>-151</v>
      </c>
      <c r="G9" s="192">
        <v>142</v>
      </c>
      <c r="H9" s="192">
        <v>501</v>
      </c>
      <c r="I9" s="192">
        <v>442</v>
      </c>
      <c r="J9" s="192">
        <v>287</v>
      </c>
      <c r="K9" s="192">
        <v>-241</v>
      </c>
      <c r="L9" s="192">
        <v>1143</v>
      </c>
      <c r="M9" s="192">
        <v>644</v>
      </c>
      <c r="N9" s="192">
        <v>-539</v>
      </c>
    </row>
    <row r="10" spans="2:14" x14ac:dyDescent="0.25">
      <c r="B10" s="166" t="s">
        <v>52</v>
      </c>
      <c r="C10" s="192">
        <v>0</v>
      </c>
      <c r="D10" s="192">
        <v>0</v>
      </c>
      <c r="E10" s="192">
        <v>0</v>
      </c>
      <c r="F10" s="192">
        <v>0</v>
      </c>
      <c r="G10" s="192">
        <v>0</v>
      </c>
      <c r="H10" s="192">
        <v>0</v>
      </c>
      <c r="I10" s="192">
        <v>0</v>
      </c>
      <c r="J10" s="192">
        <v>0</v>
      </c>
      <c r="K10" s="192">
        <v>0</v>
      </c>
      <c r="L10" s="192">
        <v>0</v>
      </c>
      <c r="M10" s="192">
        <v>0</v>
      </c>
      <c r="N10" s="192">
        <v>0</v>
      </c>
    </row>
    <row r="11" spans="2:14" x14ac:dyDescent="0.25">
      <c r="B11" s="166" t="s">
        <v>53</v>
      </c>
      <c r="C11" s="192">
        <v>0</v>
      </c>
      <c r="D11" s="192">
        <v>0</v>
      </c>
      <c r="E11" s="192">
        <v>0</v>
      </c>
      <c r="F11" s="192">
        <v>0</v>
      </c>
      <c r="G11" s="192">
        <v>0</v>
      </c>
      <c r="H11" s="192">
        <v>0</v>
      </c>
      <c r="I11" s="192">
        <v>0</v>
      </c>
      <c r="J11" s="192">
        <v>0</v>
      </c>
      <c r="K11" s="192">
        <v>0</v>
      </c>
      <c r="L11" s="192">
        <v>-92</v>
      </c>
      <c r="M11" s="192">
        <v>242</v>
      </c>
      <c r="N11" s="192">
        <v>657</v>
      </c>
    </row>
    <row r="12" spans="2:14" x14ac:dyDescent="0.25">
      <c r="B12" s="166" t="s">
        <v>201</v>
      </c>
      <c r="C12" s="192">
        <v>-410</v>
      </c>
      <c r="D12" s="192">
        <v>-159</v>
      </c>
      <c r="E12" s="192">
        <v>-168</v>
      </c>
      <c r="F12" s="192">
        <v>-450</v>
      </c>
      <c r="G12" s="192">
        <v>198</v>
      </c>
      <c r="H12" s="192">
        <v>-603</v>
      </c>
      <c r="I12" s="192">
        <v>-80</v>
      </c>
      <c r="J12" s="192">
        <v>-410</v>
      </c>
      <c r="K12" s="192">
        <v>-331</v>
      </c>
      <c r="L12" s="192">
        <v>-206</v>
      </c>
      <c r="M12" s="192">
        <v>-2795</v>
      </c>
      <c r="N12" s="192">
        <v>-772</v>
      </c>
    </row>
    <row r="13" spans="2:14" x14ac:dyDescent="0.25">
      <c r="B13" s="166" t="s">
        <v>54</v>
      </c>
      <c r="C13" s="192">
        <v>-430</v>
      </c>
      <c r="D13" s="192">
        <v>-438</v>
      </c>
      <c r="E13" s="192">
        <v>-480</v>
      </c>
      <c r="F13" s="192">
        <v>-633</v>
      </c>
      <c r="G13" s="192">
        <v>-802</v>
      </c>
      <c r="H13" s="192">
        <v>-925</v>
      </c>
      <c r="I13" s="192">
        <v>-1081</v>
      </c>
      <c r="J13" s="192">
        <v>-982</v>
      </c>
      <c r="K13" s="192">
        <v>-1011</v>
      </c>
      <c r="L13" s="192">
        <v>-1080</v>
      </c>
      <c r="M13" s="192">
        <v>-1176</v>
      </c>
      <c r="N13" s="192">
        <v>-1494</v>
      </c>
    </row>
    <row r="14" spans="2:14" x14ac:dyDescent="0.25">
      <c r="B14" s="171" t="s">
        <v>202</v>
      </c>
      <c r="C14" s="226">
        <v>-386</v>
      </c>
      <c r="D14" s="226">
        <v>-463</v>
      </c>
      <c r="E14" s="226">
        <v>-586</v>
      </c>
      <c r="F14" s="226">
        <v>-465</v>
      </c>
      <c r="G14" s="226">
        <v>-866</v>
      </c>
      <c r="H14" s="226">
        <v>-681</v>
      </c>
      <c r="I14" s="226">
        <v>-1556</v>
      </c>
      <c r="J14" s="226">
        <v>-918</v>
      </c>
      <c r="K14" s="226">
        <v>-518</v>
      </c>
      <c r="L14" s="226">
        <v>-541</v>
      </c>
      <c r="M14" s="226">
        <v>-317</v>
      </c>
      <c r="N14" s="226">
        <v>-1282</v>
      </c>
    </row>
    <row r="15" spans="2:14" x14ac:dyDescent="0.25">
      <c r="B15" s="166" t="s">
        <v>57</v>
      </c>
      <c r="C15" s="192">
        <v>-546</v>
      </c>
      <c r="D15" s="192">
        <v>-644</v>
      </c>
      <c r="E15" s="192">
        <v>-251</v>
      </c>
      <c r="F15" s="192">
        <v>-454</v>
      </c>
      <c r="G15" s="192">
        <v>-817</v>
      </c>
      <c r="H15" s="192">
        <v>-684</v>
      </c>
      <c r="I15" s="192">
        <v>-1426</v>
      </c>
      <c r="J15" s="192">
        <v>-1151</v>
      </c>
      <c r="K15" s="192">
        <v>-404</v>
      </c>
      <c r="L15" s="192">
        <v>-282</v>
      </c>
      <c r="M15" s="192">
        <v>-551</v>
      </c>
      <c r="N15" s="192">
        <v>-1446</v>
      </c>
    </row>
    <row r="16" spans="2:14" x14ac:dyDescent="0.25">
      <c r="B16" s="166" t="s">
        <v>58</v>
      </c>
      <c r="C16" s="192">
        <v>6</v>
      </c>
      <c r="D16" s="192">
        <v>7</v>
      </c>
      <c r="E16" s="192">
        <v>16</v>
      </c>
      <c r="F16" s="192">
        <v>16</v>
      </c>
      <c r="G16" s="192">
        <v>15</v>
      </c>
      <c r="H16" s="192">
        <v>17</v>
      </c>
      <c r="I16" s="192">
        <v>17</v>
      </c>
      <c r="J16" s="192">
        <v>17</v>
      </c>
      <c r="K16" s="192">
        <v>37</v>
      </c>
      <c r="L16" s="192">
        <v>28</v>
      </c>
      <c r="M16" s="192">
        <v>40</v>
      </c>
      <c r="N16" s="192">
        <v>26</v>
      </c>
    </row>
    <row r="17" spans="2:14" x14ac:dyDescent="0.25">
      <c r="B17" s="166" t="s">
        <v>59</v>
      </c>
      <c r="C17" s="192">
        <v>-290</v>
      </c>
      <c r="D17" s="192">
        <v>-247</v>
      </c>
      <c r="E17" s="192">
        <v>-872</v>
      </c>
      <c r="F17" s="192">
        <v>-243</v>
      </c>
      <c r="G17" s="192">
        <v>-282</v>
      </c>
      <c r="H17" s="192">
        <v>-153</v>
      </c>
      <c r="I17" s="192">
        <v>-320</v>
      </c>
      <c r="J17" s="192">
        <v>-573</v>
      </c>
      <c r="K17" s="192">
        <v>-25</v>
      </c>
      <c r="L17" s="192">
        <v>-140</v>
      </c>
      <c r="M17" s="192">
        <v>0</v>
      </c>
      <c r="N17" s="192">
        <v>-146</v>
      </c>
    </row>
    <row r="18" spans="2:14" x14ac:dyDescent="0.25">
      <c r="B18" s="166" t="s">
        <v>60</v>
      </c>
      <c r="C18" s="192">
        <v>398</v>
      </c>
      <c r="D18" s="192">
        <v>330</v>
      </c>
      <c r="E18" s="192">
        <v>463</v>
      </c>
      <c r="F18" s="192">
        <v>278</v>
      </c>
      <c r="G18" s="192">
        <v>205</v>
      </c>
      <c r="H18" s="192">
        <v>357</v>
      </c>
      <c r="I18" s="192">
        <v>362</v>
      </c>
      <c r="J18" s="192">
        <v>733</v>
      </c>
      <c r="K18" s="192">
        <v>134</v>
      </c>
      <c r="L18" s="192">
        <v>272</v>
      </c>
      <c r="M18" s="192">
        <v>207</v>
      </c>
      <c r="N18" s="192">
        <v>446</v>
      </c>
    </row>
    <row r="19" spans="2:14" x14ac:dyDescent="0.25">
      <c r="B19" s="166" t="s">
        <v>61</v>
      </c>
      <c r="C19" s="192">
        <v>6</v>
      </c>
      <c r="D19" s="192">
        <v>11</v>
      </c>
      <c r="E19" s="192">
        <v>14</v>
      </c>
      <c r="F19" s="192">
        <v>11</v>
      </c>
      <c r="G19" s="192">
        <v>15</v>
      </c>
      <c r="H19" s="192">
        <v>32</v>
      </c>
      <c r="I19" s="192">
        <v>39</v>
      </c>
      <c r="J19" s="192">
        <v>40</v>
      </c>
      <c r="K19" s="192">
        <v>65</v>
      </c>
      <c r="L19" s="192">
        <v>73</v>
      </c>
      <c r="M19" s="192">
        <v>77</v>
      </c>
      <c r="N19" s="192">
        <v>87</v>
      </c>
    </row>
    <row r="20" spans="2:14" x14ac:dyDescent="0.25">
      <c r="B20" s="166" t="s">
        <v>62</v>
      </c>
      <c r="C20" s="192">
        <v>42</v>
      </c>
      <c r="D20" s="192">
        <v>33</v>
      </c>
      <c r="E20" s="192">
        <v>65</v>
      </c>
      <c r="F20" s="192">
        <v>71</v>
      </c>
      <c r="G20" s="192">
        <v>69</v>
      </c>
      <c r="H20" s="192">
        <v>74</v>
      </c>
      <c r="I20" s="192">
        <v>38</v>
      </c>
      <c r="J20" s="192">
        <v>40</v>
      </c>
      <c r="K20" s="192">
        <v>27</v>
      </c>
      <c r="L20" s="192">
        <v>8</v>
      </c>
      <c r="M20" s="192">
        <v>15</v>
      </c>
      <c r="N20" s="192">
        <v>56</v>
      </c>
    </row>
    <row r="21" spans="2:14" x14ac:dyDescent="0.25">
      <c r="B21" s="166" t="s">
        <v>63</v>
      </c>
      <c r="C21" s="192">
        <v>0</v>
      </c>
      <c r="D21" s="192">
        <v>0</v>
      </c>
      <c r="E21" s="192">
        <v>0</v>
      </c>
      <c r="F21" s="192">
        <v>0</v>
      </c>
      <c r="G21" s="192">
        <v>0</v>
      </c>
      <c r="H21" s="192">
        <v>0</v>
      </c>
      <c r="I21" s="192">
        <v>0</v>
      </c>
      <c r="J21" s="192">
        <v>0</v>
      </c>
      <c r="K21" s="192">
        <v>0</v>
      </c>
      <c r="L21" s="192">
        <v>0</v>
      </c>
      <c r="M21" s="192">
        <v>0</v>
      </c>
      <c r="N21" s="192">
        <v>0</v>
      </c>
    </row>
    <row r="22" spans="2:14" x14ac:dyDescent="0.25">
      <c r="B22" s="166" t="s">
        <v>64</v>
      </c>
      <c r="C22" s="192">
        <v>0</v>
      </c>
      <c r="D22" s="192">
        <v>0</v>
      </c>
      <c r="E22" s="192">
        <v>0</v>
      </c>
      <c r="F22" s="192">
        <v>0</v>
      </c>
      <c r="G22" s="192">
        <v>0</v>
      </c>
      <c r="H22" s="192">
        <v>0</v>
      </c>
      <c r="I22" s="192">
        <v>0</v>
      </c>
      <c r="J22" s="192">
        <v>0</v>
      </c>
      <c r="K22" s="192">
        <v>0</v>
      </c>
      <c r="L22" s="192">
        <v>0</v>
      </c>
      <c r="M22" s="192">
        <v>0</v>
      </c>
      <c r="N22" s="192">
        <v>-180</v>
      </c>
    </row>
    <row r="23" spans="2:14" x14ac:dyDescent="0.25">
      <c r="B23" s="166" t="s">
        <v>65</v>
      </c>
      <c r="C23" s="192">
        <v>0</v>
      </c>
      <c r="D23" s="192">
        <v>0</v>
      </c>
      <c r="E23" s="192">
        <v>0</v>
      </c>
      <c r="F23" s="192">
        <v>0</v>
      </c>
      <c r="G23" s="192">
        <v>0</v>
      </c>
      <c r="H23" s="192">
        <v>0</v>
      </c>
      <c r="I23" s="192">
        <v>141</v>
      </c>
      <c r="J23" s="192">
        <v>0</v>
      </c>
      <c r="K23" s="192">
        <v>0</v>
      </c>
      <c r="L23" s="192">
        <v>0</v>
      </c>
      <c r="M23" s="192">
        <v>0</v>
      </c>
      <c r="N23" s="192">
        <v>0</v>
      </c>
    </row>
    <row r="24" spans="2:14" x14ac:dyDescent="0.25">
      <c r="B24" s="166" t="s">
        <v>66</v>
      </c>
      <c r="C24" s="192">
        <v>0</v>
      </c>
      <c r="D24" s="192">
        <v>0</v>
      </c>
      <c r="E24" s="192">
        <v>0</v>
      </c>
      <c r="F24" s="192">
        <v>0</v>
      </c>
      <c r="G24" s="192">
        <v>0</v>
      </c>
      <c r="H24" s="192">
        <v>0</v>
      </c>
      <c r="I24" s="192">
        <v>-525</v>
      </c>
      <c r="J24" s="192">
        <v>0</v>
      </c>
      <c r="K24" s="192">
        <v>0</v>
      </c>
      <c r="L24" s="192">
        <v>0</v>
      </c>
      <c r="M24" s="192">
        <v>0</v>
      </c>
      <c r="N24" s="192">
        <v>0</v>
      </c>
    </row>
    <row r="25" spans="2:14" x14ac:dyDescent="0.25">
      <c r="B25" s="166" t="s">
        <v>67</v>
      </c>
      <c r="C25" s="192">
        <v>0</v>
      </c>
      <c r="D25" s="192">
        <v>0</v>
      </c>
      <c r="E25" s="192">
        <v>0</v>
      </c>
      <c r="F25" s="192">
        <v>0</v>
      </c>
      <c r="G25" s="192">
        <v>0</v>
      </c>
      <c r="H25" s="192">
        <v>0</v>
      </c>
      <c r="I25" s="192">
        <v>0</v>
      </c>
      <c r="J25" s="192">
        <v>0</v>
      </c>
      <c r="K25" s="192">
        <v>0</v>
      </c>
      <c r="L25" s="192">
        <v>0</v>
      </c>
      <c r="M25" s="192">
        <v>0</v>
      </c>
      <c r="N25" s="192">
        <v>0</v>
      </c>
    </row>
    <row r="26" spans="2:14" x14ac:dyDescent="0.25">
      <c r="B26" s="166" t="s">
        <v>68</v>
      </c>
      <c r="C26" s="192">
        <v>-1</v>
      </c>
      <c r="D26" s="192">
        <v>46</v>
      </c>
      <c r="E26" s="192">
        <v>-21</v>
      </c>
      <c r="F26" s="192">
        <v>-144</v>
      </c>
      <c r="G26" s="192">
        <v>-70</v>
      </c>
      <c r="H26" s="192">
        <v>-324</v>
      </c>
      <c r="I26" s="192">
        <v>118</v>
      </c>
      <c r="J26" s="192">
        <v>-24</v>
      </c>
      <c r="K26" s="192">
        <v>-353</v>
      </c>
      <c r="L26" s="192">
        <v>-500</v>
      </c>
      <c r="M26" s="192">
        <v>-105</v>
      </c>
      <c r="N26" s="192">
        <v>-126</v>
      </c>
    </row>
    <row r="27" spans="2:14" x14ac:dyDescent="0.25">
      <c r="B27" s="171" t="s">
        <v>203</v>
      </c>
      <c r="C27" s="226">
        <v>-327</v>
      </c>
      <c r="D27" s="226">
        <v>-601</v>
      </c>
      <c r="E27" s="226">
        <v>-626</v>
      </c>
      <c r="F27" s="226">
        <v>-576</v>
      </c>
      <c r="G27" s="226">
        <v>-849</v>
      </c>
      <c r="H27" s="226">
        <v>-756</v>
      </c>
      <c r="I27" s="226">
        <v>-1379</v>
      </c>
      <c r="J27" s="226">
        <v>-1117</v>
      </c>
      <c r="K27" s="226">
        <v>-2871</v>
      </c>
      <c r="L27" s="226">
        <v>-650</v>
      </c>
      <c r="M27" s="226">
        <v>-1808</v>
      </c>
      <c r="N27" s="226">
        <v>-2140</v>
      </c>
    </row>
    <row r="28" spans="2:14" x14ac:dyDescent="0.25">
      <c r="B28" s="166" t="s">
        <v>71</v>
      </c>
      <c r="C28" s="192">
        <v>0</v>
      </c>
      <c r="D28" s="192">
        <v>0</v>
      </c>
      <c r="E28" s="192">
        <v>0</v>
      </c>
      <c r="F28" s="192">
        <v>46</v>
      </c>
      <c r="G28" s="192">
        <v>17</v>
      </c>
      <c r="H28" s="192">
        <v>15</v>
      </c>
      <c r="I28" s="192">
        <v>0</v>
      </c>
      <c r="J28" s="192">
        <v>0</v>
      </c>
      <c r="K28" s="192">
        <v>0</v>
      </c>
      <c r="L28" s="192">
        <v>0</v>
      </c>
      <c r="M28" s="192">
        <v>0</v>
      </c>
      <c r="N28" s="192">
        <v>0</v>
      </c>
    </row>
    <row r="29" spans="2:14" x14ac:dyDescent="0.25">
      <c r="B29" s="166" t="s">
        <v>72</v>
      </c>
      <c r="C29" s="192">
        <v>0</v>
      </c>
      <c r="D29" s="192">
        <v>0</v>
      </c>
      <c r="E29" s="192">
        <v>0</v>
      </c>
      <c r="F29" s="192">
        <v>0</v>
      </c>
      <c r="G29" s="192">
        <v>0</v>
      </c>
      <c r="H29" s="192">
        <v>0</v>
      </c>
      <c r="I29" s="192">
        <v>0</v>
      </c>
      <c r="J29" s="192">
        <v>0</v>
      </c>
      <c r="K29" s="192">
        <v>0</v>
      </c>
      <c r="L29" s="192">
        <v>0</v>
      </c>
      <c r="M29" s="192">
        <v>0</v>
      </c>
      <c r="N29" s="192">
        <v>0</v>
      </c>
    </row>
    <row r="30" spans="2:14" x14ac:dyDescent="0.25">
      <c r="B30" s="166" t="s">
        <v>73</v>
      </c>
      <c r="C30" s="192">
        <v>109</v>
      </c>
      <c r="D30" s="192">
        <v>33</v>
      </c>
      <c r="E30" s="192">
        <v>44</v>
      </c>
      <c r="F30" s="192">
        <v>239</v>
      </c>
      <c r="G30" s="192">
        <v>8</v>
      </c>
      <c r="H30" s="192">
        <v>271</v>
      </c>
      <c r="I30" s="192">
        <v>10</v>
      </c>
      <c r="J30" s="192">
        <v>243</v>
      </c>
      <c r="K30" s="192">
        <v>18</v>
      </c>
      <c r="L30" s="192">
        <v>155</v>
      </c>
      <c r="M30" s="192">
        <v>418</v>
      </c>
      <c r="N30" s="192">
        <v>254</v>
      </c>
    </row>
    <row r="31" spans="2:14" x14ac:dyDescent="0.25">
      <c r="B31" s="166" t="s">
        <v>74</v>
      </c>
      <c r="C31" s="192">
        <v>-12</v>
      </c>
      <c r="D31" s="192">
        <v>-135</v>
      </c>
      <c r="E31" s="192">
        <v>-81</v>
      </c>
      <c r="F31" s="192">
        <v>-86</v>
      </c>
      <c r="G31" s="192">
        <v>-119</v>
      </c>
      <c r="H31" s="192">
        <v>-58</v>
      </c>
      <c r="I31" s="192">
        <v>-54</v>
      </c>
      <c r="J31" s="192">
        <v>-26</v>
      </c>
      <c r="K31" s="192">
        <v>-279</v>
      </c>
      <c r="L31" s="192">
        <v>-14</v>
      </c>
      <c r="M31" s="192">
        <v>-8</v>
      </c>
      <c r="N31" s="192">
        <v>-25</v>
      </c>
    </row>
    <row r="32" spans="2:14" x14ac:dyDescent="0.25">
      <c r="B32" s="166" t="s">
        <v>75</v>
      </c>
      <c r="C32" s="192">
        <v>-40</v>
      </c>
      <c r="D32" s="192">
        <v>-37</v>
      </c>
      <c r="E32" s="192">
        <v>-42</v>
      </c>
      <c r="F32" s="192">
        <v>-35</v>
      </c>
      <c r="G32" s="192">
        <v>-40</v>
      </c>
      <c r="H32" s="192">
        <v>-36</v>
      </c>
      <c r="I32" s="192">
        <v>-35</v>
      </c>
      <c r="J32" s="192">
        <v>-106</v>
      </c>
      <c r="K32" s="192">
        <v>-101</v>
      </c>
      <c r="L32" s="192">
        <v>-89</v>
      </c>
      <c r="M32" s="192">
        <v>-94</v>
      </c>
      <c r="N32" s="192">
        <v>-142</v>
      </c>
    </row>
    <row r="33" spans="2:14" x14ac:dyDescent="0.25">
      <c r="B33" s="166" t="s">
        <v>76</v>
      </c>
      <c r="C33" s="192">
        <v>-383</v>
      </c>
      <c r="D33" s="192">
        <v>-462</v>
      </c>
      <c r="E33" s="192">
        <v>-547</v>
      </c>
      <c r="F33" s="192">
        <v>-695</v>
      </c>
      <c r="G33" s="192">
        <v>-764</v>
      </c>
      <c r="H33" s="192">
        <v>-947</v>
      </c>
      <c r="I33" s="192">
        <v>-1218</v>
      </c>
      <c r="J33" s="192">
        <v>-1049</v>
      </c>
      <c r="K33" s="192">
        <v>-2121</v>
      </c>
      <c r="L33" s="192">
        <v>-499</v>
      </c>
      <c r="M33" s="192">
        <v>-1763</v>
      </c>
      <c r="N33" s="192">
        <v>-1936</v>
      </c>
    </row>
    <row r="34" spans="2:14" x14ac:dyDescent="0.25">
      <c r="B34" s="166" t="s">
        <v>77</v>
      </c>
      <c r="C34" s="192">
        <v>0</v>
      </c>
      <c r="D34" s="192">
        <v>0</v>
      </c>
      <c r="E34" s="192">
        <v>0</v>
      </c>
      <c r="F34" s="192">
        <v>0</v>
      </c>
      <c r="G34" s="192">
        <v>0</v>
      </c>
      <c r="H34" s="192">
        <v>0</v>
      </c>
      <c r="I34" s="192">
        <v>0</v>
      </c>
      <c r="J34" s="192">
        <v>-180</v>
      </c>
      <c r="K34" s="192">
        <v>-179</v>
      </c>
      <c r="L34" s="192">
        <v>-203</v>
      </c>
      <c r="M34" s="192">
        <v>-221</v>
      </c>
      <c r="N34" s="192">
        <v>-256</v>
      </c>
    </row>
    <row r="35" spans="2:14" x14ac:dyDescent="0.25">
      <c r="B35" s="166" t="s">
        <v>78</v>
      </c>
      <c r="C35" s="192">
        <v>0</v>
      </c>
      <c r="D35" s="192">
        <v>0</v>
      </c>
      <c r="E35" s="192">
        <v>0</v>
      </c>
      <c r="F35" s="192">
        <v>0</v>
      </c>
      <c r="G35" s="192">
        <v>66</v>
      </c>
      <c r="H35" s="192">
        <v>13</v>
      </c>
      <c r="I35" s="192">
        <v>-82</v>
      </c>
      <c r="J35" s="192">
        <v>0</v>
      </c>
      <c r="K35" s="192">
        <v>-209</v>
      </c>
      <c r="L35" s="192">
        <v>0</v>
      </c>
      <c r="M35" s="192">
        <v>-140</v>
      </c>
      <c r="N35" s="192">
        <v>-36</v>
      </c>
    </row>
    <row r="36" spans="2:14" x14ac:dyDescent="0.25">
      <c r="B36" s="171" t="s">
        <v>80</v>
      </c>
      <c r="C36" s="226">
        <v>-2</v>
      </c>
      <c r="D36" s="226">
        <v>123</v>
      </c>
      <c r="E36" s="226">
        <v>190</v>
      </c>
      <c r="F36" s="226">
        <v>147</v>
      </c>
      <c r="G36" s="226">
        <v>528</v>
      </c>
      <c r="H36" s="226">
        <v>90</v>
      </c>
      <c r="I36" s="226">
        <v>-822</v>
      </c>
      <c r="J36" s="226">
        <v>434</v>
      </c>
      <c r="K36" s="226">
        <v>-351</v>
      </c>
      <c r="L36" s="226">
        <v>2492</v>
      </c>
      <c r="M36" s="226">
        <v>-1138</v>
      </c>
      <c r="N36" s="226">
        <v>771</v>
      </c>
    </row>
    <row r="39" spans="2:14" x14ac:dyDescent="0.25"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</row>
    <row r="40" spans="2:14" x14ac:dyDescent="0.25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2:14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2:14" x14ac:dyDescent="0.25"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2:14" x14ac:dyDescent="0.25">
      <c r="M43" s="21"/>
    </row>
    <row r="44" spans="2:14" x14ac:dyDescent="0.25">
      <c r="L44" s="21"/>
    </row>
    <row r="46" spans="2:14" x14ac:dyDescent="0.25">
      <c r="M46" s="21"/>
    </row>
    <row r="47" spans="2:14" x14ac:dyDescent="0.25">
      <c r="I47" s="21"/>
      <c r="K47" s="21"/>
      <c r="L47" s="21"/>
      <c r="M47" s="21"/>
      <c r="N47" s="21"/>
    </row>
    <row r="49" spans="3:14" x14ac:dyDescent="0.25">
      <c r="I49" s="21"/>
      <c r="L49" s="21"/>
      <c r="M49" s="21"/>
      <c r="N49" s="21"/>
    </row>
    <row r="50" spans="3:14" x14ac:dyDescent="0.25">
      <c r="I50" s="21"/>
      <c r="J50" s="21"/>
      <c r="N50" s="21"/>
    </row>
    <row r="52" spans="3:14" x14ac:dyDescent="0.25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3:14" x14ac:dyDescent="0.25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7" spans="3:14" x14ac:dyDescent="0.25">
      <c r="J57" s="21"/>
      <c r="K57" s="21"/>
      <c r="N57" s="21"/>
    </row>
    <row r="60" spans="3:14" x14ac:dyDescent="0.25">
      <c r="I60" s="21"/>
      <c r="J60" s="21"/>
      <c r="K60" s="21"/>
      <c r="M60" s="21"/>
      <c r="N60" s="21"/>
    </row>
    <row r="62" spans="3:14" x14ac:dyDescent="0.25">
      <c r="J62" s="21"/>
    </row>
    <row r="64" spans="3:14" x14ac:dyDescent="0.25">
      <c r="I64" s="21"/>
      <c r="J64" s="21"/>
      <c r="K64" s="21"/>
      <c r="M64" s="21"/>
      <c r="N64" s="21"/>
    </row>
    <row r="67" spans="12:13" x14ac:dyDescent="0.25">
      <c r="L67" s="21"/>
      <c r="M67" s="2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72A3-2779-4D26-B149-11DFBC4437BC}">
  <sheetPr>
    <tabColor rgb="FF002060"/>
  </sheetPr>
  <dimension ref="D5:S9"/>
  <sheetViews>
    <sheetView showGridLines="0" workbookViewId="0">
      <selection activeCell="F10" sqref="F10"/>
    </sheetView>
  </sheetViews>
  <sheetFormatPr defaultRowHeight="15" x14ac:dyDescent="0.25"/>
  <cols>
    <col min="1" max="1" width="1.85546875" customWidth="1"/>
  </cols>
  <sheetData>
    <row r="5" spans="4:19" x14ac:dyDescent="0.25">
      <c r="D5" s="227" t="str">
        <f>"DATA ROOM CREATED FOR "&amp;'Data Sheet'!B1</f>
        <v>DATA ROOM CREATED FOR ASIAN PAINTS LTD</v>
      </c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</row>
    <row r="6" spans="4:19" x14ac:dyDescent="0.25"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</row>
    <row r="7" spans="4:19" x14ac:dyDescent="0.25"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</row>
    <row r="8" spans="4:19" ht="15" customHeight="1" x14ac:dyDescent="0.25">
      <c r="D8" s="165"/>
      <c r="E8" s="165"/>
      <c r="F8" s="228" t="s">
        <v>377</v>
      </c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</row>
    <row r="9" spans="4:19" x14ac:dyDescent="0.25">
      <c r="D9" s="165"/>
      <c r="E9" s="165"/>
      <c r="F9" s="228" t="s">
        <v>378</v>
      </c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</row>
  </sheetData>
  <mergeCells count="3">
    <mergeCell ref="D5:S7"/>
    <mergeCell ref="F8:Q8"/>
    <mergeCell ref="F9:Q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6B6B-5664-44E1-BC16-C902C063B532}">
  <dimension ref="A2:O79"/>
  <sheetViews>
    <sheetView showGridLines="0" workbookViewId="0">
      <pane ySplit="2" topLeftCell="A3" activePane="bottomLeft" state="frozen"/>
      <selection pane="bottomLeft" activeCell="L66" sqref="L66"/>
    </sheetView>
  </sheetViews>
  <sheetFormatPr defaultRowHeight="15" x14ac:dyDescent="0.25"/>
  <cols>
    <col min="1" max="1" width="1.85546875" customWidth="1"/>
    <col min="2" max="2" width="24.85546875" bestFit="1" customWidth="1"/>
    <col min="3" max="14" width="10.28515625" customWidth="1"/>
  </cols>
  <sheetData>
    <row r="2" spans="2:14" x14ac:dyDescent="0.25">
      <c r="B2" s="65" t="s">
        <v>254</v>
      </c>
      <c r="C2" s="110">
        <v>40969</v>
      </c>
      <c r="D2" s="110">
        <v>41334</v>
      </c>
      <c r="E2" s="110">
        <v>41699</v>
      </c>
      <c r="F2" s="110">
        <v>42064</v>
      </c>
      <c r="G2" s="110">
        <v>42430</v>
      </c>
      <c r="H2" s="110">
        <v>42795</v>
      </c>
      <c r="I2" s="110">
        <v>43160</v>
      </c>
      <c r="J2" s="110">
        <v>43525</v>
      </c>
      <c r="K2" s="110">
        <v>43891</v>
      </c>
      <c r="L2" s="110">
        <v>44256</v>
      </c>
      <c r="M2" s="110">
        <v>44621</v>
      </c>
      <c r="N2" s="110">
        <v>44986</v>
      </c>
    </row>
    <row r="3" spans="2:14" s="114" customFormat="1" x14ac:dyDescent="0.25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</row>
    <row r="4" spans="2:14" x14ac:dyDescent="0.25">
      <c r="B4" s="171" t="s">
        <v>256</v>
      </c>
      <c r="C4" s="193">
        <v>96</v>
      </c>
      <c r="D4" s="193">
        <v>96</v>
      </c>
      <c r="E4" s="193">
        <v>96</v>
      </c>
      <c r="F4" s="193">
        <v>96</v>
      </c>
      <c r="G4" s="193">
        <v>96</v>
      </c>
      <c r="H4" s="193">
        <v>96</v>
      </c>
      <c r="I4" s="193">
        <v>96</v>
      </c>
      <c r="J4" s="193">
        <v>96</v>
      </c>
      <c r="K4" s="193">
        <v>96</v>
      </c>
      <c r="L4" s="193">
        <v>96</v>
      </c>
      <c r="M4" s="193">
        <v>96</v>
      </c>
      <c r="N4" s="193">
        <v>96</v>
      </c>
    </row>
    <row r="5" spans="2:14" x14ac:dyDescent="0.25">
      <c r="B5" s="171" t="s">
        <v>33</v>
      </c>
      <c r="C5" s="193">
        <v>2653</v>
      </c>
      <c r="D5" s="193">
        <v>3288</v>
      </c>
      <c r="E5" s="193">
        <v>3943</v>
      </c>
      <c r="F5" s="193">
        <v>4646</v>
      </c>
      <c r="G5" s="193">
        <v>6429</v>
      </c>
      <c r="H5" s="193">
        <v>7508</v>
      </c>
      <c r="I5" s="193">
        <v>8314</v>
      </c>
      <c r="J5" s="193">
        <v>9375</v>
      </c>
      <c r="K5" s="193">
        <v>10034</v>
      </c>
      <c r="L5" s="193">
        <v>12710</v>
      </c>
      <c r="M5" s="193">
        <v>13716</v>
      </c>
      <c r="N5" s="193">
        <v>15896</v>
      </c>
    </row>
    <row r="6" spans="2:14" x14ac:dyDescent="0.25">
      <c r="B6" s="171" t="s">
        <v>257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</row>
    <row r="7" spans="2:14" x14ac:dyDescent="0.25">
      <c r="B7" s="166" t="s">
        <v>258</v>
      </c>
      <c r="C7" s="193">
        <v>55</v>
      </c>
      <c r="D7" s="193">
        <v>47</v>
      </c>
      <c r="E7" s="193">
        <v>41</v>
      </c>
      <c r="F7" s="193">
        <v>78</v>
      </c>
      <c r="G7" s="193">
        <v>73</v>
      </c>
      <c r="H7" s="193">
        <v>41</v>
      </c>
      <c r="I7" s="193">
        <v>28</v>
      </c>
      <c r="J7" s="193">
        <v>19</v>
      </c>
      <c r="K7" s="193">
        <v>19</v>
      </c>
      <c r="L7" s="193">
        <v>15</v>
      </c>
      <c r="M7" s="193">
        <v>45</v>
      </c>
      <c r="N7" s="193">
        <v>76</v>
      </c>
    </row>
    <row r="8" spans="2:14" x14ac:dyDescent="0.25">
      <c r="B8" s="166" t="s">
        <v>259</v>
      </c>
      <c r="C8" s="193">
        <v>280</v>
      </c>
      <c r="D8" s="193">
        <v>190</v>
      </c>
      <c r="E8" s="193">
        <v>199</v>
      </c>
      <c r="F8" s="193">
        <v>332</v>
      </c>
      <c r="G8" s="193">
        <v>231</v>
      </c>
      <c r="H8" s="193">
        <v>504</v>
      </c>
      <c r="I8" s="193">
        <v>492</v>
      </c>
      <c r="J8" s="193">
        <v>597</v>
      </c>
      <c r="K8" s="193">
        <v>321</v>
      </c>
      <c r="L8" s="193">
        <v>334</v>
      </c>
      <c r="M8" s="193">
        <v>731</v>
      </c>
      <c r="N8" s="193">
        <v>896</v>
      </c>
    </row>
    <row r="9" spans="2:14" x14ac:dyDescent="0.25">
      <c r="B9" s="166" t="s">
        <v>260</v>
      </c>
      <c r="C9" s="193">
        <v>0</v>
      </c>
      <c r="D9" s="193">
        <v>0</v>
      </c>
      <c r="E9" s="193">
        <v>0</v>
      </c>
      <c r="F9" s="193">
        <v>0</v>
      </c>
      <c r="G9" s="193">
        <v>0</v>
      </c>
      <c r="H9" s="193">
        <v>0</v>
      </c>
      <c r="I9" s="193">
        <v>0</v>
      </c>
      <c r="J9" s="193">
        <v>693</v>
      </c>
      <c r="K9" s="193">
        <v>764</v>
      </c>
      <c r="L9" s="193">
        <v>745</v>
      </c>
      <c r="M9" s="193">
        <v>811</v>
      </c>
      <c r="N9" s="193">
        <v>960</v>
      </c>
    </row>
    <row r="10" spans="2:14" x14ac:dyDescent="0.25">
      <c r="B10" s="166" t="s">
        <v>261</v>
      </c>
      <c r="C10" s="193">
        <v>6</v>
      </c>
      <c r="D10" s="193">
        <v>14</v>
      </c>
      <c r="E10" s="193">
        <v>9</v>
      </c>
      <c r="F10" s="193">
        <v>8</v>
      </c>
      <c r="G10" s="193">
        <v>20</v>
      </c>
      <c r="H10" s="193">
        <v>15</v>
      </c>
      <c r="I10" s="193">
        <v>13</v>
      </c>
      <c r="J10" s="193">
        <v>11</v>
      </c>
      <c r="K10" s="193">
        <v>15</v>
      </c>
      <c r="L10" s="193">
        <v>0</v>
      </c>
      <c r="M10" s="193">
        <v>0</v>
      </c>
      <c r="N10" s="193">
        <v>0</v>
      </c>
    </row>
    <row r="11" spans="2:14" x14ac:dyDescent="0.25">
      <c r="B11" s="171" t="s">
        <v>262</v>
      </c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</row>
    <row r="12" spans="2:14" x14ac:dyDescent="0.25">
      <c r="B12" s="166" t="s">
        <v>263</v>
      </c>
      <c r="C12" s="193">
        <v>137</v>
      </c>
      <c r="D12" s="193">
        <v>161</v>
      </c>
      <c r="E12" s="193">
        <v>246</v>
      </c>
      <c r="F12" s="193">
        <v>264</v>
      </c>
      <c r="G12" s="193">
        <v>384</v>
      </c>
      <c r="H12" s="193">
        <v>375</v>
      </c>
      <c r="I12" s="193">
        <v>328</v>
      </c>
      <c r="J12" s="193">
        <v>361</v>
      </c>
      <c r="K12" s="193">
        <v>404</v>
      </c>
      <c r="L12" s="193">
        <v>423</v>
      </c>
      <c r="M12" s="193">
        <v>388</v>
      </c>
      <c r="N12" s="193">
        <v>454</v>
      </c>
    </row>
    <row r="13" spans="2:14" x14ac:dyDescent="0.25">
      <c r="B13" s="166" t="s">
        <v>264</v>
      </c>
      <c r="C13" s="193">
        <v>1333</v>
      </c>
      <c r="D13" s="193">
        <v>1442</v>
      </c>
      <c r="E13" s="193">
        <v>1746</v>
      </c>
      <c r="F13" s="193">
        <v>1549</v>
      </c>
      <c r="G13" s="193">
        <v>1565</v>
      </c>
      <c r="H13" s="193">
        <v>1923</v>
      </c>
      <c r="I13" s="193">
        <v>2160</v>
      </c>
      <c r="J13" s="193">
        <v>2394</v>
      </c>
      <c r="K13" s="193">
        <v>2137</v>
      </c>
      <c r="L13" s="193">
        <v>3379</v>
      </c>
      <c r="M13" s="193">
        <v>4164</v>
      </c>
      <c r="N13" s="193">
        <v>3635</v>
      </c>
    </row>
    <row r="14" spans="2:14" x14ac:dyDescent="0.25">
      <c r="B14" s="166" t="s">
        <v>265</v>
      </c>
      <c r="C14" s="193">
        <v>0</v>
      </c>
      <c r="D14" s="193">
        <v>0</v>
      </c>
      <c r="E14" s="193">
        <v>0</v>
      </c>
      <c r="F14" s="193">
        <v>5</v>
      </c>
      <c r="G14" s="193">
        <v>12</v>
      </c>
      <c r="H14" s="193">
        <v>17</v>
      </c>
      <c r="I14" s="193">
        <v>16</v>
      </c>
      <c r="J14" s="193">
        <v>13</v>
      </c>
      <c r="K14" s="193">
        <v>29</v>
      </c>
      <c r="L14" s="193">
        <v>41</v>
      </c>
      <c r="M14" s="193">
        <v>76</v>
      </c>
      <c r="N14" s="193">
        <v>108</v>
      </c>
    </row>
    <row r="15" spans="2:14" x14ac:dyDescent="0.25">
      <c r="B15" s="166" t="s">
        <v>266</v>
      </c>
      <c r="C15" s="197">
        <v>1153</v>
      </c>
      <c r="D15" s="197">
        <v>1547</v>
      </c>
      <c r="E15" s="197">
        <v>1795</v>
      </c>
      <c r="F15" s="197">
        <v>1937</v>
      </c>
      <c r="G15" s="197">
        <v>1750</v>
      </c>
      <c r="H15" s="197">
        <v>1925</v>
      </c>
      <c r="I15" s="197">
        <v>2316</v>
      </c>
      <c r="J15" s="197">
        <v>2690</v>
      </c>
      <c r="K15" s="197">
        <v>2320</v>
      </c>
      <c r="L15" s="197">
        <v>2613</v>
      </c>
      <c r="M15" s="197">
        <v>2932</v>
      </c>
      <c r="N15" s="197">
        <v>3657</v>
      </c>
    </row>
    <row r="16" spans="2:14" x14ac:dyDescent="0.25">
      <c r="B16" s="175" t="s">
        <v>36</v>
      </c>
      <c r="C16" s="198">
        <v>5712</v>
      </c>
      <c r="D16" s="198">
        <v>6784</v>
      </c>
      <c r="E16" s="198">
        <v>8075</v>
      </c>
      <c r="F16" s="198">
        <v>8914</v>
      </c>
      <c r="G16" s="198">
        <v>10559</v>
      </c>
      <c r="H16" s="198">
        <v>12405</v>
      </c>
      <c r="I16" s="198">
        <v>13763</v>
      </c>
      <c r="J16" s="198">
        <v>16249</v>
      </c>
      <c r="K16" s="198">
        <v>16138</v>
      </c>
      <c r="L16" s="198">
        <v>20355</v>
      </c>
      <c r="M16" s="198">
        <v>22958</v>
      </c>
      <c r="N16" s="198">
        <v>25779</v>
      </c>
    </row>
    <row r="17" spans="2:14" x14ac:dyDescent="0.25">
      <c r="B17" s="166"/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</row>
    <row r="18" spans="2:14" s="111" customFormat="1" x14ac:dyDescent="0.25">
      <c r="B18" s="171" t="s">
        <v>267</v>
      </c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</row>
    <row r="19" spans="2:14" x14ac:dyDescent="0.25">
      <c r="B19" s="166" t="s">
        <v>268</v>
      </c>
      <c r="C19" s="193">
        <v>225</v>
      </c>
      <c r="D19" s="193">
        <v>238</v>
      </c>
      <c r="E19" s="193">
        <v>247</v>
      </c>
      <c r="F19" s="193">
        <v>251</v>
      </c>
      <c r="G19" s="193">
        <v>429</v>
      </c>
      <c r="H19" s="193">
        <v>408</v>
      </c>
      <c r="I19" s="193">
        <v>586</v>
      </c>
      <c r="J19" s="193">
        <v>605</v>
      </c>
      <c r="K19" s="193">
        <v>640</v>
      </c>
      <c r="L19" s="193">
        <v>644</v>
      </c>
      <c r="M19" s="193">
        <v>644</v>
      </c>
      <c r="N19" s="193">
        <v>799</v>
      </c>
    </row>
    <row r="20" spans="2:14" x14ac:dyDescent="0.25">
      <c r="B20" s="166" t="s">
        <v>269</v>
      </c>
      <c r="C20" s="193">
        <v>573</v>
      </c>
      <c r="D20" s="193">
        <v>874</v>
      </c>
      <c r="E20" s="193">
        <v>931</v>
      </c>
      <c r="F20" s="193">
        <v>962</v>
      </c>
      <c r="G20" s="193">
        <v>923</v>
      </c>
      <c r="H20" s="193">
        <v>931</v>
      </c>
      <c r="I20" s="193">
        <v>957</v>
      </c>
      <c r="J20" s="193">
        <v>2402</v>
      </c>
      <c r="K20" s="193">
        <v>2257</v>
      </c>
      <c r="L20" s="193">
        <v>2249</v>
      </c>
      <c r="M20" s="193">
        <v>2325</v>
      </c>
      <c r="N20" s="193">
        <v>2617</v>
      </c>
    </row>
    <row r="21" spans="2:14" x14ac:dyDescent="0.25">
      <c r="B21" s="166" t="s">
        <v>270</v>
      </c>
      <c r="C21" s="193">
        <v>1070</v>
      </c>
      <c r="D21" s="193">
        <v>1956</v>
      </c>
      <c r="E21" s="193">
        <v>2054</v>
      </c>
      <c r="F21" s="193">
        <v>2132</v>
      </c>
      <c r="G21" s="193">
        <v>1793</v>
      </c>
      <c r="H21" s="193">
        <v>1980</v>
      </c>
      <c r="I21" s="193">
        <v>2157</v>
      </c>
      <c r="J21" s="193">
        <v>4006</v>
      </c>
      <c r="K21" s="193">
        <v>4208</v>
      </c>
      <c r="L21" s="193">
        <v>4340</v>
      </c>
      <c r="M21" s="193">
        <v>4531</v>
      </c>
      <c r="N21" s="193">
        <v>4825</v>
      </c>
    </row>
    <row r="22" spans="2:14" x14ac:dyDescent="0.25">
      <c r="B22" s="166" t="s">
        <v>271</v>
      </c>
      <c r="C22" s="193">
        <v>79</v>
      </c>
      <c r="D22" s="193">
        <v>137</v>
      </c>
      <c r="E22" s="193">
        <v>155</v>
      </c>
      <c r="F22" s="193">
        <v>171</v>
      </c>
      <c r="G22" s="193">
        <v>97</v>
      </c>
      <c r="H22" s="193">
        <v>119</v>
      </c>
      <c r="I22" s="193">
        <v>200</v>
      </c>
      <c r="J22" s="193">
        <v>221</v>
      </c>
      <c r="K22" s="193">
        <v>241</v>
      </c>
      <c r="L22" s="193">
        <v>243</v>
      </c>
      <c r="M22" s="193">
        <v>253</v>
      </c>
      <c r="N22" s="193">
        <v>270</v>
      </c>
    </row>
    <row r="23" spans="2:14" x14ac:dyDescent="0.25">
      <c r="B23" s="166" t="s">
        <v>272</v>
      </c>
      <c r="C23" s="193">
        <v>0</v>
      </c>
      <c r="D23" s="193">
        <v>0</v>
      </c>
      <c r="E23" s="193">
        <v>0</v>
      </c>
      <c r="F23" s="193">
        <v>0</v>
      </c>
      <c r="G23" s="193">
        <v>0</v>
      </c>
      <c r="H23" s="193">
        <v>0</v>
      </c>
      <c r="I23" s="193">
        <v>0</v>
      </c>
      <c r="J23" s="193">
        <v>0</v>
      </c>
      <c r="K23" s="193">
        <v>0</v>
      </c>
      <c r="L23" s="193">
        <v>0</v>
      </c>
      <c r="M23" s="193">
        <v>0</v>
      </c>
      <c r="N23" s="193">
        <v>0</v>
      </c>
    </row>
    <row r="24" spans="2:14" x14ac:dyDescent="0.25">
      <c r="B24" s="166" t="s">
        <v>273</v>
      </c>
      <c r="C24" s="193">
        <v>50</v>
      </c>
      <c r="D24" s="193">
        <v>57</v>
      </c>
      <c r="E24" s="193">
        <v>71</v>
      </c>
      <c r="F24" s="193">
        <v>83</v>
      </c>
      <c r="G24" s="193">
        <v>49</v>
      </c>
      <c r="H24" s="193">
        <v>59</v>
      </c>
      <c r="I24" s="193">
        <v>72</v>
      </c>
      <c r="J24" s="193">
        <v>88</v>
      </c>
      <c r="K24" s="193">
        <v>94</v>
      </c>
      <c r="L24" s="193">
        <v>99</v>
      </c>
      <c r="M24" s="193">
        <v>113</v>
      </c>
      <c r="N24" s="193">
        <v>146</v>
      </c>
    </row>
    <row r="25" spans="2:14" x14ac:dyDescent="0.25">
      <c r="B25" s="166" t="s">
        <v>274</v>
      </c>
      <c r="C25" s="193">
        <v>11</v>
      </c>
      <c r="D25" s="193">
        <v>11</v>
      </c>
      <c r="E25" s="193">
        <v>14</v>
      </c>
      <c r="F25" s="193">
        <v>18</v>
      </c>
      <c r="G25" s="193">
        <v>11</v>
      </c>
      <c r="H25" s="193">
        <v>14</v>
      </c>
      <c r="I25" s="193">
        <v>27</v>
      </c>
      <c r="J25" s="193">
        <v>47</v>
      </c>
      <c r="K25" s="193">
        <v>43</v>
      </c>
      <c r="L25" s="193">
        <v>38</v>
      </c>
      <c r="M25" s="193">
        <v>32</v>
      </c>
      <c r="N25" s="193">
        <v>30</v>
      </c>
    </row>
    <row r="26" spans="2:14" x14ac:dyDescent="0.25">
      <c r="B26" s="166" t="s">
        <v>275</v>
      </c>
      <c r="C26" s="193">
        <v>53</v>
      </c>
      <c r="D26" s="193">
        <v>57</v>
      </c>
      <c r="E26" s="193">
        <v>203</v>
      </c>
      <c r="F26" s="193">
        <v>351</v>
      </c>
      <c r="G26" s="193">
        <v>339</v>
      </c>
      <c r="H26" s="193">
        <v>276</v>
      </c>
      <c r="I26" s="193">
        <v>468</v>
      </c>
      <c r="J26" s="193">
        <v>512</v>
      </c>
      <c r="K26" s="193">
        <v>505</v>
      </c>
      <c r="L26" s="193">
        <v>476</v>
      </c>
      <c r="M26" s="193">
        <v>345</v>
      </c>
      <c r="N26" s="193">
        <v>330</v>
      </c>
    </row>
    <row r="27" spans="2:14" x14ac:dyDescent="0.25">
      <c r="B27" s="166" t="s">
        <v>276</v>
      </c>
      <c r="C27" s="194">
        <v>84</v>
      </c>
      <c r="D27" s="194">
        <v>99</v>
      </c>
      <c r="E27" s="194">
        <v>128</v>
      </c>
      <c r="F27" s="194">
        <v>145</v>
      </c>
      <c r="G27" s="194">
        <v>103</v>
      </c>
      <c r="H27" s="194">
        <v>128</v>
      </c>
      <c r="I27" s="194">
        <v>238</v>
      </c>
      <c r="J27" s="194">
        <v>261</v>
      </c>
      <c r="K27" s="194">
        <v>293</v>
      </c>
      <c r="L27" s="194">
        <v>302</v>
      </c>
      <c r="M27" s="194">
        <v>294</v>
      </c>
      <c r="N27" s="194">
        <v>289</v>
      </c>
    </row>
    <row r="28" spans="2:14" x14ac:dyDescent="0.25">
      <c r="B28" s="171" t="s">
        <v>277</v>
      </c>
      <c r="C28" s="199">
        <v>2146</v>
      </c>
      <c r="D28" s="199">
        <v>3429</v>
      </c>
      <c r="E28" s="199">
        <v>3804</v>
      </c>
      <c r="F28" s="199">
        <v>4112</v>
      </c>
      <c r="G28" s="199">
        <v>3744</v>
      </c>
      <c r="H28" s="199">
        <v>3914</v>
      </c>
      <c r="I28" s="199">
        <v>4705</v>
      </c>
      <c r="J28" s="199">
        <v>8141</v>
      </c>
      <c r="K28" s="199">
        <v>8282</v>
      </c>
      <c r="L28" s="199">
        <v>8392</v>
      </c>
      <c r="M28" s="199">
        <v>8538</v>
      </c>
      <c r="N28" s="199">
        <v>9307</v>
      </c>
    </row>
    <row r="29" spans="2:14" x14ac:dyDescent="0.25">
      <c r="B29" s="171" t="s">
        <v>278</v>
      </c>
      <c r="C29" s="194">
        <v>834</v>
      </c>
      <c r="D29" s="194">
        <v>979</v>
      </c>
      <c r="E29" s="194">
        <v>1223</v>
      </c>
      <c r="F29" s="194">
        <v>1438</v>
      </c>
      <c r="G29" s="194">
        <v>275</v>
      </c>
      <c r="H29" s="194">
        <v>610</v>
      </c>
      <c r="I29" s="194">
        <v>973</v>
      </c>
      <c r="J29" s="194">
        <v>1592</v>
      </c>
      <c r="K29" s="194">
        <v>2010</v>
      </c>
      <c r="L29" s="194">
        <v>2533</v>
      </c>
      <c r="M29" s="194">
        <v>3019</v>
      </c>
      <c r="N29" s="194">
        <v>3536</v>
      </c>
    </row>
    <row r="30" spans="2:14" x14ac:dyDescent="0.25">
      <c r="B30" s="82" t="s">
        <v>189</v>
      </c>
      <c r="C30" s="119">
        <f>C28-C29</f>
        <v>1312</v>
      </c>
      <c r="D30" s="119">
        <f t="shared" ref="D30:N30" si="0">D28-D29</f>
        <v>2450</v>
      </c>
      <c r="E30" s="119">
        <f t="shared" si="0"/>
        <v>2581</v>
      </c>
      <c r="F30" s="119">
        <f t="shared" si="0"/>
        <v>2674</v>
      </c>
      <c r="G30" s="119">
        <f t="shared" si="0"/>
        <v>3469</v>
      </c>
      <c r="H30" s="119">
        <f t="shared" si="0"/>
        <v>3304</v>
      </c>
      <c r="I30" s="119">
        <f t="shared" si="0"/>
        <v>3732</v>
      </c>
      <c r="J30" s="119">
        <f t="shared" si="0"/>
        <v>6549</v>
      </c>
      <c r="K30" s="119">
        <f t="shared" si="0"/>
        <v>6272</v>
      </c>
      <c r="L30" s="119">
        <f t="shared" si="0"/>
        <v>5859</v>
      </c>
      <c r="M30" s="119">
        <f t="shared" si="0"/>
        <v>5519</v>
      </c>
      <c r="N30" s="119">
        <f t="shared" si="0"/>
        <v>5771</v>
      </c>
    </row>
    <row r="31" spans="2:14" x14ac:dyDescent="0.25">
      <c r="B31" s="11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</row>
    <row r="32" spans="2:14" x14ac:dyDescent="0.25">
      <c r="B32" s="171" t="s">
        <v>279</v>
      </c>
      <c r="C32" s="193">
        <v>617</v>
      </c>
      <c r="D32" s="193">
        <v>59</v>
      </c>
      <c r="E32" s="193">
        <v>72</v>
      </c>
      <c r="F32" s="193">
        <v>196</v>
      </c>
      <c r="G32" s="193">
        <v>107</v>
      </c>
      <c r="H32" s="193">
        <v>258</v>
      </c>
      <c r="I32" s="193">
        <v>1405</v>
      </c>
      <c r="J32" s="193">
        <v>210</v>
      </c>
      <c r="K32" s="193">
        <v>140</v>
      </c>
      <c r="L32" s="193">
        <v>183</v>
      </c>
      <c r="M32" s="193">
        <v>426</v>
      </c>
      <c r="N32" s="193">
        <v>1020</v>
      </c>
    </row>
    <row r="33" spans="1:15" x14ac:dyDescent="0.25">
      <c r="B33" s="171" t="s">
        <v>39</v>
      </c>
      <c r="C33" s="193">
        <v>355</v>
      </c>
      <c r="D33" s="193">
        <v>296</v>
      </c>
      <c r="E33" s="193">
        <v>1424</v>
      </c>
      <c r="F33" s="193">
        <v>1588</v>
      </c>
      <c r="G33" s="193">
        <v>2712</v>
      </c>
      <c r="H33" s="193">
        <v>2652</v>
      </c>
      <c r="I33" s="193">
        <v>2141</v>
      </c>
      <c r="J33" s="193">
        <v>2569</v>
      </c>
      <c r="K33" s="193">
        <v>2019</v>
      </c>
      <c r="L33" s="193">
        <v>4737</v>
      </c>
      <c r="M33" s="193">
        <v>3248</v>
      </c>
      <c r="N33" s="193">
        <v>4262</v>
      </c>
    </row>
    <row r="34" spans="1:15" x14ac:dyDescent="0.25">
      <c r="B34" s="171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</row>
    <row r="35" spans="1:15" s="100" customFormat="1" x14ac:dyDescent="0.25">
      <c r="A35"/>
      <c r="B35" s="171" t="s">
        <v>280</v>
      </c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</row>
    <row r="36" spans="1:15" x14ac:dyDescent="0.25">
      <c r="B36" s="166" t="s">
        <v>281</v>
      </c>
      <c r="C36" s="193">
        <v>1599</v>
      </c>
      <c r="D36" s="193">
        <v>1830</v>
      </c>
      <c r="E36" s="193">
        <v>2070</v>
      </c>
      <c r="F36" s="193">
        <v>2259</v>
      </c>
      <c r="G36" s="193">
        <v>1998</v>
      </c>
      <c r="H36" s="193">
        <v>2627</v>
      </c>
      <c r="I36" s="193">
        <v>2658</v>
      </c>
      <c r="J36" s="193">
        <v>3150</v>
      </c>
      <c r="K36" s="193">
        <v>3390</v>
      </c>
      <c r="L36" s="193">
        <v>3799</v>
      </c>
      <c r="M36" s="193">
        <v>6153</v>
      </c>
      <c r="N36" s="193">
        <v>6211</v>
      </c>
    </row>
    <row r="37" spans="1:15" x14ac:dyDescent="0.25">
      <c r="B37" s="166" t="s">
        <v>282</v>
      </c>
      <c r="C37" s="193">
        <v>781</v>
      </c>
      <c r="D37" s="193">
        <v>981</v>
      </c>
      <c r="E37" s="193">
        <v>1110</v>
      </c>
      <c r="F37" s="193">
        <v>1182</v>
      </c>
      <c r="G37" s="193">
        <v>1187</v>
      </c>
      <c r="H37" s="193">
        <v>1447</v>
      </c>
      <c r="I37" s="193">
        <v>1731</v>
      </c>
      <c r="J37" s="193">
        <v>1907</v>
      </c>
      <c r="K37" s="193">
        <v>1795</v>
      </c>
      <c r="L37" s="193">
        <v>2602</v>
      </c>
      <c r="M37" s="193">
        <v>3871</v>
      </c>
      <c r="N37" s="193">
        <v>4637</v>
      </c>
    </row>
    <row r="38" spans="1:15" x14ac:dyDescent="0.25">
      <c r="B38" s="166" t="s">
        <v>283</v>
      </c>
      <c r="C38" s="193">
        <v>624</v>
      </c>
      <c r="D38" s="193">
        <v>737</v>
      </c>
      <c r="E38" s="193">
        <v>229</v>
      </c>
      <c r="F38" s="193">
        <v>204</v>
      </c>
      <c r="G38" s="193">
        <v>424</v>
      </c>
      <c r="H38" s="193">
        <v>801</v>
      </c>
      <c r="I38" s="193">
        <v>405</v>
      </c>
      <c r="J38" s="193">
        <v>445</v>
      </c>
      <c r="K38" s="193">
        <v>783</v>
      </c>
      <c r="L38" s="193">
        <v>611</v>
      </c>
      <c r="M38" s="193">
        <v>864</v>
      </c>
      <c r="N38" s="193">
        <v>844</v>
      </c>
    </row>
    <row r="39" spans="1:15" x14ac:dyDescent="0.25">
      <c r="B39" s="166" t="s">
        <v>284</v>
      </c>
      <c r="C39" s="193">
        <v>6</v>
      </c>
      <c r="D39" s="193">
        <v>4</v>
      </c>
      <c r="E39" s="193">
        <v>7</v>
      </c>
      <c r="F39" s="193">
        <v>9</v>
      </c>
      <c r="G39" s="193">
        <v>9</v>
      </c>
      <c r="H39" s="193">
        <v>14</v>
      </c>
      <c r="I39" s="193">
        <v>13</v>
      </c>
      <c r="J39" s="193">
        <v>16</v>
      </c>
      <c r="K39" s="193">
        <v>12</v>
      </c>
      <c r="L39" s="193">
        <v>11</v>
      </c>
      <c r="M39" s="193">
        <v>8</v>
      </c>
      <c r="N39" s="193">
        <v>12</v>
      </c>
    </row>
    <row r="40" spans="1:15" x14ac:dyDescent="0.25">
      <c r="B40" s="166" t="s">
        <v>285</v>
      </c>
      <c r="C40" s="193">
        <v>430</v>
      </c>
      <c r="D40" s="193">
        <v>436</v>
      </c>
      <c r="E40" s="193">
        <v>603</v>
      </c>
      <c r="F40" s="193">
        <v>817</v>
      </c>
      <c r="G40" s="193">
        <v>705</v>
      </c>
      <c r="H40" s="193">
        <v>1303</v>
      </c>
      <c r="I40" s="193">
        <v>1678</v>
      </c>
      <c r="J40" s="193">
        <v>1456</v>
      </c>
      <c r="K40" s="193">
        <v>1727</v>
      </c>
      <c r="L40" s="193">
        <v>2555</v>
      </c>
      <c r="M40" s="193">
        <v>2869</v>
      </c>
      <c r="N40" s="193">
        <v>3024</v>
      </c>
    </row>
    <row r="41" spans="1:15" x14ac:dyDescent="0.25">
      <c r="B41" s="175" t="s">
        <v>46</v>
      </c>
      <c r="C41" s="196">
        <v>5712</v>
      </c>
      <c r="D41" s="196">
        <v>6784</v>
      </c>
      <c r="E41" s="196">
        <v>8075</v>
      </c>
      <c r="F41" s="196">
        <v>8914</v>
      </c>
      <c r="G41" s="196">
        <v>10559</v>
      </c>
      <c r="H41" s="196">
        <v>12405</v>
      </c>
      <c r="I41" s="196">
        <v>13763</v>
      </c>
      <c r="J41" s="196">
        <v>16249</v>
      </c>
      <c r="K41" s="196">
        <v>16138</v>
      </c>
      <c r="L41" s="196">
        <v>20355</v>
      </c>
      <c r="M41" s="196">
        <v>22958</v>
      </c>
      <c r="N41" s="196">
        <v>25779</v>
      </c>
    </row>
    <row r="45" spans="1:15" x14ac:dyDescent="0.25">
      <c r="C45" s="212"/>
      <c r="D45" s="212"/>
      <c r="E45" s="212"/>
      <c r="F45" s="212"/>
      <c r="G45" s="212"/>
      <c r="H45" s="212"/>
      <c r="I45" s="212"/>
      <c r="J45" s="212"/>
      <c r="K45" s="212"/>
      <c r="L45" s="212"/>
      <c r="M45" s="212"/>
      <c r="N45" s="212"/>
      <c r="O45" s="212"/>
    </row>
    <row r="46" spans="1:15" x14ac:dyDescent="0.25">
      <c r="C46" s="212"/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</row>
    <row r="47" spans="1:15" x14ac:dyDescent="0.25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x14ac:dyDescent="0.25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3:15" x14ac:dyDescent="0.25">
      <c r="J49" s="21"/>
      <c r="K49" s="21"/>
      <c r="L49" s="21"/>
      <c r="M49" s="21"/>
      <c r="N49" s="21"/>
      <c r="O49" s="21"/>
    </row>
    <row r="51" spans="3:15" x14ac:dyDescent="0.25">
      <c r="O51" s="21"/>
    </row>
    <row r="52" spans="3:15" x14ac:dyDescent="0.25">
      <c r="O52" s="21"/>
    </row>
    <row r="53" spans="3:15" x14ac:dyDescent="0.25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3:15" x14ac:dyDescent="0.25"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3:15" x14ac:dyDescent="0.25"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3:15" x14ac:dyDescent="0.25"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8" spans="3:15" x14ac:dyDescent="0.25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3:15" x14ac:dyDescent="0.25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3:15" x14ac:dyDescent="0.25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3:15" x14ac:dyDescent="0.25">
      <c r="K61" s="21"/>
      <c r="L61" s="21"/>
      <c r="M61" s="21"/>
      <c r="N61" s="21"/>
    </row>
    <row r="62" spans="3:15" x14ac:dyDescent="0.25">
      <c r="G62" s="21"/>
      <c r="H62" s="21"/>
      <c r="I62" s="21"/>
      <c r="J62" s="21"/>
      <c r="K62" s="21"/>
      <c r="L62" s="21"/>
      <c r="M62" s="21"/>
      <c r="N62" s="21"/>
    </row>
    <row r="63" spans="3:15" x14ac:dyDescent="0.25"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6" spans="3:15" x14ac:dyDescent="0.25">
      <c r="N66" s="21"/>
      <c r="O66" s="21"/>
    </row>
    <row r="68" spans="3:15" x14ac:dyDescent="0.25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3:15" x14ac:dyDescent="0.25"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3:15" x14ac:dyDescent="0.25">
      <c r="E70" s="21"/>
      <c r="F70" s="21"/>
      <c r="J70" s="21"/>
      <c r="K70" s="21"/>
      <c r="L70" s="21"/>
      <c r="M70" s="21"/>
      <c r="N70" s="21"/>
    </row>
    <row r="71" spans="3:15" x14ac:dyDescent="0.25"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3:15" x14ac:dyDescent="0.25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3:15" x14ac:dyDescent="0.25"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3:15" x14ac:dyDescent="0.25"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3:15" x14ac:dyDescent="0.25"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7" spans="3:15" x14ac:dyDescent="0.25">
      <c r="K77" s="21"/>
    </row>
    <row r="78" spans="3:15" x14ac:dyDescent="0.25"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3:15" x14ac:dyDescent="0.25"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DED2-DEC3-4CB8-A8AB-C3C7B5A2DCE1}">
  <dimension ref="A2:AF68"/>
  <sheetViews>
    <sheetView showGridLines="0" topLeftCell="D1" workbookViewId="0">
      <selection activeCell="N10" sqref="N10:V30"/>
    </sheetView>
  </sheetViews>
  <sheetFormatPr defaultRowHeight="15" x14ac:dyDescent="0.25"/>
  <cols>
    <col min="1" max="1" width="1.85546875" customWidth="1"/>
    <col min="2" max="2" width="16" bestFit="1" customWidth="1"/>
    <col min="3" max="3" width="2.7109375" customWidth="1"/>
    <col min="4" max="4" width="12" bestFit="1" customWidth="1"/>
    <col min="6" max="6" width="2.7109375" customWidth="1"/>
    <col min="7" max="7" width="12.28515625" bestFit="1" customWidth="1"/>
    <col min="9" max="9" width="2.7109375" customWidth="1"/>
    <col min="10" max="10" width="16.85546875" bestFit="1" customWidth="1"/>
    <col min="14" max="14" width="18" bestFit="1" customWidth="1"/>
  </cols>
  <sheetData>
    <row r="2" spans="1:25" x14ac:dyDescent="0.25">
      <c r="B2" s="229" t="s">
        <v>204</v>
      </c>
      <c r="C2" s="229"/>
      <c r="D2" s="229"/>
      <c r="E2" s="229"/>
      <c r="F2" s="229"/>
      <c r="G2" s="229"/>
      <c r="H2" s="229"/>
      <c r="I2" s="229"/>
      <c r="J2" s="229"/>
      <c r="K2" s="229"/>
    </row>
    <row r="3" spans="1:25" x14ac:dyDescent="0.25"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25" x14ac:dyDescent="0.25">
      <c r="B4" s="234" t="s">
        <v>205</v>
      </c>
      <c r="C4" s="234"/>
      <c r="D4" s="234"/>
      <c r="E4" s="234"/>
      <c r="F4" s="67"/>
      <c r="G4" s="67"/>
      <c r="H4" s="67"/>
      <c r="I4" s="67"/>
      <c r="J4" s="67"/>
      <c r="K4" s="67"/>
    </row>
    <row r="6" spans="1:25" x14ac:dyDescent="0.25">
      <c r="B6" s="65" t="s">
        <v>206</v>
      </c>
      <c r="C6" s="68"/>
      <c r="D6" s="229" t="s">
        <v>207</v>
      </c>
      <c r="E6" s="229"/>
      <c r="F6" s="67"/>
      <c r="G6" s="233" t="str">
        <f>'Data Sheet'!B1</f>
        <v>ASIAN PAINTS LTD</v>
      </c>
      <c r="H6" s="229"/>
      <c r="J6" s="229" t="s">
        <v>208</v>
      </c>
      <c r="K6" s="229"/>
    </row>
    <row r="8" spans="1:25" x14ac:dyDescent="0.25">
      <c r="B8" s="148" t="s">
        <v>209</v>
      </c>
      <c r="C8" s="11"/>
      <c r="D8" s="148" t="s">
        <v>210</v>
      </c>
      <c r="E8" s="201" t="s">
        <v>211</v>
      </c>
      <c r="F8" s="71"/>
      <c r="G8" s="201" t="s">
        <v>210</v>
      </c>
      <c r="H8" s="201" t="s">
        <v>211</v>
      </c>
      <c r="J8" s="203" t="s">
        <v>212</v>
      </c>
      <c r="K8" s="72">
        <f>O27</f>
        <v>0.6181234813448645</v>
      </c>
      <c r="N8" s="213"/>
      <c r="O8" s="213"/>
      <c r="P8" s="213"/>
      <c r="Q8" s="213"/>
      <c r="R8" s="213"/>
      <c r="S8" s="213"/>
      <c r="T8" s="213"/>
      <c r="U8" s="213"/>
      <c r="V8" s="213"/>
    </row>
    <row r="9" spans="1:25" x14ac:dyDescent="0.25">
      <c r="B9" s="202">
        <v>43525</v>
      </c>
      <c r="C9" s="66"/>
      <c r="D9" s="200">
        <v>11623.900390999999</v>
      </c>
      <c r="G9" s="200">
        <v>1440.873047</v>
      </c>
      <c r="J9" s="166" t="s">
        <v>214</v>
      </c>
      <c r="K9" s="181">
        <v>0.75</v>
      </c>
      <c r="N9" s="213"/>
      <c r="O9" s="213"/>
      <c r="P9" s="213"/>
      <c r="Q9" s="213"/>
      <c r="R9" s="213"/>
      <c r="S9" s="213"/>
      <c r="T9" s="213"/>
      <c r="U9" s="213"/>
      <c r="V9" s="213"/>
    </row>
    <row r="10" spans="1:25" s="100" customFormat="1" x14ac:dyDescent="0.25">
      <c r="A10"/>
      <c r="B10" s="202">
        <v>43556</v>
      </c>
      <c r="C10" s="66"/>
      <c r="D10" s="200">
        <v>11748.150390999999</v>
      </c>
      <c r="E10" s="64">
        <f>D10/D9-1</f>
        <v>1.0689183133073099E-2</v>
      </c>
      <c r="F10" s="64"/>
      <c r="G10" s="200">
        <v>1412.3488769999999</v>
      </c>
      <c r="H10" s="64">
        <f>G10/G9-1</f>
        <v>-1.9796449145460415E-2</v>
      </c>
      <c r="I10"/>
      <c r="J10" s="166"/>
      <c r="K10"/>
      <c r="L10"/>
      <c r="M10"/>
      <c r="N10" t="s">
        <v>213</v>
      </c>
      <c r="O10"/>
      <c r="P10"/>
      <c r="Q10"/>
      <c r="R10"/>
      <c r="S10"/>
      <c r="T10"/>
      <c r="U10"/>
      <c r="V10"/>
    </row>
    <row r="11" spans="1:25" s="100" customFormat="1" ht="15.75" thickBot="1" x14ac:dyDescent="0.3">
      <c r="A11"/>
      <c r="B11" s="202">
        <v>43586</v>
      </c>
      <c r="C11" s="66"/>
      <c r="D11" s="200">
        <v>11922.799805000001</v>
      </c>
      <c r="E11" s="64">
        <f t="shared" ref="E11:E68" si="0">D11/D10-1</f>
        <v>1.4866120043355524E-2</v>
      </c>
      <c r="F11" s="64"/>
      <c r="G11" s="200">
        <v>1358.4381100000001</v>
      </c>
      <c r="H11" s="64">
        <f t="shared" ref="H11:H68" si="1">G11/G10-1</f>
        <v>-3.8170998595271177E-2</v>
      </c>
      <c r="I11"/>
      <c r="J11" s="166" t="s">
        <v>216</v>
      </c>
      <c r="K11" s="166">
        <v>1</v>
      </c>
      <c r="L11"/>
      <c r="M11"/>
      <c r="N11"/>
      <c r="O11"/>
      <c r="P11"/>
      <c r="Q11"/>
      <c r="R11"/>
      <c r="S11"/>
      <c r="T11"/>
      <c r="U11"/>
      <c r="V11"/>
    </row>
    <row r="12" spans="1:25" s="100" customFormat="1" x14ac:dyDescent="0.25">
      <c r="A12"/>
      <c r="B12" s="202">
        <v>43617</v>
      </c>
      <c r="C12" s="66"/>
      <c r="D12" s="200">
        <v>11788.849609000001</v>
      </c>
      <c r="E12" s="64">
        <f t="shared" si="0"/>
        <v>-1.1234793688628897E-2</v>
      </c>
      <c r="F12" s="64"/>
      <c r="G12" s="200">
        <v>1310.994751</v>
      </c>
      <c r="H12" s="64">
        <f t="shared" si="1"/>
        <v>-3.4924932281235943E-2</v>
      </c>
      <c r="I12"/>
      <c r="J12" s="166" t="s">
        <v>218</v>
      </c>
      <c r="K12" s="181">
        <v>0.25</v>
      </c>
      <c r="L12"/>
      <c r="M12"/>
      <c r="N12" s="99" t="s">
        <v>215</v>
      </c>
      <c r="O12" s="99"/>
      <c r="P12"/>
      <c r="Q12"/>
      <c r="R12"/>
      <c r="S12"/>
      <c r="T12"/>
      <c r="U12"/>
      <c r="V12"/>
      <c r="X12" s="101"/>
      <c r="Y12" s="101"/>
    </row>
    <row r="13" spans="1:25" s="100" customFormat="1" x14ac:dyDescent="0.25">
      <c r="A13"/>
      <c r="B13" s="202">
        <v>43647</v>
      </c>
      <c r="C13" s="66"/>
      <c r="D13" s="200">
        <v>11118</v>
      </c>
      <c r="E13" s="64">
        <f t="shared" si="0"/>
        <v>-5.6905434478343953E-2</v>
      </c>
      <c r="F13" s="64"/>
      <c r="G13" s="200">
        <v>1476.209351</v>
      </c>
      <c r="H13" s="64">
        <f t="shared" si="1"/>
        <v>0.12602231997799973</v>
      </c>
      <c r="I13"/>
      <c r="J13"/>
      <c r="K13"/>
      <c r="L13"/>
      <c r="M13"/>
      <c r="N13" s="96" t="s">
        <v>217</v>
      </c>
      <c r="O13" s="96">
        <v>0.42767264126417887</v>
      </c>
      <c r="P13"/>
      <c r="Q13"/>
      <c r="R13"/>
      <c r="S13"/>
      <c r="T13"/>
      <c r="U13"/>
      <c r="V13"/>
      <c r="X13" s="96"/>
      <c r="Y13" s="96"/>
    </row>
    <row r="14" spans="1:25" s="100" customFormat="1" x14ac:dyDescent="0.25">
      <c r="A14"/>
      <c r="B14" s="202">
        <v>43678</v>
      </c>
      <c r="C14" s="66"/>
      <c r="D14" s="200">
        <v>11023.25</v>
      </c>
      <c r="E14" s="64">
        <f t="shared" si="0"/>
        <v>-8.5222162259399603E-3</v>
      </c>
      <c r="F14" s="64"/>
      <c r="G14" s="200">
        <v>1568.502808</v>
      </c>
      <c r="H14" s="64">
        <f t="shared" si="1"/>
        <v>6.2520574698622156E-2</v>
      </c>
      <c r="I14"/>
      <c r="J14" s="204" t="s">
        <v>221</v>
      </c>
      <c r="K14" s="75">
        <f>(K8*K9)+(K11*K12)</f>
        <v>0.71359261100864835</v>
      </c>
      <c r="L14"/>
      <c r="M14"/>
      <c r="N14" s="96" t="s">
        <v>219</v>
      </c>
      <c r="O14" s="96">
        <v>0.18290388808587901</v>
      </c>
      <c r="P14"/>
      <c r="Q14"/>
      <c r="R14"/>
      <c r="S14"/>
      <c r="T14"/>
      <c r="U14"/>
      <c r="V14"/>
      <c r="X14" s="96"/>
      <c r="Y14" s="96"/>
    </row>
    <row r="15" spans="1:25" s="100" customFormat="1" x14ac:dyDescent="0.25">
      <c r="A15"/>
      <c r="B15" s="202">
        <v>43709</v>
      </c>
      <c r="C15" s="66"/>
      <c r="D15" s="200">
        <v>11474.450194999999</v>
      </c>
      <c r="E15" s="64">
        <f t="shared" si="0"/>
        <v>4.0931684847935079E-2</v>
      </c>
      <c r="F15" s="64"/>
      <c r="G15" s="200">
        <v>1710.1453859999999</v>
      </c>
      <c r="H15" s="64">
        <f t="shared" si="1"/>
        <v>9.0304319047161075E-2</v>
      </c>
      <c r="I15"/>
      <c r="J15"/>
      <c r="K15"/>
      <c r="L15"/>
      <c r="M15"/>
      <c r="N15" s="96" t="s">
        <v>220</v>
      </c>
      <c r="O15" s="96">
        <v>0.16856886857861372</v>
      </c>
      <c r="P15"/>
      <c r="Q15"/>
      <c r="R15"/>
      <c r="S15"/>
      <c r="T15"/>
      <c r="U15"/>
      <c r="V15"/>
      <c r="X15" s="96"/>
      <c r="Y15" s="96"/>
    </row>
    <row r="16" spans="1:25" s="100" customFormat="1" x14ac:dyDescent="0.25">
      <c r="A16"/>
      <c r="B16" s="202">
        <v>43739</v>
      </c>
      <c r="C16" s="66"/>
      <c r="D16" s="200">
        <v>11877.450194999999</v>
      </c>
      <c r="E16" s="64">
        <f t="shared" si="0"/>
        <v>3.5121508495074449E-2</v>
      </c>
      <c r="F16" s="64"/>
      <c r="G16" s="200">
        <v>1756.1949460000001</v>
      </c>
      <c r="H16" s="64">
        <f t="shared" si="1"/>
        <v>2.6927277865953503E-2</v>
      </c>
      <c r="I16"/>
      <c r="J16"/>
      <c r="K16"/>
      <c r="L16"/>
      <c r="M16"/>
      <c r="N16" s="96" t="s">
        <v>222</v>
      </c>
      <c r="O16" s="96">
        <v>7.1379167470597304E-2</v>
      </c>
      <c r="P16"/>
      <c r="Q16"/>
      <c r="R16"/>
      <c r="S16"/>
      <c r="T16"/>
      <c r="U16"/>
      <c r="V16"/>
      <c r="X16" s="96"/>
      <c r="Y16" s="96"/>
    </row>
    <row r="17" spans="1:32" s="100" customFormat="1" ht="15.75" thickBot="1" x14ac:dyDescent="0.3">
      <c r="A17"/>
      <c r="B17" s="202">
        <v>43770</v>
      </c>
      <c r="C17" s="66"/>
      <c r="D17" s="200">
        <v>12056.049805000001</v>
      </c>
      <c r="E17" s="64">
        <f t="shared" si="0"/>
        <v>1.5036864568389152E-2</v>
      </c>
      <c r="F17" s="64"/>
      <c r="G17" s="200">
        <v>1658.861328</v>
      </c>
      <c r="H17" s="64">
        <f t="shared" si="1"/>
        <v>-5.5423014524493497E-2</v>
      </c>
      <c r="I17"/>
      <c r="J17"/>
      <c r="K17"/>
      <c r="L17"/>
      <c r="M17"/>
      <c r="N17" s="97" t="s">
        <v>223</v>
      </c>
      <c r="O17" s="97">
        <v>59</v>
      </c>
      <c r="P17"/>
      <c r="Q17"/>
      <c r="R17"/>
      <c r="S17"/>
      <c r="T17"/>
      <c r="U17"/>
      <c r="V17"/>
      <c r="X17" s="96"/>
      <c r="Y17" s="96"/>
    </row>
    <row r="18" spans="1:32" s="100" customFormat="1" x14ac:dyDescent="0.25">
      <c r="A18"/>
      <c r="B18" s="202">
        <v>43800</v>
      </c>
      <c r="C18" s="66"/>
      <c r="D18" s="200">
        <v>12168.450194999999</v>
      </c>
      <c r="E18" s="64">
        <f t="shared" si="0"/>
        <v>9.3231524270398491E-3</v>
      </c>
      <c r="F18" s="64"/>
      <c r="G18" s="200">
        <v>1735.4769289999999</v>
      </c>
      <c r="H18" s="64">
        <f t="shared" si="1"/>
        <v>4.6185657418617021E-2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32" s="100" customFormat="1" ht="15.75" thickBot="1" x14ac:dyDescent="0.3">
      <c r="A19"/>
      <c r="B19" s="202">
        <v>43831</v>
      </c>
      <c r="C19" s="66"/>
      <c r="D19" s="200">
        <v>11962.099609000001</v>
      </c>
      <c r="E19" s="64">
        <f t="shared" si="0"/>
        <v>-1.6957836264538284E-2</v>
      </c>
      <c r="F19" s="64"/>
      <c r="G19" s="200">
        <v>1745.8804929999999</v>
      </c>
      <c r="H19" s="64">
        <f t="shared" si="1"/>
        <v>5.9946426403920672E-3</v>
      </c>
      <c r="I19"/>
      <c r="J19"/>
      <c r="K19"/>
      <c r="L19"/>
      <c r="M19"/>
      <c r="N19" t="s">
        <v>224</v>
      </c>
      <c r="O19"/>
      <c r="P19"/>
      <c r="Q19"/>
      <c r="R19"/>
      <c r="S19"/>
      <c r="T19"/>
      <c r="U19"/>
      <c r="V19"/>
    </row>
    <row r="20" spans="1:32" s="100" customFormat="1" x14ac:dyDescent="0.25">
      <c r="A20"/>
      <c r="B20" s="202">
        <v>43862</v>
      </c>
      <c r="C20" s="66"/>
      <c r="D20" s="200">
        <v>11201.75</v>
      </c>
      <c r="E20" s="64">
        <f t="shared" si="0"/>
        <v>-6.35632233348008E-2</v>
      </c>
      <c r="F20" s="64"/>
      <c r="G20" s="200">
        <v>1748.1168210000001</v>
      </c>
      <c r="H20" s="64">
        <f t="shared" si="1"/>
        <v>1.2809169980227963E-3</v>
      </c>
      <c r="I20"/>
      <c r="J20"/>
      <c r="K20"/>
      <c r="L20"/>
      <c r="M20"/>
      <c r="N20" s="98"/>
      <c r="O20" s="98" t="s">
        <v>225</v>
      </c>
      <c r="P20" s="98" t="s">
        <v>226</v>
      </c>
      <c r="Q20" s="98" t="s">
        <v>227</v>
      </c>
      <c r="R20" s="98" t="s">
        <v>228</v>
      </c>
      <c r="S20" s="98" t="s">
        <v>229</v>
      </c>
      <c r="T20"/>
      <c r="U20"/>
      <c r="V20"/>
      <c r="X20" s="102"/>
      <c r="Y20" s="102"/>
      <c r="Z20" s="102"/>
      <c r="AA20" s="102"/>
      <c r="AB20" s="102"/>
      <c r="AC20" s="102"/>
    </row>
    <row r="21" spans="1:32" s="100" customFormat="1" x14ac:dyDescent="0.25">
      <c r="A21"/>
      <c r="B21" s="202">
        <v>43891</v>
      </c>
      <c r="C21" s="66"/>
      <c r="D21" s="200">
        <v>8597.75</v>
      </c>
      <c r="E21" s="64">
        <f t="shared" si="0"/>
        <v>-0.23246367755038277</v>
      </c>
      <c r="F21" s="64"/>
      <c r="G21" s="200">
        <v>1620.3101810000001</v>
      </c>
      <c r="H21" s="64">
        <f t="shared" si="1"/>
        <v>-7.3111040672264149E-2</v>
      </c>
      <c r="I21"/>
      <c r="J21"/>
      <c r="K21"/>
      <c r="L21"/>
      <c r="M21"/>
      <c r="N21" s="96" t="s">
        <v>230</v>
      </c>
      <c r="O21" s="96">
        <v>1</v>
      </c>
      <c r="P21" s="96">
        <v>6.5008119880393234E-2</v>
      </c>
      <c r="Q21" s="96">
        <v>6.5008119880393234E-2</v>
      </c>
      <c r="R21" s="96">
        <v>12.759235381101474</v>
      </c>
      <c r="S21" s="96">
        <v>7.2850989952932235E-4</v>
      </c>
      <c r="T21"/>
      <c r="U21"/>
      <c r="V21"/>
      <c r="X21" s="96"/>
      <c r="Y21" s="96"/>
      <c r="Z21" s="96"/>
      <c r="AA21" s="96"/>
      <c r="AB21" s="96"/>
      <c r="AC21" s="96"/>
    </row>
    <row r="22" spans="1:32" s="100" customFormat="1" x14ac:dyDescent="0.25">
      <c r="A22"/>
      <c r="B22" s="202">
        <v>43922</v>
      </c>
      <c r="C22" s="66"/>
      <c r="D22" s="200">
        <v>9859.9003909999992</v>
      </c>
      <c r="E22" s="64">
        <f t="shared" si="0"/>
        <v>0.14680008036986414</v>
      </c>
      <c r="F22" s="64"/>
      <c r="G22" s="200">
        <v>1716.824707</v>
      </c>
      <c r="H22" s="64">
        <f t="shared" si="1"/>
        <v>5.9565462916757461E-2</v>
      </c>
      <c r="I22"/>
      <c r="J22"/>
      <c r="K22"/>
      <c r="L22"/>
      <c r="M22"/>
      <c r="N22" s="96" t="s">
        <v>231</v>
      </c>
      <c r="O22" s="96">
        <v>57</v>
      </c>
      <c r="P22" s="96">
        <v>0.29041417628134786</v>
      </c>
      <c r="Q22" s="96">
        <v>5.0949855487955765E-3</v>
      </c>
      <c r="R22" s="96"/>
      <c r="S22" s="96"/>
      <c r="T22"/>
      <c r="U22"/>
      <c r="V22"/>
      <c r="X22" s="96"/>
      <c r="Y22" s="96"/>
      <c r="Z22" s="96"/>
      <c r="AA22" s="96"/>
      <c r="AB22" s="96"/>
      <c r="AC22" s="96"/>
    </row>
    <row r="23" spans="1:32" s="100" customFormat="1" ht="15.75" thickBot="1" x14ac:dyDescent="0.3">
      <c r="A23"/>
      <c r="B23" s="202">
        <v>43952</v>
      </c>
      <c r="C23" s="66"/>
      <c r="D23" s="200">
        <v>9580.2998050000006</v>
      </c>
      <c r="E23" s="64">
        <f t="shared" si="0"/>
        <v>-2.8357343878972152E-2</v>
      </c>
      <c r="F23" s="64"/>
      <c r="G23" s="200">
        <v>1643.024658</v>
      </c>
      <c r="H23" s="64">
        <f t="shared" si="1"/>
        <v>-4.2986362381141952E-2</v>
      </c>
      <c r="I23"/>
      <c r="J23"/>
      <c r="K23"/>
      <c r="L23"/>
      <c r="M23"/>
      <c r="N23" s="97" t="s">
        <v>188</v>
      </c>
      <c r="O23" s="97">
        <v>58</v>
      </c>
      <c r="P23" s="97">
        <v>0.35542229616174109</v>
      </c>
      <c r="Q23" s="97"/>
      <c r="R23" s="97"/>
      <c r="S23" s="97"/>
      <c r="T23"/>
      <c r="U23"/>
      <c r="V23"/>
      <c r="X23" s="96"/>
      <c r="Y23" s="96"/>
      <c r="Z23" s="96"/>
      <c r="AA23" s="96"/>
      <c r="AB23" s="96"/>
      <c r="AC23" s="96"/>
    </row>
    <row r="24" spans="1:32" s="100" customFormat="1" ht="15.75" thickBot="1" x14ac:dyDescent="0.3">
      <c r="A24"/>
      <c r="B24" s="202">
        <v>43983</v>
      </c>
      <c r="C24" s="66"/>
      <c r="D24" s="200">
        <v>10302.099609000001</v>
      </c>
      <c r="E24" s="64">
        <f t="shared" si="0"/>
        <v>7.5342089359592856E-2</v>
      </c>
      <c r="F24" s="64"/>
      <c r="G24" s="200">
        <v>1647.270996</v>
      </c>
      <c r="H24" s="64">
        <f t="shared" si="1"/>
        <v>2.5844639514838175E-3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32" s="100" customFormat="1" x14ac:dyDescent="0.25">
      <c r="A25"/>
      <c r="B25" s="202">
        <v>44013</v>
      </c>
      <c r="C25" s="66"/>
      <c r="D25" s="200">
        <v>11073.450194999999</v>
      </c>
      <c r="E25" s="64">
        <f t="shared" si="0"/>
        <v>7.4873143851777568E-2</v>
      </c>
      <c r="F25" s="64"/>
      <c r="G25" s="200">
        <v>1674.6533199999999</v>
      </c>
      <c r="H25" s="64">
        <f t="shared" si="1"/>
        <v>1.6622841090804918E-2</v>
      </c>
      <c r="I25"/>
      <c r="J25"/>
      <c r="K25"/>
      <c r="L25"/>
      <c r="M25"/>
      <c r="N25" s="98"/>
      <c r="O25" s="98" t="s">
        <v>232</v>
      </c>
      <c r="P25" s="98" t="s">
        <v>222</v>
      </c>
      <c r="Q25" s="98" t="s">
        <v>233</v>
      </c>
      <c r="R25" s="98" t="s">
        <v>234</v>
      </c>
      <c r="S25" s="98" t="s">
        <v>235</v>
      </c>
      <c r="T25" s="98" t="s">
        <v>236</v>
      </c>
      <c r="U25" s="98" t="s">
        <v>237</v>
      </c>
      <c r="V25" s="98" t="s">
        <v>238</v>
      </c>
      <c r="X25" s="102"/>
      <c r="Y25" s="102"/>
      <c r="Z25" s="102"/>
      <c r="AA25" s="102"/>
      <c r="AB25" s="102"/>
      <c r="AC25" s="102"/>
      <c r="AD25" s="102"/>
      <c r="AE25" s="102"/>
      <c r="AF25" s="102"/>
    </row>
    <row r="26" spans="1:32" s="100" customFormat="1" x14ac:dyDescent="0.25">
      <c r="A26"/>
      <c r="B26" s="202">
        <v>44044</v>
      </c>
      <c r="C26" s="66"/>
      <c r="D26" s="200">
        <v>11387.5</v>
      </c>
      <c r="E26" s="64">
        <f t="shared" si="0"/>
        <v>2.8360610240682149E-2</v>
      </c>
      <c r="F26" s="64"/>
      <c r="G26" s="200">
        <v>1855.5229489999999</v>
      </c>
      <c r="H26" s="64">
        <f t="shared" si="1"/>
        <v>0.10800422203205629</v>
      </c>
      <c r="I26"/>
      <c r="J26"/>
      <c r="K26"/>
      <c r="L26"/>
      <c r="M26"/>
      <c r="N26" s="96" t="s">
        <v>239</v>
      </c>
      <c r="O26" s="96">
        <v>7.5114447489056883E-3</v>
      </c>
      <c r="P26" s="96">
        <v>9.5342061263679438E-3</v>
      </c>
      <c r="Q26" s="96">
        <v>0.78784165659392702</v>
      </c>
      <c r="R26" s="96">
        <v>0.43405345131504958</v>
      </c>
      <c r="S26" s="96">
        <v>-1.1580473700906825E-2</v>
      </c>
      <c r="T26" s="96">
        <v>2.66033631987182E-2</v>
      </c>
      <c r="U26" s="96">
        <v>-1.1580473700906825E-2</v>
      </c>
      <c r="V26" s="96">
        <v>2.66033631987182E-2</v>
      </c>
      <c r="X26" s="96"/>
      <c r="Y26" s="96"/>
      <c r="Z26" s="96"/>
      <c r="AA26" s="96"/>
      <c r="AB26" s="96"/>
      <c r="AC26" s="96"/>
      <c r="AD26" s="96"/>
      <c r="AE26" s="96"/>
      <c r="AF26" s="96"/>
    </row>
    <row r="27" spans="1:32" s="100" customFormat="1" ht="15.75" thickBot="1" x14ac:dyDescent="0.3">
      <c r="A27"/>
      <c r="B27" s="202">
        <v>44075</v>
      </c>
      <c r="C27" s="66"/>
      <c r="D27" s="200">
        <v>11247.549805000001</v>
      </c>
      <c r="E27" s="64">
        <f t="shared" si="0"/>
        <v>-1.2289808562019666E-2</v>
      </c>
      <c r="F27" s="64"/>
      <c r="G27" s="200">
        <v>1940.8199460000001</v>
      </c>
      <c r="H27" s="64">
        <f t="shared" si="1"/>
        <v>4.5969249286822E-2</v>
      </c>
      <c r="I27"/>
      <c r="J27"/>
      <c r="K27"/>
      <c r="L27"/>
      <c r="M27"/>
      <c r="N27" s="97" t="s">
        <v>240</v>
      </c>
      <c r="O27" s="97">
        <v>0.6181234813448645</v>
      </c>
      <c r="P27" s="97">
        <v>0.17304653884664131</v>
      </c>
      <c r="Q27" s="97">
        <v>3.5720071921962151</v>
      </c>
      <c r="R27" s="97">
        <v>7.2850989952931628E-4</v>
      </c>
      <c r="S27" s="97">
        <v>0.27160376445460593</v>
      </c>
      <c r="T27" s="97">
        <v>0.96464319823512312</v>
      </c>
      <c r="U27" s="97">
        <v>0.27160376445460593</v>
      </c>
      <c r="V27" s="97">
        <v>0.96464319823512312</v>
      </c>
      <c r="X27" s="96"/>
      <c r="Y27" s="96"/>
      <c r="Z27" s="96"/>
      <c r="AA27" s="96"/>
      <c r="AB27" s="96"/>
      <c r="AC27" s="96"/>
      <c r="AD27" s="96"/>
      <c r="AE27" s="96"/>
      <c r="AF27" s="96"/>
    </row>
    <row r="28" spans="1:32" s="100" customFormat="1" x14ac:dyDescent="0.25">
      <c r="A28"/>
      <c r="B28" s="202">
        <v>44105</v>
      </c>
      <c r="C28" s="66"/>
      <c r="D28" s="200">
        <v>11642.400390999999</v>
      </c>
      <c r="E28" s="64">
        <f t="shared" si="0"/>
        <v>3.5105475667640107E-2</v>
      </c>
      <c r="F28" s="64"/>
      <c r="G28" s="200">
        <v>2160.7548830000001</v>
      </c>
      <c r="H28" s="64">
        <f t="shared" si="1"/>
        <v>0.11332062897090611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32" s="100" customFormat="1" x14ac:dyDescent="0.25">
      <c r="A29"/>
      <c r="B29" s="202">
        <v>44136</v>
      </c>
      <c r="C29" s="66"/>
      <c r="D29" s="200">
        <v>12968.950194999999</v>
      </c>
      <c r="E29" s="64">
        <f t="shared" si="0"/>
        <v>0.1139412629225045</v>
      </c>
      <c r="F29" s="64"/>
      <c r="G29" s="200">
        <v>2167.7719729999999</v>
      </c>
      <c r="H29" s="64">
        <f t="shared" si="1"/>
        <v>3.2475178259263604E-3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32" x14ac:dyDescent="0.25">
      <c r="B30" s="202">
        <v>44166</v>
      </c>
      <c r="C30" s="66"/>
      <c r="D30" s="200">
        <v>13981.75</v>
      </c>
      <c r="E30" s="64">
        <f t="shared" si="0"/>
        <v>7.8094201132060226E-2</v>
      </c>
      <c r="F30" s="64"/>
      <c r="G30" s="200">
        <v>2705.1889649999998</v>
      </c>
      <c r="H30" s="64">
        <f t="shared" si="1"/>
        <v>0.24791214144920581</v>
      </c>
    </row>
    <row r="31" spans="1:32" x14ac:dyDescent="0.25">
      <c r="B31" s="202">
        <v>44197</v>
      </c>
      <c r="C31" s="66"/>
      <c r="D31" s="200">
        <v>13634.599609000001</v>
      </c>
      <c r="E31" s="64">
        <f t="shared" si="0"/>
        <v>-2.4828822643803483E-2</v>
      </c>
      <c r="F31" s="64"/>
      <c r="G31" s="200">
        <v>2355.7016600000002</v>
      </c>
      <c r="H31" s="64">
        <f t="shared" si="1"/>
        <v>-0.12919145742559968</v>
      </c>
    </row>
    <row r="32" spans="1:32" x14ac:dyDescent="0.25">
      <c r="B32" s="202">
        <v>44228</v>
      </c>
      <c r="C32" s="66"/>
      <c r="D32" s="200">
        <v>14529.150390999999</v>
      </c>
      <c r="E32" s="64">
        <f t="shared" si="0"/>
        <v>6.5608877976109925E-2</v>
      </c>
      <c r="F32" s="64"/>
      <c r="G32" s="200">
        <v>2228.3439939999998</v>
      </c>
      <c r="H32" s="64">
        <f t="shared" si="1"/>
        <v>-5.4063580360171892E-2</v>
      </c>
    </row>
    <row r="33" spans="2:8" x14ac:dyDescent="0.25">
      <c r="B33" s="202">
        <v>44256</v>
      </c>
      <c r="C33" s="66"/>
      <c r="D33" s="200">
        <v>14690.700194999999</v>
      </c>
      <c r="E33" s="64">
        <f t="shared" si="0"/>
        <v>1.1119012444118725E-2</v>
      </c>
      <c r="F33" s="64"/>
      <c r="G33" s="200">
        <v>2482.961182</v>
      </c>
      <c r="H33" s="64">
        <f t="shared" si="1"/>
        <v>0.11426296329721897</v>
      </c>
    </row>
    <row r="34" spans="2:8" x14ac:dyDescent="0.25">
      <c r="B34" s="202">
        <v>44287</v>
      </c>
      <c r="C34" s="66"/>
      <c r="D34" s="200">
        <v>14631.099609000001</v>
      </c>
      <c r="E34" s="64">
        <f t="shared" si="0"/>
        <v>-4.057028270189833E-3</v>
      </c>
      <c r="F34" s="64"/>
      <c r="G34" s="200">
        <v>2481.9826659999999</v>
      </c>
      <c r="H34" s="64">
        <f t="shared" si="1"/>
        <v>-3.9409234711107466E-4</v>
      </c>
    </row>
    <row r="35" spans="2:8" x14ac:dyDescent="0.25">
      <c r="B35" s="202">
        <v>44317</v>
      </c>
      <c r="C35" s="66"/>
      <c r="D35" s="200">
        <v>15582.799805000001</v>
      </c>
      <c r="E35" s="64">
        <f t="shared" si="0"/>
        <v>6.504638895456516E-2</v>
      </c>
      <c r="F35" s="64"/>
      <c r="G35" s="200">
        <v>2913.6191410000001</v>
      </c>
      <c r="H35" s="64">
        <f t="shared" si="1"/>
        <v>0.17390793292510454</v>
      </c>
    </row>
    <row r="36" spans="2:8" x14ac:dyDescent="0.25">
      <c r="B36" s="202">
        <v>44348</v>
      </c>
      <c r="C36" s="66"/>
      <c r="D36" s="200">
        <v>15721.5</v>
      </c>
      <c r="E36" s="64">
        <f t="shared" si="0"/>
        <v>8.9008520121971468E-3</v>
      </c>
      <c r="F36" s="64"/>
      <c r="G36" s="200">
        <v>2928.493164</v>
      </c>
      <c r="H36" s="64">
        <f t="shared" si="1"/>
        <v>5.1049990682361379E-3</v>
      </c>
    </row>
    <row r="37" spans="2:8" x14ac:dyDescent="0.25">
      <c r="B37" s="202">
        <v>44378</v>
      </c>
      <c r="C37" s="66"/>
      <c r="D37" s="200">
        <v>15763.049805000001</v>
      </c>
      <c r="E37" s="64">
        <f t="shared" si="0"/>
        <v>2.6428651846197582E-3</v>
      </c>
      <c r="F37" s="64"/>
      <c r="G37" s="200">
        <v>2909.3090820000002</v>
      </c>
      <c r="H37" s="64">
        <f t="shared" si="1"/>
        <v>-6.5508372141106497E-3</v>
      </c>
    </row>
    <row r="38" spans="2:8" x14ac:dyDescent="0.25">
      <c r="B38" s="202">
        <v>44409</v>
      </c>
      <c r="C38" s="66"/>
      <c r="D38" s="200">
        <v>17132.199218999998</v>
      </c>
      <c r="E38" s="64">
        <f t="shared" si="0"/>
        <v>8.6858154414110045E-2</v>
      </c>
      <c r="F38" s="64"/>
      <c r="G38" s="200">
        <v>3148.1748050000001</v>
      </c>
      <c r="H38" s="64">
        <f t="shared" si="1"/>
        <v>8.2103934737588036E-2</v>
      </c>
    </row>
    <row r="39" spans="2:8" x14ac:dyDescent="0.25">
      <c r="B39" s="202">
        <v>44440</v>
      </c>
      <c r="C39" s="66"/>
      <c r="D39" s="200">
        <v>17618.150390999999</v>
      </c>
      <c r="E39" s="64">
        <f t="shared" si="0"/>
        <v>2.8364786434485811E-2</v>
      </c>
      <c r="F39" s="64"/>
      <c r="G39" s="200">
        <v>3190.7553710000002</v>
      </c>
      <c r="H39" s="64">
        <f t="shared" si="1"/>
        <v>1.3525477026362198E-2</v>
      </c>
    </row>
    <row r="40" spans="2:8" x14ac:dyDescent="0.25">
      <c r="B40" s="202">
        <v>44470</v>
      </c>
      <c r="C40" s="66"/>
      <c r="D40" s="200">
        <v>17671.650390999999</v>
      </c>
      <c r="E40" s="64">
        <f t="shared" si="0"/>
        <v>3.0366411236522062E-3</v>
      </c>
      <c r="F40" s="64"/>
      <c r="G40" s="200">
        <v>3048.6064449999999</v>
      </c>
      <c r="H40" s="64">
        <f t="shared" si="1"/>
        <v>-4.4550242645348903E-2</v>
      </c>
    </row>
    <row r="41" spans="2:8" x14ac:dyDescent="0.25">
      <c r="B41" s="202">
        <v>44501</v>
      </c>
      <c r="C41" s="66"/>
      <c r="D41" s="200">
        <v>16983.199218999998</v>
      </c>
      <c r="E41" s="64">
        <f t="shared" si="0"/>
        <v>-3.8957944321409976E-2</v>
      </c>
      <c r="F41" s="64"/>
      <c r="G41" s="200">
        <v>3095.0834960000002</v>
      </c>
      <c r="H41" s="64">
        <f t="shared" si="1"/>
        <v>1.5245343024261837E-2</v>
      </c>
    </row>
    <row r="42" spans="2:8" x14ac:dyDescent="0.25">
      <c r="B42" s="202">
        <v>44531</v>
      </c>
      <c r="C42" s="66"/>
      <c r="D42" s="200">
        <v>17354.050781000002</v>
      </c>
      <c r="E42" s="64">
        <f t="shared" si="0"/>
        <v>2.1836378247575006E-2</v>
      </c>
      <c r="F42" s="64"/>
      <c r="G42" s="200">
        <v>3330.6865229999999</v>
      </c>
      <c r="H42" s="64">
        <f t="shared" si="1"/>
        <v>7.6121703115436645E-2</v>
      </c>
    </row>
    <row r="43" spans="2:8" x14ac:dyDescent="0.25">
      <c r="B43" s="202">
        <v>44562</v>
      </c>
      <c r="C43" s="66"/>
      <c r="D43" s="200">
        <v>17339.849609000001</v>
      </c>
      <c r="E43" s="64">
        <f t="shared" si="0"/>
        <v>-8.183202976188575E-4</v>
      </c>
      <c r="F43" s="64"/>
      <c r="G43" s="200">
        <v>3103.5505370000001</v>
      </c>
      <c r="H43" s="64">
        <f t="shared" si="1"/>
        <v>-6.8194945525949735E-2</v>
      </c>
    </row>
    <row r="44" spans="2:8" x14ac:dyDescent="0.25">
      <c r="B44" s="202">
        <v>44593</v>
      </c>
      <c r="C44" s="66"/>
      <c r="D44" s="200">
        <v>16793.900390999999</v>
      </c>
      <c r="E44" s="64">
        <f t="shared" si="0"/>
        <v>-3.1485233742548413E-2</v>
      </c>
      <c r="F44" s="64"/>
      <c r="G44" s="200">
        <v>3125.6044919999999</v>
      </c>
      <c r="H44" s="64">
        <f t="shared" si="1"/>
        <v>7.1060402390992206E-3</v>
      </c>
    </row>
    <row r="45" spans="2:8" x14ac:dyDescent="0.25">
      <c r="B45" s="202">
        <v>44621</v>
      </c>
      <c r="C45" s="66"/>
      <c r="D45" s="200">
        <v>17464.75</v>
      </c>
      <c r="E45" s="64">
        <f t="shared" si="0"/>
        <v>3.9946027627954406E-2</v>
      </c>
      <c r="F45" s="64"/>
      <c r="G45" s="200">
        <v>3032.3676759999998</v>
      </c>
      <c r="H45" s="64">
        <f t="shared" si="1"/>
        <v>-2.9830010879060453E-2</v>
      </c>
    </row>
    <row r="46" spans="2:8" x14ac:dyDescent="0.25">
      <c r="B46" s="202">
        <v>44652</v>
      </c>
      <c r="C46" s="66"/>
      <c r="D46" s="200">
        <v>17102.550781000002</v>
      </c>
      <c r="E46" s="64">
        <f t="shared" si="0"/>
        <v>-2.0738872242660134E-2</v>
      </c>
      <c r="F46" s="64"/>
      <c r="G46" s="200">
        <v>3187.188232</v>
      </c>
      <c r="H46" s="64">
        <f t="shared" si="1"/>
        <v>5.1055997340079928E-2</v>
      </c>
    </row>
    <row r="47" spans="2:8" x14ac:dyDescent="0.25">
      <c r="B47" s="202">
        <v>44682</v>
      </c>
      <c r="C47" s="66"/>
      <c r="D47" s="200">
        <v>16584.550781000002</v>
      </c>
      <c r="E47" s="64">
        <f t="shared" si="0"/>
        <v>-3.0287879663861039E-2</v>
      </c>
      <c r="F47" s="64"/>
      <c r="G47" s="200">
        <v>2815.4709469999998</v>
      </c>
      <c r="H47" s="64">
        <f t="shared" si="1"/>
        <v>-0.11662859484353172</v>
      </c>
    </row>
    <row r="48" spans="2:8" x14ac:dyDescent="0.25">
      <c r="B48" s="202">
        <v>44713</v>
      </c>
      <c r="C48" s="66"/>
      <c r="D48" s="200">
        <v>15780.25</v>
      </c>
      <c r="E48" s="64">
        <f t="shared" si="0"/>
        <v>-4.8496989253483114E-2</v>
      </c>
      <c r="F48" s="64"/>
      <c r="G48" s="200">
        <v>2653.561768</v>
      </c>
      <c r="H48" s="64">
        <f t="shared" si="1"/>
        <v>-5.7506961374444554E-2</v>
      </c>
    </row>
    <row r="49" spans="2:8" x14ac:dyDescent="0.25">
      <c r="B49" s="202">
        <v>44743</v>
      </c>
      <c r="C49" s="66"/>
      <c r="D49" s="200">
        <v>17158.25</v>
      </c>
      <c r="E49" s="64">
        <f t="shared" si="0"/>
        <v>8.7324345305048956E-2</v>
      </c>
      <c r="F49" s="64"/>
      <c r="G49" s="200">
        <v>3301.1613769999999</v>
      </c>
      <c r="H49" s="64">
        <f t="shared" si="1"/>
        <v>0.24404919335572806</v>
      </c>
    </row>
    <row r="50" spans="2:8" x14ac:dyDescent="0.25">
      <c r="B50" s="202">
        <v>44774</v>
      </c>
      <c r="C50" s="66"/>
      <c r="D50" s="200">
        <v>17759.300781000002</v>
      </c>
      <c r="E50" s="64">
        <f t="shared" si="0"/>
        <v>3.5029841679658613E-2</v>
      </c>
      <c r="F50" s="64"/>
      <c r="G50" s="200">
        <v>3358.446289</v>
      </c>
      <c r="H50" s="64">
        <f t="shared" si="1"/>
        <v>1.7352957174138206E-2</v>
      </c>
    </row>
    <row r="51" spans="2:8" x14ac:dyDescent="0.25">
      <c r="B51" s="202">
        <v>44805</v>
      </c>
      <c r="C51" s="66"/>
      <c r="D51" s="200">
        <v>17094.349609000001</v>
      </c>
      <c r="E51" s="64">
        <f t="shared" si="0"/>
        <v>-3.7442418493829788E-2</v>
      </c>
      <c r="F51" s="64"/>
      <c r="G51" s="200">
        <v>3309.7763669999999</v>
      </c>
      <c r="H51" s="64">
        <f t="shared" si="1"/>
        <v>-1.4491797042998633E-2</v>
      </c>
    </row>
    <row r="52" spans="2:8" x14ac:dyDescent="0.25">
      <c r="B52" s="202">
        <v>44835</v>
      </c>
      <c r="C52" s="66"/>
      <c r="D52" s="200">
        <v>18012.199218999998</v>
      </c>
      <c r="E52" s="64">
        <f t="shared" si="0"/>
        <v>5.3693157738903263E-2</v>
      </c>
      <c r="F52" s="64"/>
      <c r="G52" s="200">
        <v>3077.321289</v>
      </c>
      <c r="H52" s="64">
        <f t="shared" si="1"/>
        <v>-7.0232865373529352E-2</v>
      </c>
    </row>
    <row r="53" spans="2:8" x14ac:dyDescent="0.25">
      <c r="B53" s="202">
        <v>44866</v>
      </c>
      <c r="C53" s="66"/>
      <c r="D53" s="200">
        <v>18758.349609000001</v>
      </c>
      <c r="E53" s="64">
        <f t="shared" si="0"/>
        <v>4.1424724484111497E-2</v>
      </c>
      <c r="F53" s="64"/>
      <c r="G53" s="200">
        <v>3148.6491700000001</v>
      </c>
      <c r="H53" s="64">
        <f t="shared" si="1"/>
        <v>2.3178561580477153E-2</v>
      </c>
    </row>
    <row r="54" spans="2:8" x14ac:dyDescent="0.25">
      <c r="B54" s="202">
        <v>44896</v>
      </c>
      <c r="C54" s="66"/>
      <c r="D54" s="200">
        <v>18105.300781000002</v>
      </c>
      <c r="E54" s="64">
        <f t="shared" si="0"/>
        <v>-3.4813767821379904E-2</v>
      </c>
      <c r="F54" s="64"/>
      <c r="G54" s="200">
        <v>3062.1271969999998</v>
      </c>
      <c r="H54" s="64">
        <f t="shared" si="1"/>
        <v>-2.7479077003679131E-2</v>
      </c>
    </row>
    <row r="55" spans="2:8" x14ac:dyDescent="0.25">
      <c r="B55" s="202">
        <v>44927</v>
      </c>
      <c r="C55" s="66"/>
      <c r="D55" s="200">
        <v>17662.150390999999</v>
      </c>
      <c r="E55" s="64">
        <f t="shared" si="0"/>
        <v>-2.4476278818027275E-2</v>
      </c>
      <c r="F55" s="64"/>
      <c r="G55" s="200">
        <v>2703.0991210000002</v>
      </c>
      <c r="H55" s="64">
        <f t="shared" si="1"/>
        <v>-0.11724793024657609</v>
      </c>
    </row>
    <row r="56" spans="2:8" x14ac:dyDescent="0.25">
      <c r="B56" s="202">
        <v>44958</v>
      </c>
      <c r="C56" s="66"/>
      <c r="D56" s="200">
        <v>17303.949218999998</v>
      </c>
      <c r="E56" s="64">
        <f t="shared" si="0"/>
        <v>-2.0280722566065723E-2</v>
      </c>
      <c r="F56" s="64"/>
      <c r="G56" s="200">
        <v>2805.1896969999998</v>
      </c>
      <c r="H56" s="64">
        <f t="shared" si="1"/>
        <v>3.7767973511171782E-2</v>
      </c>
    </row>
    <row r="57" spans="2:8" x14ac:dyDescent="0.25">
      <c r="B57" s="202">
        <v>44986</v>
      </c>
      <c r="C57" s="66"/>
      <c r="D57" s="200">
        <v>17359.75</v>
      </c>
      <c r="E57" s="64">
        <f t="shared" si="0"/>
        <v>3.2247425309555044E-3</v>
      </c>
      <c r="F57" s="64"/>
      <c r="G57" s="200">
        <v>2738.6003420000002</v>
      </c>
      <c r="H57" s="64">
        <f t="shared" si="1"/>
        <v>-2.373791514749013E-2</v>
      </c>
    </row>
    <row r="58" spans="2:8" x14ac:dyDescent="0.25">
      <c r="B58" s="202">
        <v>45017</v>
      </c>
      <c r="C58" s="66"/>
      <c r="D58" s="200">
        <v>18065</v>
      </c>
      <c r="E58" s="64">
        <f t="shared" si="0"/>
        <v>4.0625585045867663E-2</v>
      </c>
      <c r="F58" s="64"/>
      <c r="G58" s="200">
        <v>2878.1259770000001</v>
      </c>
      <c r="H58" s="64">
        <f t="shared" si="1"/>
        <v>5.0947789956859557E-2</v>
      </c>
    </row>
    <row r="59" spans="2:8" x14ac:dyDescent="0.25">
      <c r="B59" s="202">
        <v>45047</v>
      </c>
      <c r="C59" s="66"/>
      <c r="D59" s="200">
        <v>18534.400390999999</v>
      </c>
      <c r="E59" s="64">
        <f t="shared" si="0"/>
        <v>2.5983968502629295E-2</v>
      </c>
      <c r="F59" s="64"/>
      <c r="G59" s="200">
        <v>3166.3002929999998</v>
      </c>
      <c r="H59" s="64">
        <f t="shared" si="1"/>
        <v>0.10012567841119191</v>
      </c>
    </row>
    <row r="60" spans="2:8" x14ac:dyDescent="0.25">
      <c r="B60" s="202">
        <v>45078</v>
      </c>
      <c r="C60" s="66"/>
      <c r="D60" s="200">
        <v>19189.050781000002</v>
      </c>
      <c r="E60" s="64">
        <f t="shared" si="0"/>
        <v>3.5320829171138879E-2</v>
      </c>
      <c r="F60" s="64"/>
      <c r="G60" s="200">
        <v>3333.9890140000002</v>
      </c>
      <c r="H60" s="64">
        <f t="shared" si="1"/>
        <v>5.2960460310957691E-2</v>
      </c>
    </row>
    <row r="61" spans="2:8" x14ac:dyDescent="0.25">
      <c r="B61" s="202">
        <v>45108</v>
      </c>
      <c r="C61" s="66"/>
      <c r="D61" s="200">
        <v>19753.800781000002</v>
      </c>
      <c r="E61" s="64">
        <f t="shared" si="0"/>
        <v>2.9430846082245221E-2</v>
      </c>
      <c r="F61" s="64"/>
      <c r="G61" s="200">
        <v>3371.4648440000001</v>
      </c>
      <c r="H61" s="64">
        <f t="shared" si="1"/>
        <v>1.1240537938977058E-2</v>
      </c>
    </row>
    <row r="62" spans="2:8" x14ac:dyDescent="0.25">
      <c r="B62" s="202">
        <v>45139</v>
      </c>
      <c r="C62" s="66"/>
      <c r="D62" s="200">
        <v>19253.800781000002</v>
      </c>
      <c r="E62" s="64">
        <f t="shared" si="0"/>
        <v>-2.5311584618233018E-2</v>
      </c>
      <c r="F62" s="64"/>
      <c r="G62" s="200">
        <v>3250.4260250000002</v>
      </c>
      <c r="H62" s="64">
        <f t="shared" si="1"/>
        <v>-3.5900958366926305E-2</v>
      </c>
    </row>
    <row r="63" spans="2:8" x14ac:dyDescent="0.25">
      <c r="B63" s="202">
        <v>45170</v>
      </c>
      <c r="C63" s="66"/>
      <c r="D63" s="200">
        <v>19638.300781000002</v>
      </c>
      <c r="E63" s="64">
        <f t="shared" si="0"/>
        <v>1.9970083017553097E-2</v>
      </c>
      <c r="F63" s="64"/>
      <c r="G63" s="200">
        <v>3155.5415039999998</v>
      </c>
      <c r="H63" s="64">
        <f t="shared" si="1"/>
        <v>-2.9191410685927011E-2</v>
      </c>
    </row>
    <row r="64" spans="2:8" x14ac:dyDescent="0.25">
      <c r="B64" s="202">
        <v>45200</v>
      </c>
      <c r="C64" s="66"/>
      <c r="D64" s="200">
        <v>19079.599609000001</v>
      </c>
      <c r="E64" s="64">
        <f t="shared" si="0"/>
        <v>-2.8449567924967445E-2</v>
      </c>
      <c r="F64" s="64"/>
      <c r="G64" s="200">
        <v>2990.4797359999998</v>
      </c>
      <c r="H64" s="64">
        <f t="shared" si="1"/>
        <v>-5.230853968828042E-2</v>
      </c>
    </row>
    <row r="65" spans="2:8" x14ac:dyDescent="0.25">
      <c r="B65" s="202">
        <v>45231</v>
      </c>
      <c r="C65" s="66"/>
      <c r="D65" s="200">
        <v>20133.150390999999</v>
      </c>
      <c r="E65" s="64">
        <f t="shared" si="0"/>
        <v>5.5218704982835654E-2</v>
      </c>
      <c r="F65" s="64"/>
      <c r="G65" s="200">
        <v>3114.463135</v>
      </c>
      <c r="H65" s="64">
        <f t="shared" si="1"/>
        <v>4.1459367708619688E-2</v>
      </c>
    </row>
    <row r="66" spans="2:8" x14ac:dyDescent="0.25">
      <c r="B66" s="202">
        <v>45261</v>
      </c>
      <c r="C66" s="66"/>
      <c r="D66" s="200">
        <v>21731.400390999999</v>
      </c>
      <c r="E66" s="64">
        <f t="shared" si="0"/>
        <v>7.9383999471560829E-2</v>
      </c>
      <c r="F66" s="64"/>
      <c r="G66" s="200">
        <v>3402.3999020000001</v>
      </c>
      <c r="H66" s="64">
        <f t="shared" si="1"/>
        <v>9.2451493088551162E-2</v>
      </c>
    </row>
    <row r="67" spans="2:8" x14ac:dyDescent="0.25">
      <c r="B67" s="202">
        <v>45292</v>
      </c>
      <c r="C67" s="66"/>
      <c r="D67" s="200">
        <v>21725.699218999998</v>
      </c>
      <c r="E67" s="64">
        <f t="shared" si="0"/>
        <v>-2.6234719794504535E-4</v>
      </c>
      <c r="F67" s="64"/>
      <c r="G67" s="200">
        <v>2957.8500979999999</v>
      </c>
      <c r="H67" s="64">
        <f t="shared" si="1"/>
        <v>-0.13065771714215157</v>
      </c>
    </row>
    <row r="68" spans="2:8" x14ac:dyDescent="0.25">
      <c r="B68" s="202">
        <v>45323</v>
      </c>
      <c r="C68" s="66"/>
      <c r="D68" s="200">
        <v>21930.5</v>
      </c>
      <c r="E68" s="64">
        <f t="shared" si="0"/>
        <v>9.4266600552443958E-3</v>
      </c>
      <c r="F68" s="64"/>
      <c r="G68" s="200">
        <v>2953.8000489999999</v>
      </c>
      <c r="H68" s="64">
        <f t="shared" si="1"/>
        <v>-1.3692543116834432E-3</v>
      </c>
    </row>
  </sheetData>
  <mergeCells count="5">
    <mergeCell ref="G6:H6"/>
    <mergeCell ref="D6:E6"/>
    <mergeCell ref="J6:K6"/>
    <mergeCell ref="B2:K2"/>
    <mergeCell ref="B4:E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FF56-D4C2-433D-97CA-64FA06B7CFE3}">
  <dimension ref="A1:CD68"/>
  <sheetViews>
    <sheetView showGridLines="0" topLeftCell="U1" workbookViewId="0">
      <selection activeCell="AB16" sqref="AB16"/>
    </sheetView>
  </sheetViews>
  <sheetFormatPr defaultRowHeight="15" x14ac:dyDescent="0.25"/>
  <cols>
    <col min="1" max="1" width="1.85546875" customWidth="1"/>
    <col min="2" max="2" width="16" bestFit="1" customWidth="1"/>
    <col min="3" max="3" width="2.7109375" customWidth="1"/>
    <col min="4" max="4" width="12.28515625" bestFit="1" customWidth="1"/>
    <col min="6" max="6" width="2.7109375" customWidth="1"/>
    <col min="7" max="7" width="12.28515625" bestFit="1" customWidth="1"/>
    <col min="9" max="9" width="2.7109375" customWidth="1"/>
    <col min="10" max="10" width="18.85546875" bestFit="1" customWidth="1"/>
    <col min="11" max="14" width="9.28515625" bestFit="1" customWidth="1"/>
    <col min="15" max="15" width="12" bestFit="1" customWidth="1"/>
    <col min="20" max="20" width="12.5703125" bestFit="1" customWidth="1"/>
    <col min="23" max="23" width="18.85546875" bestFit="1" customWidth="1"/>
    <col min="24" max="25" width="9.28515625" bestFit="1" customWidth="1"/>
    <col min="26" max="26" width="12.5703125" bestFit="1" customWidth="1"/>
    <col min="27" max="27" width="9" bestFit="1" customWidth="1"/>
    <col min="28" max="28" width="12" bestFit="1" customWidth="1"/>
    <col min="31" max="31" width="12.5703125" bestFit="1" customWidth="1"/>
    <col min="32" max="32" width="12.28515625" style="100" bestFit="1" customWidth="1"/>
    <col min="33" max="34" width="9.140625" style="100"/>
    <col min="35" max="35" width="18.85546875" style="100" bestFit="1" customWidth="1"/>
    <col min="36" max="39" width="9.28515625" style="100" bestFit="1" customWidth="1"/>
    <col min="40" max="40" width="12" style="100" bestFit="1" customWidth="1"/>
    <col min="41" max="44" width="9.140625" style="100"/>
    <col min="45" max="45" width="12.28515625" style="100" bestFit="1" customWidth="1"/>
    <col min="46" max="46" width="8.5703125" style="100" bestFit="1" customWidth="1"/>
    <col min="47" max="47" width="9.140625" style="100"/>
    <col min="48" max="48" width="18.85546875" style="100" bestFit="1" customWidth="1"/>
    <col min="49" max="52" width="9.28515625" style="100" bestFit="1" customWidth="1"/>
    <col min="53" max="53" width="12" style="100" bestFit="1" customWidth="1"/>
    <col min="54" max="57" width="9.140625" style="100"/>
    <col min="58" max="58" width="12.28515625" style="100" bestFit="1" customWidth="1"/>
    <col min="59" max="59" width="8.5703125" style="100" bestFit="1" customWidth="1"/>
    <col min="60" max="60" width="9.140625" style="100"/>
    <col min="61" max="61" width="18.85546875" style="100" bestFit="1" customWidth="1"/>
    <col min="62" max="65" width="9.28515625" style="100" bestFit="1" customWidth="1"/>
    <col min="66" max="66" width="12" style="100" bestFit="1" customWidth="1"/>
    <col min="67" max="70" width="9.140625" style="100"/>
    <col min="71" max="71" width="12.28515625" style="100" bestFit="1" customWidth="1"/>
    <col min="72" max="72" width="8.5703125" style="100" bestFit="1" customWidth="1"/>
    <col min="73" max="73" width="9.140625" style="100"/>
    <col min="74" max="74" width="18.85546875" style="100" bestFit="1" customWidth="1"/>
    <col min="75" max="75" width="11.5703125" style="100" customWidth="1"/>
    <col min="76" max="78" width="9.28515625" style="100" bestFit="1" customWidth="1"/>
    <col min="79" max="79" width="12" style="100" bestFit="1" customWidth="1"/>
    <col min="80" max="16384" width="9.140625" style="100"/>
  </cols>
  <sheetData>
    <row r="1" spans="1:75" customFormat="1" x14ac:dyDescent="0.25"/>
    <row r="2" spans="1:75" customFormat="1" x14ac:dyDescent="0.25">
      <c r="B2" s="77"/>
      <c r="C2" s="65"/>
      <c r="D2" s="65"/>
      <c r="E2" s="65"/>
      <c r="F2" s="65"/>
      <c r="G2" s="65"/>
      <c r="H2" s="65"/>
      <c r="I2" s="65"/>
      <c r="J2" s="65" t="s">
        <v>204</v>
      </c>
      <c r="K2" s="65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75" customFormat="1" x14ac:dyDescent="0.25"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75" customFormat="1" x14ac:dyDescent="0.25">
      <c r="B4" s="235" t="s">
        <v>205</v>
      </c>
      <c r="C4" s="235"/>
      <c r="D4" s="235"/>
      <c r="E4" s="235"/>
      <c r="F4" s="67"/>
      <c r="G4" s="67"/>
      <c r="H4" s="67"/>
      <c r="I4" s="67"/>
      <c r="J4" s="67"/>
      <c r="K4" s="67"/>
    </row>
    <row r="5" spans="1:75" customFormat="1" x14ac:dyDescent="0.25"/>
    <row r="6" spans="1:75" s="216" customFormat="1" x14ac:dyDescent="0.25">
      <c r="A6"/>
      <c r="B6" s="65" t="s">
        <v>206</v>
      </c>
      <c r="C6" s="68"/>
      <c r="D6" s="229" t="s">
        <v>207</v>
      </c>
      <c r="E6" s="229"/>
      <c r="F6" s="67"/>
      <c r="G6" s="229" t="str">
        <f>Peers!C6</f>
        <v>Berger Paints</v>
      </c>
      <c r="H6" s="229"/>
      <c r="I6"/>
      <c r="J6" s="229" t="s">
        <v>208</v>
      </c>
      <c r="K6" s="229"/>
      <c r="L6"/>
      <c r="M6"/>
      <c r="N6"/>
      <c r="O6"/>
      <c r="P6"/>
      <c r="Q6"/>
      <c r="R6"/>
      <c r="S6"/>
      <c r="T6" s="229" t="str">
        <f>Peers!C7</f>
        <v>Kansai Nerolac</v>
      </c>
      <c r="U6" s="229"/>
      <c r="V6"/>
      <c r="W6" s="229" t="s">
        <v>208</v>
      </c>
      <c r="X6" s="229"/>
      <c r="Y6"/>
      <c r="Z6"/>
      <c r="AA6"/>
      <c r="AB6"/>
      <c r="AC6"/>
      <c r="AD6"/>
      <c r="AE6"/>
      <c r="AF6" s="236"/>
      <c r="AG6" s="236"/>
      <c r="AI6" s="236"/>
      <c r="AJ6" s="236"/>
      <c r="AS6" s="236"/>
      <c r="AT6" s="236"/>
      <c r="AV6" s="236"/>
      <c r="AW6" s="236"/>
      <c r="BF6" s="236"/>
      <c r="BG6" s="236"/>
      <c r="BI6" s="236"/>
      <c r="BJ6" s="236"/>
      <c r="BS6" s="236"/>
      <c r="BT6" s="236"/>
      <c r="BV6" s="236"/>
      <c r="BW6" s="236"/>
    </row>
    <row r="7" spans="1:75" s="216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75" s="216" customFormat="1" x14ac:dyDescent="0.25">
      <c r="A8"/>
      <c r="B8" s="148" t="s">
        <v>209</v>
      </c>
      <c r="C8" s="11"/>
      <c r="D8" s="148" t="s">
        <v>210</v>
      </c>
      <c r="E8" s="201" t="s">
        <v>211</v>
      </c>
      <c r="F8" s="71"/>
      <c r="G8" s="201" t="s">
        <v>210</v>
      </c>
      <c r="H8" s="201" t="s">
        <v>211</v>
      </c>
      <c r="I8"/>
      <c r="J8" s="203" t="s">
        <v>212</v>
      </c>
      <c r="K8" s="72">
        <f>K33</f>
        <v>0.58345734489612788</v>
      </c>
      <c r="L8"/>
      <c r="M8"/>
      <c r="N8"/>
      <c r="O8"/>
      <c r="P8"/>
      <c r="Q8"/>
      <c r="R8"/>
      <c r="S8"/>
      <c r="T8" s="201" t="s">
        <v>210</v>
      </c>
      <c r="U8" s="201" t="s">
        <v>211</v>
      </c>
      <c r="V8"/>
      <c r="W8" s="203" t="s">
        <v>212</v>
      </c>
      <c r="X8" s="72">
        <f>X33</f>
        <v>0.89032497067429839</v>
      </c>
      <c r="Y8"/>
      <c r="Z8"/>
      <c r="AA8"/>
      <c r="AB8"/>
      <c r="AC8"/>
      <c r="AD8"/>
      <c r="AE8"/>
      <c r="AF8" s="217"/>
      <c r="AG8" s="217"/>
      <c r="AI8" s="218"/>
      <c r="AJ8" s="219"/>
      <c r="AS8" s="217"/>
      <c r="AT8" s="217"/>
      <c r="AV8" s="218"/>
      <c r="AW8" s="219"/>
      <c r="BF8" s="217"/>
      <c r="BG8" s="217"/>
      <c r="BI8" s="218"/>
      <c r="BJ8" s="219"/>
      <c r="BS8" s="217"/>
      <c r="BT8" s="217"/>
      <c r="BV8" s="218"/>
      <c r="BW8" s="219"/>
    </row>
    <row r="9" spans="1:75" s="216" customFormat="1" x14ac:dyDescent="0.25">
      <c r="A9"/>
      <c r="B9" s="202">
        <v>43525</v>
      </c>
      <c r="C9" s="66"/>
      <c r="D9" s="200">
        <v>11623.900390999999</v>
      </c>
      <c r="E9"/>
      <c r="F9"/>
      <c r="G9" s="200">
        <v>263.88424700000002</v>
      </c>
      <c r="H9"/>
      <c r="I9"/>
      <c r="J9" s="166" t="s">
        <v>214</v>
      </c>
      <c r="K9" s="181">
        <v>0.75</v>
      </c>
      <c r="L9"/>
      <c r="M9"/>
      <c r="N9"/>
      <c r="O9"/>
      <c r="P9"/>
      <c r="Q9"/>
      <c r="R9"/>
      <c r="S9"/>
      <c r="T9" s="206">
        <v>296.36554000000001</v>
      </c>
      <c r="U9"/>
      <c r="V9"/>
      <c r="W9" s="166" t="s">
        <v>214</v>
      </c>
      <c r="X9" s="181">
        <v>0.75</v>
      </c>
      <c r="Y9"/>
      <c r="Z9"/>
      <c r="AA9"/>
      <c r="AB9"/>
      <c r="AC9"/>
      <c r="AD9"/>
      <c r="AE9"/>
      <c r="AF9" s="220"/>
      <c r="AI9" s="221"/>
      <c r="AJ9" s="222"/>
      <c r="AS9" s="220"/>
      <c r="AV9" s="221"/>
      <c r="AW9" s="222"/>
      <c r="BF9" s="220"/>
      <c r="BI9" s="221"/>
      <c r="BJ9" s="222"/>
      <c r="BS9" s="220"/>
      <c r="BV9" s="221"/>
      <c r="BW9" s="222"/>
    </row>
    <row r="10" spans="1:75" s="216" customFormat="1" x14ac:dyDescent="0.25">
      <c r="A10"/>
      <c r="B10" s="202">
        <v>43556</v>
      </c>
      <c r="C10" s="66"/>
      <c r="D10" s="200">
        <v>11748.150390999999</v>
      </c>
      <c r="E10" s="64">
        <f>D10/D9-1</f>
        <v>1.0689183133073099E-2</v>
      </c>
      <c r="F10" s="64"/>
      <c r="G10" s="200">
        <v>259.97183200000001</v>
      </c>
      <c r="H10" s="64">
        <f>G10/G9-1</f>
        <v>-1.4826254482708912E-2</v>
      </c>
      <c r="I10"/>
      <c r="J10"/>
      <c r="K10"/>
      <c r="L10"/>
      <c r="M10"/>
      <c r="N10"/>
      <c r="O10"/>
      <c r="P10"/>
      <c r="Q10"/>
      <c r="R10"/>
      <c r="S10"/>
      <c r="T10" s="206">
        <v>285.08621199999999</v>
      </c>
      <c r="U10" s="64">
        <f>T10/T9-1</f>
        <v>-3.8058837744766261E-2</v>
      </c>
      <c r="V10"/>
      <c r="W10"/>
      <c r="X10"/>
      <c r="Y10"/>
      <c r="Z10"/>
      <c r="AA10"/>
      <c r="AB10"/>
      <c r="AC10"/>
      <c r="AD10"/>
      <c r="AE10"/>
      <c r="AF10" s="220"/>
      <c r="AG10" s="223"/>
      <c r="AS10" s="220"/>
      <c r="AT10" s="223"/>
      <c r="BF10" s="220"/>
      <c r="BG10" s="223"/>
      <c r="BS10" s="220"/>
      <c r="BT10" s="223"/>
    </row>
    <row r="11" spans="1:75" s="216" customFormat="1" x14ac:dyDescent="0.25">
      <c r="A11"/>
      <c r="B11" s="202">
        <v>43586</v>
      </c>
      <c r="C11" s="66"/>
      <c r="D11" s="200">
        <v>11922.799805000001</v>
      </c>
      <c r="E11" s="64">
        <f t="shared" ref="E11:E68" si="0">D11/D10-1</f>
        <v>1.4866120043355524E-2</v>
      </c>
      <c r="F11" s="64"/>
      <c r="G11" s="200">
        <v>269.22308299999997</v>
      </c>
      <c r="H11" s="64">
        <f t="shared" ref="H11:H68" si="1">G11/G10-1</f>
        <v>3.5585589903447623E-2</v>
      </c>
      <c r="I11"/>
      <c r="J11" s="166" t="s">
        <v>216</v>
      </c>
      <c r="K11" s="166">
        <v>1</v>
      </c>
      <c r="L11"/>
      <c r="M11"/>
      <c r="N11"/>
      <c r="O11"/>
      <c r="P11"/>
      <c r="Q11"/>
      <c r="R11"/>
      <c r="S11"/>
      <c r="T11" s="206">
        <v>298.20779399999998</v>
      </c>
      <c r="U11" s="64">
        <f t="shared" ref="U11:U68" si="2">T11/T10-1</f>
        <v>4.6026715595772094E-2</v>
      </c>
      <c r="V11"/>
      <c r="W11" s="166" t="s">
        <v>216</v>
      </c>
      <c r="X11" s="166">
        <v>1</v>
      </c>
      <c r="Y11"/>
      <c r="Z11"/>
      <c r="AA11"/>
      <c r="AB11"/>
      <c r="AC11"/>
      <c r="AD11"/>
      <c r="AE11"/>
      <c r="AF11" s="220"/>
      <c r="AG11" s="223"/>
      <c r="AI11" s="221"/>
      <c r="AJ11" s="221"/>
      <c r="AS11" s="220"/>
      <c r="AT11" s="223"/>
      <c r="AV11" s="221"/>
      <c r="AW11" s="221"/>
      <c r="BF11" s="220"/>
      <c r="BG11" s="223"/>
      <c r="BI11" s="221"/>
      <c r="BJ11" s="221"/>
      <c r="BS11" s="220"/>
      <c r="BT11" s="223"/>
      <c r="BV11" s="221"/>
      <c r="BW11" s="221"/>
    </row>
    <row r="12" spans="1:75" s="216" customFormat="1" x14ac:dyDescent="0.25">
      <c r="A12"/>
      <c r="B12" s="202">
        <v>43617</v>
      </c>
      <c r="C12" s="66"/>
      <c r="D12" s="200">
        <v>11788.849609000001</v>
      </c>
      <c r="E12" s="64">
        <f t="shared" si="0"/>
        <v>-1.1234793688628897E-2</v>
      </c>
      <c r="F12" s="64"/>
      <c r="G12" s="200">
        <v>258.790009</v>
      </c>
      <c r="H12" s="64">
        <f t="shared" si="1"/>
        <v>-3.8752524054558757E-2</v>
      </c>
      <c r="I12"/>
      <c r="J12" s="166" t="s">
        <v>218</v>
      </c>
      <c r="K12" s="181">
        <v>0.25</v>
      </c>
      <c r="L12"/>
      <c r="M12"/>
      <c r="N12"/>
      <c r="O12"/>
      <c r="P12"/>
      <c r="Q12"/>
      <c r="R12"/>
      <c r="S12"/>
      <c r="T12" s="206">
        <v>285.24780299999998</v>
      </c>
      <c r="U12" s="64">
        <f t="shared" si="2"/>
        <v>-4.3459598510694919E-2</v>
      </c>
      <c r="V12"/>
      <c r="W12" s="166" t="s">
        <v>218</v>
      </c>
      <c r="X12" s="181">
        <v>0.25</v>
      </c>
      <c r="Y12"/>
      <c r="Z12"/>
      <c r="AA12"/>
      <c r="AB12"/>
      <c r="AC12"/>
      <c r="AD12"/>
      <c r="AE12"/>
      <c r="AF12" s="220"/>
      <c r="AG12" s="223"/>
      <c r="AI12" s="221"/>
      <c r="AJ12" s="222"/>
      <c r="AS12" s="220"/>
      <c r="AT12" s="223"/>
      <c r="AV12" s="221"/>
      <c r="AW12" s="222"/>
      <c r="BF12" s="220"/>
      <c r="BG12" s="223"/>
      <c r="BI12" s="221"/>
      <c r="BJ12" s="222"/>
      <c r="BS12" s="220"/>
      <c r="BT12" s="223"/>
      <c r="BV12" s="221"/>
      <c r="BW12" s="222"/>
    </row>
    <row r="13" spans="1:75" s="216" customFormat="1" x14ac:dyDescent="0.25">
      <c r="A13"/>
      <c r="B13" s="202">
        <v>43647</v>
      </c>
      <c r="C13" s="66"/>
      <c r="D13" s="200">
        <v>11118</v>
      </c>
      <c r="E13" s="64">
        <f t="shared" si="0"/>
        <v>-5.6905434478343953E-2</v>
      </c>
      <c r="F13" s="64"/>
      <c r="G13" s="200">
        <v>269.63061499999998</v>
      </c>
      <c r="H13" s="64">
        <f t="shared" si="1"/>
        <v>4.1889584694129178E-2</v>
      </c>
      <c r="I13"/>
      <c r="J13"/>
      <c r="K13"/>
      <c r="L13"/>
      <c r="M13"/>
      <c r="N13"/>
      <c r="O13"/>
      <c r="P13"/>
      <c r="Q13"/>
      <c r="R13"/>
      <c r="S13"/>
      <c r="T13" s="206">
        <v>277.66024800000002</v>
      </c>
      <c r="U13" s="64">
        <f t="shared" si="2"/>
        <v>-2.6599871831440414E-2</v>
      </c>
      <c r="V13"/>
      <c r="W13"/>
      <c r="X13"/>
      <c r="Y13"/>
      <c r="Z13"/>
      <c r="AA13"/>
      <c r="AB13"/>
      <c r="AC13"/>
      <c r="AD13"/>
      <c r="AE13"/>
      <c r="AF13" s="220"/>
      <c r="AG13" s="223"/>
      <c r="AS13" s="220"/>
      <c r="AT13" s="223"/>
      <c r="BF13" s="220"/>
      <c r="BG13" s="223"/>
      <c r="BS13" s="220"/>
      <c r="BT13" s="223"/>
    </row>
    <row r="14" spans="1:75" s="216" customFormat="1" x14ac:dyDescent="0.25">
      <c r="A14"/>
      <c r="B14" s="202">
        <v>43678</v>
      </c>
      <c r="C14" s="66"/>
      <c r="D14" s="200">
        <v>11023.25</v>
      </c>
      <c r="E14" s="64">
        <f t="shared" si="0"/>
        <v>-8.5222162259399603E-3</v>
      </c>
      <c r="F14" s="64"/>
      <c r="G14" s="200">
        <v>302.64742999999999</v>
      </c>
      <c r="H14" s="64">
        <f t="shared" si="1"/>
        <v>0.1224520257093209</v>
      </c>
      <c r="I14"/>
      <c r="J14" s="204" t="s">
        <v>221</v>
      </c>
      <c r="K14" s="75">
        <f>(K8*K9)+(K11*K12)</f>
        <v>0.68759300867209594</v>
      </c>
      <c r="L14"/>
      <c r="M14"/>
      <c r="N14"/>
      <c r="O14"/>
      <c r="P14"/>
      <c r="Q14"/>
      <c r="R14"/>
      <c r="S14"/>
      <c r="T14" s="206">
        <v>299.40374800000001</v>
      </c>
      <c r="U14" s="64">
        <f t="shared" si="2"/>
        <v>7.830973341203662E-2</v>
      </c>
      <c r="V14"/>
      <c r="W14" s="204" t="s">
        <v>221</v>
      </c>
      <c r="X14" s="75">
        <f>(X8*X9)+(X11*X12)</f>
        <v>0.91774372800572379</v>
      </c>
      <c r="Y14"/>
      <c r="Z14"/>
      <c r="AA14"/>
      <c r="AB14"/>
      <c r="AC14"/>
      <c r="AD14"/>
      <c r="AE14"/>
      <c r="AF14" s="220"/>
      <c r="AG14" s="223"/>
      <c r="AI14" s="224"/>
      <c r="AJ14" s="225"/>
      <c r="AS14" s="220"/>
      <c r="AT14" s="223"/>
      <c r="AV14" s="224"/>
      <c r="AW14" s="225"/>
      <c r="BF14" s="220"/>
      <c r="BG14" s="223"/>
      <c r="BI14" s="224"/>
      <c r="BJ14" s="225"/>
      <c r="BS14" s="220"/>
      <c r="BT14" s="223"/>
      <c r="BV14" s="224"/>
      <c r="BW14" s="225"/>
    </row>
    <row r="15" spans="1:75" s="216" customFormat="1" x14ac:dyDescent="0.25">
      <c r="A15"/>
      <c r="B15" s="202">
        <v>43709</v>
      </c>
      <c r="C15" s="66"/>
      <c r="D15" s="200">
        <v>11474.450194999999</v>
      </c>
      <c r="E15" s="64">
        <f t="shared" si="0"/>
        <v>4.0931684847935079E-2</v>
      </c>
      <c r="F15" s="64"/>
      <c r="G15" s="200">
        <v>356.47058099999998</v>
      </c>
      <c r="H15" s="64">
        <f t="shared" si="1"/>
        <v>0.17784109714726481</v>
      </c>
      <c r="I15"/>
      <c r="J15"/>
      <c r="K15"/>
      <c r="L15"/>
      <c r="M15"/>
      <c r="N15"/>
      <c r="O15"/>
      <c r="P15"/>
      <c r="Q15"/>
      <c r="R15"/>
      <c r="S15"/>
      <c r="T15" s="206">
        <v>341.23315400000001</v>
      </c>
      <c r="U15" s="64">
        <f t="shared" si="2"/>
        <v>0.13970902595381007</v>
      </c>
      <c r="V15"/>
      <c r="W15"/>
      <c r="X15"/>
      <c r="Y15"/>
      <c r="Z15"/>
      <c r="AA15"/>
      <c r="AB15"/>
      <c r="AC15"/>
      <c r="AD15"/>
      <c r="AE15"/>
      <c r="AF15" s="220"/>
      <c r="AG15" s="223"/>
      <c r="AS15" s="220"/>
      <c r="AT15" s="223"/>
      <c r="BF15" s="220"/>
      <c r="BG15" s="223"/>
      <c r="BS15" s="220"/>
      <c r="BT15" s="223"/>
    </row>
    <row r="16" spans="1:75" s="216" customFormat="1" x14ac:dyDescent="0.25">
      <c r="A16"/>
      <c r="B16" s="202">
        <v>43739</v>
      </c>
      <c r="C16" s="66"/>
      <c r="D16" s="200">
        <v>11877.450194999999</v>
      </c>
      <c r="E16" s="64">
        <f t="shared" si="0"/>
        <v>3.5121508495074449E-2</v>
      </c>
      <c r="F16" s="64"/>
      <c r="G16" s="200">
        <v>432.01965300000001</v>
      </c>
      <c r="H16" s="64">
        <f t="shared" si="1"/>
        <v>0.21193634489573787</v>
      </c>
      <c r="I16"/>
      <c r="J16" t="s">
        <v>213</v>
      </c>
      <c r="K16"/>
      <c r="L16"/>
      <c r="M16"/>
      <c r="N16"/>
      <c r="O16"/>
      <c r="P16"/>
      <c r="Q16"/>
      <c r="R16"/>
      <c r="S16"/>
      <c r="T16" s="206">
        <v>361.02658100000002</v>
      </c>
      <c r="U16" s="64">
        <f t="shared" si="2"/>
        <v>5.8005579961904807E-2</v>
      </c>
      <c r="V16"/>
      <c r="W16" t="s">
        <v>213</v>
      </c>
      <c r="X16"/>
      <c r="Y16"/>
      <c r="Z16"/>
      <c r="AA16"/>
      <c r="AB16"/>
      <c r="AC16"/>
      <c r="AD16"/>
      <c r="AE16"/>
      <c r="AF16" s="220"/>
      <c r="AG16" s="223"/>
      <c r="AI16" s="221"/>
      <c r="AS16" s="220"/>
      <c r="AT16" s="223"/>
      <c r="AV16" s="221"/>
      <c r="BF16" s="220"/>
      <c r="BG16" s="223"/>
      <c r="BI16" s="221"/>
      <c r="BS16" s="220"/>
      <c r="BT16" s="223"/>
      <c r="BV16" s="221"/>
    </row>
    <row r="17" spans="1:82" s="216" customFormat="1" ht="15.75" thickBot="1" x14ac:dyDescent="0.3">
      <c r="A17"/>
      <c r="B17" s="202">
        <v>43770</v>
      </c>
      <c r="C17" s="66"/>
      <c r="D17" s="200">
        <v>12056.049805000001</v>
      </c>
      <c r="E17" s="64">
        <f t="shared" si="0"/>
        <v>1.5036864568389152E-2</v>
      </c>
      <c r="F17" s="64"/>
      <c r="G17" s="200">
        <v>407.09628300000003</v>
      </c>
      <c r="H17" s="64">
        <f t="shared" si="1"/>
        <v>-5.7690361600285733E-2</v>
      </c>
      <c r="I17"/>
      <c r="J17"/>
      <c r="K17"/>
      <c r="L17"/>
      <c r="M17"/>
      <c r="N17"/>
      <c r="O17"/>
      <c r="P17"/>
      <c r="Q17"/>
      <c r="R17"/>
      <c r="S17"/>
      <c r="T17" s="206">
        <v>341.23315400000001</v>
      </c>
      <c r="U17" s="64">
        <f t="shared" si="2"/>
        <v>-5.4825400792303469E-2</v>
      </c>
      <c r="V17"/>
      <c r="W17"/>
      <c r="X17"/>
      <c r="Y17"/>
      <c r="Z17"/>
      <c r="AA17"/>
      <c r="AB17"/>
      <c r="AC17"/>
      <c r="AD17"/>
      <c r="AE17"/>
      <c r="AF17" s="220"/>
      <c r="AG17" s="223"/>
      <c r="AS17" s="220"/>
      <c r="AT17" s="223"/>
      <c r="BF17" s="220"/>
      <c r="BG17" s="223"/>
      <c r="BS17" s="220"/>
      <c r="BT17" s="223"/>
    </row>
    <row r="18" spans="1:82" s="216" customFormat="1" x14ac:dyDescent="0.25">
      <c r="A18"/>
      <c r="B18" s="202">
        <v>43800</v>
      </c>
      <c r="C18" s="66"/>
      <c r="D18" s="200">
        <v>12168.450194999999</v>
      </c>
      <c r="E18" s="64">
        <f t="shared" si="0"/>
        <v>9.3231524270398491E-3</v>
      </c>
      <c r="F18" s="64"/>
      <c r="G18" s="200">
        <v>422.67336999999998</v>
      </c>
      <c r="H18" s="64">
        <f t="shared" si="1"/>
        <v>3.8263889036785903E-2</v>
      </c>
      <c r="I18"/>
      <c r="J18" s="99" t="s">
        <v>215</v>
      </c>
      <c r="K18" s="99"/>
      <c r="L18"/>
      <c r="M18"/>
      <c r="N18"/>
      <c r="O18"/>
      <c r="P18"/>
      <c r="Q18"/>
      <c r="R18"/>
      <c r="S18"/>
      <c r="T18" s="206">
        <v>339.08807400000001</v>
      </c>
      <c r="U18" s="64">
        <f t="shared" si="2"/>
        <v>-6.28625904269553E-3</v>
      </c>
      <c r="V18"/>
      <c r="W18" s="99" t="s">
        <v>215</v>
      </c>
      <c r="X18" s="99"/>
      <c r="Y18"/>
      <c r="Z18"/>
      <c r="AA18"/>
      <c r="AB18"/>
      <c r="AC18"/>
      <c r="AD18"/>
      <c r="AE18"/>
      <c r="AF18" s="220"/>
      <c r="AG18" s="223"/>
      <c r="AI18" s="214"/>
      <c r="AJ18" s="101"/>
      <c r="AS18" s="220"/>
      <c r="AT18" s="223"/>
      <c r="AV18" s="214"/>
      <c r="AW18" s="101"/>
      <c r="BF18" s="220"/>
      <c r="BG18" s="223"/>
      <c r="BI18" s="214"/>
      <c r="BJ18" s="101"/>
      <c r="BS18" s="220"/>
      <c r="BT18" s="223"/>
      <c r="BV18" s="214"/>
      <c r="BW18" s="101"/>
    </row>
    <row r="19" spans="1:82" s="216" customFormat="1" x14ac:dyDescent="0.25">
      <c r="A19"/>
      <c r="B19" s="202">
        <v>43831</v>
      </c>
      <c r="C19" s="66"/>
      <c r="D19" s="200">
        <v>11962.099609000001</v>
      </c>
      <c r="E19" s="64">
        <f t="shared" si="0"/>
        <v>-1.6957836264538284E-2</v>
      </c>
      <c r="F19" s="64"/>
      <c r="G19" s="200">
        <v>459.23864700000001</v>
      </c>
      <c r="H19" s="64">
        <f t="shared" si="1"/>
        <v>8.6509535720218356E-2</v>
      </c>
      <c r="I19"/>
      <c r="J19" s="96" t="s">
        <v>217</v>
      </c>
      <c r="K19" s="96">
        <v>0.42910160076881371</v>
      </c>
      <c r="L19"/>
      <c r="M19"/>
      <c r="N19"/>
      <c r="O19"/>
      <c r="P19"/>
      <c r="Q19"/>
      <c r="R19"/>
      <c r="S19"/>
      <c r="T19" s="206">
        <v>324.592377</v>
      </c>
      <c r="U19" s="64">
        <f t="shared" si="2"/>
        <v>-4.2749061708374891E-2</v>
      </c>
      <c r="V19"/>
      <c r="W19" s="96" t="s">
        <v>217</v>
      </c>
      <c r="X19" s="96">
        <v>0.53673586655886474</v>
      </c>
      <c r="Y19"/>
      <c r="Z19"/>
      <c r="AA19"/>
      <c r="AB19"/>
      <c r="AC19"/>
      <c r="AD19"/>
      <c r="AE19"/>
      <c r="AF19" s="220"/>
      <c r="AG19" s="223"/>
      <c r="AI19" s="205"/>
      <c r="AJ19" s="205"/>
      <c r="AS19" s="220"/>
      <c r="AT19" s="223"/>
      <c r="AV19" s="205"/>
      <c r="AW19" s="205"/>
      <c r="BF19" s="220"/>
      <c r="BG19" s="223"/>
      <c r="BI19" s="205"/>
      <c r="BJ19" s="205"/>
      <c r="BS19" s="220"/>
      <c r="BT19" s="223"/>
      <c r="BV19" s="205"/>
      <c r="BW19" s="205"/>
    </row>
    <row r="20" spans="1:82" s="216" customFormat="1" x14ac:dyDescent="0.25">
      <c r="A20"/>
      <c r="B20" s="202">
        <v>43862</v>
      </c>
      <c r="C20" s="66"/>
      <c r="D20" s="200">
        <v>11201.75</v>
      </c>
      <c r="E20" s="64">
        <f t="shared" si="0"/>
        <v>-6.35632233348008E-2</v>
      </c>
      <c r="F20" s="64"/>
      <c r="G20" s="200">
        <v>464.485748</v>
      </c>
      <c r="H20" s="64">
        <f t="shared" si="1"/>
        <v>1.1425652074965598E-2</v>
      </c>
      <c r="I20"/>
      <c r="J20" s="96" t="s">
        <v>219</v>
      </c>
      <c r="K20" s="96">
        <v>0.1841281837823584</v>
      </c>
      <c r="L20"/>
      <c r="M20"/>
      <c r="N20"/>
      <c r="O20"/>
      <c r="P20"/>
      <c r="Q20"/>
      <c r="R20"/>
      <c r="S20"/>
      <c r="T20" s="206">
        <v>325.98996</v>
      </c>
      <c r="U20" s="64">
        <f t="shared" si="2"/>
        <v>4.3056556439093896E-3</v>
      </c>
      <c r="V20"/>
      <c r="W20" s="96" t="s">
        <v>219</v>
      </c>
      <c r="X20" s="96">
        <v>0.28808539045069542</v>
      </c>
      <c r="Y20"/>
      <c r="Z20"/>
      <c r="AA20"/>
      <c r="AB20"/>
      <c r="AC20"/>
      <c r="AD20"/>
      <c r="AE20"/>
      <c r="AF20" s="220"/>
      <c r="AG20" s="223"/>
      <c r="AI20" s="205"/>
      <c r="AJ20" s="205"/>
      <c r="AS20" s="220"/>
      <c r="AT20" s="223"/>
      <c r="AV20" s="205"/>
      <c r="AW20" s="205"/>
      <c r="BF20" s="220"/>
      <c r="BG20" s="223"/>
      <c r="BI20" s="205"/>
      <c r="BJ20" s="205"/>
      <c r="BS20" s="220"/>
      <c r="BT20" s="223"/>
      <c r="BV20" s="205"/>
      <c r="BW20" s="205"/>
    </row>
    <row r="21" spans="1:82" s="216" customFormat="1" x14ac:dyDescent="0.25">
      <c r="A21"/>
      <c r="B21" s="202">
        <v>43891</v>
      </c>
      <c r="C21" s="66"/>
      <c r="D21" s="200">
        <v>8597.75</v>
      </c>
      <c r="E21" s="64">
        <f t="shared" si="0"/>
        <v>-0.23246367755038277</v>
      </c>
      <c r="F21" s="64"/>
      <c r="G21" s="200">
        <v>408.24404900000002</v>
      </c>
      <c r="H21" s="64">
        <f t="shared" si="1"/>
        <v>-0.12108379910937539</v>
      </c>
      <c r="I21"/>
      <c r="J21" s="96" t="s">
        <v>220</v>
      </c>
      <c r="K21" s="96">
        <v>0.16981464314696118</v>
      </c>
      <c r="L21"/>
      <c r="M21"/>
      <c r="N21"/>
      <c r="O21"/>
      <c r="P21"/>
      <c r="Q21"/>
      <c r="R21"/>
      <c r="S21"/>
      <c r="T21" s="206">
        <v>251.85405</v>
      </c>
      <c r="U21" s="64">
        <f t="shared" si="2"/>
        <v>-0.22741777078042524</v>
      </c>
      <c r="V21"/>
      <c r="W21" s="96" t="s">
        <v>220</v>
      </c>
      <c r="X21" s="96">
        <v>0.2755956604586024</v>
      </c>
      <c r="Y21"/>
      <c r="Z21"/>
      <c r="AA21"/>
      <c r="AB21"/>
      <c r="AC21"/>
      <c r="AD21"/>
      <c r="AE21"/>
      <c r="AF21" s="220"/>
      <c r="AG21" s="223"/>
      <c r="AI21" s="205"/>
      <c r="AJ21" s="205"/>
      <c r="AS21" s="220"/>
      <c r="AT21" s="223"/>
      <c r="AV21" s="205"/>
      <c r="AW21" s="205"/>
      <c r="BF21" s="220"/>
      <c r="BG21" s="223"/>
      <c r="BI21" s="205"/>
      <c r="BJ21" s="205"/>
      <c r="BS21" s="220"/>
      <c r="BT21" s="223"/>
      <c r="BV21" s="205"/>
      <c r="BW21" s="205"/>
    </row>
    <row r="22" spans="1:82" s="216" customFormat="1" x14ac:dyDescent="0.25">
      <c r="A22"/>
      <c r="B22" s="202">
        <v>43922</v>
      </c>
      <c r="C22" s="66"/>
      <c r="D22" s="200">
        <v>9859.9003909999992</v>
      </c>
      <c r="E22" s="64">
        <f t="shared" si="0"/>
        <v>0.14680008036986414</v>
      </c>
      <c r="F22" s="64"/>
      <c r="G22" s="200">
        <v>418.21398900000003</v>
      </c>
      <c r="H22" s="64">
        <f t="shared" si="1"/>
        <v>2.4421519491641064E-2</v>
      </c>
      <c r="I22"/>
      <c r="J22" s="96" t="s">
        <v>222</v>
      </c>
      <c r="K22" s="96">
        <v>6.7101321813849063E-2</v>
      </c>
      <c r="L22"/>
      <c r="M22"/>
      <c r="N22"/>
      <c r="O22"/>
      <c r="P22"/>
      <c r="Q22"/>
      <c r="R22"/>
      <c r="S22"/>
      <c r="T22" s="206">
        <v>269.047302</v>
      </c>
      <c r="U22" s="64">
        <f t="shared" si="2"/>
        <v>6.8266728289658296E-2</v>
      </c>
      <c r="V22"/>
      <c r="W22" s="96" t="s">
        <v>222</v>
      </c>
      <c r="X22" s="96">
        <v>7.6466818749970744E-2</v>
      </c>
      <c r="Y22"/>
      <c r="Z22"/>
      <c r="AA22"/>
      <c r="AB22"/>
      <c r="AC22"/>
      <c r="AD22"/>
      <c r="AE22"/>
      <c r="AF22" s="220"/>
      <c r="AG22" s="223"/>
      <c r="AI22" s="205"/>
      <c r="AJ22" s="205"/>
      <c r="AS22" s="220"/>
      <c r="AT22" s="223"/>
      <c r="AV22" s="205"/>
      <c r="AW22" s="205"/>
      <c r="BF22" s="220"/>
      <c r="BG22" s="223"/>
      <c r="BI22" s="205"/>
      <c r="BJ22" s="205"/>
      <c r="BS22" s="220"/>
      <c r="BT22" s="223"/>
      <c r="BV22" s="205"/>
      <c r="BW22" s="205"/>
    </row>
    <row r="23" spans="1:82" s="216" customFormat="1" ht="15.75" thickBot="1" x14ac:dyDescent="0.3">
      <c r="A23"/>
      <c r="B23" s="202">
        <v>43952</v>
      </c>
      <c r="C23" s="66"/>
      <c r="D23" s="200">
        <v>9580.2998050000006</v>
      </c>
      <c r="E23" s="64">
        <f t="shared" si="0"/>
        <v>-2.8357343878972152E-2</v>
      </c>
      <c r="F23" s="64"/>
      <c r="G23" s="200">
        <v>404.51760899999999</v>
      </c>
      <c r="H23" s="64">
        <f t="shared" si="1"/>
        <v>-3.2749693602429963E-2</v>
      </c>
      <c r="I23"/>
      <c r="J23" s="97" t="s">
        <v>223</v>
      </c>
      <c r="K23" s="97">
        <v>59</v>
      </c>
      <c r="L23"/>
      <c r="M23"/>
      <c r="N23"/>
      <c r="O23"/>
      <c r="P23"/>
      <c r="Q23"/>
      <c r="R23"/>
      <c r="S23"/>
      <c r="T23" s="206">
        <v>236.35086100000001</v>
      </c>
      <c r="U23" s="64">
        <f t="shared" si="2"/>
        <v>-0.12152673807522507</v>
      </c>
      <c r="V23"/>
      <c r="W23" s="97" t="s">
        <v>223</v>
      </c>
      <c r="X23" s="97">
        <v>59</v>
      </c>
      <c r="Y23"/>
      <c r="Z23"/>
      <c r="AA23"/>
      <c r="AB23"/>
      <c r="AC23"/>
      <c r="AD23"/>
      <c r="AE23"/>
      <c r="AF23" s="220"/>
      <c r="AG23" s="223"/>
      <c r="AI23" s="205"/>
      <c r="AJ23" s="205"/>
      <c r="AS23" s="220"/>
      <c r="AT23" s="223"/>
      <c r="AV23" s="205"/>
      <c r="AW23" s="205"/>
      <c r="BF23" s="220"/>
      <c r="BG23" s="223"/>
      <c r="BI23" s="205"/>
      <c r="BJ23" s="205"/>
      <c r="BS23" s="220"/>
      <c r="BT23" s="223"/>
      <c r="BV23" s="205"/>
      <c r="BW23" s="205"/>
    </row>
    <row r="24" spans="1:82" s="216" customFormat="1" x14ac:dyDescent="0.25">
      <c r="A24"/>
      <c r="B24" s="202">
        <v>43983</v>
      </c>
      <c r="C24" s="66"/>
      <c r="D24" s="200">
        <v>10302.099609000001</v>
      </c>
      <c r="E24" s="64">
        <f t="shared" si="0"/>
        <v>7.5342089359592856E-2</v>
      </c>
      <c r="F24" s="64"/>
      <c r="G24" s="200">
        <v>406.286224</v>
      </c>
      <c r="H24" s="64">
        <f t="shared" si="1"/>
        <v>4.3721582463918107E-3</v>
      </c>
      <c r="I24"/>
      <c r="J24"/>
      <c r="K24"/>
      <c r="L24"/>
      <c r="M24"/>
      <c r="N24"/>
      <c r="O24"/>
      <c r="P24"/>
      <c r="Q24"/>
      <c r="R24"/>
      <c r="S24"/>
      <c r="T24" s="206">
        <v>290.17334</v>
      </c>
      <c r="U24" s="64">
        <f t="shared" si="2"/>
        <v>0.22772279640648319</v>
      </c>
      <c r="V24"/>
      <c r="W24"/>
      <c r="X24"/>
      <c r="Y24"/>
      <c r="Z24"/>
      <c r="AA24"/>
      <c r="AB24"/>
      <c r="AC24"/>
      <c r="AD24"/>
      <c r="AE24"/>
      <c r="AF24" s="220"/>
      <c r="AG24" s="223"/>
      <c r="AS24" s="220"/>
      <c r="AT24" s="223"/>
      <c r="BF24" s="220"/>
      <c r="BG24" s="223"/>
      <c r="BS24" s="220"/>
      <c r="BT24" s="223"/>
    </row>
    <row r="25" spans="1:82" s="216" customFormat="1" ht="15.75" thickBot="1" x14ac:dyDescent="0.3">
      <c r="A25"/>
      <c r="B25" s="202">
        <v>44013</v>
      </c>
      <c r="C25" s="66"/>
      <c r="D25" s="200">
        <v>11073.450194999999</v>
      </c>
      <c r="E25" s="64">
        <f t="shared" si="0"/>
        <v>7.4873143851777568E-2</v>
      </c>
      <c r="F25" s="64"/>
      <c r="G25" s="200">
        <v>433.10324100000003</v>
      </c>
      <c r="H25" s="64">
        <f t="shared" si="1"/>
        <v>6.6005233295825416E-2</v>
      </c>
      <c r="I25"/>
      <c r="J25" t="s">
        <v>224</v>
      </c>
      <c r="K25"/>
      <c r="L25"/>
      <c r="M25"/>
      <c r="N25"/>
      <c r="O25"/>
      <c r="P25"/>
      <c r="Q25"/>
      <c r="R25"/>
      <c r="S25"/>
      <c r="T25" s="206">
        <v>284.13705399999998</v>
      </c>
      <c r="U25" s="64">
        <f t="shared" si="2"/>
        <v>-2.0802345246465515E-2</v>
      </c>
      <c r="V25"/>
      <c r="W25" t="s">
        <v>224</v>
      </c>
      <c r="X25"/>
      <c r="Y25"/>
      <c r="Z25"/>
      <c r="AA25"/>
      <c r="AB25"/>
      <c r="AC25"/>
      <c r="AD25"/>
      <c r="AE25"/>
      <c r="AF25" s="220"/>
      <c r="AG25" s="223"/>
      <c r="AI25" s="221"/>
      <c r="AS25" s="220"/>
      <c r="AT25" s="223"/>
      <c r="AV25" s="221"/>
      <c r="BF25" s="220"/>
      <c r="BG25" s="223"/>
      <c r="BI25" s="221"/>
      <c r="BS25" s="220"/>
      <c r="BT25" s="223"/>
      <c r="BV25" s="221"/>
    </row>
    <row r="26" spans="1:82" s="216" customFormat="1" x14ac:dyDescent="0.25">
      <c r="A26"/>
      <c r="B26" s="202">
        <v>44044</v>
      </c>
      <c r="C26" s="66"/>
      <c r="D26" s="200">
        <v>11387.5</v>
      </c>
      <c r="E26" s="64">
        <f t="shared" si="0"/>
        <v>2.8360610240682149E-2</v>
      </c>
      <c r="F26" s="64"/>
      <c r="G26" s="200">
        <v>442.31643700000001</v>
      </c>
      <c r="H26" s="64">
        <f t="shared" si="1"/>
        <v>2.12725168685588E-2</v>
      </c>
      <c r="I26"/>
      <c r="J26" s="98"/>
      <c r="K26" s="98" t="s">
        <v>225</v>
      </c>
      <c r="L26" s="98" t="s">
        <v>226</v>
      </c>
      <c r="M26" s="98" t="s">
        <v>227</v>
      </c>
      <c r="N26" s="98" t="s">
        <v>228</v>
      </c>
      <c r="O26" s="98" t="s">
        <v>229</v>
      </c>
      <c r="P26"/>
      <c r="Q26"/>
      <c r="R26"/>
      <c r="S26"/>
      <c r="T26" s="206">
        <v>313.13732900000002</v>
      </c>
      <c r="U26" s="64">
        <f t="shared" si="2"/>
        <v>0.10206438967302045</v>
      </c>
      <c r="V26"/>
      <c r="W26" s="98"/>
      <c r="X26" s="98" t="s">
        <v>225</v>
      </c>
      <c r="Y26" s="98" t="s">
        <v>226</v>
      </c>
      <c r="Z26" s="98" t="s">
        <v>227</v>
      </c>
      <c r="AA26" s="98" t="s">
        <v>228</v>
      </c>
      <c r="AB26" s="98" t="s">
        <v>229</v>
      </c>
      <c r="AC26"/>
      <c r="AD26"/>
      <c r="AE26"/>
      <c r="AF26" s="220"/>
      <c r="AG26" s="223"/>
      <c r="AI26" s="102"/>
      <c r="AJ26" s="215"/>
      <c r="AK26" s="215"/>
      <c r="AL26" s="215"/>
      <c r="AM26" s="215"/>
      <c r="AN26" s="215"/>
      <c r="AS26" s="220"/>
      <c r="AT26" s="223"/>
      <c r="AV26" s="102"/>
      <c r="AW26" s="215"/>
      <c r="AX26" s="215"/>
      <c r="AY26" s="215"/>
      <c r="AZ26" s="215"/>
      <c r="BA26" s="215"/>
      <c r="BF26" s="220"/>
      <c r="BG26" s="223"/>
      <c r="BI26" s="102"/>
      <c r="BJ26" s="215"/>
      <c r="BK26" s="215"/>
      <c r="BL26" s="215"/>
      <c r="BM26" s="215"/>
      <c r="BN26" s="215"/>
      <c r="BS26" s="220"/>
      <c r="BT26" s="223"/>
      <c r="BV26" s="102"/>
      <c r="BW26" s="215"/>
      <c r="BX26" s="215"/>
      <c r="BY26" s="215"/>
      <c r="BZ26" s="215"/>
      <c r="CA26" s="215"/>
    </row>
    <row r="27" spans="1:82" s="216" customFormat="1" x14ac:dyDescent="0.25">
      <c r="A27"/>
      <c r="B27" s="202">
        <v>44075</v>
      </c>
      <c r="C27" s="66"/>
      <c r="D27" s="200">
        <v>11247.549805000001</v>
      </c>
      <c r="E27" s="64">
        <f t="shared" si="0"/>
        <v>-1.2289808562019666E-2</v>
      </c>
      <c r="F27" s="64"/>
      <c r="G27" s="200">
        <v>480.15640300000001</v>
      </c>
      <c r="H27" s="64">
        <f t="shared" si="1"/>
        <v>8.5549536111858338E-2</v>
      </c>
      <c r="I27"/>
      <c r="J27" s="96" t="s">
        <v>230</v>
      </c>
      <c r="K27" s="96">
        <v>1</v>
      </c>
      <c r="L27" s="96">
        <v>5.7920905763749253E-2</v>
      </c>
      <c r="M27" s="96">
        <v>5.7920905763749253E-2</v>
      </c>
      <c r="N27" s="96">
        <v>12.863915957105087</v>
      </c>
      <c r="O27" s="96">
        <v>6.9603199712833796E-4</v>
      </c>
      <c r="P27"/>
      <c r="Q27"/>
      <c r="R27"/>
      <c r="S27"/>
      <c r="T27" s="206">
        <v>328.17816199999999</v>
      </c>
      <c r="U27" s="64">
        <f t="shared" si="2"/>
        <v>4.803270516495961E-2</v>
      </c>
      <c r="V27"/>
      <c r="W27" s="96" t="s">
        <v>230</v>
      </c>
      <c r="X27" s="96">
        <v>1</v>
      </c>
      <c r="Y27" s="96">
        <v>0.13486964989687572</v>
      </c>
      <c r="Z27" s="96">
        <v>0.13486964989687572</v>
      </c>
      <c r="AA27" s="96">
        <v>23.065782097217085</v>
      </c>
      <c r="AB27" s="96">
        <v>1.1746063498956233E-5</v>
      </c>
      <c r="AC27"/>
      <c r="AD27"/>
      <c r="AE27"/>
      <c r="AF27" s="220"/>
      <c r="AG27" s="223"/>
      <c r="AI27" s="205"/>
      <c r="AJ27" s="205"/>
      <c r="AK27" s="205"/>
      <c r="AL27" s="205"/>
      <c r="AM27" s="205"/>
      <c r="AN27" s="205"/>
      <c r="AS27" s="220"/>
      <c r="AT27" s="223"/>
      <c r="AV27" s="205"/>
      <c r="AW27" s="205"/>
      <c r="AX27" s="205"/>
      <c r="AY27" s="205"/>
      <c r="AZ27" s="205"/>
      <c r="BA27" s="205"/>
      <c r="BF27" s="220"/>
      <c r="BG27" s="223"/>
      <c r="BI27" s="205"/>
      <c r="BJ27" s="205"/>
      <c r="BK27" s="205"/>
      <c r="BL27" s="205"/>
      <c r="BM27" s="205"/>
      <c r="BN27" s="205"/>
      <c r="BS27" s="220"/>
      <c r="BT27" s="223"/>
      <c r="BV27" s="205"/>
      <c r="BW27" s="205"/>
      <c r="BX27" s="205"/>
      <c r="BY27" s="205"/>
      <c r="BZ27" s="205"/>
      <c r="CA27" s="205"/>
    </row>
    <row r="28" spans="1:82" s="216" customFormat="1" x14ac:dyDescent="0.25">
      <c r="A28"/>
      <c r="B28" s="202">
        <v>44105</v>
      </c>
      <c r="C28" s="66"/>
      <c r="D28" s="200">
        <v>11642.400390999999</v>
      </c>
      <c r="E28" s="64">
        <f t="shared" si="0"/>
        <v>3.5105475667640107E-2</v>
      </c>
      <c r="F28" s="64"/>
      <c r="G28" s="200">
        <v>512.78918499999997</v>
      </c>
      <c r="H28" s="64">
        <f t="shared" si="1"/>
        <v>6.7962817523855801E-2</v>
      </c>
      <c r="I28"/>
      <c r="J28" s="96" t="s">
        <v>231</v>
      </c>
      <c r="K28" s="96">
        <v>57</v>
      </c>
      <c r="L28" s="96">
        <v>0.25664748118244701</v>
      </c>
      <c r="M28" s="96">
        <v>4.5025873891657367E-3</v>
      </c>
      <c r="N28" s="96"/>
      <c r="O28" s="96"/>
      <c r="P28"/>
      <c r="Q28"/>
      <c r="R28"/>
      <c r="S28"/>
      <c r="T28" s="206">
        <v>337.28784200000001</v>
      </c>
      <c r="U28" s="64">
        <f t="shared" si="2"/>
        <v>2.7758336948696893E-2</v>
      </c>
      <c r="V28"/>
      <c r="W28" s="96" t="s">
        <v>231</v>
      </c>
      <c r="X28" s="96">
        <v>57</v>
      </c>
      <c r="Y28" s="96">
        <v>0.33328893907523005</v>
      </c>
      <c r="Z28" s="96">
        <v>5.8471743697408778E-3</v>
      </c>
      <c r="AA28" s="96"/>
      <c r="AB28" s="96"/>
      <c r="AC28"/>
      <c r="AD28"/>
      <c r="AE28"/>
      <c r="AF28" s="220"/>
      <c r="AG28" s="223"/>
      <c r="AI28" s="205"/>
      <c r="AJ28" s="205"/>
      <c r="AK28" s="205"/>
      <c r="AL28" s="205"/>
      <c r="AM28" s="96"/>
      <c r="AN28" s="96"/>
      <c r="AS28" s="220"/>
      <c r="AT28" s="223"/>
      <c r="AV28" s="205"/>
      <c r="AW28" s="205"/>
      <c r="AX28" s="205"/>
      <c r="AY28" s="205"/>
      <c r="AZ28" s="96"/>
      <c r="BA28" s="96"/>
      <c r="BF28" s="220"/>
      <c r="BG28" s="223"/>
      <c r="BI28" s="205"/>
      <c r="BJ28" s="205"/>
      <c r="BK28" s="205"/>
      <c r="BL28" s="205"/>
      <c r="BM28" s="96"/>
      <c r="BN28" s="96"/>
      <c r="BS28" s="220"/>
      <c r="BT28" s="223"/>
      <c r="BV28" s="205"/>
      <c r="BW28" s="205"/>
      <c r="BX28" s="205"/>
      <c r="BY28" s="205"/>
      <c r="BZ28" s="96"/>
      <c r="CA28" s="96"/>
    </row>
    <row r="29" spans="1:82" s="216" customFormat="1" ht="15.75" thickBot="1" x14ac:dyDescent="0.3">
      <c r="A29"/>
      <c r="B29" s="202">
        <v>44136</v>
      </c>
      <c r="C29" s="66"/>
      <c r="D29" s="200">
        <v>12968.950194999999</v>
      </c>
      <c r="E29" s="64">
        <f t="shared" si="0"/>
        <v>0.1139412629225045</v>
      </c>
      <c r="F29" s="64"/>
      <c r="G29" s="200">
        <v>533.11804199999995</v>
      </c>
      <c r="H29" s="64">
        <f t="shared" si="1"/>
        <v>3.9643692953469811E-2</v>
      </c>
      <c r="I29"/>
      <c r="J29" s="97" t="s">
        <v>188</v>
      </c>
      <c r="K29" s="97">
        <v>58</v>
      </c>
      <c r="L29" s="97">
        <v>0.31456838694619627</v>
      </c>
      <c r="M29" s="97"/>
      <c r="N29" s="97"/>
      <c r="O29" s="97"/>
      <c r="P29"/>
      <c r="Q29"/>
      <c r="R29"/>
      <c r="S29"/>
      <c r="T29" s="206">
        <v>355.17950400000001</v>
      </c>
      <c r="U29" s="64">
        <f t="shared" si="2"/>
        <v>5.3045677229005994E-2</v>
      </c>
      <c r="V29"/>
      <c r="W29" s="97" t="s">
        <v>188</v>
      </c>
      <c r="X29" s="97">
        <v>58</v>
      </c>
      <c r="Y29" s="97">
        <v>0.46815858897210577</v>
      </c>
      <c r="Z29" s="97"/>
      <c r="AA29" s="97"/>
      <c r="AB29" s="97"/>
      <c r="AC29"/>
      <c r="AD29"/>
      <c r="AE29"/>
      <c r="AF29" s="220"/>
      <c r="AG29" s="223"/>
      <c r="AI29" s="205"/>
      <c r="AJ29" s="205"/>
      <c r="AK29" s="205"/>
      <c r="AL29" s="96"/>
      <c r="AM29" s="96"/>
      <c r="AN29" s="96"/>
      <c r="AS29" s="220"/>
      <c r="AT29" s="223"/>
      <c r="AV29" s="205"/>
      <c r="AW29" s="205"/>
      <c r="AX29" s="205"/>
      <c r="AY29" s="96"/>
      <c r="AZ29" s="96"/>
      <c r="BA29" s="96"/>
      <c r="BF29" s="220"/>
      <c r="BG29" s="223"/>
      <c r="BI29" s="205"/>
      <c r="BJ29" s="205"/>
      <c r="BK29" s="205"/>
      <c r="BL29" s="96"/>
      <c r="BM29" s="96"/>
      <c r="BN29" s="96"/>
      <c r="BS29" s="220"/>
      <c r="BT29" s="223"/>
      <c r="BV29" s="205"/>
      <c r="BW29" s="205"/>
      <c r="BX29" s="205"/>
      <c r="BY29" s="96"/>
      <c r="BZ29" s="96"/>
      <c r="CA29" s="96"/>
    </row>
    <row r="30" spans="1:82" s="216" customFormat="1" ht="15.75" thickBot="1" x14ac:dyDescent="0.3">
      <c r="A30"/>
      <c r="B30" s="202">
        <v>44166</v>
      </c>
      <c r="C30" s="66"/>
      <c r="D30" s="200">
        <v>13981.75</v>
      </c>
      <c r="E30" s="64">
        <f t="shared" si="0"/>
        <v>7.8094201132060226E-2</v>
      </c>
      <c r="F30" s="64"/>
      <c r="G30" s="200">
        <v>625.05053699999996</v>
      </c>
      <c r="H30" s="64">
        <f t="shared" si="1"/>
        <v>0.17244303842187358</v>
      </c>
      <c r="I30"/>
      <c r="J30"/>
      <c r="K30"/>
      <c r="L30"/>
      <c r="M30"/>
      <c r="N30"/>
      <c r="O30"/>
      <c r="P30"/>
      <c r="Q30"/>
      <c r="R30"/>
      <c r="S30"/>
      <c r="T30" s="206">
        <v>399.26162699999998</v>
      </c>
      <c r="U30" s="64">
        <f t="shared" si="2"/>
        <v>0.12411223762506296</v>
      </c>
      <c r="V30"/>
      <c r="W30"/>
      <c r="X30"/>
      <c r="Y30"/>
      <c r="Z30"/>
      <c r="AA30"/>
      <c r="AB30"/>
      <c r="AC30"/>
      <c r="AD30"/>
      <c r="AE30"/>
      <c r="AF30" s="220"/>
      <c r="AG30" s="223"/>
      <c r="AS30" s="220"/>
      <c r="AT30" s="223"/>
      <c r="BF30" s="220"/>
      <c r="BG30" s="223"/>
      <c r="BS30" s="220"/>
      <c r="BT30" s="223"/>
    </row>
    <row r="31" spans="1:82" s="216" customFormat="1" x14ac:dyDescent="0.25">
      <c r="A31"/>
      <c r="B31" s="202">
        <v>44197</v>
      </c>
      <c r="C31" s="66"/>
      <c r="D31" s="200">
        <v>13634.599609000001</v>
      </c>
      <c r="E31" s="64">
        <f t="shared" si="0"/>
        <v>-2.4828822643803483E-2</v>
      </c>
      <c r="F31" s="64"/>
      <c r="G31" s="200">
        <v>581.75915499999996</v>
      </c>
      <c r="H31" s="64">
        <f t="shared" si="1"/>
        <v>-6.9260610842415749E-2</v>
      </c>
      <c r="I31"/>
      <c r="J31" s="98"/>
      <c r="K31" s="98" t="s">
        <v>232</v>
      </c>
      <c r="L31" s="98" t="s">
        <v>222</v>
      </c>
      <c r="M31" s="98" t="s">
        <v>233</v>
      </c>
      <c r="N31" s="98" t="s">
        <v>234</v>
      </c>
      <c r="O31" s="98" t="s">
        <v>235</v>
      </c>
      <c r="P31" s="98" t="s">
        <v>236</v>
      </c>
      <c r="Q31" s="98" t="s">
        <v>237</v>
      </c>
      <c r="R31" s="98" t="s">
        <v>238</v>
      </c>
      <c r="S31"/>
      <c r="T31" s="206">
        <v>360.46868899999998</v>
      </c>
      <c r="U31" s="64">
        <f t="shared" si="2"/>
        <v>-9.7161698937824559E-2</v>
      </c>
      <c r="V31"/>
      <c r="W31" s="98"/>
      <c r="X31" s="98" t="s">
        <v>232</v>
      </c>
      <c r="Y31" s="98" t="s">
        <v>222</v>
      </c>
      <c r="Z31" s="98" t="s">
        <v>233</v>
      </c>
      <c r="AA31" s="98" t="s">
        <v>234</v>
      </c>
      <c r="AB31" s="98" t="s">
        <v>235</v>
      </c>
      <c r="AC31" s="98" t="s">
        <v>236</v>
      </c>
      <c r="AD31" s="98" t="s">
        <v>237</v>
      </c>
      <c r="AE31" s="98" t="s">
        <v>238</v>
      </c>
      <c r="AF31" s="220"/>
      <c r="AG31" s="223"/>
      <c r="AI31" s="102"/>
      <c r="AJ31" s="215"/>
      <c r="AK31" s="215"/>
      <c r="AL31" s="215"/>
      <c r="AM31" s="215"/>
      <c r="AN31" s="215"/>
      <c r="AO31" s="215"/>
      <c r="AP31" s="215"/>
      <c r="AQ31" s="215"/>
      <c r="AS31" s="220"/>
      <c r="AT31" s="223"/>
      <c r="AV31" s="102"/>
      <c r="AW31" s="215"/>
      <c r="AX31" s="215"/>
      <c r="AY31" s="215"/>
      <c r="AZ31" s="215"/>
      <c r="BA31" s="215"/>
      <c r="BB31" s="215"/>
      <c r="BC31" s="215"/>
      <c r="BD31" s="215"/>
      <c r="BF31" s="220"/>
      <c r="BG31" s="223"/>
      <c r="BI31" s="102"/>
      <c r="BJ31" s="215"/>
      <c r="BK31" s="215"/>
      <c r="BL31" s="215"/>
      <c r="BM31" s="215"/>
      <c r="BN31" s="215"/>
      <c r="BO31" s="215"/>
      <c r="BP31" s="215"/>
      <c r="BQ31" s="215"/>
      <c r="BS31" s="220"/>
      <c r="BT31" s="223"/>
      <c r="BV31" s="102"/>
      <c r="BW31" s="215"/>
      <c r="BX31" s="215"/>
      <c r="BY31" s="215"/>
      <c r="BZ31" s="215"/>
      <c r="CA31" s="215"/>
      <c r="CB31" s="215"/>
      <c r="CC31" s="215"/>
      <c r="CD31" s="215"/>
    </row>
    <row r="32" spans="1:82" s="216" customFormat="1" x14ac:dyDescent="0.25">
      <c r="A32"/>
      <c r="B32" s="202">
        <v>44228</v>
      </c>
      <c r="C32" s="66"/>
      <c r="D32" s="200">
        <v>14529.150390999999</v>
      </c>
      <c r="E32" s="64">
        <f t="shared" si="0"/>
        <v>6.5608877976109925E-2</v>
      </c>
      <c r="F32" s="64"/>
      <c r="G32" s="200">
        <v>559.53735400000005</v>
      </c>
      <c r="H32" s="64">
        <f t="shared" si="1"/>
        <v>-3.8197595704359655E-2</v>
      </c>
      <c r="I32"/>
      <c r="J32" s="96" t="s">
        <v>239</v>
      </c>
      <c r="K32" s="96">
        <v>7.9628709854870413E-3</v>
      </c>
      <c r="L32" s="96">
        <v>8.9628088445906501E-3</v>
      </c>
      <c r="M32" s="96">
        <v>0.88843476677435729</v>
      </c>
      <c r="N32" s="96">
        <v>0.37804083956382017</v>
      </c>
      <c r="O32" s="96">
        <v>-9.9848441440336718E-3</v>
      </c>
      <c r="P32" s="96">
        <v>2.5910586115007753E-2</v>
      </c>
      <c r="Q32" s="96">
        <v>-9.9848441440336718E-3</v>
      </c>
      <c r="R32" s="96">
        <v>2.5910586115007753E-2</v>
      </c>
      <c r="S32"/>
      <c r="T32" s="206">
        <v>367.20245399999999</v>
      </c>
      <c r="U32" s="64">
        <f t="shared" si="2"/>
        <v>1.8680582268270296E-2</v>
      </c>
      <c r="V32"/>
      <c r="W32" s="96" t="s">
        <v>239</v>
      </c>
      <c r="X32" s="96">
        <v>-6.5496196646059523E-3</v>
      </c>
      <c r="Y32" s="96">
        <v>1.0213770174472133E-2</v>
      </c>
      <c r="Z32" s="96">
        <v>-0.64125387126643951</v>
      </c>
      <c r="AA32" s="96">
        <v>0.52392791459052335</v>
      </c>
      <c r="AB32" s="96">
        <v>-2.7002341648123079E-2</v>
      </c>
      <c r="AC32" s="96">
        <v>1.3903102318911172E-2</v>
      </c>
      <c r="AD32" s="96">
        <v>-2.7002341648123079E-2</v>
      </c>
      <c r="AE32" s="96">
        <v>1.3903102318911172E-2</v>
      </c>
      <c r="AF32" s="220"/>
      <c r="AG32" s="223"/>
      <c r="AI32" s="205"/>
      <c r="AJ32" s="205"/>
      <c r="AK32" s="205"/>
      <c r="AL32" s="205"/>
      <c r="AM32" s="205"/>
      <c r="AN32" s="205"/>
      <c r="AO32" s="205"/>
      <c r="AP32" s="205"/>
      <c r="AQ32" s="205"/>
      <c r="AS32" s="220"/>
      <c r="AT32" s="223"/>
      <c r="AV32" s="205"/>
      <c r="AW32" s="205"/>
      <c r="AX32" s="205"/>
      <c r="AY32" s="205"/>
      <c r="AZ32" s="205"/>
      <c r="BA32" s="205"/>
      <c r="BB32" s="205"/>
      <c r="BC32" s="205"/>
      <c r="BD32" s="205"/>
      <c r="BF32" s="220"/>
      <c r="BG32" s="223"/>
      <c r="BI32" s="205"/>
      <c r="BJ32" s="205"/>
      <c r="BK32" s="205"/>
      <c r="BL32" s="205"/>
      <c r="BM32" s="205"/>
      <c r="BN32" s="205"/>
      <c r="BO32" s="205"/>
      <c r="BP32" s="205"/>
      <c r="BQ32" s="205"/>
      <c r="BS32" s="220"/>
      <c r="BT32" s="223"/>
      <c r="BV32" s="205"/>
      <c r="BW32" s="205"/>
      <c r="BX32" s="205"/>
      <c r="BY32" s="205"/>
      <c r="BZ32" s="205"/>
      <c r="CA32" s="205"/>
      <c r="CB32" s="205"/>
      <c r="CC32" s="205"/>
      <c r="CD32" s="205"/>
    </row>
    <row r="33" spans="1:82" s="216" customFormat="1" ht="15.75" thickBot="1" x14ac:dyDescent="0.3">
      <c r="A33"/>
      <c r="B33" s="202">
        <v>44256</v>
      </c>
      <c r="C33" s="66"/>
      <c r="D33" s="200">
        <v>14690.700194999999</v>
      </c>
      <c r="E33" s="64">
        <f t="shared" si="0"/>
        <v>1.1119012444118725E-2</v>
      </c>
      <c r="F33" s="64"/>
      <c r="G33" s="200">
        <v>629.61840800000004</v>
      </c>
      <c r="H33" s="64">
        <f t="shared" si="1"/>
        <v>0.12524821354464932</v>
      </c>
      <c r="I33"/>
      <c r="J33" s="97" t="s">
        <v>240</v>
      </c>
      <c r="K33" s="97">
        <v>0.58345734489612788</v>
      </c>
      <c r="L33" s="97">
        <v>0.16267563637113469</v>
      </c>
      <c r="M33" s="97">
        <v>3.5866301673165428</v>
      </c>
      <c r="N33" s="97">
        <v>6.9603199712833504E-4</v>
      </c>
      <c r="O33" s="97">
        <v>0.25770500199474689</v>
      </c>
      <c r="P33" s="97">
        <v>0.90920968779750888</v>
      </c>
      <c r="Q33" s="97">
        <v>0.25770500199474689</v>
      </c>
      <c r="R33" s="97">
        <v>0.90920968779750888</v>
      </c>
      <c r="S33"/>
      <c r="T33" s="206">
        <v>394.86004600000001</v>
      </c>
      <c r="U33" s="64">
        <f t="shared" si="2"/>
        <v>7.5319736289126249E-2</v>
      </c>
      <c r="V33"/>
      <c r="W33" s="97" t="s">
        <v>240</v>
      </c>
      <c r="X33" s="97">
        <v>0.89032497067429839</v>
      </c>
      <c r="Y33" s="97">
        <v>0.18538067604594274</v>
      </c>
      <c r="Z33" s="97">
        <v>4.8026848842305974</v>
      </c>
      <c r="AA33" s="97">
        <v>1.174606349895634E-5</v>
      </c>
      <c r="AB33" s="97">
        <v>0.51910657007228234</v>
      </c>
      <c r="AC33" s="97">
        <v>1.2615433712763144</v>
      </c>
      <c r="AD33" s="97">
        <v>0.51910657007228234</v>
      </c>
      <c r="AE33" s="97">
        <v>1.2615433712763144</v>
      </c>
      <c r="AF33" s="220"/>
      <c r="AG33" s="223"/>
      <c r="AI33" s="205"/>
      <c r="AJ33" s="205"/>
      <c r="AK33" s="205"/>
      <c r="AL33" s="205"/>
      <c r="AM33" s="205"/>
      <c r="AN33" s="205"/>
      <c r="AO33" s="205"/>
      <c r="AP33" s="205"/>
      <c r="AQ33" s="205"/>
      <c r="AS33" s="220"/>
      <c r="AT33" s="223"/>
      <c r="AV33" s="205"/>
      <c r="AW33" s="205"/>
      <c r="AX33" s="205"/>
      <c r="AY33" s="205"/>
      <c r="AZ33" s="205"/>
      <c r="BA33" s="205"/>
      <c r="BB33" s="205"/>
      <c r="BC33" s="205"/>
      <c r="BD33" s="205"/>
      <c r="BF33" s="220"/>
      <c r="BG33" s="223"/>
      <c r="BI33" s="205"/>
      <c r="BJ33" s="205"/>
      <c r="BK33" s="205"/>
      <c r="BL33" s="205"/>
      <c r="BM33" s="205"/>
      <c r="BN33" s="205"/>
      <c r="BO33" s="205"/>
      <c r="BP33" s="205"/>
      <c r="BQ33" s="205"/>
      <c r="BS33" s="220"/>
      <c r="BT33" s="223"/>
      <c r="BV33" s="205"/>
      <c r="BW33" s="205"/>
      <c r="BX33" s="205"/>
      <c r="BY33" s="205"/>
      <c r="BZ33" s="205"/>
      <c r="CA33" s="205"/>
      <c r="CB33" s="205"/>
      <c r="CC33" s="205"/>
      <c r="CD33" s="205"/>
    </row>
    <row r="34" spans="1:82" s="216" customFormat="1" x14ac:dyDescent="0.25">
      <c r="A34"/>
      <c r="B34" s="202">
        <v>44287</v>
      </c>
      <c r="C34" s="66"/>
      <c r="D34" s="200">
        <v>14631.099609000001</v>
      </c>
      <c r="E34" s="64">
        <f t="shared" si="0"/>
        <v>-4.057028270189833E-3</v>
      </c>
      <c r="F34" s="64"/>
      <c r="G34" s="200">
        <v>579.41351299999997</v>
      </c>
      <c r="H34" s="64">
        <f t="shared" si="1"/>
        <v>-7.9738607324835509E-2</v>
      </c>
      <c r="I34"/>
      <c r="J34"/>
      <c r="K34"/>
      <c r="L34"/>
      <c r="M34"/>
      <c r="N34"/>
      <c r="O34"/>
      <c r="P34"/>
      <c r="Q34"/>
      <c r="R34"/>
      <c r="S34"/>
      <c r="T34" s="206">
        <v>365.100189</v>
      </c>
      <c r="U34" s="64">
        <f t="shared" si="2"/>
        <v>-7.5368114098836925E-2</v>
      </c>
      <c r="V34"/>
      <c r="W34"/>
      <c r="X34"/>
      <c r="Y34"/>
      <c r="Z34"/>
      <c r="AA34"/>
      <c r="AB34"/>
      <c r="AC34"/>
      <c r="AD34"/>
      <c r="AE34"/>
      <c r="AF34" s="220"/>
      <c r="AG34" s="223"/>
      <c r="AS34" s="220"/>
      <c r="AT34" s="223"/>
      <c r="BF34" s="220"/>
      <c r="BG34" s="223"/>
      <c r="BS34" s="220"/>
      <c r="BT34" s="223"/>
    </row>
    <row r="35" spans="1:82" s="216" customFormat="1" x14ac:dyDescent="0.25">
      <c r="A35"/>
      <c r="B35" s="202">
        <v>44317</v>
      </c>
      <c r="C35" s="66"/>
      <c r="D35" s="200">
        <v>15582.799805000001</v>
      </c>
      <c r="E35" s="64">
        <f t="shared" si="0"/>
        <v>6.504638895456516E-2</v>
      </c>
      <c r="F35" s="64"/>
      <c r="G35" s="200">
        <v>662.99230999999997</v>
      </c>
      <c r="H35" s="64">
        <f t="shared" si="1"/>
        <v>0.14424723470334389</v>
      </c>
      <c r="I35"/>
      <c r="J35"/>
      <c r="K35"/>
      <c r="L35"/>
      <c r="M35"/>
      <c r="N35"/>
      <c r="O35"/>
      <c r="P35"/>
      <c r="Q35"/>
      <c r="R35"/>
      <c r="S35"/>
      <c r="T35" s="206">
        <v>375.67709400000001</v>
      </c>
      <c r="U35" s="64">
        <f t="shared" si="2"/>
        <v>2.8969869966295692E-2</v>
      </c>
      <c r="V35"/>
      <c r="W35"/>
      <c r="X35"/>
      <c r="Y35"/>
      <c r="Z35"/>
      <c r="AA35"/>
      <c r="AB35"/>
      <c r="AC35"/>
      <c r="AD35"/>
      <c r="AE35"/>
      <c r="AF35" s="220"/>
      <c r="AG35" s="223"/>
      <c r="AS35" s="220"/>
      <c r="AT35" s="223"/>
      <c r="BF35" s="220"/>
      <c r="BG35" s="223"/>
      <c r="BS35" s="220"/>
      <c r="BT35" s="223"/>
    </row>
    <row r="36" spans="1:82" s="216" customFormat="1" x14ac:dyDescent="0.25">
      <c r="A36"/>
      <c r="B36" s="202">
        <v>44348</v>
      </c>
      <c r="C36" s="66"/>
      <c r="D36" s="200">
        <v>15721.5</v>
      </c>
      <c r="E36" s="64">
        <f t="shared" si="0"/>
        <v>8.9008520121971468E-3</v>
      </c>
      <c r="F36" s="64"/>
      <c r="G36" s="200">
        <v>662.62194799999997</v>
      </c>
      <c r="H36" s="64">
        <f t="shared" si="1"/>
        <v>-5.5862186395494451E-4</v>
      </c>
      <c r="I36"/>
      <c r="J36"/>
      <c r="K36"/>
      <c r="L36"/>
      <c r="M36"/>
      <c r="N36"/>
      <c r="O36"/>
      <c r="P36"/>
      <c r="Q36"/>
      <c r="R36"/>
      <c r="S36"/>
      <c r="T36" s="206">
        <v>377.87789900000001</v>
      </c>
      <c r="U36" s="64">
        <f t="shared" si="2"/>
        <v>5.8582357965109022E-3</v>
      </c>
      <c r="V36"/>
      <c r="W36"/>
      <c r="X36"/>
      <c r="Y36"/>
      <c r="Z36"/>
      <c r="AA36"/>
      <c r="AB36"/>
      <c r="AC36"/>
      <c r="AD36"/>
      <c r="AE36"/>
      <c r="AF36" s="220"/>
      <c r="AG36" s="223"/>
      <c r="AS36" s="220"/>
      <c r="AT36" s="223"/>
      <c r="BF36" s="220"/>
      <c r="BG36" s="223"/>
      <c r="BS36" s="220"/>
      <c r="BT36" s="223"/>
    </row>
    <row r="37" spans="1:82" s="216" customFormat="1" x14ac:dyDescent="0.25">
      <c r="A37"/>
      <c r="B37" s="202">
        <v>44378</v>
      </c>
      <c r="C37" s="66"/>
      <c r="D37" s="200">
        <v>15763.049805000001</v>
      </c>
      <c r="E37" s="64">
        <f t="shared" si="0"/>
        <v>2.6428651846197582E-3</v>
      </c>
      <c r="F37" s="64"/>
      <c r="G37" s="200">
        <v>694.26745600000004</v>
      </c>
      <c r="H37" s="64">
        <f t="shared" si="1"/>
        <v>4.7758013593597548E-2</v>
      </c>
      <c r="I37"/>
      <c r="J37" s="101"/>
      <c r="K37" s="101"/>
      <c r="L37" s="100"/>
      <c r="M37" s="100"/>
      <c r="N37" s="100"/>
      <c r="O37" s="100"/>
      <c r="P37" s="100"/>
      <c r="Q37" s="100"/>
      <c r="R37" s="100"/>
      <c r="S37"/>
      <c r="T37" s="206">
        <v>412.645355</v>
      </c>
      <c r="U37" s="64">
        <f t="shared" si="2"/>
        <v>9.2007116827967694E-2</v>
      </c>
      <c r="V37"/>
      <c r="W37"/>
      <c r="X37"/>
      <c r="Y37"/>
      <c r="Z37"/>
      <c r="AA37"/>
      <c r="AB37"/>
      <c r="AC37"/>
      <c r="AD37"/>
      <c r="AE37"/>
      <c r="AF37" s="220"/>
      <c r="AG37" s="223"/>
      <c r="AS37" s="220"/>
      <c r="AT37" s="223"/>
      <c r="BF37" s="220"/>
      <c r="BG37" s="223"/>
      <c r="BS37" s="220"/>
      <c r="BT37" s="223"/>
    </row>
    <row r="38" spans="1:82" s="216" customFormat="1" x14ac:dyDescent="0.25">
      <c r="A38"/>
      <c r="B38" s="202">
        <v>44409</v>
      </c>
      <c r="C38" s="66"/>
      <c r="D38" s="200">
        <v>17132.199218999998</v>
      </c>
      <c r="E38" s="64">
        <f t="shared" si="0"/>
        <v>8.6858154414110045E-2</v>
      </c>
      <c r="F38" s="64"/>
      <c r="G38" s="200">
        <v>675.54351799999995</v>
      </c>
      <c r="H38" s="64">
        <f t="shared" si="1"/>
        <v>-2.6969344217684488E-2</v>
      </c>
      <c r="I38"/>
      <c r="J38" s="96"/>
      <c r="K38" s="96"/>
      <c r="L38" s="100"/>
      <c r="M38" s="100"/>
      <c r="N38" s="100"/>
      <c r="O38" s="100"/>
      <c r="P38" s="100"/>
      <c r="Q38" s="100"/>
      <c r="R38" s="100"/>
      <c r="S38"/>
      <c r="T38" s="206">
        <v>408.42630000000003</v>
      </c>
      <c r="U38" s="64">
        <f t="shared" si="2"/>
        <v>-1.0224409287243663E-2</v>
      </c>
      <c r="V38"/>
      <c r="W38"/>
      <c r="X38"/>
      <c r="Y38"/>
      <c r="Z38"/>
      <c r="AA38"/>
      <c r="AB38"/>
      <c r="AC38"/>
      <c r="AD38"/>
      <c r="AE38"/>
      <c r="AF38" s="220"/>
      <c r="AG38" s="223"/>
      <c r="AS38" s="220"/>
      <c r="AT38" s="223"/>
      <c r="BF38" s="220"/>
      <c r="BG38" s="223"/>
      <c r="BS38" s="220"/>
      <c r="BT38" s="223"/>
    </row>
    <row r="39" spans="1:82" s="216" customFormat="1" x14ac:dyDescent="0.25">
      <c r="A39"/>
      <c r="B39" s="202">
        <v>44440</v>
      </c>
      <c r="C39" s="66"/>
      <c r="D39" s="200">
        <v>17618.150390999999</v>
      </c>
      <c r="E39" s="64">
        <f t="shared" si="0"/>
        <v>2.8364786434485811E-2</v>
      </c>
      <c r="F39" s="64"/>
      <c r="G39" s="200">
        <v>668.12731900000006</v>
      </c>
      <c r="H39" s="64">
        <f t="shared" si="1"/>
        <v>-1.0978121767722837E-2</v>
      </c>
      <c r="I39"/>
      <c r="J39" s="96"/>
      <c r="K39" s="96"/>
      <c r="L39" s="100"/>
      <c r="M39" s="100"/>
      <c r="N39" s="100"/>
      <c r="O39" s="100"/>
      <c r="P39" s="100"/>
      <c r="Q39" s="100"/>
      <c r="R39" s="100"/>
      <c r="S39"/>
      <c r="T39" s="206">
        <v>417.45773300000002</v>
      </c>
      <c r="U39" s="64">
        <f t="shared" si="2"/>
        <v>2.211276061311418E-2</v>
      </c>
      <c r="V39"/>
      <c r="W39"/>
      <c r="X39"/>
      <c r="Y39"/>
      <c r="Z39"/>
      <c r="AA39"/>
      <c r="AB39"/>
      <c r="AC39"/>
      <c r="AD39"/>
      <c r="AE39"/>
      <c r="AF39" s="220"/>
      <c r="AG39" s="223"/>
      <c r="AS39" s="220"/>
      <c r="AT39" s="223"/>
      <c r="BF39" s="220"/>
      <c r="BG39" s="223"/>
      <c r="BS39" s="220"/>
      <c r="BT39" s="223"/>
    </row>
    <row r="40" spans="1:82" s="216" customFormat="1" x14ac:dyDescent="0.25">
      <c r="A40"/>
      <c r="B40" s="202">
        <v>44470</v>
      </c>
      <c r="C40" s="66"/>
      <c r="D40" s="200">
        <v>17671.650390999999</v>
      </c>
      <c r="E40" s="64">
        <f t="shared" si="0"/>
        <v>3.0366411236522062E-3</v>
      </c>
      <c r="F40" s="64"/>
      <c r="G40" s="200">
        <v>612.38116500000001</v>
      </c>
      <c r="H40" s="64">
        <f t="shared" si="1"/>
        <v>-8.343642358979797E-2</v>
      </c>
      <c r="I40"/>
      <c r="J40" s="96"/>
      <c r="K40" s="96"/>
      <c r="L40" s="100"/>
      <c r="M40" s="100"/>
      <c r="N40" s="100"/>
      <c r="O40" s="100"/>
      <c r="P40" s="100"/>
      <c r="Q40" s="100"/>
      <c r="R40" s="100"/>
      <c r="S40"/>
      <c r="T40" s="206">
        <v>359.31362899999999</v>
      </c>
      <c r="U40" s="64">
        <f t="shared" si="2"/>
        <v>-0.13928141558704821</v>
      </c>
      <c r="V40"/>
      <c r="W40"/>
      <c r="X40"/>
      <c r="Y40"/>
      <c r="Z40"/>
      <c r="AA40"/>
      <c r="AB40"/>
      <c r="AC40"/>
      <c r="AD40"/>
      <c r="AE40"/>
      <c r="AF40" s="220"/>
      <c r="AG40" s="223"/>
      <c r="AS40" s="220"/>
      <c r="AT40" s="223"/>
      <c r="BF40" s="220"/>
      <c r="BG40" s="223"/>
      <c r="BS40" s="220"/>
      <c r="BT40" s="223"/>
    </row>
    <row r="41" spans="1:82" s="216" customFormat="1" x14ac:dyDescent="0.25">
      <c r="A41"/>
      <c r="B41" s="202">
        <v>44501</v>
      </c>
      <c r="C41" s="66"/>
      <c r="D41" s="200">
        <v>16983.199218999998</v>
      </c>
      <c r="E41" s="64">
        <f t="shared" si="0"/>
        <v>-3.8957944321409976E-2</v>
      </c>
      <c r="F41" s="64"/>
      <c r="G41" s="200">
        <v>620.84631300000001</v>
      </c>
      <c r="H41" s="64">
        <f t="shared" si="1"/>
        <v>1.3823331747964573E-2</v>
      </c>
      <c r="I41"/>
      <c r="J41" s="96"/>
      <c r="K41" s="96"/>
      <c r="L41" s="100"/>
      <c r="M41" s="100"/>
      <c r="N41" s="100"/>
      <c r="O41" s="100"/>
      <c r="P41" s="100"/>
      <c r="Q41" s="100"/>
      <c r="R41" s="100"/>
      <c r="S41"/>
      <c r="T41" s="206">
        <v>393.06622299999998</v>
      </c>
      <c r="U41" s="64">
        <f t="shared" si="2"/>
        <v>9.3936303206578309E-2</v>
      </c>
      <c r="V41"/>
      <c r="W41"/>
      <c r="X41"/>
      <c r="Y41"/>
      <c r="Z41"/>
      <c r="AA41"/>
      <c r="AB41"/>
      <c r="AC41"/>
      <c r="AD41"/>
      <c r="AE41"/>
      <c r="AF41" s="220"/>
      <c r="AG41" s="223"/>
      <c r="AS41" s="220"/>
      <c r="AT41" s="223"/>
      <c r="BF41" s="220"/>
      <c r="BG41" s="223"/>
      <c r="BS41" s="220"/>
      <c r="BT41" s="223"/>
    </row>
    <row r="42" spans="1:82" s="216" customFormat="1" x14ac:dyDescent="0.25">
      <c r="A42"/>
      <c r="B42" s="202">
        <v>44531</v>
      </c>
      <c r="C42" s="66"/>
      <c r="D42" s="200">
        <v>17354.050781000002</v>
      </c>
      <c r="E42" s="64">
        <f t="shared" si="0"/>
        <v>2.1836378247575006E-2</v>
      </c>
      <c r="F42" s="64"/>
      <c r="G42" s="200">
        <v>637.36370799999997</v>
      </c>
      <c r="H42" s="64">
        <f t="shared" si="1"/>
        <v>2.660464378081917E-2</v>
      </c>
      <c r="I42"/>
      <c r="J42" s="96"/>
      <c r="K42" s="96"/>
      <c r="L42" s="100"/>
      <c r="M42" s="100"/>
      <c r="N42" s="100"/>
      <c r="O42" s="100"/>
      <c r="P42" s="100"/>
      <c r="Q42" s="100"/>
      <c r="R42" s="100"/>
      <c r="S42"/>
      <c r="T42" s="206">
        <v>390.58642600000002</v>
      </c>
      <c r="U42" s="64">
        <f t="shared" si="2"/>
        <v>-6.3088529486797773E-3</v>
      </c>
      <c r="V42"/>
      <c r="W42"/>
      <c r="X42"/>
      <c r="Y42"/>
      <c r="Z42"/>
      <c r="AA42"/>
      <c r="AB42"/>
      <c r="AC42"/>
      <c r="AD42"/>
      <c r="AE42"/>
      <c r="AF42" s="220"/>
      <c r="AG42" s="223"/>
      <c r="AS42" s="220"/>
      <c r="AT42" s="223"/>
      <c r="BF42" s="220"/>
      <c r="BG42" s="223"/>
      <c r="BS42" s="220"/>
      <c r="BT42" s="223"/>
    </row>
    <row r="43" spans="1:82" s="216" customFormat="1" x14ac:dyDescent="0.25">
      <c r="A43"/>
      <c r="B43" s="202">
        <v>44562</v>
      </c>
      <c r="C43" s="66"/>
      <c r="D43" s="200">
        <v>17339.849609000001</v>
      </c>
      <c r="E43" s="64">
        <f t="shared" si="0"/>
        <v>-8.183202976188575E-4</v>
      </c>
      <c r="F43" s="64"/>
      <c r="G43" s="200">
        <v>596.60711700000002</v>
      </c>
      <c r="H43" s="64">
        <f t="shared" si="1"/>
        <v>-6.3945578463968533E-2</v>
      </c>
      <c r="I43"/>
      <c r="J43" s="100"/>
      <c r="K43" s="100"/>
      <c r="L43" s="100"/>
      <c r="M43" s="100"/>
      <c r="N43" s="100"/>
      <c r="O43" s="100"/>
      <c r="P43" s="100"/>
      <c r="Q43" s="100"/>
      <c r="R43" s="100"/>
      <c r="S43"/>
      <c r="T43" s="206">
        <v>374.59826700000002</v>
      </c>
      <c r="U43" s="64">
        <f t="shared" si="2"/>
        <v>-4.0933729222837889E-2</v>
      </c>
      <c r="V43"/>
      <c r="W43"/>
      <c r="X43"/>
      <c r="Y43"/>
      <c r="Z43"/>
      <c r="AA43"/>
      <c r="AB43"/>
      <c r="AC43"/>
      <c r="AD43"/>
      <c r="AE43"/>
      <c r="AF43" s="220"/>
      <c r="AG43" s="223"/>
      <c r="AS43" s="220"/>
      <c r="AT43" s="223"/>
      <c r="BF43" s="220"/>
      <c r="BG43" s="223"/>
      <c r="BS43" s="220"/>
      <c r="BT43" s="223"/>
    </row>
    <row r="44" spans="1:82" s="216" customFormat="1" x14ac:dyDescent="0.25">
      <c r="A44"/>
      <c r="B44" s="202">
        <v>44593</v>
      </c>
      <c r="C44" s="66"/>
      <c r="D44" s="200">
        <v>16793.900390999999</v>
      </c>
      <c r="E44" s="64">
        <f t="shared" si="0"/>
        <v>-3.1485233742548413E-2</v>
      </c>
      <c r="F44" s="64"/>
      <c r="G44" s="200">
        <v>570.220642</v>
      </c>
      <c r="H44" s="64">
        <f t="shared" si="1"/>
        <v>-4.4227556541200364E-2</v>
      </c>
      <c r="I44"/>
      <c r="J44" s="100"/>
      <c r="K44" s="100"/>
      <c r="L44" s="100"/>
      <c r="M44" s="100"/>
      <c r="N44" s="100"/>
      <c r="O44" s="100"/>
      <c r="P44" s="100"/>
      <c r="Q44" s="100"/>
      <c r="R44" s="100"/>
      <c r="S44"/>
      <c r="T44" s="206">
        <v>300.372345</v>
      </c>
      <c r="U44" s="64">
        <f t="shared" si="2"/>
        <v>-0.19814806564494869</v>
      </c>
      <c r="V44"/>
      <c r="W44"/>
      <c r="X44"/>
      <c r="Y44"/>
      <c r="Z44"/>
      <c r="AA44"/>
      <c r="AB44"/>
      <c r="AC44"/>
      <c r="AD44"/>
      <c r="AE44"/>
      <c r="AF44" s="220"/>
      <c r="AG44" s="223"/>
      <c r="AS44" s="220"/>
      <c r="AT44" s="223"/>
      <c r="BF44" s="220"/>
      <c r="BG44" s="223"/>
      <c r="BS44" s="220"/>
      <c r="BT44" s="223"/>
    </row>
    <row r="45" spans="1:82" s="216" customFormat="1" x14ac:dyDescent="0.25">
      <c r="A45"/>
      <c r="B45" s="202">
        <v>44621</v>
      </c>
      <c r="C45" s="66"/>
      <c r="D45" s="200">
        <v>17464.75</v>
      </c>
      <c r="E45" s="64">
        <f t="shared" si="0"/>
        <v>3.9946027627954406E-2</v>
      </c>
      <c r="F45" s="64"/>
      <c r="G45" s="200">
        <v>577.85986300000002</v>
      </c>
      <c r="H45" s="64">
        <f t="shared" si="1"/>
        <v>1.3396956261011672E-2</v>
      </c>
      <c r="I45"/>
      <c r="J45" s="102"/>
      <c r="K45" s="102"/>
      <c r="L45" s="102"/>
      <c r="M45" s="102"/>
      <c r="N45" s="102"/>
      <c r="O45" s="102"/>
      <c r="P45" s="100"/>
      <c r="Q45" s="100"/>
      <c r="R45" s="100"/>
      <c r="S45"/>
      <c r="T45" s="206">
        <v>309.02706899999998</v>
      </c>
      <c r="U45" s="64">
        <f t="shared" si="2"/>
        <v>2.8813318349929951E-2</v>
      </c>
      <c r="V45"/>
      <c r="W45"/>
      <c r="X45"/>
      <c r="Y45"/>
      <c r="Z45"/>
      <c r="AA45"/>
      <c r="AB45"/>
      <c r="AC45"/>
      <c r="AD45"/>
      <c r="AE45"/>
      <c r="AF45" s="220"/>
      <c r="AG45" s="223"/>
      <c r="AS45" s="220"/>
      <c r="AT45" s="223"/>
      <c r="BF45" s="220"/>
      <c r="BG45" s="223"/>
      <c r="BS45" s="220"/>
      <c r="BT45" s="223"/>
    </row>
    <row r="46" spans="1:82" s="216" customFormat="1" x14ac:dyDescent="0.25">
      <c r="A46"/>
      <c r="B46" s="202">
        <v>44652</v>
      </c>
      <c r="C46" s="66"/>
      <c r="D46" s="200">
        <v>17102.550781000002</v>
      </c>
      <c r="E46" s="64">
        <f t="shared" si="0"/>
        <v>-2.0738872242660134E-2</v>
      </c>
      <c r="F46" s="64"/>
      <c r="G46" s="200">
        <v>592.932007</v>
      </c>
      <c r="H46" s="64">
        <f t="shared" si="1"/>
        <v>2.6082697493042595E-2</v>
      </c>
      <c r="I46"/>
      <c r="J46" s="96"/>
      <c r="K46" s="96"/>
      <c r="L46" s="96"/>
      <c r="M46" s="96"/>
      <c r="N46" s="96"/>
      <c r="O46" s="96"/>
      <c r="P46" s="100"/>
      <c r="Q46" s="100"/>
      <c r="R46" s="100"/>
      <c r="S46"/>
      <c r="T46" s="206">
        <v>310.21627799999999</v>
      </c>
      <c r="U46" s="64">
        <f t="shared" si="2"/>
        <v>3.8482357026141667E-3</v>
      </c>
      <c r="V46"/>
      <c r="W46"/>
      <c r="X46"/>
      <c r="Y46"/>
      <c r="Z46"/>
      <c r="AA46"/>
      <c r="AB46"/>
      <c r="AC46"/>
      <c r="AD46"/>
      <c r="AE46"/>
      <c r="AF46" s="220"/>
      <c r="AG46" s="223"/>
      <c r="AS46" s="220"/>
      <c r="AT46" s="223"/>
      <c r="BF46" s="220"/>
      <c r="BG46" s="223"/>
      <c r="BS46" s="220"/>
      <c r="BT46" s="223"/>
    </row>
    <row r="47" spans="1:82" s="216" customFormat="1" x14ac:dyDescent="0.25">
      <c r="A47"/>
      <c r="B47" s="202">
        <v>44682</v>
      </c>
      <c r="C47" s="66"/>
      <c r="D47" s="200">
        <v>16584.550781000002</v>
      </c>
      <c r="E47" s="64">
        <f t="shared" si="0"/>
        <v>-3.0287879663861039E-2</v>
      </c>
      <c r="F47" s="64"/>
      <c r="G47" s="200">
        <v>507.826324</v>
      </c>
      <c r="H47" s="64">
        <f t="shared" si="1"/>
        <v>-0.1435336294807239</v>
      </c>
      <c r="I47"/>
      <c r="J47" s="96"/>
      <c r="K47" s="96"/>
      <c r="L47" s="96"/>
      <c r="M47" s="96"/>
      <c r="N47" s="96"/>
      <c r="O47" s="96"/>
      <c r="P47" s="100"/>
      <c r="Q47" s="100"/>
      <c r="R47" s="100"/>
      <c r="S47"/>
      <c r="T47" s="206">
        <v>264.39898699999998</v>
      </c>
      <c r="U47" s="64">
        <f t="shared" si="2"/>
        <v>-0.14769467061944441</v>
      </c>
      <c r="V47"/>
      <c r="W47"/>
      <c r="X47"/>
      <c r="Y47"/>
      <c r="Z47"/>
      <c r="AA47"/>
      <c r="AB47"/>
      <c r="AC47"/>
      <c r="AD47"/>
      <c r="AE47"/>
      <c r="AF47" s="220"/>
      <c r="AG47" s="223"/>
      <c r="AS47" s="220"/>
      <c r="AT47" s="223"/>
      <c r="BF47" s="220"/>
      <c r="BG47" s="223"/>
      <c r="BS47" s="220"/>
      <c r="BT47" s="223"/>
    </row>
    <row r="48" spans="1:82" s="216" customFormat="1" x14ac:dyDescent="0.25">
      <c r="A48"/>
      <c r="B48" s="202">
        <v>44713</v>
      </c>
      <c r="C48" s="66"/>
      <c r="D48" s="200">
        <v>15780.25</v>
      </c>
      <c r="E48" s="64">
        <f t="shared" si="0"/>
        <v>-4.8496989253483114E-2</v>
      </c>
      <c r="F48" s="64"/>
      <c r="G48" s="200">
        <v>469.34085099999999</v>
      </c>
      <c r="H48" s="64">
        <f t="shared" si="1"/>
        <v>-7.5784714539532283E-2</v>
      </c>
      <c r="I48"/>
      <c r="J48" s="96"/>
      <c r="K48" s="96"/>
      <c r="L48" s="96"/>
      <c r="M48" s="96"/>
      <c r="N48" s="96"/>
      <c r="O48" s="96"/>
      <c r="P48" s="100"/>
      <c r="Q48" s="100"/>
      <c r="R48" s="100"/>
      <c r="S48"/>
      <c r="T48" s="206">
        <v>244.77719099999999</v>
      </c>
      <c r="U48" s="64">
        <f t="shared" si="2"/>
        <v>-7.4212825936432192E-2</v>
      </c>
      <c r="V48"/>
      <c r="W48"/>
      <c r="X48"/>
      <c r="Y48"/>
      <c r="Z48"/>
      <c r="AA48"/>
      <c r="AB48"/>
      <c r="AC48"/>
      <c r="AD48"/>
      <c r="AE48"/>
      <c r="AF48" s="220"/>
      <c r="AG48" s="223"/>
      <c r="AS48" s="220"/>
      <c r="AT48" s="223"/>
      <c r="BF48" s="220"/>
      <c r="BG48" s="223"/>
      <c r="BS48" s="220"/>
      <c r="BT48" s="223"/>
    </row>
    <row r="49" spans="1:72" s="216" customFormat="1" x14ac:dyDescent="0.25">
      <c r="A49"/>
      <c r="B49" s="202">
        <v>44743</v>
      </c>
      <c r="C49" s="66"/>
      <c r="D49" s="200">
        <v>17158.25</v>
      </c>
      <c r="E49" s="64">
        <f t="shared" si="0"/>
        <v>8.7324345305048956E-2</v>
      </c>
      <c r="F49" s="64"/>
      <c r="G49" s="200">
        <v>515.91980000000001</v>
      </c>
      <c r="H49" s="64">
        <f t="shared" si="1"/>
        <v>9.9243330088903736E-2</v>
      </c>
      <c r="I49"/>
      <c r="J49" s="100"/>
      <c r="K49" s="100"/>
      <c r="L49" s="100"/>
      <c r="M49" s="100"/>
      <c r="N49" s="100"/>
      <c r="O49" s="100"/>
      <c r="P49" s="100"/>
      <c r="Q49" s="100"/>
      <c r="R49" s="100"/>
      <c r="S49"/>
      <c r="T49" s="206">
        <v>264.91568000000001</v>
      </c>
      <c r="U49" s="64">
        <f t="shared" si="2"/>
        <v>8.2272735125880292E-2</v>
      </c>
      <c r="V49"/>
      <c r="W49"/>
      <c r="X49"/>
      <c r="Y49"/>
      <c r="Z49"/>
      <c r="AA49"/>
      <c r="AB49"/>
      <c r="AC49"/>
      <c r="AD49"/>
      <c r="AE49"/>
      <c r="AF49" s="220"/>
      <c r="AG49" s="223"/>
      <c r="AS49" s="220"/>
      <c r="AT49" s="223"/>
      <c r="BF49" s="220"/>
      <c r="BG49" s="223"/>
      <c r="BS49" s="220"/>
      <c r="BT49" s="223"/>
    </row>
    <row r="50" spans="1:72" s="216" customFormat="1" x14ac:dyDescent="0.25">
      <c r="A50"/>
      <c r="B50" s="202">
        <v>44774</v>
      </c>
      <c r="C50" s="66"/>
      <c r="D50" s="200">
        <v>17759.300781000002</v>
      </c>
      <c r="E50" s="64">
        <f t="shared" si="0"/>
        <v>3.5029841679658613E-2</v>
      </c>
      <c r="F50" s="64"/>
      <c r="G50" s="200">
        <v>556.38738999999998</v>
      </c>
      <c r="H50" s="64">
        <f t="shared" si="1"/>
        <v>7.8437753309719804E-2</v>
      </c>
      <c r="I50"/>
      <c r="J50" s="102"/>
      <c r="K50" s="102"/>
      <c r="L50" s="102"/>
      <c r="M50" s="102"/>
      <c r="N50" s="102"/>
      <c r="O50" s="102"/>
      <c r="P50" s="102"/>
      <c r="Q50" s="102"/>
      <c r="R50" s="102"/>
      <c r="S50"/>
      <c r="T50" s="206">
        <v>334.65475500000002</v>
      </c>
      <c r="U50" s="64">
        <f t="shared" si="2"/>
        <v>0.26325008395124061</v>
      </c>
      <c r="V50"/>
      <c r="W50"/>
      <c r="X50"/>
      <c r="Y50"/>
      <c r="Z50"/>
      <c r="AA50"/>
      <c r="AB50"/>
      <c r="AC50"/>
      <c r="AD50"/>
      <c r="AE50"/>
      <c r="AF50" s="220"/>
      <c r="AG50" s="223"/>
      <c r="AS50" s="220"/>
      <c r="AT50" s="223"/>
      <c r="BF50" s="220"/>
      <c r="BG50" s="223"/>
      <c r="BS50" s="220"/>
      <c r="BT50" s="223"/>
    </row>
    <row r="51" spans="1:72" s="216" customFormat="1" x14ac:dyDescent="0.25">
      <c r="A51"/>
      <c r="B51" s="202">
        <v>44805</v>
      </c>
      <c r="C51" s="66"/>
      <c r="D51" s="200">
        <v>17094.349609000001</v>
      </c>
      <c r="E51" s="64">
        <f t="shared" si="0"/>
        <v>-3.7442418493829788E-2</v>
      </c>
      <c r="F51" s="64"/>
      <c r="G51" s="200">
        <v>511.81115699999998</v>
      </c>
      <c r="H51" s="64">
        <f t="shared" si="1"/>
        <v>-8.0117259666866336E-2</v>
      </c>
      <c r="I51"/>
      <c r="J51" s="96"/>
      <c r="K51" s="96"/>
      <c r="L51" s="96"/>
      <c r="M51" s="96"/>
      <c r="N51" s="96"/>
      <c r="O51" s="96"/>
      <c r="P51" s="96"/>
      <c r="Q51" s="96"/>
      <c r="R51" s="96"/>
      <c r="S51"/>
      <c r="T51" s="206">
        <v>324.289917</v>
      </c>
      <c r="U51" s="64">
        <f t="shared" si="2"/>
        <v>-3.0971733839550653E-2</v>
      </c>
      <c r="V51"/>
      <c r="W51"/>
      <c r="X51"/>
      <c r="Y51"/>
      <c r="Z51"/>
      <c r="AA51"/>
      <c r="AB51"/>
      <c r="AC51"/>
      <c r="AD51"/>
      <c r="AE51"/>
      <c r="AF51" s="220"/>
      <c r="AG51" s="223"/>
      <c r="AS51" s="220"/>
      <c r="AT51" s="223"/>
      <c r="BF51" s="220"/>
      <c r="BG51" s="223"/>
      <c r="BS51" s="220"/>
      <c r="BT51" s="223"/>
    </row>
    <row r="52" spans="1:72" s="216" customFormat="1" x14ac:dyDescent="0.25">
      <c r="A52"/>
      <c r="B52" s="202">
        <v>44835</v>
      </c>
      <c r="C52" s="66"/>
      <c r="D52" s="200">
        <v>18012.199218999998</v>
      </c>
      <c r="E52" s="64">
        <f t="shared" si="0"/>
        <v>5.3693157738903263E-2</v>
      </c>
      <c r="F52" s="64"/>
      <c r="G52" s="200">
        <v>485.93023699999998</v>
      </c>
      <c r="H52" s="64">
        <f t="shared" si="1"/>
        <v>-5.0567322822155703E-2</v>
      </c>
      <c r="I52"/>
      <c r="J52" s="96"/>
      <c r="K52" s="96"/>
      <c r="L52" s="96"/>
      <c r="M52" s="96"/>
      <c r="N52" s="96"/>
      <c r="O52" s="96"/>
      <c r="P52" s="96"/>
      <c r="Q52" s="96"/>
      <c r="R52" s="96"/>
      <c r="S52"/>
      <c r="T52" s="206">
        <v>321.87255900000002</v>
      </c>
      <c r="U52" s="64">
        <f t="shared" si="2"/>
        <v>-7.4543113222973467E-3</v>
      </c>
      <c r="V52"/>
      <c r="W52"/>
      <c r="X52"/>
      <c r="Y52"/>
      <c r="Z52"/>
      <c r="AA52"/>
      <c r="AB52"/>
      <c r="AC52"/>
      <c r="AD52"/>
      <c r="AE52"/>
      <c r="AF52" s="220"/>
      <c r="AG52" s="223"/>
      <c r="AS52" s="220"/>
      <c r="AT52" s="223"/>
      <c r="BF52" s="220"/>
      <c r="BG52" s="223"/>
      <c r="BS52" s="220"/>
      <c r="BT52" s="223"/>
    </row>
    <row r="53" spans="1:72" s="216" customFormat="1" x14ac:dyDescent="0.25">
      <c r="A53"/>
      <c r="B53" s="202">
        <v>44866</v>
      </c>
      <c r="C53" s="66"/>
      <c r="D53" s="200">
        <v>18758.349609000001</v>
      </c>
      <c r="E53" s="64">
        <f t="shared" si="0"/>
        <v>4.1424724484111497E-2</v>
      </c>
      <c r="F53" s="64"/>
      <c r="G53" s="200">
        <v>516.290527</v>
      </c>
      <c r="H53" s="64">
        <f t="shared" si="1"/>
        <v>6.2478701032140149E-2</v>
      </c>
      <c r="I53"/>
      <c r="J53" s="100"/>
      <c r="K53" s="100"/>
      <c r="L53" s="100"/>
      <c r="M53" s="100"/>
      <c r="N53" s="100"/>
      <c r="O53" s="100"/>
      <c r="P53" s="100"/>
      <c r="Q53" s="100"/>
      <c r="R53" s="100"/>
      <c r="S53"/>
      <c r="T53" s="206">
        <v>296.97045900000001</v>
      </c>
      <c r="U53" s="64">
        <f t="shared" si="2"/>
        <v>-7.7366334295058792E-2</v>
      </c>
      <c r="V53"/>
      <c r="W53"/>
      <c r="X53"/>
      <c r="Y53"/>
      <c r="Z53"/>
      <c r="AA53"/>
      <c r="AB53"/>
      <c r="AC53"/>
      <c r="AD53"/>
      <c r="AE53"/>
      <c r="AF53" s="220"/>
      <c r="AG53" s="223"/>
      <c r="AS53" s="220"/>
      <c r="AT53" s="223"/>
      <c r="BF53" s="220"/>
      <c r="BG53" s="223"/>
      <c r="BS53" s="220"/>
      <c r="BT53" s="223"/>
    </row>
    <row r="54" spans="1:72" s="216" customFormat="1" x14ac:dyDescent="0.25">
      <c r="A54"/>
      <c r="B54" s="202">
        <v>44896</v>
      </c>
      <c r="C54" s="66"/>
      <c r="D54" s="200">
        <v>18105.300781000002</v>
      </c>
      <c r="E54" s="64">
        <f t="shared" si="0"/>
        <v>-3.4813767821379904E-2</v>
      </c>
      <c r="F54" s="64"/>
      <c r="G54" s="200">
        <v>482.238922</v>
      </c>
      <c r="H54" s="64">
        <f t="shared" si="1"/>
        <v>-6.5954347831758686E-2</v>
      </c>
      <c r="I54"/>
      <c r="J54" s="100"/>
      <c r="K54" s="100"/>
      <c r="L54" s="100"/>
      <c r="M54" s="100"/>
      <c r="N54" s="100"/>
      <c r="O54" s="100"/>
      <c r="P54" s="100"/>
      <c r="Q54" s="100"/>
      <c r="R54" s="100"/>
      <c r="S54"/>
      <c r="T54" s="206">
        <v>290.91055299999999</v>
      </c>
      <c r="U54" s="64">
        <f t="shared" si="2"/>
        <v>-2.0405753556787309E-2</v>
      </c>
      <c r="V54"/>
      <c r="W54"/>
      <c r="X54"/>
      <c r="Y54"/>
      <c r="Z54"/>
      <c r="AA54"/>
      <c r="AB54"/>
      <c r="AC54"/>
      <c r="AD54"/>
      <c r="AE54"/>
      <c r="AF54" s="220"/>
      <c r="AG54" s="223"/>
      <c r="AS54" s="220"/>
      <c r="AT54" s="223"/>
      <c r="BF54" s="220"/>
      <c r="BG54" s="223"/>
      <c r="BS54" s="220"/>
      <c r="BT54" s="223"/>
    </row>
    <row r="55" spans="1:72" s="216" customFormat="1" x14ac:dyDescent="0.25">
      <c r="A55"/>
      <c r="B55" s="202">
        <v>44927</v>
      </c>
      <c r="C55" s="66"/>
      <c r="D55" s="200">
        <v>17662.150390999999</v>
      </c>
      <c r="E55" s="64">
        <f t="shared" si="0"/>
        <v>-2.4476278818027275E-2</v>
      </c>
      <c r="F55" s="64"/>
      <c r="G55" s="200">
        <v>455.528503</v>
      </c>
      <c r="H55" s="64">
        <f t="shared" si="1"/>
        <v>-5.538835166855316E-2</v>
      </c>
      <c r="I55"/>
      <c r="J55" s="100"/>
      <c r="K55" s="100"/>
      <c r="L55" s="100"/>
      <c r="M55" s="100"/>
      <c r="N55" s="100"/>
      <c r="O55" s="100"/>
      <c r="P55" s="100"/>
      <c r="Q55" s="100"/>
      <c r="R55" s="100"/>
      <c r="S55"/>
      <c r="T55" s="206">
        <v>280.247681</v>
      </c>
      <c r="U55" s="64">
        <f t="shared" si="2"/>
        <v>-3.6653438282109985E-2</v>
      </c>
      <c r="V55"/>
      <c r="W55"/>
      <c r="X55"/>
      <c r="Y55"/>
      <c r="Z55"/>
      <c r="AA55"/>
      <c r="AB55"/>
      <c r="AC55"/>
      <c r="AD55"/>
      <c r="AE55"/>
      <c r="AF55" s="220"/>
      <c r="AG55" s="223"/>
      <c r="AS55" s="220"/>
      <c r="AT55" s="223"/>
      <c r="BF55" s="220"/>
      <c r="BG55" s="223"/>
      <c r="BS55" s="220"/>
      <c r="BT55" s="223"/>
    </row>
    <row r="56" spans="1:72" s="216" customFormat="1" x14ac:dyDescent="0.25">
      <c r="A56"/>
      <c r="B56" s="202">
        <v>44958</v>
      </c>
      <c r="C56" s="66"/>
      <c r="D56" s="200">
        <v>17303.949218999998</v>
      </c>
      <c r="E56" s="64">
        <f t="shared" si="0"/>
        <v>-2.0280722566065723E-2</v>
      </c>
      <c r="F56" s="64"/>
      <c r="G56" s="200">
        <v>480.78723100000002</v>
      </c>
      <c r="H56" s="64">
        <f t="shared" si="1"/>
        <v>5.5449281073856271E-2</v>
      </c>
      <c r="I56"/>
      <c r="J56"/>
      <c r="K56"/>
      <c r="L56"/>
      <c r="M56"/>
      <c r="N56"/>
      <c r="O56"/>
      <c r="P56"/>
      <c r="Q56"/>
      <c r="R56"/>
      <c r="S56"/>
      <c r="T56" s="206">
        <v>266.70388800000001</v>
      </c>
      <c r="U56" s="64">
        <f t="shared" si="2"/>
        <v>-4.8327939598543868E-2</v>
      </c>
      <c r="V56"/>
      <c r="W56"/>
      <c r="X56"/>
      <c r="Y56"/>
      <c r="Z56"/>
      <c r="AA56"/>
      <c r="AB56"/>
      <c r="AC56"/>
      <c r="AD56"/>
      <c r="AE56"/>
      <c r="AF56" s="220"/>
      <c r="AG56" s="223"/>
      <c r="AS56" s="220"/>
      <c r="AT56" s="223"/>
      <c r="BF56" s="220"/>
      <c r="BG56" s="223"/>
      <c r="BS56" s="220"/>
      <c r="BT56" s="223"/>
    </row>
    <row r="57" spans="1:72" s="216" customFormat="1" x14ac:dyDescent="0.25">
      <c r="A57"/>
      <c r="B57" s="202">
        <v>44986</v>
      </c>
      <c r="C57" s="66"/>
      <c r="D57" s="200">
        <v>17359.75</v>
      </c>
      <c r="E57" s="64">
        <f t="shared" si="0"/>
        <v>3.2247425309555044E-3</v>
      </c>
      <c r="F57" s="64"/>
      <c r="G57" s="200">
        <v>482.52923600000003</v>
      </c>
      <c r="H57" s="64">
        <f t="shared" si="1"/>
        <v>3.6232347443521107E-3</v>
      </c>
      <c r="I57"/>
      <c r="J57"/>
      <c r="K57"/>
      <c r="L57"/>
      <c r="M57"/>
      <c r="N57"/>
      <c r="O57"/>
      <c r="P57"/>
      <c r="Q57"/>
      <c r="R57"/>
      <c r="S57"/>
      <c r="T57" s="206">
        <v>256.17346199999997</v>
      </c>
      <c r="U57" s="64">
        <f t="shared" si="2"/>
        <v>-3.9483586381013014E-2</v>
      </c>
      <c r="V57"/>
      <c r="W57"/>
      <c r="X57"/>
      <c r="Y57"/>
      <c r="Z57"/>
      <c r="AA57"/>
      <c r="AB57"/>
      <c r="AC57"/>
      <c r="AD57"/>
      <c r="AE57"/>
      <c r="AF57" s="220"/>
      <c r="AG57" s="223"/>
      <c r="AS57" s="220"/>
      <c r="AT57" s="223"/>
      <c r="BF57" s="220"/>
      <c r="BG57" s="223"/>
      <c r="BS57" s="220"/>
      <c r="BT57" s="223"/>
    </row>
    <row r="58" spans="1:72" s="216" customFormat="1" x14ac:dyDescent="0.25">
      <c r="A58"/>
      <c r="B58" s="202">
        <v>45017</v>
      </c>
      <c r="C58" s="66"/>
      <c r="D58" s="200">
        <v>18065</v>
      </c>
      <c r="E58" s="64">
        <f t="shared" si="0"/>
        <v>4.0625585045867663E-2</v>
      </c>
      <c r="F58" s="64"/>
      <c r="G58" s="200">
        <v>506.29486100000003</v>
      </c>
      <c r="H58" s="64">
        <f t="shared" si="1"/>
        <v>4.9252197021280697E-2</v>
      </c>
      <c r="I58"/>
      <c r="J58"/>
      <c r="K58"/>
      <c r="L58"/>
      <c r="M58"/>
      <c r="N58"/>
      <c r="O58"/>
      <c r="P58"/>
      <c r="Q58"/>
      <c r="R58"/>
      <c r="S58"/>
      <c r="T58" s="206">
        <v>251.76924099999999</v>
      </c>
      <c r="U58" s="64">
        <f t="shared" si="2"/>
        <v>-1.7192338994114764E-2</v>
      </c>
      <c r="V58"/>
      <c r="W58"/>
      <c r="X58"/>
      <c r="Y58"/>
      <c r="Z58"/>
      <c r="AA58"/>
      <c r="AB58"/>
      <c r="AC58"/>
      <c r="AD58"/>
      <c r="AE58"/>
      <c r="AF58" s="220"/>
      <c r="AG58" s="223"/>
      <c r="AS58" s="220"/>
      <c r="AT58" s="223"/>
      <c r="BF58" s="220"/>
      <c r="BG58" s="223"/>
      <c r="BS58" s="220"/>
      <c r="BT58" s="223"/>
    </row>
    <row r="59" spans="1:72" s="216" customFormat="1" x14ac:dyDescent="0.25">
      <c r="A59"/>
      <c r="B59" s="202">
        <v>45047</v>
      </c>
      <c r="C59" s="66"/>
      <c r="D59" s="200">
        <v>18534.400390999999</v>
      </c>
      <c r="E59" s="64">
        <f t="shared" si="0"/>
        <v>2.5983968502629295E-2</v>
      </c>
      <c r="F59" s="64"/>
      <c r="G59" s="200">
        <v>539.55847200000005</v>
      </c>
      <c r="H59" s="64">
        <f t="shared" si="1"/>
        <v>6.570007630395458E-2</v>
      </c>
      <c r="I59"/>
      <c r="J59"/>
      <c r="K59"/>
      <c r="L59"/>
      <c r="M59"/>
      <c r="N59"/>
      <c r="O59"/>
      <c r="P59"/>
      <c r="Q59"/>
      <c r="R59"/>
      <c r="S59"/>
      <c r="T59" s="206">
        <v>291.97018400000002</v>
      </c>
      <c r="U59" s="64">
        <f t="shared" si="2"/>
        <v>0.15967376650271592</v>
      </c>
      <c r="V59"/>
      <c r="W59"/>
      <c r="X59"/>
      <c r="Y59"/>
      <c r="Z59"/>
      <c r="AA59"/>
      <c r="AB59"/>
      <c r="AC59"/>
      <c r="AD59"/>
      <c r="AE59"/>
      <c r="AF59" s="220"/>
      <c r="AG59" s="223"/>
      <c r="AS59" s="220"/>
      <c r="AT59" s="223"/>
      <c r="BF59" s="220"/>
      <c r="BG59" s="223"/>
      <c r="BS59" s="220"/>
      <c r="BT59" s="223"/>
    </row>
    <row r="60" spans="1:72" s="216" customFormat="1" x14ac:dyDescent="0.25">
      <c r="A60"/>
      <c r="B60" s="202">
        <v>45078</v>
      </c>
      <c r="C60" s="66"/>
      <c r="D60" s="200">
        <v>19189.050781000002</v>
      </c>
      <c r="E60" s="64">
        <f t="shared" si="0"/>
        <v>3.5320829171138879E-2</v>
      </c>
      <c r="F60" s="64"/>
      <c r="G60" s="200">
        <v>562.494507</v>
      </c>
      <c r="H60" s="64">
        <f t="shared" si="1"/>
        <v>4.2508896051584921E-2</v>
      </c>
      <c r="I60"/>
      <c r="J60"/>
      <c r="K60"/>
      <c r="L60"/>
      <c r="M60"/>
      <c r="N60"/>
      <c r="O60"/>
      <c r="P60"/>
      <c r="Q60"/>
      <c r="R60"/>
      <c r="S60"/>
      <c r="T60" s="206">
        <v>300.29998799999998</v>
      </c>
      <c r="U60" s="64">
        <f t="shared" si="2"/>
        <v>2.8529639177129029E-2</v>
      </c>
      <c r="V60"/>
      <c r="W60"/>
      <c r="X60"/>
      <c r="Y60"/>
      <c r="Z60"/>
      <c r="AA60"/>
      <c r="AB60"/>
      <c r="AC60"/>
      <c r="AD60"/>
      <c r="AE60"/>
      <c r="AF60" s="220"/>
      <c r="AG60" s="223"/>
      <c r="AS60" s="220"/>
      <c r="AT60" s="223"/>
      <c r="BF60" s="220"/>
      <c r="BG60" s="223"/>
      <c r="BS60" s="220"/>
      <c r="BT60" s="223"/>
    </row>
    <row r="61" spans="1:72" s="216" customFormat="1" x14ac:dyDescent="0.25">
      <c r="A61"/>
      <c r="B61" s="202">
        <v>45108</v>
      </c>
      <c r="C61" s="66"/>
      <c r="D61" s="200">
        <v>19753.800781000002</v>
      </c>
      <c r="E61" s="64">
        <f t="shared" si="0"/>
        <v>2.9430846082245221E-2</v>
      </c>
      <c r="F61" s="64"/>
      <c r="G61" s="200">
        <v>566.06146200000001</v>
      </c>
      <c r="H61" s="64">
        <f t="shared" si="1"/>
        <v>6.3413152583906562E-3</v>
      </c>
      <c r="I61"/>
      <c r="J61"/>
      <c r="K61"/>
      <c r="L61"/>
      <c r="M61"/>
      <c r="N61"/>
      <c r="O61"/>
      <c r="P61"/>
      <c r="Q61"/>
      <c r="R61"/>
      <c r="S61"/>
      <c r="T61" s="206">
        <v>335.39999399999999</v>
      </c>
      <c r="U61" s="64">
        <f t="shared" si="2"/>
        <v>0.11688314153379187</v>
      </c>
      <c r="V61"/>
      <c r="W61"/>
      <c r="X61"/>
      <c r="Y61"/>
      <c r="Z61"/>
      <c r="AA61"/>
      <c r="AB61"/>
      <c r="AC61"/>
      <c r="AD61"/>
      <c r="AE61"/>
      <c r="AF61" s="220"/>
      <c r="AG61" s="223"/>
      <c r="AS61" s="220"/>
      <c r="AT61" s="223"/>
      <c r="BF61" s="220"/>
      <c r="BG61" s="223"/>
      <c r="BS61" s="220"/>
      <c r="BT61" s="223"/>
    </row>
    <row r="62" spans="1:72" s="216" customFormat="1" x14ac:dyDescent="0.25">
      <c r="A62"/>
      <c r="B62" s="202">
        <v>45139</v>
      </c>
      <c r="C62" s="66"/>
      <c r="D62" s="200">
        <v>19253.800781000002</v>
      </c>
      <c r="E62" s="64">
        <f t="shared" si="0"/>
        <v>-2.5311584618233018E-2</v>
      </c>
      <c r="F62" s="64"/>
      <c r="G62" s="200">
        <v>596.08990500000004</v>
      </c>
      <c r="H62" s="64">
        <f t="shared" si="1"/>
        <v>5.3048025728344106E-2</v>
      </c>
      <c r="I62"/>
      <c r="J62"/>
      <c r="K62"/>
      <c r="L62"/>
      <c r="M62"/>
      <c r="N62"/>
      <c r="O62"/>
      <c r="P62"/>
      <c r="Q62"/>
      <c r="R62"/>
      <c r="S62"/>
      <c r="T62" s="206">
        <v>332.64999399999999</v>
      </c>
      <c r="U62" s="64">
        <f t="shared" si="2"/>
        <v>-8.1991653225849115E-3</v>
      </c>
      <c r="V62"/>
      <c r="W62"/>
      <c r="X62"/>
      <c r="Y62"/>
      <c r="Z62"/>
      <c r="AA62"/>
      <c r="AB62"/>
      <c r="AC62"/>
      <c r="AD62"/>
      <c r="AE62"/>
      <c r="AF62" s="220"/>
      <c r="AG62" s="223"/>
      <c r="AS62" s="220"/>
      <c r="AT62" s="223"/>
      <c r="BF62" s="220"/>
      <c r="BG62" s="223"/>
      <c r="BS62" s="220"/>
      <c r="BT62" s="223"/>
    </row>
    <row r="63" spans="1:72" s="216" customFormat="1" x14ac:dyDescent="0.25">
      <c r="A63"/>
      <c r="B63" s="202">
        <v>45170</v>
      </c>
      <c r="C63" s="66"/>
      <c r="D63" s="200">
        <v>19638.300781000002</v>
      </c>
      <c r="E63" s="64">
        <f t="shared" si="0"/>
        <v>1.9970083017553097E-2</v>
      </c>
      <c r="F63" s="64"/>
      <c r="G63" s="200">
        <v>568.84997599999997</v>
      </c>
      <c r="H63" s="64">
        <f t="shared" si="1"/>
        <v>-4.5697685485883377E-2</v>
      </c>
      <c r="I63"/>
      <c r="J63"/>
      <c r="K63"/>
      <c r="L63"/>
      <c r="M63"/>
      <c r="N63"/>
      <c r="O63"/>
      <c r="P63"/>
      <c r="Q63"/>
      <c r="R63"/>
      <c r="S63"/>
      <c r="T63" s="206">
        <v>317.45001200000002</v>
      </c>
      <c r="U63" s="64">
        <f t="shared" si="2"/>
        <v>-4.5693618740903941E-2</v>
      </c>
      <c r="V63"/>
      <c r="W63"/>
      <c r="X63"/>
      <c r="Y63"/>
      <c r="Z63"/>
      <c r="AA63"/>
      <c r="AB63"/>
      <c r="AC63"/>
      <c r="AD63"/>
      <c r="AE63"/>
      <c r="AF63" s="220"/>
      <c r="AG63" s="223"/>
      <c r="AS63" s="220"/>
      <c r="AT63" s="223"/>
      <c r="BF63" s="220"/>
      <c r="BG63" s="223"/>
      <c r="BS63" s="220"/>
      <c r="BT63" s="223"/>
    </row>
    <row r="64" spans="1:72" s="216" customFormat="1" x14ac:dyDescent="0.25">
      <c r="A64"/>
      <c r="B64" s="202">
        <v>45200</v>
      </c>
      <c r="C64" s="66"/>
      <c r="D64" s="200">
        <v>19079.599609000001</v>
      </c>
      <c r="E64" s="64">
        <f t="shared" si="0"/>
        <v>-2.8449567924967445E-2</v>
      </c>
      <c r="F64" s="64"/>
      <c r="G64" s="200">
        <v>558.59997599999997</v>
      </c>
      <c r="H64" s="64">
        <f t="shared" si="1"/>
        <v>-1.8018810639802152E-2</v>
      </c>
      <c r="I64"/>
      <c r="J64"/>
      <c r="K64"/>
      <c r="L64"/>
      <c r="M64"/>
      <c r="N64"/>
      <c r="O64"/>
      <c r="P64"/>
      <c r="Q64"/>
      <c r="R64"/>
      <c r="S64"/>
      <c r="T64" s="206">
        <v>315.10000600000001</v>
      </c>
      <c r="U64" s="64">
        <f t="shared" si="2"/>
        <v>-7.4027592098500072E-3</v>
      </c>
      <c r="V64"/>
      <c r="W64"/>
      <c r="X64"/>
      <c r="Y64"/>
      <c r="Z64"/>
      <c r="AA64"/>
      <c r="AB64"/>
      <c r="AC64"/>
      <c r="AD64"/>
      <c r="AE64"/>
      <c r="AF64" s="220"/>
      <c r="AG64" s="223"/>
      <c r="AS64" s="220"/>
      <c r="AT64" s="223"/>
      <c r="BF64" s="220"/>
      <c r="BG64" s="223"/>
      <c r="BS64" s="220"/>
      <c r="BT64" s="223"/>
    </row>
    <row r="65" spans="1:72" s="216" customFormat="1" x14ac:dyDescent="0.25">
      <c r="A65"/>
      <c r="B65" s="202">
        <v>45231</v>
      </c>
      <c r="C65" s="66"/>
      <c r="D65" s="200">
        <v>20133.150390999999</v>
      </c>
      <c r="E65" s="64">
        <f t="shared" si="0"/>
        <v>5.5218704982835654E-2</v>
      </c>
      <c r="F65" s="64"/>
      <c r="G65" s="200">
        <v>574.40002400000003</v>
      </c>
      <c r="H65" s="64">
        <f t="shared" si="1"/>
        <v>2.8285085354174955E-2</v>
      </c>
      <c r="I65"/>
      <c r="J65"/>
      <c r="K65"/>
      <c r="L65"/>
      <c r="M65"/>
      <c r="N65"/>
      <c r="O65"/>
      <c r="P65"/>
      <c r="Q65"/>
      <c r="R65"/>
      <c r="S65"/>
      <c r="T65" s="206">
        <v>320.25</v>
      </c>
      <c r="U65" s="64">
        <f t="shared" si="2"/>
        <v>1.6343998419346306E-2</v>
      </c>
      <c r="V65"/>
      <c r="W65"/>
      <c r="X65"/>
      <c r="Y65"/>
      <c r="Z65"/>
      <c r="AA65"/>
      <c r="AB65"/>
      <c r="AC65"/>
      <c r="AD65"/>
      <c r="AE65"/>
      <c r="AF65" s="220"/>
      <c r="AG65" s="223"/>
      <c r="AS65" s="220"/>
      <c r="AT65" s="223"/>
      <c r="BF65" s="220"/>
      <c r="BG65" s="223"/>
      <c r="BS65" s="220"/>
      <c r="BT65" s="223"/>
    </row>
    <row r="66" spans="1:72" s="216" customFormat="1" x14ac:dyDescent="0.25">
      <c r="A66"/>
      <c r="B66" s="202">
        <v>45261</v>
      </c>
      <c r="C66" s="66"/>
      <c r="D66" s="200">
        <v>21731.400390999999</v>
      </c>
      <c r="E66" s="64">
        <f t="shared" si="0"/>
        <v>7.9383999471560829E-2</v>
      </c>
      <c r="F66" s="64"/>
      <c r="G66" s="200">
        <v>604.65002400000003</v>
      </c>
      <c r="H66" s="64">
        <f t="shared" si="1"/>
        <v>5.2663646824638644E-2</v>
      </c>
      <c r="I66"/>
      <c r="J66"/>
      <c r="K66"/>
      <c r="L66"/>
      <c r="M66"/>
      <c r="N66"/>
      <c r="O66"/>
      <c r="P66"/>
      <c r="Q66"/>
      <c r="R66"/>
      <c r="S66"/>
      <c r="T66" s="206">
        <v>333.25</v>
      </c>
      <c r="U66" s="64">
        <f t="shared" si="2"/>
        <v>4.0593286494925884E-2</v>
      </c>
      <c r="V66"/>
      <c r="W66"/>
      <c r="X66"/>
      <c r="Y66"/>
      <c r="Z66"/>
      <c r="AA66"/>
      <c r="AB66"/>
      <c r="AC66"/>
      <c r="AD66"/>
      <c r="AE66"/>
      <c r="AF66" s="220"/>
      <c r="AG66" s="223"/>
      <c r="AS66" s="220"/>
      <c r="AT66" s="223"/>
      <c r="BF66" s="220"/>
      <c r="BG66" s="223"/>
      <c r="BS66" s="220"/>
      <c r="BT66" s="223"/>
    </row>
    <row r="67" spans="1:72" s="216" customFormat="1" x14ac:dyDescent="0.25">
      <c r="A67"/>
      <c r="B67" s="202">
        <v>45292</v>
      </c>
      <c r="C67" s="66"/>
      <c r="D67" s="200">
        <v>21725.699218999998</v>
      </c>
      <c r="E67" s="64">
        <f t="shared" si="0"/>
        <v>-2.6234719794504535E-4</v>
      </c>
      <c r="F67" s="64"/>
      <c r="G67" s="200">
        <v>565.15002400000003</v>
      </c>
      <c r="H67" s="64">
        <f t="shared" si="1"/>
        <v>-6.5327046112876652E-2</v>
      </c>
      <c r="I67"/>
      <c r="J67"/>
      <c r="K67"/>
      <c r="L67"/>
      <c r="M67"/>
      <c r="N67"/>
      <c r="O67"/>
      <c r="P67"/>
      <c r="Q67"/>
      <c r="R67"/>
      <c r="S67"/>
      <c r="T67" s="206">
        <v>341.75</v>
      </c>
      <c r="U67" s="64">
        <f t="shared" si="2"/>
        <v>2.5506376594148561E-2</v>
      </c>
      <c r="V67"/>
      <c r="W67"/>
      <c r="X67"/>
      <c r="Y67"/>
      <c r="Z67"/>
      <c r="AA67"/>
      <c r="AB67"/>
      <c r="AC67"/>
      <c r="AD67"/>
      <c r="AE67"/>
      <c r="AF67" s="220"/>
      <c r="AG67" s="223"/>
      <c r="AS67" s="220"/>
      <c r="AT67" s="223"/>
      <c r="BF67" s="220"/>
      <c r="BG67" s="223"/>
      <c r="BS67" s="220"/>
      <c r="BT67" s="223"/>
    </row>
    <row r="68" spans="1:72" s="216" customFormat="1" x14ac:dyDescent="0.25">
      <c r="A68"/>
      <c r="B68" s="202">
        <v>45323</v>
      </c>
      <c r="C68" s="66"/>
      <c r="D68" s="200">
        <v>21930.5</v>
      </c>
      <c r="E68" s="64">
        <f t="shared" si="0"/>
        <v>9.4266600552443958E-3</v>
      </c>
      <c r="F68" s="64"/>
      <c r="G68" s="200">
        <v>551</v>
      </c>
      <c r="H68" s="64">
        <f t="shared" si="1"/>
        <v>-2.5037642040337316E-2</v>
      </c>
      <c r="I68"/>
      <c r="J68"/>
      <c r="K68"/>
      <c r="L68"/>
      <c r="M68"/>
      <c r="N68"/>
      <c r="O68"/>
      <c r="P68"/>
      <c r="Q68"/>
      <c r="R68"/>
      <c r="S68"/>
      <c r="T68" s="206">
        <v>304.5</v>
      </c>
      <c r="U68" s="64">
        <f t="shared" si="2"/>
        <v>-0.10899780541331383</v>
      </c>
      <c r="V68"/>
      <c r="W68"/>
      <c r="X68"/>
      <c r="Y68"/>
      <c r="Z68"/>
      <c r="AA68"/>
      <c r="AB68"/>
      <c r="AC68"/>
      <c r="AD68"/>
      <c r="AE68"/>
      <c r="AF68" s="220"/>
      <c r="AG68" s="223"/>
      <c r="AS68" s="220"/>
      <c r="AT68" s="223"/>
      <c r="BF68" s="220"/>
      <c r="BG68" s="223"/>
      <c r="BS68" s="220"/>
      <c r="BT68" s="223"/>
    </row>
  </sheetData>
  <mergeCells count="14">
    <mergeCell ref="BF6:BG6"/>
    <mergeCell ref="BI6:BJ6"/>
    <mergeCell ref="BS6:BT6"/>
    <mergeCell ref="BV6:BW6"/>
    <mergeCell ref="AF6:AG6"/>
    <mergeCell ref="AI6:AJ6"/>
    <mergeCell ref="AS6:AT6"/>
    <mergeCell ref="AV6:AW6"/>
    <mergeCell ref="W6:X6"/>
    <mergeCell ref="B4:E4"/>
    <mergeCell ref="D6:E6"/>
    <mergeCell ref="G6:H6"/>
    <mergeCell ref="J6:K6"/>
    <mergeCell ref="T6:U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8CB4-CD70-4F37-BA89-65B0DB4189AD}">
  <dimension ref="B2:Q41"/>
  <sheetViews>
    <sheetView showGridLines="0" topLeftCell="A2" workbookViewId="0">
      <selection activeCell="I5" sqref="I5"/>
    </sheetView>
  </sheetViews>
  <sheetFormatPr defaultRowHeight="15" x14ac:dyDescent="0.25"/>
  <cols>
    <col min="1" max="1" width="1.85546875" customWidth="1"/>
    <col min="2" max="2" width="5.7109375" bestFit="1" customWidth="1"/>
    <col min="3" max="3" width="16.85546875" bestFit="1" customWidth="1"/>
    <col min="4" max="4" width="9" bestFit="1" customWidth="1"/>
    <col min="5" max="5" width="16.5703125" bestFit="1" customWidth="1"/>
    <col min="6" max="6" width="10.7109375" bestFit="1" customWidth="1"/>
    <col min="7" max="7" width="14.42578125" bestFit="1" customWidth="1"/>
    <col min="8" max="8" width="10" bestFit="1" customWidth="1"/>
    <col min="9" max="9" width="11" bestFit="1" customWidth="1"/>
    <col min="10" max="10" width="13.28515625" bestFit="1" customWidth="1"/>
    <col min="11" max="11" width="14.140625" bestFit="1" customWidth="1"/>
    <col min="12" max="12" width="15.5703125" bestFit="1" customWidth="1"/>
    <col min="13" max="13" width="11.28515625" bestFit="1" customWidth="1"/>
    <col min="14" max="14" width="9.5703125" bestFit="1" customWidth="1"/>
    <col min="16" max="16" width="14.140625" bestFit="1" customWidth="1"/>
  </cols>
  <sheetData>
    <row r="2" spans="2:17" x14ac:dyDescent="0.25">
      <c r="B2" s="237" t="str">
        <f>'Data Sheet'!B1&amp;" - "&amp; "Peer Comparison"</f>
        <v>ASIAN PAINTS LTD - Peer Comparison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</row>
    <row r="4" spans="2:17" x14ac:dyDescent="0.25">
      <c r="B4" s="166" t="s">
        <v>241</v>
      </c>
      <c r="C4" s="166" t="s">
        <v>242</v>
      </c>
      <c r="D4" s="166" t="s">
        <v>243</v>
      </c>
      <c r="E4" s="166" t="s">
        <v>379</v>
      </c>
      <c r="F4" s="166" t="s">
        <v>245</v>
      </c>
      <c r="G4" s="166" t="s">
        <v>246</v>
      </c>
      <c r="I4" s="166" t="s">
        <v>253</v>
      </c>
      <c r="J4" s="166" t="s">
        <v>136</v>
      </c>
    </row>
    <row r="5" spans="2:17" x14ac:dyDescent="0.25">
      <c r="B5" s="166">
        <v>1</v>
      </c>
      <c r="C5" s="166" t="s">
        <v>383</v>
      </c>
      <c r="D5" s="166">
        <v>2966.4</v>
      </c>
      <c r="E5" s="166">
        <v>284536.40000000002</v>
      </c>
      <c r="F5" s="166">
        <v>2326.77</v>
      </c>
      <c r="G5" s="166">
        <v>0.14000000000000001</v>
      </c>
      <c r="I5" s="207">
        <v>144</v>
      </c>
      <c r="J5" s="14">
        <f>I5/F6</f>
        <v>0.12476498262820901</v>
      </c>
    </row>
    <row r="6" spans="2:17" x14ac:dyDescent="0.25">
      <c r="B6" s="166">
        <v>2</v>
      </c>
      <c r="C6" s="166" t="s">
        <v>384</v>
      </c>
      <c r="D6" s="166">
        <v>554.65</v>
      </c>
      <c r="E6" s="166">
        <v>64657.97</v>
      </c>
      <c r="F6" s="166">
        <v>1154.17</v>
      </c>
      <c r="G6" s="166">
        <v>0.24</v>
      </c>
      <c r="I6" s="72"/>
    </row>
    <row r="7" spans="2:17" x14ac:dyDescent="0.25">
      <c r="B7" s="166">
        <v>3</v>
      </c>
      <c r="C7" s="166" t="s">
        <v>385</v>
      </c>
      <c r="D7" s="166">
        <v>309.05</v>
      </c>
      <c r="E7" s="166">
        <v>24982.99</v>
      </c>
      <c r="F7" s="166">
        <v>323.27</v>
      </c>
      <c r="G7" s="166">
        <v>0.06</v>
      </c>
    </row>
    <row r="8" spans="2:17" x14ac:dyDescent="0.25">
      <c r="B8" s="166">
        <v>4</v>
      </c>
      <c r="C8" s="166" t="s">
        <v>386</v>
      </c>
      <c r="D8" s="166">
        <v>2768.4</v>
      </c>
      <c r="E8" s="166">
        <v>12607.39</v>
      </c>
      <c r="F8" s="166">
        <v>62.8</v>
      </c>
      <c r="G8" s="166">
        <v>0.05</v>
      </c>
    </row>
    <row r="9" spans="2:17" x14ac:dyDescent="0.25">
      <c r="B9" s="166">
        <v>5</v>
      </c>
      <c r="C9" s="166" t="s">
        <v>387</v>
      </c>
      <c r="D9" s="166">
        <v>1484.45</v>
      </c>
      <c r="E9" s="166">
        <v>7069.12</v>
      </c>
      <c r="F9" s="166">
        <v>13.68</v>
      </c>
      <c r="G9" s="166">
        <v>0.02</v>
      </c>
    </row>
    <row r="10" spans="2:17" x14ac:dyDescent="0.25">
      <c r="B10" s="166">
        <v>6</v>
      </c>
      <c r="C10" s="166" t="s">
        <v>388</v>
      </c>
      <c r="D10" s="166">
        <v>196.55</v>
      </c>
      <c r="E10" s="166">
        <v>1645.36</v>
      </c>
      <c r="F10" s="166">
        <v>128.19</v>
      </c>
      <c r="G10" s="166">
        <v>0.4</v>
      </c>
    </row>
    <row r="11" spans="2:17" x14ac:dyDescent="0.25">
      <c r="B11" s="166">
        <v>7</v>
      </c>
      <c r="C11" s="166" t="s">
        <v>389</v>
      </c>
      <c r="D11" s="166">
        <v>140</v>
      </c>
      <c r="E11" s="166">
        <v>88.25</v>
      </c>
      <c r="F11" s="166">
        <v>11.28</v>
      </c>
      <c r="G11" s="166">
        <v>0.78</v>
      </c>
    </row>
    <row r="12" spans="2:17" x14ac:dyDescent="0.25">
      <c r="B12" s="166"/>
      <c r="C12" s="166"/>
      <c r="D12" s="166"/>
      <c r="E12" s="166"/>
      <c r="F12" s="166"/>
      <c r="G12" s="166"/>
    </row>
    <row r="14" spans="2:17" x14ac:dyDescent="0.25">
      <c r="B14" s="237" t="str">
        <f>'Data Sheet'!B1&amp;" - "&amp; "PEER VALUATION"</f>
        <v>ASIAN PAINTS LTD - PEER VALUATION</v>
      </c>
      <c r="C14" s="237"/>
      <c r="D14" s="237"/>
      <c r="E14" s="237"/>
      <c r="F14" s="237"/>
      <c r="G14" s="237"/>
      <c r="H14" s="237"/>
      <c r="I14" s="237"/>
      <c r="J14" s="237"/>
      <c r="K14" s="237"/>
      <c r="L14" s="237"/>
      <c r="M14" s="237"/>
    </row>
    <row r="16" spans="2:17" x14ac:dyDescent="0.25">
      <c r="B16" s="166" t="s">
        <v>241</v>
      </c>
      <c r="C16" s="166" t="s">
        <v>242</v>
      </c>
      <c r="D16" s="208" t="s">
        <v>243</v>
      </c>
      <c r="E16" s="208" t="s">
        <v>341</v>
      </c>
      <c r="F16" s="208" t="s">
        <v>346</v>
      </c>
      <c r="G16" s="208" t="s">
        <v>245</v>
      </c>
      <c r="H16" s="208" t="s">
        <v>342</v>
      </c>
      <c r="I16" s="208" t="s">
        <v>335</v>
      </c>
      <c r="J16" s="208" t="s">
        <v>343</v>
      </c>
      <c r="K16" s="208" t="s">
        <v>344</v>
      </c>
      <c r="L16" s="208" t="s">
        <v>345</v>
      </c>
      <c r="M16" s="208" t="s">
        <v>347</v>
      </c>
      <c r="N16" s="208" t="s">
        <v>13</v>
      </c>
      <c r="O16" s="208" t="s">
        <v>348</v>
      </c>
      <c r="P16" s="208" t="s">
        <v>244</v>
      </c>
      <c r="Q16" s="208" t="s">
        <v>334</v>
      </c>
    </row>
    <row r="17" spans="2:17" x14ac:dyDescent="0.25">
      <c r="B17" s="166">
        <v>1</v>
      </c>
      <c r="C17" s="166" t="s">
        <v>383</v>
      </c>
      <c r="D17" s="208">
        <v>2966.4</v>
      </c>
      <c r="E17" s="208">
        <v>95.92</v>
      </c>
      <c r="F17" s="72">
        <f>E17*D17</f>
        <v>284537.08799999999</v>
      </c>
      <c r="G17" s="208">
        <v>2326.77</v>
      </c>
      <c r="H17" s="208">
        <v>843.82</v>
      </c>
      <c r="I17" s="72">
        <f t="shared" ref="I17:I23" si="0">F17+G17-H17</f>
        <v>286020.038</v>
      </c>
      <c r="J17" s="208">
        <v>286104.71000000002</v>
      </c>
      <c r="K17" s="208">
        <v>35551.31</v>
      </c>
      <c r="L17" s="208">
        <v>5540.8</v>
      </c>
      <c r="M17" s="208">
        <v>8495.73</v>
      </c>
      <c r="N17" s="72">
        <f t="shared" ref="N17:N23" si="1">J17/O17</f>
        <v>8494.7954275534448</v>
      </c>
      <c r="O17" s="208">
        <v>33.68</v>
      </c>
      <c r="P17" s="208">
        <v>284536.40000000002</v>
      </c>
      <c r="Q17" s="72">
        <f t="shared" ref="Q17:Q23" si="2">G17-H17</f>
        <v>1482.9499999999998</v>
      </c>
    </row>
    <row r="18" spans="2:17" x14ac:dyDescent="0.25">
      <c r="B18" s="166">
        <v>2</v>
      </c>
      <c r="C18" s="166" t="s">
        <v>384</v>
      </c>
      <c r="D18" s="208">
        <v>554.65</v>
      </c>
      <c r="E18" s="208">
        <v>116.57</v>
      </c>
      <c r="F18" s="72">
        <f>E18*D18</f>
        <v>64655.55049999999</v>
      </c>
      <c r="G18" s="208">
        <v>1154.17</v>
      </c>
      <c r="H18" s="208">
        <v>244.69</v>
      </c>
      <c r="I18" s="72">
        <f t="shared" si="0"/>
        <v>65565.030499999993</v>
      </c>
      <c r="J18" s="208">
        <v>65465.77</v>
      </c>
      <c r="K18" s="208">
        <v>11122.27</v>
      </c>
      <c r="L18" s="208">
        <v>1133.21</v>
      </c>
      <c r="M18" s="208">
        <v>1928.88</v>
      </c>
      <c r="N18" s="72">
        <f t="shared" si="1"/>
        <v>1928.867707719505</v>
      </c>
      <c r="O18" s="208">
        <v>33.94</v>
      </c>
      <c r="P18" s="208">
        <v>64657.97</v>
      </c>
      <c r="Q18" s="72">
        <f t="shared" si="2"/>
        <v>909.48</v>
      </c>
    </row>
    <row r="19" spans="2:17" x14ac:dyDescent="0.25">
      <c r="B19" s="166">
        <v>3</v>
      </c>
      <c r="C19" s="166" t="s">
        <v>385</v>
      </c>
      <c r="D19" s="208">
        <v>309.05</v>
      </c>
      <c r="E19" s="208">
        <v>80.84</v>
      </c>
      <c r="F19" s="72">
        <f t="shared" ref="F19:F23" si="3">E19*D19</f>
        <v>24983.602000000003</v>
      </c>
      <c r="G19" s="208">
        <v>323.27</v>
      </c>
      <c r="H19" s="208">
        <v>126.86</v>
      </c>
      <c r="I19" s="72">
        <f t="shared" si="0"/>
        <v>25180.012000000002</v>
      </c>
      <c r="J19" s="208">
        <v>25185.11</v>
      </c>
      <c r="K19" s="208">
        <v>7765.64</v>
      </c>
      <c r="L19" s="208">
        <v>1157.81</v>
      </c>
      <c r="M19" s="208">
        <v>1085.9100000000001</v>
      </c>
      <c r="N19" s="72">
        <f t="shared" si="1"/>
        <v>1086.0332039672271</v>
      </c>
      <c r="O19" s="208">
        <v>23.19</v>
      </c>
      <c r="P19" s="208">
        <v>24982.99</v>
      </c>
      <c r="Q19" s="72">
        <f t="shared" si="2"/>
        <v>196.40999999999997</v>
      </c>
    </row>
    <row r="20" spans="2:17" x14ac:dyDescent="0.25">
      <c r="B20" s="166">
        <v>4</v>
      </c>
      <c r="C20" s="166" t="s">
        <v>386</v>
      </c>
      <c r="D20" s="208">
        <v>2768.4</v>
      </c>
      <c r="E20" s="208">
        <v>4.55</v>
      </c>
      <c r="F20" s="72">
        <f t="shared" si="3"/>
        <v>12596.22</v>
      </c>
      <c r="G20" s="208">
        <v>62.8</v>
      </c>
      <c r="H20" s="208">
        <v>563.20000000000005</v>
      </c>
      <c r="I20" s="72">
        <f t="shared" si="0"/>
        <v>12095.819999999998</v>
      </c>
      <c r="J20" s="208">
        <v>12058.29</v>
      </c>
      <c r="K20" s="208">
        <v>3939.6</v>
      </c>
      <c r="L20" s="208">
        <v>413.3</v>
      </c>
      <c r="M20" s="208">
        <v>656.6</v>
      </c>
      <c r="N20" s="72">
        <f t="shared" si="1"/>
        <v>656.76960784313735</v>
      </c>
      <c r="O20" s="208">
        <v>18.36</v>
      </c>
      <c r="P20" s="208">
        <v>12607.39</v>
      </c>
      <c r="Q20" s="72">
        <f t="shared" si="2"/>
        <v>-500.40000000000003</v>
      </c>
    </row>
    <row r="21" spans="2:17" x14ac:dyDescent="0.25">
      <c r="B21" s="166">
        <v>5</v>
      </c>
      <c r="C21" s="166" t="s">
        <v>387</v>
      </c>
      <c r="D21" s="208">
        <v>1484.45</v>
      </c>
      <c r="E21" s="208">
        <v>4.76</v>
      </c>
      <c r="F21" s="72">
        <f t="shared" si="3"/>
        <v>7065.982</v>
      </c>
      <c r="G21" s="208">
        <v>13.68</v>
      </c>
      <c r="H21" s="208">
        <v>48.79</v>
      </c>
      <c r="I21" s="72">
        <f t="shared" si="0"/>
        <v>7030.8720000000003</v>
      </c>
      <c r="J21" s="208">
        <v>7073.15</v>
      </c>
      <c r="K21" s="208">
        <v>1214.2</v>
      </c>
      <c r="L21" s="208">
        <v>143.81</v>
      </c>
      <c r="M21" s="208">
        <v>234.35</v>
      </c>
      <c r="N21" s="72">
        <f t="shared" si="1"/>
        <v>234.3654738237243</v>
      </c>
      <c r="O21" s="208">
        <v>30.18</v>
      </c>
      <c r="P21" s="208">
        <v>7069.12</v>
      </c>
      <c r="Q21" s="72">
        <f t="shared" si="2"/>
        <v>-35.11</v>
      </c>
    </row>
    <row r="22" spans="2:17" x14ac:dyDescent="0.25">
      <c r="B22" s="166">
        <v>6</v>
      </c>
      <c r="C22" s="166" t="s">
        <v>388</v>
      </c>
      <c r="D22" s="208">
        <v>196.55</v>
      </c>
      <c r="E22" s="208">
        <v>8.3699999999999992</v>
      </c>
      <c r="F22" s="72">
        <f t="shared" si="3"/>
        <v>1645.1234999999999</v>
      </c>
      <c r="G22" s="208">
        <v>128.19</v>
      </c>
      <c r="H22" s="208">
        <v>23.42</v>
      </c>
      <c r="I22" s="72">
        <f t="shared" si="0"/>
        <v>1749.8934999999999</v>
      </c>
      <c r="J22" s="208">
        <v>1768.99</v>
      </c>
      <c r="K22" s="208">
        <v>526.48</v>
      </c>
      <c r="L22" s="208">
        <v>-57.05</v>
      </c>
      <c r="M22" s="208">
        <v>-28.8</v>
      </c>
      <c r="N22" s="72">
        <f t="shared" si="1"/>
        <v>-28.80153044610876</v>
      </c>
      <c r="O22" s="208">
        <v>-61.42</v>
      </c>
      <c r="P22" s="208">
        <v>1645.36</v>
      </c>
      <c r="Q22" s="72">
        <f t="shared" si="2"/>
        <v>104.77</v>
      </c>
    </row>
    <row r="23" spans="2:17" x14ac:dyDescent="0.25">
      <c r="B23" s="166">
        <v>7</v>
      </c>
      <c r="C23" s="166" t="s">
        <v>389</v>
      </c>
      <c r="D23" s="208">
        <v>140</v>
      </c>
      <c r="E23" s="208">
        <v>0.63</v>
      </c>
      <c r="F23" s="72">
        <f t="shared" si="3"/>
        <v>88.2</v>
      </c>
      <c r="G23" s="208">
        <v>11.28</v>
      </c>
      <c r="H23" s="208">
        <v>0.28000000000000003</v>
      </c>
      <c r="I23" s="72">
        <f t="shared" si="0"/>
        <v>99.2</v>
      </c>
      <c r="J23" s="208">
        <v>99.51</v>
      </c>
      <c r="K23" s="208">
        <v>35.26</v>
      </c>
      <c r="L23" s="208">
        <v>1.56</v>
      </c>
      <c r="M23" s="208">
        <v>3.6</v>
      </c>
      <c r="N23" s="72">
        <f t="shared" si="1"/>
        <v>3.6002170767004342</v>
      </c>
      <c r="O23" s="208">
        <v>27.64</v>
      </c>
      <c r="P23" s="208">
        <v>88.25</v>
      </c>
      <c r="Q23" s="72">
        <f t="shared" si="2"/>
        <v>11</v>
      </c>
    </row>
    <row r="24" spans="2:17" x14ac:dyDescent="0.25">
      <c r="B24" s="166"/>
      <c r="C24" s="166"/>
      <c r="D24" s="208"/>
      <c r="E24" s="208"/>
      <c r="F24" s="72"/>
      <c r="G24" s="208"/>
      <c r="H24" s="208"/>
      <c r="I24" s="72"/>
      <c r="J24" s="208"/>
      <c r="K24" s="208"/>
      <c r="L24" s="208"/>
      <c r="M24" s="208"/>
      <c r="N24" s="72"/>
      <c r="O24" s="208"/>
      <c r="P24" s="208"/>
      <c r="Q24" s="72"/>
    </row>
    <row r="26" spans="2:17" x14ac:dyDescent="0.25">
      <c r="B26" t="s">
        <v>241</v>
      </c>
      <c r="C26" t="s">
        <v>242</v>
      </c>
      <c r="D26" t="s">
        <v>243</v>
      </c>
      <c r="E26" t="s">
        <v>341</v>
      </c>
      <c r="F26" t="s">
        <v>245</v>
      </c>
      <c r="G26" t="s">
        <v>342</v>
      </c>
      <c r="H26" t="s">
        <v>343</v>
      </c>
      <c r="I26" t="s">
        <v>344</v>
      </c>
      <c r="J26" t="s">
        <v>345</v>
      </c>
      <c r="K26" t="s">
        <v>347</v>
      </c>
      <c r="L26" t="s">
        <v>348</v>
      </c>
      <c r="M26" t="s">
        <v>379</v>
      </c>
    </row>
    <row r="27" spans="2:17" x14ac:dyDescent="0.25">
      <c r="B27">
        <v>1</v>
      </c>
      <c r="C27" t="s">
        <v>383</v>
      </c>
      <c r="D27" s="72">
        <v>2966.4</v>
      </c>
      <c r="E27" s="72">
        <v>95.92</v>
      </c>
      <c r="F27" s="72">
        <v>2326.77</v>
      </c>
      <c r="G27" s="72">
        <v>843.82</v>
      </c>
      <c r="H27" s="72">
        <v>286104.71000000002</v>
      </c>
      <c r="I27" s="72">
        <v>35551.31</v>
      </c>
      <c r="J27" s="72">
        <v>5540.8</v>
      </c>
      <c r="K27" s="72">
        <v>8495.73</v>
      </c>
      <c r="L27" s="72">
        <v>33.68</v>
      </c>
      <c r="M27" s="72">
        <v>284536.40000000002</v>
      </c>
      <c r="N27" s="72"/>
      <c r="O27" s="72"/>
      <c r="P27" s="72"/>
    </row>
    <row r="28" spans="2:17" x14ac:dyDescent="0.25">
      <c r="B28">
        <v>2</v>
      </c>
      <c r="C28" t="s">
        <v>384</v>
      </c>
      <c r="D28" s="72">
        <v>554.65</v>
      </c>
      <c r="E28" s="72">
        <v>116.57</v>
      </c>
      <c r="F28" s="72">
        <v>1154.17</v>
      </c>
      <c r="G28" s="72">
        <v>244.69</v>
      </c>
      <c r="H28" s="72">
        <v>65465.77</v>
      </c>
      <c r="I28" s="72">
        <v>11122.27</v>
      </c>
      <c r="J28" s="72">
        <v>1133.21</v>
      </c>
      <c r="K28" s="72">
        <v>1928.88</v>
      </c>
      <c r="L28" s="72">
        <v>33.94</v>
      </c>
      <c r="M28" s="72">
        <v>64657.97</v>
      </c>
      <c r="N28" s="72"/>
      <c r="O28" s="72"/>
      <c r="P28" s="72"/>
    </row>
    <row r="29" spans="2:17" x14ac:dyDescent="0.25">
      <c r="B29">
        <v>3</v>
      </c>
      <c r="C29" t="s">
        <v>385</v>
      </c>
      <c r="D29" s="72">
        <v>309.05</v>
      </c>
      <c r="E29" s="72">
        <v>80.84</v>
      </c>
      <c r="F29" s="72">
        <v>323.27</v>
      </c>
      <c r="G29" s="72">
        <v>126.86</v>
      </c>
      <c r="H29" s="72">
        <v>25185.11</v>
      </c>
      <c r="I29" s="72">
        <v>7765.64</v>
      </c>
      <c r="J29" s="72">
        <v>1157.81</v>
      </c>
      <c r="K29" s="72">
        <v>1085.9100000000001</v>
      </c>
      <c r="L29" s="72">
        <v>23.19</v>
      </c>
      <c r="M29" s="72">
        <v>24982.99</v>
      </c>
      <c r="N29" s="72"/>
      <c r="O29" s="72"/>
      <c r="P29" s="72"/>
    </row>
    <row r="30" spans="2:17" x14ac:dyDescent="0.25">
      <c r="B30">
        <v>4</v>
      </c>
      <c r="C30" t="s">
        <v>386</v>
      </c>
      <c r="D30" s="72">
        <v>2768.4</v>
      </c>
      <c r="E30" s="72">
        <v>4.55</v>
      </c>
      <c r="F30" s="72">
        <v>62.8</v>
      </c>
      <c r="G30" s="72">
        <v>563.20000000000005</v>
      </c>
      <c r="H30" s="72">
        <v>12058.29</v>
      </c>
      <c r="I30" s="72">
        <v>3939.6</v>
      </c>
      <c r="J30" s="72">
        <v>413.3</v>
      </c>
      <c r="K30" s="72">
        <v>656.6</v>
      </c>
      <c r="L30" s="72">
        <v>18.36</v>
      </c>
      <c r="M30" s="72">
        <v>12607.39</v>
      </c>
      <c r="N30" s="72"/>
      <c r="O30" s="72"/>
      <c r="P30" s="72"/>
    </row>
    <row r="31" spans="2:17" x14ac:dyDescent="0.25">
      <c r="B31" s="166">
        <v>5</v>
      </c>
      <c r="C31" s="166" t="s">
        <v>387</v>
      </c>
      <c r="D31" s="208">
        <v>1484.45</v>
      </c>
      <c r="E31" s="208">
        <v>4.76</v>
      </c>
      <c r="F31" s="72">
        <v>13.68</v>
      </c>
      <c r="G31" s="208">
        <v>48.79</v>
      </c>
      <c r="H31" s="208">
        <v>7073.15</v>
      </c>
      <c r="I31" s="72">
        <v>1214.2</v>
      </c>
      <c r="J31" s="208">
        <v>143.81</v>
      </c>
      <c r="K31" s="208">
        <v>234.35</v>
      </c>
      <c r="L31" s="208">
        <v>30.18</v>
      </c>
      <c r="M31" s="208">
        <v>7069.12</v>
      </c>
      <c r="N31" s="72"/>
      <c r="O31" s="208"/>
      <c r="P31" s="208"/>
    </row>
    <row r="32" spans="2:17" x14ac:dyDescent="0.25">
      <c r="B32" s="166">
        <v>6</v>
      </c>
      <c r="C32" s="166" t="s">
        <v>388</v>
      </c>
      <c r="D32" s="208">
        <v>196.55</v>
      </c>
      <c r="E32" s="208">
        <v>8.3699999999999992</v>
      </c>
      <c r="F32" s="72">
        <v>128.19</v>
      </c>
      <c r="G32" s="208">
        <v>23.42</v>
      </c>
      <c r="H32" s="208">
        <v>1768.99</v>
      </c>
      <c r="I32" s="72">
        <v>526.48</v>
      </c>
      <c r="J32" s="208">
        <v>-57.05</v>
      </c>
      <c r="K32" s="208">
        <v>-28.8</v>
      </c>
      <c r="L32" s="208">
        <v>-61.42</v>
      </c>
      <c r="M32" s="208">
        <v>1645.36</v>
      </c>
      <c r="N32" s="72"/>
      <c r="O32" s="208"/>
      <c r="P32" s="208"/>
    </row>
    <row r="33" spans="2:16" x14ac:dyDescent="0.25">
      <c r="B33" s="166">
        <v>7</v>
      </c>
      <c r="C33" s="166" t="s">
        <v>389</v>
      </c>
      <c r="D33" s="208">
        <v>140</v>
      </c>
      <c r="E33" s="208">
        <v>0.63</v>
      </c>
      <c r="F33" s="72">
        <v>11.28</v>
      </c>
      <c r="G33" s="208">
        <v>0.28000000000000003</v>
      </c>
      <c r="H33" s="208">
        <v>99.51</v>
      </c>
      <c r="I33" s="72">
        <v>35.26</v>
      </c>
      <c r="J33" s="208">
        <v>1.56</v>
      </c>
      <c r="K33" s="208">
        <v>3.6</v>
      </c>
      <c r="L33" s="208">
        <v>27.64</v>
      </c>
      <c r="M33" s="208">
        <v>88.25</v>
      </c>
      <c r="N33" s="72"/>
      <c r="O33" s="208"/>
      <c r="P33" s="208"/>
    </row>
    <row r="34" spans="2:16" x14ac:dyDescent="0.25">
      <c r="B34" s="166"/>
      <c r="C34" s="166"/>
      <c r="D34" s="208"/>
      <c r="E34" s="208"/>
      <c r="F34" s="72"/>
      <c r="G34" s="208"/>
      <c r="H34" s="208"/>
      <c r="I34" s="72"/>
      <c r="J34" s="208"/>
      <c r="K34" s="208"/>
      <c r="L34" s="208"/>
      <c r="M34" s="208"/>
      <c r="N34" s="72"/>
      <c r="O34" s="208"/>
      <c r="P34" s="208"/>
    </row>
    <row r="35" spans="2:16" x14ac:dyDescent="0.25">
      <c r="B35" s="166"/>
      <c r="C35" s="166"/>
      <c r="D35" s="208"/>
      <c r="E35" s="208"/>
      <c r="F35" s="72"/>
      <c r="G35" s="208"/>
      <c r="H35" s="208"/>
      <c r="I35" s="72"/>
      <c r="J35" s="208"/>
      <c r="K35" s="208"/>
      <c r="L35" s="208"/>
      <c r="M35" s="208"/>
      <c r="N35" s="72"/>
      <c r="O35" s="208"/>
      <c r="P35" s="208"/>
    </row>
    <row r="36" spans="2:16" x14ac:dyDescent="0.25">
      <c r="B36" s="166"/>
      <c r="C36" s="166"/>
      <c r="D36" s="208"/>
      <c r="E36" s="208"/>
      <c r="F36" s="72"/>
      <c r="G36" s="208"/>
      <c r="H36" s="208"/>
      <c r="I36" s="72"/>
      <c r="J36" s="208"/>
      <c r="K36" s="208"/>
      <c r="L36" s="208"/>
      <c r="M36" s="208"/>
      <c r="N36" s="72"/>
      <c r="O36" s="208"/>
      <c r="P36" s="208"/>
    </row>
    <row r="37" spans="2:16" x14ac:dyDescent="0.25">
      <c r="B37" s="166"/>
      <c r="C37" s="166"/>
      <c r="D37" s="208"/>
      <c r="E37" s="208"/>
      <c r="F37" s="72"/>
      <c r="G37" s="208"/>
      <c r="H37" s="208"/>
      <c r="I37" s="72"/>
      <c r="J37" s="208"/>
      <c r="K37" s="208"/>
      <c r="L37" s="208"/>
      <c r="M37" s="208"/>
      <c r="N37" s="72"/>
      <c r="O37" s="208"/>
      <c r="P37" s="208"/>
    </row>
    <row r="38" spans="2:16" x14ac:dyDescent="0.25">
      <c r="B38" s="166"/>
      <c r="C38" s="166"/>
      <c r="D38" s="208"/>
      <c r="E38" s="208"/>
      <c r="F38" s="72"/>
      <c r="G38" s="208"/>
      <c r="H38" s="208"/>
      <c r="I38" s="72"/>
      <c r="J38" s="208"/>
      <c r="K38" s="208"/>
      <c r="L38" s="208"/>
      <c r="M38" s="208"/>
      <c r="N38" s="72"/>
      <c r="O38" s="208"/>
      <c r="P38" s="208"/>
    </row>
    <row r="39" spans="2:16" x14ac:dyDescent="0.25">
      <c r="B39" s="166"/>
      <c r="C39" s="166"/>
      <c r="D39" s="208"/>
      <c r="E39" s="208"/>
      <c r="F39" s="72"/>
      <c r="G39" s="208"/>
      <c r="H39" s="208"/>
      <c r="I39" s="72"/>
      <c r="J39" s="208"/>
      <c r="K39" s="208"/>
      <c r="L39" s="208"/>
      <c r="M39" s="208"/>
      <c r="N39" s="72"/>
      <c r="O39" s="208"/>
      <c r="P39" s="208"/>
    </row>
    <row r="40" spans="2:16" x14ac:dyDescent="0.25">
      <c r="B40" s="166"/>
      <c r="C40" s="166"/>
      <c r="D40" s="166"/>
      <c r="E40" s="166"/>
      <c r="F40" s="72"/>
      <c r="G40" s="166"/>
      <c r="H40" s="166"/>
      <c r="I40" s="72"/>
      <c r="J40" s="166"/>
      <c r="K40" s="166"/>
      <c r="L40" s="166"/>
      <c r="M40" s="166"/>
      <c r="N40" s="72"/>
      <c r="O40" s="166"/>
      <c r="P40" s="166"/>
    </row>
    <row r="41" spans="2:16" x14ac:dyDescent="0.25">
      <c r="B41" s="166"/>
      <c r="C41" s="166"/>
      <c r="D41" s="166"/>
      <c r="E41" s="166"/>
      <c r="F41" s="72"/>
      <c r="G41" s="166"/>
      <c r="H41" s="166"/>
      <c r="I41" s="72"/>
      <c r="J41" s="166"/>
      <c r="K41" s="166"/>
      <c r="L41" s="166"/>
      <c r="M41" s="166"/>
      <c r="N41" s="72"/>
      <c r="O41" s="166"/>
      <c r="P41" s="166"/>
    </row>
  </sheetData>
  <mergeCells count="2">
    <mergeCell ref="B2:M2"/>
    <mergeCell ref="B14:M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063F-2E10-48A0-94A3-2797D416A2DD}">
  <dimension ref="B2:G29"/>
  <sheetViews>
    <sheetView showGridLines="0" tabSelected="1" workbookViewId="0">
      <selection activeCell="F8" sqref="F8"/>
    </sheetView>
  </sheetViews>
  <sheetFormatPr defaultRowHeight="15" x14ac:dyDescent="0.25"/>
  <cols>
    <col min="1" max="1" width="1.85546875" customWidth="1"/>
    <col min="5" max="5" width="19" bestFit="1" customWidth="1"/>
  </cols>
  <sheetData>
    <row r="2" spans="2:7" x14ac:dyDescent="0.25">
      <c r="B2" s="229" t="s">
        <v>249</v>
      </c>
      <c r="C2" s="229"/>
      <c r="D2" s="229"/>
      <c r="E2" s="229"/>
      <c r="F2" s="229"/>
      <c r="G2" s="229"/>
    </row>
    <row r="4" spans="2:7" x14ac:dyDescent="0.25">
      <c r="B4" s="209" t="s">
        <v>247</v>
      </c>
      <c r="C4" s="210" t="s">
        <v>248</v>
      </c>
    </row>
    <row r="5" spans="2:7" x14ac:dyDescent="0.25">
      <c r="B5" s="203">
        <v>2000</v>
      </c>
      <c r="C5" s="211">
        <v>-0.14649999999999999</v>
      </c>
    </row>
    <row r="6" spans="2:7" x14ac:dyDescent="0.25">
      <c r="B6" s="203">
        <v>2001</v>
      </c>
      <c r="C6" s="211">
        <v>-0.1618</v>
      </c>
      <c r="E6" s="166" t="s">
        <v>250</v>
      </c>
      <c r="F6" s="73">
        <f>AVERAGE(C5:C28)</f>
        <v>0.15609166666666666</v>
      </c>
    </row>
    <row r="7" spans="2:7" x14ac:dyDescent="0.25">
      <c r="B7" s="203">
        <v>2002</v>
      </c>
      <c r="C7" s="211">
        <v>3.2500000000000001E-2</v>
      </c>
      <c r="E7" s="166" t="s">
        <v>251</v>
      </c>
      <c r="F7" s="181">
        <v>1.3899999999999999E-2</v>
      </c>
    </row>
    <row r="8" spans="2:7" x14ac:dyDescent="0.25">
      <c r="B8" s="203">
        <v>2003</v>
      </c>
      <c r="C8" s="211">
        <v>0.71900000000000008</v>
      </c>
      <c r="E8" s="171" t="s">
        <v>252</v>
      </c>
      <c r="F8" s="103">
        <f>SUM(F6:F7)</f>
        <v>0.16999166666666665</v>
      </c>
    </row>
    <row r="9" spans="2:7" x14ac:dyDescent="0.25">
      <c r="B9" s="203">
        <v>2004</v>
      </c>
      <c r="C9" s="211">
        <v>0.10679999999999999</v>
      </c>
    </row>
    <row r="10" spans="2:7" x14ac:dyDescent="0.25">
      <c r="B10" s="203">
        <v>2005</v>
      </c>
      <c r="C10" s="211">
        <v>0.36340000000000006</v>
      </c>
    </row>
    <row r="11" spans="2:7" x14ac:dyDescent="0.25">
      <c r="B11" s="203">
        <v>2006</v>
      </c>
      <c r="C11" s="211">
        <v>0.39829999999999999</v>
      </c>
    </row>
    <row r="12" spans="2:7" x14ac:dyDescent="0.25">
      <c r="B12" s="203">
        <v>2007</v>
      </c>
      <c r="C12" s="211">
        <v>0.54770000000000008</v>
      </c>
    </row>
    <row r="13" spans="2:7" x14ac:dyDescent="0.25">
      <c r="B13" s="203">
        <v>2008</v>
      </c>
      <c r="C13" s="211">
        <v>-0.51790000000000003</v>
      </c>
    </row>
    <row r="14" spans="2:7" x14ac:dyDescent="0.25">
      <c r="B14" s="203">
        <v>2009</v>
      </c>
      <c r="C14" s="211">
        <v>0.75760000000000005</v>
      </c>
    </row>
    <row r="15" spans="2:7" x14ac:dyDescent="0.25">
      <c r="B15" s="203">
        <v>2010</v>
      </c>
      <c r="C15" s="211">
        <v>0.17949999999999999</v>
      </c>
    </row>
    <row r="16" spans="2:7" x14ac:dyDescent="0.25">
      <c r="B16" s="203">
        <v>2011</v>
      </c>
      <c r="C16" s="211">
        <v>-0.2462</v>
      </c>
    </row>
    <row r="17" spans="2:3" x14ac:dyDescent="0.25">
      <c r="B17" s="203">
        <v>2012</v>
      </c>
      <c r="C17" s="211">
        <v>0.27699999999999997</v>
      </c>
    </row>
    <row r="18" spans="2:3" x14ac:dyDescent="0.25">
      <c r="B18" s="203">
        <v>2013</v>
      </c>
      <c r="C18" s="211">
        <v>6.7599999999999993E-2</v>
      </c>
    </row>
    <row r="19" spans="2:3" x14ac:dyDescent="0.25">
      <c r="B19" s="203">
        <v>2014</v>
      </c>
      <c r="C19" s="211">
        <v>0.31390000000000001</v>
      </c>
    </row>
    <row r="20" spans="2:3" x14ac:dyDescent="0.25">
      <c r="B20" s="203">
        <v>2015</v>
      </c>
      <c r="C20" s="211">
        <v>-4.0599999999999997E-2</v>
      </c>
    </row>
    <row r="21" spans="2:3" x14ac:dyDescent="0.25">
      <c r="B21" s="203">
        <v>2016</v>
      </c>
      <c r="C21" s="211">
        <v>3.0099999999999998E-2</v>
      </c>
    </row>
    <row r="22" spans="2:3" x14ac:dyDescent="0.25">
      <c r="B22" s="203">
        <v>2017</v>
      </c>
      <c r="C22" s="211">
        <v>0.28649999999999998</v>
      </c>
    </row>
    <row r="23" spans="2:3" x14ac:dyDescent="0.25">
      <c r="B23" s="203">
        <v>2018</v>
      </c>
      <c r="C23" s="211">
        <v>3.15E-2</v>
      </c>
    </row>
    <row r="24" spans="2:3" x14ac:dyDescent="0.25">
      <c r="B24" s="203">
        <v>2019</v>
      </c>
      <c r="C24" s="211">
        <v>0.1202</v>
      </c>
    </row>
    <row r="25" spans="2:3" x14ac:dyDescent="0.25">
      <c r="B25" s="203">
        <v>2020</v>
      </c>
      <c r="C25" s="211">
        <v>0.14899999999999999</v>
      </c>
    </row>
    <row r="26" spans="2:3" x14ac:dyDescent="0.25">
      <c r="B26" s="203">
        <v>2021</v>
      </c>
      <c r="C26" s="211">
        <v>0.2412</v>
      </c>
    </row>
    <row r="27" spans="2:3" x14ac:dyDescent="0.25">
      <c r="B27" s="203">
        <v>2022</v>
      </c>
      <c r="C27" s="211">
        <v>4.3200000000000002E-2</v>
      </c>
    </row>
    <row r="28" spans="2:3" x14ac:dyDescent="0.25">
      <c r="B28" s="203">
        <v>2023</v>
      </c>
      <c r="C28" s="211">
        <v>0.19420000000000001</v>
      </c>
    </row>
    <row r="29" spans="2:3" x14ac:dyDescent="0.25">
      <c r="B29" s="76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</vt:i4>
      </vt:variant>
    </vt:vector>
  </HeadingPairs>
  <TitlesOfParts>
    <vt:vector size="28" baseType="lpstr">
      <vt:lpstr>Financials&gt;</vt:lpstr>
      <vt:lpstr>Historical FS</vt:lpstr>
      <vt:lpstr>Ratio Analysis</vt:lpstr>
      <vt:lpstr>Common Size Statement</vt:lpstr>
      <vt:lpstr>P&amp;L Forecast</vt:lpstr>
      <vt:lpstr>BS Forecast</vt:lpstr>
      <vt:lpstr>Cash Flows Forecast</vt:lpstr>
      <vt:lpstr>DCF&gt;</vt:lpstr>
      <vt:lpstr>WACC</vt:lpstr>
      <vt:lpstr>Intrinsic Growth</vt:lpstr>
      <vt:lpstr>DCF</vt:lpstr>
      <vt:lpstr>Comparable Valuation&gt;</vt:lpstr>
      <vt:lpstr>Relative Valuation</vt:lpstr>
      <vt:lpstr>Football Field Analysis</vt:lpstr>
      <vt:lpstr>Data&gt;</vt:lpstr>
      <vt:lpstr>Data Sheet</vt:lpstr>
      <vt:lpstr>Cash Flow Data (Manual)</vt:lpstr>
      <vt:lpstr>Data Room&gt;</vt:lpstr>
      <vt:lpstr>Raw BS (Manual)</vt:lpstr>
      <vt:lpstr>Beta - Regression</vt:lpstr>
      <vt:lpstr>Beta - Comps</vt:lpstr>
      <vt:lpstr>Peers</vt:lpstr>
      <vt:lpstr>Rm</vt:lpstr>
      <vt:lpstr>'Cash Flow Data (Manual)'!Print_Area</vt:lpstr>
      <vt:lpstr>'Historical FS'!Print_Area</vt:lpstr>
      <vt:lpstr>'Relative Valuation'!Print_Area</vt:lpstr>
      <vt:lpstr>WACC!Print_Area</vt:lpstr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 Prasad Kushwaha</dc:creator>
  <cp:keywords/>
  <dc:description/>
  <cp:lastModifiedBy>Neeraj Prasad Kushwaha</cp:lastModifiedBy>
  <cp:revision/>
  <cp:lastPrinted>2024-02-10T15:10:42Z</cp:lastPrinted>
  <dcterms:created xsi:type="dcterms:W3CDTF">2012-08-17T09:55:37Z</dcterms:created>
  <dcterms:modified xsi:type="dcterms:W3CDTF">2025-04-19T08:21:23Z</dcterms:modified>
  <cp:category/>
  <cp:contentStatus/>
</cp:coreProperties>
</file>