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aj\Documents\Financial Modelling\"/>
    </mc:Choice>
  </mc:AlternateContent>
  <xr:revisionPtr revIDLastSave="0" documentId="13_ncr:1_{D7C30F5C-07C3-45CC-9BCE-A30A476B060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Financials&gt;" sheetId="7" r:id="rId1"/>
    <sheet name="Historical FS" sheetId="8" r:id="rId2"/>
    <sheet name="Ratio Analysis" sheetId="11" r:id="rId3"/>
    <sheet name="Common Size Statement" sheetId="21" r:id="rId4"/>
    <sheet name="P&amp;L Forecast" sheetId="13" r:id="rId5"/>
    <sheet name="BS Forecast" sheetId="14" r:id="rId6"/>
    <sheet name="Cash Flows Forecast" sheetId="15" r:id="rId7"/>
    <sheet name="DCF&gt;" sheetId="22" r:id="rId8"/>
    <sheet name="WACC" sheetId="19" r:id="rId9"/>
    <sheet name="Intrinsic Growth" sheetId="25" r:id="rId10"/>
    <sheet name="DCF" sheetId="26" r:id="rId11"/>
    <sheet name="Comparable Valuation&gt;" sheetId="29" r:id="rId12"/>
    <sheet name="Relative Valuation" sheetId="27" r:id="rId13"/>
    <sheet name="Football Field Analysis" sheetId="28" r:id="rId14"/>
    <sheet name="Data&gt;" sheetId="9" r:id="rId15"/>
    <sheet name="Data Sheet" sheetId="6" r:id="rId16"/>
    <sheet name="Cash Flow Data (Manual)" sheetId="10" r:id="rId17"/>
    <sheet name="Data Room&gt;" sheetId="23" r:id="rId18"/>
    <sheet name="Raw BS (Manual)" sheetId="24" r:id="rId19"/>
    <sheet name="Beta - Regression" sheetId="16" r:id="rId20"/>
    <sheet name="Beta - Comps" sheetId="17" r:id="rId21"/>
    <sheet name="Peers" sheetId="18" r:id="rId22"/>
    <sheet name="Rm" sheetId="20" r:id="rId23"/>
  </sheets>
  <definedNames>
    <definedName name="_xlnm.Print_Area" localSheetId="1">'Historical FS'!$H$33</definedName>
    <definedName name="_xlnm.Print_Area" localSheetId="12">'Relative Valuation'!$C$11</definedName>
    <definedName name="_xlnm.Print_Area" localSheetId="8">WACC!$F$8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6" l="1"/>
  <c r="D25" i="26"/>
  <c r="D42" i="26" l="1"/>
  <c r="G9" i="26"/>
  <c r="U46" i="17" l="1"/>
  <c r="U47" i="17"/>
  <c r="U48" i="17"/>
  <c r="U49" i="17"/>
  <c r="U50" i="17"/>
  <c r="U51" i="17"/>
  <c r="U52" i="17"/>
  <c r="U53" i="17"/>
  <c r="U54" i="17"/>
  <c r="U55" i="17"/>
  <c r="U56" i="17"/>
  <c r="U57" i="17"/>
  <c r="U58" i="17"/>
  <c r="U59" i="17"/>
  <c r="U60" i="17"/>
  <c r="U61" i="17"/>
  <c r="U62" i="17"/>
  <c r="U63" i="17"/>
  <c r="U64" i="17"/>
  <c r="U65" i="17"/>
  <c r="U66" i="17"/>
  <c r="U67" i="17"/>
  <c r="U68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F34" i="15" l="1"/>
  <c r="E34" i="15"/>
  <c r="D34" i="15"/>
  <c r="C34" i="15"/>
  <c r="K34" i="15" s="1"/>
  <c r="F12" i="15"/>
  <c r="E12" i="15"/>
  <c r="D12" i="15"/>
  <c r="C12" i="15"/>
  <c r="K12" i="15" s="1"/>
  <c r="H34" i="15" l="1"/>
  <c r="I34" i="15"/>
  <c r="J34" i="15"/>
  <c r="G34" i="15"/>
  <c r="G12" i="15"/>
  <c r="H12" i="15"/>
  <c r="I12" i="15"/>
  <c r="J12" i="15"/>
  <c r="L110" i="8"/>
  <c r="K110" i="8"/>
  <c r="J110" i="8"/>
  <c r="I110" i="8"/>
  <c r="H110" i="8"/>
  <c r="G110" i="8"/>
  <c r="F110" i="8"/>
  <c r="E110" i="8"/>
  <c r="D110" i="8"/>
  <c r="C110" i="8"/>
  <c r="L109" i="8"/>
  <c r="K109" i="8"/>
  <c r="J109" i="8"/>
  <c r="I109" i="8"/>
  <c r="H109" i="8"/>
  <c r="G109" i="8"/>
  <c r="F109" i="8"/>
  <c r="E109" i="8"/>
  <c r="D109" i="8"/>
  <c r="C109" i="8"/>
  <c r="L108" i="8"/>
  <c r="K108" i="8"/>
  <c r="J108" i="8"/>
  <c r="I108" i="8"/>
  <c r="H108" i="8"/>
  <c r="G108" i="8"/>
  <c r="F108" i="8"/>
  <c r="E108" i="8"/>
  <c r="D108" i="8"/>
  <c r="C108" i="8"/>
  <c r="L107" i="8"/>
  <c r="K107" i="8"/>
  <c r="J107" i="8"/>
  <c r="I107" i="8"/>
  <c r="H107" i="8"/>
  <c r="G107" i="8"/>
  <c r="F107" i="8"/>
  <c r="E107" i="8"/>
  <c r="D107" i="8"/>
  <c r="C107" i="8"/>
  <c r="L106" i="8"/>
  <c r="K106" i="8"/>
  <c r="J106" i="8"/>
  <c r="I106" i="8"/>
  <c r="H106" i="8"/>
  <c r="G106" i="8"/>
  <c r="F106" i="8"/>
  <c r="E106" i="8"/>
  <c r="D106" i="8"/>
  <c r="C106" i="8"/>
  <c r="L105" i="8"/>
  <c r="K105" i="8"/>
  <c r="J105" i="8"/>
  <c r="I105" i="8"/>
  <c r="H105" i="8"/>
  <c r="G105" i="8"/>
  <c r="F105" i="8"/>
  <c r="E105" i="8"/>
  <c r="D105" i="8"/>
  <c r="C105" i="8"/>
  <c r="L104" i="8"/>
  <c r="K104" i="8"/>
  <c r="J104" i="8"/>
  <c r="I104" i="8"/>
  <c r="H104" i="8"/>
  <c r="G104" i="8"/>
  <c r="F104" i="8"/>
  <c r="E104" i="8"/>
  <c r="D104" i="8"/>
  <c r="C104" i="8"/>
  <c r="L103" i="8"/>
  <c r="K103" i="8"/>
  <c r="J103" i="8"/>
  <c r="I103" i="8"/>
  <c r="H103" i="8"/>
  <c r="G103" i="8"/>
  <c r="F103" i="8"/>
  <c r="E103" i="8"/>
  <c r="D103" i="8"/>
  <c r="C103" i="8"/>
  <c r="L102" i="8"/>
  <c r="K102" i="8"/>
  <c r="J102" i="8"/>
  <c r="I102" i="8"/>
  <c r="H102" i="8"/>
  <c r="G102" i="8"/>
  <c r="F102" i="8"/>
  <c r="E102" i="8"/>
  <c r="D102" i="8"/>
  <c r="L81" i="8"/>
  <c r="K81" i="8"/>
  <c r="J81" i="8"/>
  <c r="I81" i="8"/>
  <c r="H81" i="8"/>
  <c r="G81" i="8"/>
  <c r="F81" i="8"/>
  <c r="E81" i="8"/>
  <c r="D81" i="8"/>
  <c r="C81" i="8"/>
  <c r="M27" i="8" l="1"/>
  <c r="L27" i="8"/>
  <c r="F30" i="13" s="1"/>
  <c r="K27" i="8"/>
  <c r="E30" i="13" s="1"/>
  <c r="J27" i="8"/>
  <c r="D30" i="13" s="1"/>
  <c r="I27" i="8"/>
  <c r="C30" i="13" s="1"/>
  <c r="H27" i="8"/>
  <c r="G27" i="8"/>
  <c r="F27" i="8"/>
  <c r="E27" i="8"/>
  <c r="D27" i="8"/>
  <c r="C27" i="8"/>
  <c r="C30" i="8"/>
  <c r="D30" i="8"/>
  <c r="E30" i="8"/>
  <c r="F30" i="8"/>
  <c r="G30" i="8"/>
  <c r="H30" i="8"/>
  <c r="I30" i="8"/>
  <c r="J30" i="8"/>
  <c r="K30" i="8"/>
  <c r="L30" i="8"/>
  <c r="M30" i="8"/>
  <c r="J30" i="13" l="1"/>
  <c r="G30" i="13"/>
  <c r="K30" i="13"/>
  <c r="H30" i="13"/>
  <c r="I30" i="13"/>
  <c r="B2" i="8"/>
  <c r="C9" i="8"/>
  <c r="T6" i="17" l="1"/>
  <c r="G6" i="17"/>
  <c r="E10" i="19"/>
  <c r="E9" i="19"/>
  <c r="F10" i="19"/>
  <c r="F9" i="19"/>
  <c r="F8" i="19"/>
  <c r="E8" i="19"/>
  <c r="B10" i="19"/>
  <c r="B9" i="19"/>
  <c r="B8" i="19"/>
  <c r="K8" i="16"/>
  <c r="G6" i="16" l="1"/>
  <c r="B14" i="18" l="1"/>
  <c r="D5" i="23"/>
  <c r="D5" i="9"/>
  <c r="B2" i="10"/>
  <c r="B2" i="28"/>
  <c r="B2" i="27"/>
  <c r="B2" i="26"/>
  <c r="B2" i="25"/>
  <c r="B21" i="27"/>
  <c r="D5" i="22"/>
  <c r="D5" i="29"/>
  <c r="D5" i="7"/>
  <c r="M11" i="27" l="1"/>
  <c r="M9" i="27"/>
  <c r="M10" i="27"/>
  <c r="K11" i="27"/>
  <c r="K10" i="27"/>
  <c r="K9" i="27"/>
  <c r="Q23" i="18"/>
  <c r="Q22" i="18"/>
  <c r="Q21" i="18"/>
  <c r="Q20" i="18"/>
  <c r="Q19" i="18"/>
  <c r="G11" i="27" s="1"/>
  <c r="Q18" i="18"/>
  <c r="G10" i="27" s="1"/>
  <c r="Q17" i="18"/>
  <c r="G9" i="27" s="1"/>
  <c r="Q24" i="27" s="1"/>
  <c r="E11" i="27"/>
  <c r="E10" i="27"/>
  <c r="E9" i="27"/>
  <c r="P26" i="27" s="1"/>
  <c r="D11" i="27"/>
  <c r="D10" i="27"/>
  <c r="D9" i="27"/>
  <c r="B11" i="27"/>
  <c r="B10" i="27"/>
  <c r="B9" i="27"/>
  <c r="N23" i="18"/>
  <c r="N22" i="18"/>
  <c r="N21" i="18"/>
  <c r="N20" i="18"/>
  <c r="N19" i="18"/>
  <c r="L11" i="27" s="1"/>
  <c r="N17" i="18"/>
  <c r="L9" i="27" s="1"/>
  <c r="N18" i="18"/>
  <c r="L10" i="27" s="1"/>
  <c r="F23" i="18"/>
  <c r="I23" i="18" s="1"/>
  <c r="F22" i="18"/>
  <c r="I22" i="18" s="1"/>
  <c r="F21" i="18"/>
  <c r="I21" i="18" s="1"/>
  <c r="F20" i="18"/>
  <c r="I20" i="18" s="1"/>
  <c r="F19" i="18"/>
  <c r="I19" i="18" s="1"/>
  <c r="F17" i="18"/>
  <c r="I17" i="18" s="1"/>
  <c r="F18" i="18"/>
  <c r="I18" i="18" s="1"/>
  <c r="D36" i="26"/>
  <c r="D35" i="26"/>
  <c r="H11" i="26"/>
  <c r="I11" i="26" s="1"/>
  <c r="J11" i="26" s="1"/>
  <c r="K11" i="26" s="1"/>
  <c r="Q26" i="27" l="1"/>
  <c r="F11" i="27"/>
  <c r="H11" i="27" s="1"/>
  <c r="P24" i="27"/>
  <c r="F10" i="27"/>
  <c r="H10" i="27" s="1"/>
  <c r="O26" i="27"/>
  <c r="F9" i="27"/>
  <c r="O24" i="27"/>
  <c r="G7" i="26"/>
  <c r="H7" i="26" s="1"/>
  <c r="I7" i="26" s="1"/>
  <c r="J7" i="26" s="1"/>
  <c r="K7" i="26" s="1"/>
  <c r="K33" i="6"/>
  <c r="F6" i="26" s="1"/>
  <c r="G6" i="26" s="1"/>
  <c r="J33" i="6"/>
  <c r="I33" i="6"/>
  <c r="H33" i="6"/>
  <c r="G33" i="6"/>
  <c r="F33" i="6"/>
  <c r="E33" i="6"/>
  <c r="D33" i="6"/>
  <c r="C33" i="6"/>
  <c r="B33" i="6"/>
  <c r="K43" i="25"/>
  <c r="J43" i="25"/>
  <c r="I43" i="25"/>
  <c r="H43" i="25"/>
  <c r="G43" i="25"/>
  <c r="K33" i="25"/>
  <c r="J33" i="25"/>
  <c r="I33" i="25"/>
  <c r="H33" i="25"/>
  <c r="G33" i="25"/>
  <c r="K30" i="25"/>
  <c r="J30" i="25"/>
  <c r="I30" i="25"/>
  <c r="H30" i="25"/>
  <c r="G30" i="25"/>
  <c r="K29" i="25"/>
  <c r="J29" i="25"/>
  <c r="I29" i="25"/>
  <c r="H29" i="25"/>
  <c r="G29" i="25"/>
  <c r="K28" i="25"/>
  <c r="J28" i="25"/>
  <c r="I28" i="25"/>
  <c r="H28" i="25"/>
  <c r="G28" i="25"/>
  <c r="K27" i="25"/>
  <c r="J27" i="25"/>
  <c r="I27" i="25"/>
  <c r="H27" i="25"/>
  <c r="G27" i="25"/>
  <c r="K26" i="25"/>
  <c r="J26" i="25"/>
  <c r="I26" i="25"/>
  <c r="H26" i="25"/>
  <c r="G26" i="25"/>
  <c r="K25" i="25"/>
  <c r="J25" i="25"/>
  <c r="I25" i="25"/>
  <c r="H25" i="25"/>
  <c r="G25" i="25"/>
  <c r="K24" i="25"/>
  <c r="J24" i="25"/>
  <c r="I24" i="25"/>
  <c r="H24" i="25"/>
  <c r="G24" i="25"/>
  <c r="K23" i="25"/>
  <c r="J23" i="25"/>
  <c r="I23" i="25"/>
  <c r="H23" i="25"/>
  <c r="G23" i="25"/>
  <c r="K22" i="25"/>
  <c r="J22" i="25"/>
  <c r="I22" i="25"/>
  <c r="H22" i="25"/>
  <c r="G22" i="25"/>
  <c r="B30" i="25"/>
  <c r="B29" i="25"/>
  <c r="B28" i="25"/>
  <c r="B27" i="25"/>
  <c r="B26" i="25"/>
  <c r="B25" i="25"/>
  <c r="B24" i="25"/>
  <c r="B23" i="25"/>
  <c r="B22" i="25"/>
  <c r="K16" i="25"/>
  <c r="J16" i="25"/>
  <c r="I16" i="25"/>
  <c r="H16" i="25"/>
  <c r="G16" i="25"/>
  <c r="K15" i="25"/>
  <c r="J15" i="25"/>
  <c r="I15" i="25"/>
  <c r="H15" i="25"/>
  <c r="G15" i="25"/>
  <c r="K14" i="25"/>
  <c r="J14" i="25"/>
  <c r="I14" i="25"/>
  <c r="H14" i="25"/>
  <c r="G14" i="25"/>
  <c r="B16" i="25"/>
  <c r="B15" i="25"/>
  <c r="B14" i="25"/>
  <c r="K10" i="25"/>
  <c r="J10" i="25"/>
  <c r="I10" i="25"/>
  <c r="H10" i="25"/>
  <c r="G10" i="25"/>
  <c r="K9" i="25"/>
  <c r="J9" i="25"/>
  <c r="I9" i="25"/>
  <c r="H9" i="25"/>
  <c r="G9" i="25"/>
  <c r="K8" i="25"/>
  <c r="J8" i="25"/>
  <c r="I8" i="25"/>
  <c r="H8" i="25"/>
  <c r="G8" i="25"/>
  <c r="K7" i="25"/>
  <c r="J7" i="25"/>
  <c r="I7" i="25"/>
  <c r="H7" i="25"/>
  <c r="G7" i="25"/>
  <c r="B10" i="25"/>
  <c r="B9" i="25"/>
  <c r="B8" i="25"/>
  <c r="B7" i="25"/>
  <c r="J4" i="25"/>
  <c r="J41" i="25" s="1"/>
  <c r="J57" i="25" s="1"/>
  <c r="I4" i="25"/>
  <c r="I41" i="25" s="1"/>
  <c r="I57" i="25" s="1"/>
  <c r="H4" i="25"/>
  <c r="H41" i="25" s="1"/>
  <c r="H57" i="25" s="1"/>
  <c r="G4" i="25"/>
  <c r="G41" i="25" s="1"/>
  <c r="G57" i="25" s="1"/>
  <c r="K4" i="25"/>
  <c r="K41" i="25" s="1"/>
  <c r="K57" i="25" s="1"/>
  <c r="N30" i="24"/>
  <c r="M30" i="24"/>
  <c r="L30" i="24"/>
  <c r="K30" i="24"/>
  <c r="J30" i="24"/>
  <c r="I30" i="24"/>
  <c r="H30" i="24"/>
  <c r="G30" i="24"/>
  <c r="F30" i="24"/>
  <c r="E30" i="24"/>
  <c r="D30" i="24"/>
  <c r="C30" i="24"/>
  <c r="L38" i="21"/>
  <c r="K38" i="21"/>
  <c r="J38" i="21"/>
  <c r="I38" i="21"/>
  <c r="H38" i="21"/>
  <c r="G38" i="21"/>
  <c r="F38" i="21"/>
  <c r="E38" i="21"/>
  <c r="D38" i="21"/>
  <c r="C38" i="21"/>
  <c r="L37" i="21"/>
  <c r="K37" i="21"/>
  <c r="J37" i="21"/>
  <c r="I37" i="21"/>
  <c r="H37" i="21"/>
  <c r="G37" i="21"/>
  <c r="F37" i="21"/>
  <c r="E37" i="21"/>
  <c r="D37" i="21"/>
  <c r="C37" i="21"/>
  <c r="L36" i="21"/>
  <c r="K36" i="21"/>
  <c r="J36" i="21"/>
  <c r="I36" i="21"/>
  <c r="H36" i="21"/>
  <c r="G36" i="21"/>
  <c r="F36" i="21"/>
  <c r="E36" i="21"/>
  <c r="D36" i="21"/>
  <c r="C36" i="21"/>
  <c r="L34" i="21"/>
  <c r="K34" i="21"/>
  <c r="J34" i="21"/>
  <c r="I34" i="21"/>
  <c r="H34" i="21"/>
  <c r="G34" i="21"/>
  <c r="F34" i="21"/>
  <c r="E34" i="21"/>
  <c r="D34" i="21"/>
  <c r="C34" i="21"/>
  <c r="L33" i="21"/>
  <c r="K33" i="21"/>
  <c r="J33" i="21"/>
  <c r="I33" i="21"/>
  <c r="H33" i="21"/>
  <c r="G33" i="21"/>
  <c r="F33" i="21"/>
  <c r="E33" i="21"/>
  <c r="D33" i="21"/>
  <c r="C33" i="21"/>
  <c r="L32" i="21"/>
  <c r="K32" i="21"/>
  <c r="J32" i="21"/>
  <c r="I32" i="21"/>
  <c r="H32" i="21"/>
  <c r="G32" i="21"/>
  <c r="F32" i="21"/>
  <c r="E32" i="21"/>
  <c r="D32" i="21"/>
  <c r="C32" i="21"/>
  <c r="L31" i="21"/>
  <c r="K31" i="21"/>
  <c r="J31" i="21"/>
  <c r="I31" i="21"/>
  <c r="H31" i="21"/>
  <c r="G31" i="21"/>
  <c r="F31" i="21"/>
  <c r="E31" i="21"/>
  <c r="D31" i="21"/>
  <c r="C31" i="21"/>
  <c r="K74" i="6"/>
  <c r="L35" i="21" s="1"/>
  <c r="J74" i="6"/>
  <c r="K35" i="21" s="1"/>
  <c r="I74" i="6"/>
  <c r="J35" i="21" s="1"/>
  <c r="H74" i="6"/>
  <c r="I35" i="21" s="1"/>
  <c r="G74" i="6"/>
  <c r="H35" i="21" s="1"/>
  <c r="F74" i="6"/>
  <c r="G35" i="21" s="1"/>
  <c r="E74" i="6"/>
  <c r="F35" i="21" s="1"/>
  <c r="D74" i="6"/>
  <c r="E35" i="21" s="1"/>
  <c r="C74" i="6"/>
  <c r="D35" i="21" s="1"/>
  <c r="B74" i="6"/>
  <c r="C35" i="21" s="1"/>
  <c r="L29" i="21"/>
  <c r="K29" i="21"/>
  <c r="J29" i="21"/>
  <c r="I29" i="21"/>
  <c r="H29" i="21"/>
  <c r="G29" i="21"/>
  <c r="F29" i="21"/>
  <c r="E29" i="21"/>
  <c r="D29" i="21"/>
  <c r="C29" i="21"/>
  <c r="L28" i="21"/>
  <c r="K28" i="21"/>
  <c r="J28" i="21"/>
  <c r="I28" i="21"/>
  <c r="H28" i="21"/>
  <c r="G28" i="21"/>
  <c r="F28" i="21"/>
  <c r="E28" i="21"/>
  <c r="D28" i="21"/>
  <c r="C28" i="21"/>
  <c r="L27" i="21"/>
  <c r="K27" i="21"/>
  <c r="J27" i="21"/>
  <c r="I27" i="21"/>
  <c r="H27" i="21"/>
  <c r="G27" i="21"/>
  <c r="F27" i="21"/>
  <c r="E27" i="21"/>
  <c r="D27" i="21"/>
  <c r="C27" i="21"/>
  <c r="L26" i="21"/>
  <c r="K26" i="21"/>
  <c r="J26" i="21"/>
  <c r="I26" i="21"/>
  <c r="H26" i="21"/>
  <c r="G26" i="21"/>
  <c r="F26" i="21"/>
  <c r="E26" i="21"/>
  <c r="D26" i="21"/>
  <c r="C26" i="21"/>
  <c r="L25" i="21"/>
  <c r="K25" i="21"/>
  <c r="J25" i="21"/>
  <c r="I25" i="21"/>
  <c r="H25" i="21"/>
  <c r="G25" i="21"/>
  <c r="F25" i="21"/>
  <c r="E25" i="21"/>
  <c r="D25" i="21"/>
  <c r="C25" i="21"/>
  <c r="Q11" i="27" l="1"/>
  <c r="Q10" i="27"/>
  <c r="F4" i="26"/>
  <c r="G4" i="26" s="1"/>
  <c r="H4" i="26" s="1"/>
  <c r="I4" i="26" s="1"/>
  <c r="J4" i="26" s="1"/>
  <c r="K4" i="26" s="1"/>
  <c r="H9" i="27"/>
  <c r="Q9" i="27"/>
  <c r="O10" i="27"/>
  <c r="P10" i="27"/>
  <c r="P11" i="27"/>
  <c r="O11" i="27"/>
  <c r="G8" i="26"/>
  <c r="H6" i="26"/>
  <c r="F8" i="26"/>
  <c r="G32" i="25"/>
  <c r="G34" i="25" s="1"/>
  <c r="H32" i="25"/>
  <c r="H34" i="25" s="1"/>
  <c r="I32" i="25"/>
  <c r="I34" i="25" s="1"/>
  <c r="J17" i="25"/>
  <c r="J32" i="25"/>
  <c r="J34" i="25" s="1"/>
  <c r="I11" i="25"/>
  <c r="G11" i="25"/>
  <c r="K11" i="25"/>
  <c r="K32" i="25"/>
  <c r="K34" i="25" s="1"/>
  <c r="J11" i="25"/>
  <c r="H11" i="25"/>
  <c r="I17" i="25"/>
  <c r="G17" i="25"/>
  <c r="K17" i="25"/>
  <c r="H17" i="25"/>
  <c r="L23" i="21"/>
  <c r="K23" i="21"/>
  <c r="J23" i="21"/>
  <c r="I23" i="21"/>
  <c r="H23" i="21"/>
  <c r="G23" i="21"/>
  <c r="F23" i="21"/>
  <c r="E23" i="21"/>
  <c r="D23" i="21"/>
  <c r="C23" i="21"/>
  <c r="B38" i="21"/>
  <c r="B37" i="21"/>
  <c r="B36" i="21"/>
  <c r="B35" i="21"/>
  <c r="B34" i="21"/>
  <c r="B33" i="21"/>
  <c r="B32" i="21"/>
  <c r="B29" i="21"/>
  <c r="B28" i="21"/>
  <c r="B27" i="21"/>
  <c r="B26" i="21"/>
  <c r="B21" i="21"/>
  <c r="L19" i="21"/>
  <c r="K19" i="21"/>
  <c r="J19" i="21"/>
  <c r="I19" i="21"/>
  <c r="H19" i="21"/>
  <c r="G19" i="21"/>
  <c r="F19" i="21"/>
  <c r="E19" i="21"/>
  <c r="D19" i="21"/>
  <c r="C19" i="21"/>
  <c r="L18" i="21"/>
  <c r="K18" i="21"/>
  <c r="J18" i="21"/>
  <c r="I18" i="21"/>
  <c r="H18" i="21"/>
  <c r="G18" i="21"/>
  <c r="F18" i="21"/>
  <c r="E18" i="21"/>
  <c r="D18" i="21"/>
  <c r="C18" i="21"/>
  <c r="L17" i="21"/>
  <c r="K17" i="21"/>
  <c r="J17" i="21"/>
  <c r="I17" i="21"/>
  <c r="H17" i="21"/>
  <c r="G17" i="21"/>
  <c r="F17" i="21"/>
  <c r="E17" i="21"/>
  <c r="D17" i="21"/>
  <c r="C17" i="21"/>
  <c r="L16" i="21"/>
  <c r="K16" i="21"/>
  <c r="J16" i="21"/>
  <c r="I16" i="21"/>
  <c r="H16" i="21"/>
  <c r="G16" i="21"/>
  <c r="F16" i="21"/>
  <c r="E16" i="21"/>
  <c r="D16" i="21"/>
  <c r="C16" i="21"/>
  <c r="L15" i="21"/>
  <c r="K15" i="21"/>
  <c r="J15" i="21"/>
  <c r="I15" i="21"/>
  <c r="H15" i="21"/>
  <c r="G15" i="21"/>
  <c r="F15" i="21"/>
  <c r="E15" i="21"/>
  <c r="D15" i="21"/>
  <c r="C15" i="21"/>
  <c r="L14" i="21"/>
  <c r="K14" i="21"/>
  <c r="J14" i="21"/>
  <c r="I14" i="21"/>
  <c r="H14" i="21"/>
  <c r="G14" i="21"/>
  <c r="F14" i="21"/>
  <c r="E14" i="21"/>
  <c r="D14" i="21"/>
  <c r="C14" i="21"/>
  <c r="L13" i="21"/>
  <c r="K13" i="21"/>
  <c r="J13" i="21"/>
  <c r="I13" i="21"/>
  <c r="H13" i="21"/>
  <c r="G13" i="21"/>
  <c r="F13" i="21"/>
  <c r="E13" i="21"/>
  <c r="D13" i="21"/>
  <c r="C13" i="21"/>
  <c r="L12" i="21"/>
  <c r="K12" i="21"/>
  <c r="J12" i="21"/>
  <c r="I12" i="21"/>
  <c r="H12" i="21"/>
  <c r="G12" i="21"/>
  <c r="F12" i="21"/>
  <c r="E12" i="21"/>
  <c r="D12" i="21"/>
  <c r="C12" i="21"/>
  <c r="L11" i="21"/>
  <c r="K11" i="21"/>
  <c r="J11" i="21"/>
  <c r="I11" i="21"/>
  <c r="H11" i="21"/>
  <c r="G11" i="21"/>
  <c r="F11" i="21"/>
  <c r="E11" i="21"/>
  <c r="D11" i="21"/>
  <c r="C11" i="21"/>
  <c r="L10" i="21"/>
  <c r="K10" i="21"/>
  <c r="J10" i="21"/>
  <c r="I10" i="21"/>
  <c r="H10" i="21"/>
  <c r="G10" i="21"/>
  <c r="F10" i="21"/>
  <c r="E10" i="21"/>
  <c r="D10" i="21"/>
  <c r="C10" i="21"/>
  <c r="L9" i="21"/>
  <c r="K9" i="21"/>
  <c r="J9" i="21"/>
  <c r="I9" i="21"/>
  <c r="H9" i="21"/>
  <c r="G9" i="21"/>
  <c r="F9" i="21"/>
  <c r="E9" i="21"/>
  <c r="D9" i="21"/>
  <c r="C9" i="21"/>
  <c r="L8" i="21"/>
  <c r="K8" i="21"/>
  <c r="J8" i="21"/>
  <c r="I8" i="21"/>
  <c r="H8" i="21"/>
  <c r="G8" i="21"/>
  <c r="F8" i="21"/>
  <c r="E8" i="21"/>
  <c r="D8" i="21"/>
  <c r="C8" i="21"/>
  <c r="L7" i="21"/>
  <c r="K7" i="21"/>
  <c r="J7" i="21"/>
  <c r="I7" i="21"/>
  <c r="H7" i="21"/>
  <c r="G7" i="21"/>
  <c r="F7" i="21"/>
  <c r="E7" i="21"/>
  <c r="D7" i="21"/>
  <c r="C7" i="21"/>
  <c r="L6" i="21"/>
  <c r="K6" i="21"/>
  <c r="J6" i="21"/>
  <c r="I6" i="21"/>
  <c r="H6" i="21"/>
  <c r="G6" i="21"/>
  <c r="F6" i="21"/>
  <c r="E6" i="21"/>
  <c r="D6" i="21"/>
  <c r="C6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L4" i="21"/>
  <c r="K4" i="21"/>
  <c r="J4" i="21"/>
  <c r="I4" i="21"/>
  <c r="H4" i="21"/>
  <c r="G4" i="21"/>
  <c r="F4" i="21"/>
  <c r="E4" i="21"/>
  <c r="D4" i="21"/>
  <c r="C4" i="21"/>
  <c r="B2" i="21"/>
  <c r="J5" i="18"/>
  <c r="E19" i="19" s="1"/>
  <c r="F6" i="20"/>
  <c r="F8" i="20" s="1"/>
  <c r="K19" i="19" s="1"/>
  <c r="G13" i="19"/>
  <c r="G12" i="19"/>
  <c r="C29" i="19"/>
  <c r="C28" i="19"/>
  <c r="H9" i="19" l="1"/>
  <c r="Q16" i="27"/>
  <c r="Q15" i="27"/>
  <c r="Q17" i="27"/>
  <c r="Q25" i="27" s="1"/>
  <c r="Q19" i="27"/>
  <c r="Q14" i="27"/>
  <c r="Q18" i="27"/>
  <c r="P9" i="27"/>
  <c r="O9" i="27"/>
  <c r="H8" i="19"/>
  <c r="I8" i="19"/>
  <c r="I6" i="26"/>
  <c r="H8" i="26"/>
  <c r="J19" i="25"/>
  <c r="J36" i="25" s="1"/>
  <c r="G19" i="25"/>
  <c r="G36" i="25" s="1"/>
  <c r="I19" i="25"/>
  <c r="K19" i="25"/>
  <c r="H19" i="25"/>
  <c r="I44" i="25" l="1"/>
  <c r="I50" i="25" s="1"/>
  <c r="Q28" i="27"/>
  <c r="Q30" i="27" s="1"/>
  <c r="Q23" i="27"/>
  <c r="O18" i="27"/>
  <c r="O17" i="27"/>
  <c r="O23" i="27" s="1"/>
  <c r="O25" i="27" s="1"/>
  <c r="O28" i="27" s="1"/>
  <c r="O30" i="27" s="1"/>
  <c r="O19" i="27"/>
  <c r="O15" i="27"/>
  <c r="O16" i="27"/>
  <c r="O14" i="27"/>
  <c r="P15" i="27"/>
  <c r="P19" i="27"/>
  <c r="P14" i="27"/>
  <c r="P18" i="27"/>
  <c r="P16" i="27"/>
  <c r="P17" i="27"/>
  <c r="P23" i="27" s="1"/>
  <c r="P25" i="27" s="1"/>
  <c r="P28" i="27" s="1"/>
  <c r="P30" i="27" s="1"/>
  <c r="J6" i="26"/>
  <c r="I8" i="26"/>
  <c r="K44" i="25"/>
  <c r="K50" i="25" s="1"/>
  <c r="H44" i="25"/>
  <c r="H50" i="25" s="1"/>
  <c r="K36" i="25"/>
  <c r="H36" i="25"/>
  <c r="J44" i="25"/>
  <c r="J50" i="25" s="1"/>
  <c r="I36" i="25"/>
  <c r="K6" i="26" l="1"/>
  <c r="K8" i="26" s="1"/>
  <c r="K10" i="26" s="1"/>
  <c r="J8" i="26"/>
  <c r="K29" i="19"/>
  <c r="C30" i="19"/>
  <c r="E21" i="19"/>
  <c r="J35" i="19" s="1"/>
  <c r="I10" i="19"/>
  <c r="I9" i="19"/>
  <c r="H10" i="19"/>
  <c r="B2" i="19"/>
  <c r="X8" i="17"/>
  <c r="K8" i="17"/>
  <c r="B2" i="18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E10" i="17"/>
  <c r="K14" i="17" l="1"/>
  <c r="J9" i="19"/>
  <c r="K9" i="19"/>
  <c r="J10" i="19"/>
  <c r="K10" i="19" s="1"/>
  <c r="K14" i="16"/>
  <c r="J8" i="19"/>
  <c r="I12" i="19"/>
  <c r="I13" i="19"/>
  <c r="H13" i="19"/>
  <c r="H12" i="19"/>
  <c r="D23" i="26"/>
  <c r="E28" i="19"/>
  <c r="K35" i="19" s="1"/>
  <c r="X14" i="17"/>
  <c r="D30" i="19"/>
  <c r="E30" i="19" s="1"/>
  <c r="D29" i="19"/>
  <c r="D28" i="19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J13" i="19" l="1"/>
  <c r="J12" i="19"/>
  <c r="K8" i="19"/>
  <c r="K13" i="19" s="1"/>
  <c r="K27" i="19" s="1"/>
  <c r="E29" i="19"/>
  <c r="E32" i="19" s="1"/>
  <c r="K28" i="19" s="1"/>
  <c r="D32" i="19"/>
  <c r="B2" i="15"/>
  <c r="B2" i="14"/>
  <c r="K12" i="19" l="1"/>
  <c r="K36" i="19"/>
  <c r="K30" i="19"/>
  <c r="K20" i="19" s="1"/>
  <c r="K21" i="19" s="1"/>
  <c r="J36" i="19" s="1"/>
  <c r="B2" i="13"/>
  <c r="B2" i="11"/>
  <c r="L3" i="11"/>
  <c r="K3" i="11"/>
  <c r="J3" i="11"/>
  <c r="I3" i="11"/>
  <c r="H3" i="11"/>
  <c r="G3" i="11"/>
  <c r="F3" i="11"/>
  <c r="E3" i="11"/>
  <c r="D3" i="11"/>
  <c r="C3" i="11"/>
  <c r="F41" i="15" l="1"/>
  <c r="E41" i="15"/>
  <c r="D41" i="15"/>
  <c r="C41" i="15"/>
  <c r="F40" i="15"/>
  <c r="E40" i="15"/>
  <c r="D40" i="15"/>
  <c r="C40" i="15"/>
  <c r="F39" i="15"/>
  <c r="E39" i="15"/>
  <c r="D39" i="15"/>
  <c r="C39" i="15"/>
  <c r="F38" i="15"/>
  <c r="E38" i="15"/>
  <c r="D38" i="15"/>
  <c r="C38" i="15"/>
  <c r="F37" i="15"/>
  <c r="E37" i="15"/>
  <c r="D37" i="15"/>
  <c r="C37" i="15"/>
  <c r="F36" i="15"/>
  <c r="E36" i="15"/>
  <c r="D36" i="15"/>
  <c r="C36" i="15"/>
  <c r="F35" i="15"/>
  <c r="E35" i="15"/>
  <c r="D35" i="15"/>
  <c r="C35" i="15"/>
  <c r="F33" i="15"/>
  <c r="E33" i="15"/>
  <c r="D33" i="15"/>
  <c r="C33" i="15"/>
  <c r="C102" i="8"/>
  <c r="L98" i="8"/>
  <c r="F29" i="15" s="1"/>
  <c r="K98" i="8"/>
  <c r="E29" i="15" s="1"/>
  <c r="J98" i="8"/>
  <c r="D29" i="15" s="1"/>
  <c r="I98" i="8"/>
  <c r="C29" i="15" s="1"/>
  <c r="H98" i="8"/>
  <c r="G98" i="8"/>
  <c r="F98" i="8"/>
  <c r="E98" i="8"/>
  <c r="D98" i="8"/>
  <c r="C98" i="8"/>
  <c r="L97" i="8"/>
  <c r="F28" i="15" s="1"/>
  <c r="K97" i="8"/>
  <c r="E28" i="15" s="1"/>
  <c r="J97" i="8"/>
  <c r="D28" i="15" s="1"/>
  <c r="I97" i="8"/>
  <c r="C28" i="15" s="1"/>
  <c r="H97" i="8"/>
  <c r="G97" i="8"/>
  <c r="F97" i="8"/>
  <c r="E97" i="8"/>
  <c r="D97" i="8"/>
  <c r="C97" i="8"/>
  <c r="L96" i="8"/>
  <c r="F27" i="15" s="1"/>
  <c r="K96" i="8"/>
  <c r="E27" i="15" s="1"/>
  <c r="J96" i="8"/>
  <c r="D27" i="15" s="1"/>
  <c r="I96" i="8"/>
  <c r="C27" i="15" s="1"/>
  <c r="H96" i="8"/>
  <c r="G96" i="8"/>
  <c r="F96" i="8"/>
  <c r="E96" i="8"/>
  <c r="D96" i="8"/>
  <c r="C96" i="8"/>
  <c r="L95" i="8"/>
  <c r="F26" i="15" s="1"/>
  <c r="K95" i="8"/>
  <c r="E26" i="15" s="1"/>
  <c r="J95" i="8"/>
  <c r="D26" i="15" s="1"/>
  <c r="I95" i="8"/>
  <c r="C26" i="15" s="1"/>
  <c r="H95" i="8"/>
  <c r="G95" i="8"/>
  <c r="F95" i="8"/>
  <c r="E95" i="8"/>
  <c r="D95" i="8"/>
  <c r="C95" i="8"/>
  <c r="L94" i="8"/>
  <c r="F25" i="15" s="1"/>
  <c r="K94" i="8"/>
  <c r="E25" i="15" s="1"/>
  <c r="J94" i="8"/>
  <c r="D25" i="15" s="1"/>
  <c r="I94" i="8"/>
  <c r="C25" i="15" s="1"/>
  <c r="H94" i="8"/>
  <c r="G94" i="8"/>
  <c r="F94" i="8"/>
  <c r="E94" i="8"/>
  <c r="D94" i="8"/>
  <c r="C94" i="8"/>
  <c r="L93" i="8"/>
  <c r="F24" i="15" s="1"/>
  <c r="K93" i="8"/>
  <c r="E24" i="15" s="1"/>
  <c r="J93" i="8"/>
  <c r="D24" i="15" s="1"/>
  <c r="I93" i="8"/>
  <c r="C24" i="15" s="1"/>
  <c r="H93" i="8"/>
  <c r="G93" i="8"/>
  <c r="F93" i="8"/>
  <c r="E93" i="8"/>
  <c r="D93" i="8"/>
  <c r="C93" i="8"/>
  <c r="L92" i="8"/>
  <c r="F23" i="15" s="1"/>
  <c r="K92" i="8"/>
  <c r="E23" i="15" s="1"/>
  <c r="J92" i="8"/>
  <c r="D23" i="15" s="1"/>
  <c r="I92" i="8"/>
  <c r="C23" i="15" s="1"/>
  <c r="H92" i="8"/>
  <c r="G92" i="8"/>
  <c r="F92" i="8"/>
  <c r="E92" i="8"/>
  <c r="D92" i="8"/>
  <c r="C92" i="8"/>
  <c r="L91" i="8"/>
  <c r="F22" i="15" s="1"/>
  <c r="K91" i="8"/>
  <c r="E22" i="15" s="1"/>
  <c r="J91" i="8"/>
  <c r="D22" i="15" s="1"/>
  <c r="I91" i="8"/>
  <c r="C22" i="15" s="1"/>
  <c r="H91" i="8"/>
  <c r="G91" i="8"/>
  <c r="F91" i="8"/>
  <c r="E91" i="8"/>
  <c r="D91" i="8"/>
  <c r="C91" i="8"/>
  <c r="L90" i="8"/>
  <c r="F21" i="15" s="1"/>
  <c r="K90" i="8"/>
  <c r="E21" i="15" s="1"/>
  <c r="J90" i="8"/>
  <c r="D21" i="15" s="1"/>
  <c r="I90" i="8"/>
  <c r="C21" i="15" s="1"/>
  <c r="H90" i="8"/>
  <c r="G90" i="8"/>
  <c r="F90" i="8"/>
  <c r="E90" i="8"/>
  <c r="D90" i="8"/>
  <c r="C90" i="8"/>
  <c r="L89" i="8"/>
  <c r="F20" i="15" s="1"/>
  <c r="K89" i="8"/>
  <c r="E20" i="15" s="1"/>
  <c r="J89" i="8"/>
  <c r="D20" i="15" s="1"/>
  <c r="I89" i="8"/>
  <c r="C20" i="15" s="1"/>
  <c r="H89" i="8"/>
  <c r="G89" i="8"/>
  <c r="F89" i="8"/>
  <c r="E89" i="8"/>
  <c r="D89" i="8"/>
  <c r="C89" i="8"/>
  <c r="L88" i="8"/>
  <c r="F19" i="15" s="1"/>
  <c r="K88" i="8"/>
  <c r="E19" i="15" s="1"/>
  <c r="J88" i="8"/>
  <c r="D19" i="15" s="1"/>
  <c r="I88" i="8"/>
  <c r="C19" i="15" s="1"/>
  <c r="H88" i="8"/>
  <c r="G88" i="8"/>
  <c r="F88" i="8"/>
  <c r="E88" i="8"/>
  <c r="D88" i="8"/>
  <c r="C88" i="8"/>
  <c r="L87" i="8"/>
  <c r="F18" i="15" s="1"/>
  <c r="K87" i="8"/>
  <c r="E18" i="15" s="1"/>
  <c r="J87" i="8"/>
  <c r="D18" i="15" s="1"/>
  <c r="I87" i="8"/>
  <c r="C18" i="15" s="1"/>
  <c r="H87" i="8"/>
  <c r="G87" i="8"/>
  <c r="F87" i="8"/>
  <c r="E87" i="8"/>
  <c r="D87" i="8"/>
  <c r="C87" i="8"/>
  <c r="L83" i="8"/>
  <c r="F14" i="15" s="1"/>
  <c r="K83" i="8"/>
  <c r="E14" i="15" s="1"/>
  <c r="J83" i="8"/>
  <c r="D14" i="15" s="1"/>
  <c r="I83" i="8"/>
  <c r="C14" i="15" s="1"/>
  <c r="H83" i="8"/>
  <c r="G83" i="8"/>
  <c r="F83" i="8"/>
  <c r="E83" i="8"/>
  <c r="D83" i="8"/>
  <c r="C83" i="8"/>
  <c r="L82" i="8"/>
  <c r="F13" i="15" s="1"/>
  <c r="K82" i="8"/>
  <c r="E13" i="15" s="1"/>
  <c r="J82" i="8"/>
  <c r="D13" i="15" s="1"/>
  <c r="I82" i="8"/>
  <c r="C13" i="15" s="1"/>
  <c r="H82" i="8"/>
  <c r="G82" i="8"/>
  <c r="F82" i="8"/>
  <c r="E82" i="8"/>
  <c r="D82" i="8"/>
  <c r="C82" i="8"/>
  <c r="L80" i="8"/>
  <c r="F11" i="15" s="1"/>
  <c r="K80" i="8"/>
  <c r="E11" i="15" s="1"/>
  <c r="J80" i="8"/>
  <c r="D11" i="15" s="1"/>
  <c r="I80" i="8"/>
  <c r="C11" i="15" s="1"/>
  <c r="H80" i="8"/>
  <c r="G80" i="8"/>
  <c r="F80" i="8"/>
  <c r="E80" i="8"/>
  <c r="D80" i="8"/>
  <c r="C80" i="8"/>
  <c r="L79" i="8"/>
  <c r="F10" i="15" s="1"/>
  <c r="K79" i="8"/>
  <c r="E10" i="15" s="1"/>
  <c r="J79" i="8"/>
  <c r="D10" i="15" s="1"/>
  <c r="I79" i="8"/>
  <c r="C10" i="15" s="1"/>
  <c r="H79" i="8"/>
  <c r="G79" i="8"/>
  <c r="F79" i="8"/>
  <c r="E79" i="8"/>
  <c r="D79" i="8"/>
  <c r="C79" i="8"/>
  <c r="L78" i="8"/>
  <c r="F9" i="15" s="1"/>
  <c r="K78" i="8"/>
  <c r="E9" i="15" s="1"/>
  <c r="J78" i="8"/>
  <c r="D9" i="15" s="1"/>
  <c r="I78" i="8"/>
  <c r="C9" i="15" s="1"/>
  <c r="H78" i="8"/>
  <c r="G78" i="8"/>
  <c r="F78" i="8"/>
  <c r="E78" i="8"/>
  <c r="D78" i="8"/>
  <c r="C78" i="8"/>
  <c r="L77" i="8"/>
  <c r="F8" i="15" s="1"/>
  <c r="K77" i="8"/>
  <c r="E8" i="15" s="1"/>
  <c r="J77" i="8"/>
  <c r="D8" i="15" s="1"/>
  <c r="I77" i="8"/>
  <c r="C8" i="15" s="1"/>
  <c r="H77" i="8"/>
  <c r="G77" i="8"/>
  <c r="F77" i="8"/>
  <c r="E77" i="8"/>
  <c r="D77" i="8"/>
  <c r="C77" i="8"/>
  <c r="L76" i="8"/>
  <c r="F7" i="15" s="1"/>
  <c r="K76" i="8"/>
  <c r="E7" i="15" s="1"/>
  <c r="J76" i="8"/>
  <c r="D7" i="15" s="1"/>
  <c r="I76" i="8"/>
  <c r="C7" i="15" s="1"/>
  <c r="H76" i="8"/>
  <c r="G76" i="8"/>
  <c r="F76" i="8"/>
  <c r="E76" i="8"/>
  <c r="D76" i="8"/>
  <c r="C76" i="8"/>
  <c r="L62" i="8"/>
  <c r="F15" i="14" s="1"/>
  <c r="K62" i="8"/>
  <c r="E15" i="14" s="1"/>
  <c r="J62" i="8"/>
  <c r="D15" i="14" s="1"/>
  <c r="I62" i="8"/>
  <c r="C15" i="14" s="1"/>
  <c r="H62" i="8"/>
  <c r="G62" i="8"/>
  <c r="F62" i="8"/>
  <c r="E62" i="8"/>
  <c r="D62" i="8"/>
  <c r="C62" i="8"/>
  <c r="L67" i="8"/>
  <c r="F20" i="14" s="1"/>
  <c r="K67" i="8"/>
  <c r="E20" i="14" s="1"/>
  <c r="J67" i="8"/>
  <c r="D20" i="14" s="1"/>
  <c r="I67" i="8"/>
  <c r="C20" i="14" s="1"/>
  <c r="H67" i="8"/>
  <c r="G67" i="8"/>
  <c r="F67" i="8"/>
  <c r="E67" i="8"/>
  <c r="D67" i="8"/>
  <c r="C67" i="8"/>
  <c r="L66" i="8"/>
  <c r="F19" i="14" s="1"/>
  <c r="K66" i="8"/>
  <c r="E19" i="14" s="1"/>
  <c r="J66" i="8"/>
  <c r="D19" i="14" s="1"/>
  <c r="I66" i="8"/>
  <c r="C19" i="14" s="1"/>
  <c r="H66" i="8"/>
  <c r="G66" i="8"/>
  <c r="F66" i="8"/>
  <c r="E66" i="8"/>
  <c r="D66" i="8"/>
  <c r="C66" i="8"/>
  <c r="L65" i="8"/>
  <c r="F18" i="14" s="1"/>
  <c r="K65" i="8"/>
  <c r="E18" i="14" s="1"/>
  <c r="J65" i="8"/>
  <c r="D18" i="14" s="1"/>
  <c r="I65" i="8"/>
  <c r="C18" i="14" s="1"/>
  <c r="H65" i="8"/>
  <c r="G65" i="8"/>
  <c r="F65" i="8"/>
  <c r="F68" i="8" s="1"/>
  <c r="E65" i="8"/>
  <c r="D65" i="8"/>
  <c r="C65" i="8"/>
  <c r="L61" i="8"/>
  <c r="F14" i="14" s="1"/>
  <c r="K61" i="8"/>
  <c r="E14" i="14" s="1"/>
  <c r="J61" i="8"/>
  <c r="D14" i="14" s="1"/>
  <c r="I61" i="8"/>
  <c r="C14" i="14" s="1"/>
  <c r="H61" i="8"/>
  <c r="G61" i="8"/>
  <c r="F61" i="8"/>
  <c r="E61" i="8"/>
  <c r="D61" i="8"/>
  <c r="C61" i="8"/>
  <c r="L60" i="8"/>
  <c r="F13" i="14" s="1"/>
  <c r="K60" i="8"/>
  <c r="E13" i="14" s="1"/>
  <c r="J60" i="8"/>
  <c r="D13" i="14" s="1"/>
  <c r="I60" i="8"/>
  <c r="C13" i="14" s="1"/>
  <c r="H60" i="8"/>
  <c r="G60" i="8"/>
  <c r="F60" i="8"/>
  <c r="E60" i="8"/>
  <c r="D60" i="8"/>
  <c r="C60" i="8"/>
  <c r="L59" i="8"/>
  <c r="F12" i="14" s="1"/>
  <c r="F16" i="14" s="1"/>
  <c r="K59" i="8"/>
  <c r="E12" i="14" s="1"/>
  <c r="J59" i="8"/>
  <c r="D12" i="14" s="1"/>
  <c r="I59" i="8"/>
  <c r="C12" i="14" s="1"/>
  <c r="H59" i="8"/>
  <c r="H63" i="8" s="1"/>
  <c r="G59" i="8"/>
  <c r="F59" i="8"/>
  <c r="E59" i="8"/>
  <c r="D59" i="8"/>
  <c r="D63" i="8" s="1"/>
  <c r="C59" i="8"/>
  <c r="L57" i="8"/>
  <c r="K57" i="8"/>
  <c r="J57" i="8"/>
  <c r="I57" i="8"/>
  <c r="H57" i="8"/>
  <c r="G57" i="8"/>
  <c r="F57" i="8"/>
  <c r="E57" i="8"/>
  <c r="D57" i="8"/>
  <c r="C57" i="8"/>
  <c r="L56" i="8"/>
  <c r="F9" i="14" s="1"/>
  <c r="K56" i="8"/>
  <c r="E9" i="14" s="1"/>
  <c r="J56" i="8"/>
  <c r="D9" i="14" s="1"/>
  <c r="I56" i="8"/>
  <c r="C9" i="14" s="1"/>
  <c r="H56" i="8"/>
  <c r="G56" i="8"/>
  <c r="F56" i="8"/>
  <c r="E56" i="8"/>
  <c r="D56" i="8"/>
  <c r="C56" i="8"/>
  <c r="L55" i="8"/>
  <c r="F8" i="14" s="1"/>
  <c r="K55" i="8"/>
  <c r="E8" i="14" s="1"/>
  <c r="J55" i="8"/>
  <c r="D8" i="14" s="1"/>
  <c r="I55" i="8"/>
  <c r="C8" i="14" s="1"/>
  <c r="H55" i="8"/>
  <c r="G55" i="8"/>
  <c r="F55" i="8"/>
  <c r="E55" i="8"/>
  <c r="D55" i="8"/>
  <c r="C55" i="8"/>
  <c r="L54" i="8"/>
  <c r="F7" i="14" s="1"/>
  <c r="K54" i="8"/>
  <c r="E7" i="14" s="1"/>
  <c r="J54" i="8"/>
  <c r="D7" i="14" s="1"/>
  <c r="I54" i="8"/>
  <c r="C7" i="14" s="1"/>
  <c r="H54" i="8"/>
  <c r="G54" i="8"/>
  <c r="F54" i="8"/>
  <c r="E54" i="8"/>
  <c r="D54" i="8"/>
  <c r="C54" i="8"/>
  <c r="L53" i="8"/>
  <c r="F6" i="14" s="1"/>
  <c r="K53" i="8"/>
  <c r="E6" i="14" s="1"/>
  <c r="J53" i="8"/>
  <c r="D6" i="14" s="1"/>
  <c r="D10" i="14" s="1"/>
  <c r="I53" i="8"/>
  <c r="C6" i="14" s="1"/>
  <c r="H53" i="8"/>
  <c r="G53" i="8"/>
  <c r="F53" i="8"/>
  <c r="E53" i="8"/>
  <c r="D53" i="8"/>
  <c r="C53" i="8"/>
  <c r="D42" i="8"/>
  <c r="D47" i="8" s="1"/>
  <c r="E42" i="8"/>
  <c r="E47" i="8" s="1"/>
  <c r="F42" i="8"/>
  <c r="F47" i="8" s="1"/>
  <c r="G42" i="8"/>
  <c r="G47" i="8" s="1"/>
  <c r="H42" i="8"/>
  <c r="H47" i="8" s="1"/>
  <c r="I42" i="8"/>
  <c r="J42" i="8"/>
  <c r="K42" i="8"/>
  <c r="L42" i="8"/>
  <c r="C42" i="8"/>
  <c r="C47" i="8" s="1"/>
  <c r="M36" i="8"/>
  <c r="L36" i="8"/>
  <c r="F36" i="13" s="1"/>
  <c r="K36" i="8"/>
  <c r="E36" i="13" s="1"/>
  <c r="J36" i="8"/>
  <c r="D36" i="13" s="1"/>
  <c r="I36" i="8"/>
  <c r="C36" i="13" s="1"/>
  <c r="H36" i="8"/>
  <c r="G36" i="8"/>
  <c r="F36" i="8"/>
  <c r="E36" i="8"/>
  <c r="D36" i="8"/>
  <c r="C36" i="8"/>
  <c r="M21" i="8"/>
  <c r="L21" i="8"/>
  <c r="F21" i="13" s="1"/>
  <c r="K21" i="8"/>
  <c r="E21" i="13" s="1"/>
  <c r="J21" i="8"/>
  <c r="D21" i="13" s="1"/>
  <c r="I21" i="8"/>
  <c r="C21" i="13" s="1"/>
  <c r="H21" i="8"/>
  <c r="G21" i="8"/>
  <c r="F21" i="8"/>
  <c r="E21" i="8"/>
  <c r="D21" i="8"/>
  <c r="C21" i="8"/>
  <c r="F27" i="13"/>
  <c r="E27" i="13"/>
  <c r="D27" i="13"/>
  <c r="C27" i="13"/>
  <c r="L15" i="8"/>
  <c r="F15" i="13" s="1"/>
  <c r="K15" i="8"/>
  <c r="E15" i="13" s="1"/>
  <c r="J15" i="8"/>
  <c r="D15" i="13" s="1"/>
  <c r="I15" i="8"/>
  <c r="C15" i="13" s="1"/>
  <c r="H15" i="8"/>
  <c r="G15" i="8"/>
  <c r="F15" i="8"/>
  <c r="E15" i="8"/>
  <c r="D15" i="8"/>
  <c r="C15" i="8"/>
  <c r="M9" i="8"/>
  <c r="L9" i="8"/>
  <c r="F9" i="13" s="1"/>
  <c r="K9" i="8"/>
  <c r="E9" i="13" s="1"/>
  <c r="J9" i="8"/>
  <c r="D9" i="13" s="1"/>
  <c r="I9" i="8"/>
  <c r="C9" i="13" s="1"/>
  <c r="H9" i="8"/>
  <c r="G9" i="8"/>
  <c r="F9" i="8"/>
  <c r="E9" i="8"/>
  <c r="D9" i="8"/>
  <c r="M6" i="8"/>
  <c r="M28" i="8" s="1"/>
  <c r="D6" i="8"/>
  <c r="E6" i="8"/>
  <c r="F6" i="8"/>
  <c r="G6" i="8"/>
  <c r="H6" i="8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D21" i="14" l="1"/>
  <c r="K31" i="8"/>
  <c r="K28" i="8"/>
  <c r="J31" i="8"/>
  <c r="J28" i="8"/>
  <c r="F31" i="8"/>
  <c r="F28" i="8"/>
  <c r="L31" i="8"/>
  <c r="L28" i="8"/>
  <c r="H31" i="8"/>
  <c r="H28" i="8"/>
  <c r="D31" i="8"/>
  <c r="D28" i="8"/>
  <c r="G31" i="8"/>
  <c r="G28" i="8"/>
  <c r="C31" i="8"/>
  <c r="C28" i="8"/>
  <c r="I31" i="8"/>
  <c r="I28" i="8"/>
  <c r="E31" i="8"/>
  <c r="E28" i="8"/>
  <c r="F111" i="8"/>
  <c r="G9" i="11"/>
  <c r="M16" i="8"/>
  <c r="M31" i="8"/>
  <c r="E10" i="14"/>
  <c r="E63" i="8"/>
  <c r="C68" i="8"/>
  <c r="G68" i="8"/>
  <c r="E21" i="14"/>
  <c r="F9" i="11"/>
  <c r="F63" i="8"/>
  <c r="D42" i="15"/>
  <c r="E111" i="8"/>
  <c r="E99" i="8"/>
  <c r="F99" i="8"/>
  <c r="D30" i="15"/>
  <c r="C84" i="8"/>
  <c r="C39" i="11" s="1"/>
  <c r="G84" i="8"/>
  <c r="G41" i="11" s="1"/>
  <c r="I15" i="13"/>
  <c r="I36" i="13"/>
  <c r="G21" i="13"/>
  <c r="C63" i="8"/>
  <c r="G63" i="8"/>
  <c r="I27" i="13"/>
  <c r="F84" i="8"/>
  <c r="F39" i="11" s="1"/>
  <c r="D15" i="15"/>
  <c r="D99" i="8"/>
  <c r="H99" i="8"/>
  <c r="D111" i="8"/>
  <c r="H111" i="8"/>
  <c r="F42" i="15"/>
  <c r="C99" i="8"/>
  <c r="G99" i="8"/>
  <c r="E30" i="15"/>
  <c r="C111" i="8"/>
  <c r="G111" i="8"/>
  <c r="D9" i="11"/>
  <c r="F70" i="8"/>
  <c r="F72" i="8" s="1"/>
  <c r="D68" i="8"/>
  <c r="E68" i="8"/>
  <c r="H68" i="8"/>
  <c r="H70" i="8" s="1"/>
  <c r="H72" i="8" s="1"/>
  <c r="D84" i="8"/>
  <c r="D41" i="11" s="1"/>
  <c r="E84" i="8"/>
  <c r="E41" i="11" s="1"/>
  <c r="H84" i="8"/>
  <c r="H41" i="11" s="1"/>
  <c r="E15" i="15"/>
  <c r="G9" i="15"/>
  <c r="D70" i="8"/>
  <c r="D72" i="8" s="1"/>
  <c r="F4" i="15"/>
  <c r="G4" i="15" s="1"/>
  <c r="H4" i="15" s="1"/>
  <c r="I4" i="15" s="1"/>
  <c r="J4" i="15" s="1"/>
  <c r="K4" i="15" s="1"/>
  <c r="F4" i="14"/>
  <c r="G4" i="14" s="1"/>
  <c r="H4" i="14" s="1"/>
  <c r="I4" i="14" s="1"/>
  <c r="J4" i="14" s="1"/>
  <c r="K4" i="14" s="1"/>
  <c r="F4" i="13"/>
  <c r="G4" i="13" s="1"/>
  <c r="H4" i="13" s="1"/>
  <c r="I4" i="13" s="1"/>
  <c r="J4" i="13" s="1"/>
  <c r="K4" i="13" s="1"/>
  <c r="K47" i="8"/>
  <c r="E42" i="13"/>
  <c r="J7" i="14"/>
  <c r="I7" i="14"/>
  <c r="H7" i="14"/>
  <c r="G7" i="14"/>
  <c r="K7" i="14"/>
  <c r="I63" i="8"/>
  <c r="G8" i="15"/>
  <c r="J8" i="15"/>
  <c r="I8" i="15"/>
  <c r="H8" i="15"/>
  <c r="K8" i="15"/>
  <c r="G10" i="15"/>
  <c r="J10" i="15"/>
  <c r="I10" i="15"/>
  <c r="H10" i="15"/>
  <c r="K10" i="15"/>
  <c r="G13" i="15"/>
  <c r="J13" i="15"/>
  <c r="I13" i="15"/>
  <c r="H13" i="15"/>
  <c r="K13" i="15"/>
  <c r="J23" i="15"/>
  <c r="I23" i="15"/>
  <c r="H23" i="15"/>
  <c r="K23" i="15"/>
  <c r="G23" i="15"/>
  <c r="J27" i="15"/>
  <c r="I27" i="15"/>
  <c r="K27" i="15"/>
  <c r="H27" i="15"/>
  <c r="G27" i="15"/>
  <c r="K99" i="8"/>
  <c r="H36" i="15"/>
  <c r="K36" i="15"/>
  <c r="J36" i="15"/>
  <c r="G36" i="15"/>
  <c r="I36" i="15"/>
  <c r="H40" i="15"/>
  <c r="K40" i="15"/>
  <c r="I40" i="15"/>
  <c r="G40" i="15"/>
  <c r="J40" i="15"/>
  <c r="I111" i="8"/>
  <c r="K15" i="13"/>
  <c r="J9" i="13"/>
  <c r="G27" i="13"/>
  <c r="I21" i="13"/>
  <c r="K27" i="13"/>
  <c r="J27" i="13"/>
  <c r="K36" i="13"/>
  <c r="E4" i="14"/>
  <c r="E4" i="15"/>
  <c r="E4" i="13"/>
  <c r="C28" i="11"/>
  <c r="C31" i="11"/>
  <c r="C27" i="11"/>
  <c r="C30" i="11"/>
  <c r="C29" i="11"/>
  <c r="I10" i="8"/>
  <c r="C6" i="13"/>
  <c r="I30" i="11"/>
  <c r="I29" i="11"/>
  <c r="I36" i="11" s="1"/>
  <c r="I28" i="11"/>
  <c r="I35" i="11" s="1"/>
  <c r="I31" i="11"/>
  <c r="I27" i="11"/>
  <c r="I34" i="11" s="1"/>
  <c r="E10" i="8"/>
  <c r="E30" i="11"/>
  <c r="E29" i="11"/>
  <c r="E36" i="11" s="1"/>
  <c r="E28" i="11"/>
  <c r="E35" i="11" s="1"/>
  <c r="E27" i="11"/>
  <c r="E34" i="11" s="1"/>
  <c r="E31" i="11"/>
  <c r="D10" i="8"/>
  <c r="J47" i="8"/>
  <c r="D42" i="13"/>
  <c r="F10" i="14"/>
  <c r="D16" i="14"/>
  <c r="D23" i="14" s="1"/>
  <c r="F21" i="14"/>
  <c r="F23" i="14" s="1"/>
  <c r="J68" i="8"/>
  <c r="J63" i="8"/>
  <c r="F15" i="15"/>
  <c r="J84" i="8"/>
  <c r="F30" i="15"/>
  <c r="L99" i="8"/>
  <c r="J111" i="8"/>
  <c r="I9" i="13"/>
  <c r="G36" i="13"/>
  <c r="J16" i="8"/>
  <c r="J17" i="11" s="1"/>
  <c r="J29" i="11"/>
  <c r="J36" i="11" s="1"/>
  <c r="J28" i="11"/>
  <c r="J35" i="11" s="1"/>
  <c r="D6" i="13"/>
  <c r="D31" i="13" s="1"/>
  <c r="J31" i="11"/>
  <c r="J27" i="11"/>
  <c r="J34" i="11" s="1"/>
  <c r="J30" i="11"/>
  <c r="J9" i="14"/>
  <c r="H9" i="14"/>
  <c r="K9" i="14"/>
  <c r="G9" i="14"/>
  <c r="I9" i="14"/>
  <c r="J14" i="14"/>
  <c r="G14" i="14"/>
  <c r="I14" i="14"/>
  <c r="H14" i="14"/>
  <c r="K14" i="14"/>
  <c r="H31" i="11"/>
  <c r="H27" i="11"/>
  <c r="H34" i="11" s="1"/>
  <c r="H30" i="11"/>
  <c r="H29" i="11"/>
  <c r="H36" i="11" s="1"/>
  <c r="H28" i="11"/>
  <c r="H35" i="11" s="1"/>
  <c r="D31" i="11"/>
  <c r="D27" i="11"/>
  <c r="D34" i="11" s="1"/>
  <c r="D30" i="11"/>
  <c r="D29" i="11"/>
  <c r="D36" i="11" s="1"/>
  <c r="D28" i="11"/>
  <c r="D35" i="11" s="1"/>
  <c r="I47" i="8"/>
  <c r="C42" i="13"/>
  <c r="E9" i="11"/>
  <c r="G6" i="14"/>
  <c r="J6" i="14"/>
  <c r="C10" i="14"/>
  <c r="H6" i="14"/>
  <c r="I6" i="14"/>
  <c r="K6" i="14"/>
  <c r="I8" i="14"/>
  <c r="K8" i="14"/>
  <c r="G8" i="14"/>
  <c r="J8" i="14"/>
  <c r="H8" i="14"/>
  <c r="E16" i="14"/>
  <c r="K13" i="14"/>
  <c r="J13" i="14"/>
  <c r="G13" i="14"/>
  <c r="I13" i="14"/>
  <c r="H13" i="14"/>
  <c r="K18" i="14"/>
  <c r="H18" i="14"/>
  <c r="G18" i="14"/>
  <c r="J18" i="14"/>
  <c r="C21" i="14"/>
  <c r="I18" i="14"/>
  <c r="K20" i="14"/>
  <c r="J20" i="14"/>
  <c r="G20" i="14"/>
  <c r="H20" i="14"/>
  <c r="I20" i="14"/>
  <c r="K68" i="8"/>
  <c r="J15" i="14"/>
  <c r="G15" i="14"/>
  <c r="I15" i="14"/>
  <c r="K15" i="14"/>
  <c r="H15" i="14"/>
  <c r="K63" i="8"/>
  <c r="G7" i="15"/>
  <c r="H7" i="15"/>
  <c r="K7" i="15"/>
  <c r="J7" i="15"/>
  <c r="I7" i="15"/>
  <c r="C15" i="15"/>
  <c r="H9" i="15"/>
  <c r="K9" i="15"/>
  <c r="J9" i="15"/>
  <c r="I9" i="15"/>
  <c r="G11" i="15"/>
  <c r="H11" i="15"/>
  <c r="K11" i="15"/>
  <c r="J11" i="15"/>
  <c r="I11" i="15"/>
  <c r="G14" i="15"/>
  <c r="J14" i="15"/>
  <c r="I14" i="15"/>
  <c r="H14" i="15"/>
  <c r="K14" i="15"/>
  <c r="K84" i="8"/>
  <c r="G18" i="15"/>
  <c r="H18" i="15"/>
  <c r="K18" i="15"/>
  <c r="J18" i="15"/>
  <c r="I18" i="15"/>
  <c r="C30" i="15"/>
  <c r="H20" i="15"/>
  <c r="K20" i="15"/>
  <c r="J20" i="15"/>
  <c r="G20" i="15"/>
  <c r="I20" i="15"/>
  <c r="H22" i="15"/>
  <c r="G22" i="15"/>
  <c r="K22" i="15"/>
  <c r="J22" i="15"/>
  <c r="I22" i="15"/>
  <c r="H24" i="15"/>
  <c r="K24" i="15"/>
  <c r="G24" i="15"/>
  <c r="J24" i="15"/>
  <c r="I24" i="15"/>
  <c r="H26" i="15"/>
  <c r="G26" i="15"/>
  <c r="K26" i="15"/>
  <c r="J26" i="15"/>
  <c r="I26" i="15"/>
  <c r="H28" i="15"/>
  <c r="K28" i="15"/>
  <c r="J28" i="15"/>
  <c r="G28" i="15"/>
  <c r="I28" i="15"/>
  <c r="I99" i="8"/>
  <c r="E42" i="15"/>
  <c r="J35" i="15"/>
  <c r="G35" i="15"/>
  <c r="I35" i="15"/>
  <c r="K35" i="15"/>
  <c r="H35" i="15"/>
  <c r="J37" i="15"/>
  <c r="I37" i="15"/>
  <c r="H37" i="15"/>
  <c r="G37" i="15"/>
  <c r="K37" i="15"/>
  <c r="J39" i="15"/>
  <c r="G39" i="15"/>
  <c r="I39" i="15"/>
  <c r="H39" i="15"/>
  <c r="K39" i="15"/>
  <c r="J41" i="15"/>
  <c r="I41" i="15"/>
  <c r="H41" i="15"/>
  <c r="G41" i="15"/>
  <c r="K41" i="15"/>
  <c r="K111" i="8"/>
  <c r="G15" i="13"/>
  <c r="G9" i="13"/>
  <c r="J21" i="13"/>
  <c r="K9" i="13"/>
  <c r="K21" i="13"/>
  <c r="H27" i="13"/>
  <c r="J15" i="13"/>
  <c r="J36" i="13"/>
  <c r="F16" i="8"/>
  <c r="F17" i="11" s="1"/>
  <c r="F29" i="11"/>
  <c r="F36" i="11" s="1"/>
  <c r="F28" i="11"/>
  <c r="F35" i="11" s="1"/>
  <c r="F31" i="11"/>
  <c r="F27" i="11"/>
  <c r="F34" i="11" s="1"/>
  <c r="F30" i="11"/>
  <c r="C16" i="14"/>
  <c r="G12" i="14"/>
  <c r="K12" i="14"/>
  <c r="J12" i="14"/>
  <c r="I12" i="14"/>
  <c r="H12" i="14"/>
  <c r="K19" i="14"/>
  <c r="G19" i="14"/>
  <c r="J19" i="14"/>
  <c r="I19" i="14"/>
  <c r="H19" i="14"/>
  <c r="I68" i="8"/>
  <c r="I84" i="8"/>
  <c r="J19" i="15"/>
  <c r="I19" i="15"/>
  <c r="G19" i="15"/>
  <c r="K19" i="15"/>
  <c r="H19" i="15"/>
  <c r="J21" i="15"/>
  <c r="I21" i="15"/>
  <c r="G21" i="15"/>
  <c r="H21" i="15"/>
  <c r="K21" i="15"/>
  <c r="J25" i="15"/>
  <c r="I25" i="15"/>
  <c r="G25" i="15"/>
  <c r="H25" i="15"/>
  <c r="K25" i="15"/>
  <c r="J29" i="15"/>
  <c r="I29" i="15"/>
  <c r="G29" i="15"/>
  <c r="H29" i="15"/>
  <c r="K29" i="15"/>
  <c r="C42" i="15"/>
  <c r="H33" i="15"/>
  <c r="K33" i="15"/>
  <c r="G33" i="15"/>
  <c r="J33" i="15"/>
  <c r="I33" i="15"/>
  <c r="H38" i="15"/>
  <c r="K38" i="15"/>
  <c r="G38" i="15"/>
  <c r="J38" i="15"/>
  <c r="I38" i="15"/>
  <c r="D4" i="15"/>
  <c r="D4" i="14"/>
  <c r="D4" i="13"/>
  <c r="F6" i="13"/>
  <c r="L31" i="11"/>
  <c r="L27" i="11"/>
  <c r="L34" i="11" s="1"/>
  <c r="L30" i="11"/>
  <c r="L29" i="11"/>
  <c r="L36" i="11" s="1"/>
  <c r="L28" i="11"/>
  <c r="L35" i="11" s="1"/>
  <c r="C4" i="15"/>
  <c r="C4" i="14"/>
  <c r="C4" i="13"/>
  <c r="K28" i="11"/>
  <c r="K35" i="11" s="1"/>
  <c r="E6" i="13"/>
  <c r="K31" i="11"/>
  <c r="K27" i="11"/>
  <c r="K34" i="11" s="1"/>
  <c r="K30" i="11"/>
  <c r="K29" i="11"/>
  <c r="K36" i="11" s="1"/>
  <c r="G28" i="11"/>
  <c r="G35" i="11" s="1"/>
  <c r="G31" i="11"/>
  <c r="G27" i="11"/>
  <c r="G34" i="11" s="1"/>
  <c r="G30" i="11"/>
  <c r="G29" i="11"/>
  <c r="G36" i="11" s="1"/>
  <c r="L47" i="8"/>
  <c r="F42" i="13"/>
  <c r="H9" i="11"/>
  <c r="L68" i="8"/>
  <c r="L63" i="8"/>
  <c r="L84" i="8"/>
  <c r="J99" i="8"/>
  <c r="L111" i="8"/>
  <c r="H15" i="13"/>
  <c r="H9" i="13"/>
  <c r="H21" i="13"/>
  <c r="H36" i="13"/>
  <c r="K12" i="8"/>
  <c r="K18" i="8" s="1"/>
  <c r="K24" i="8" s="1"/>
  <c r="G12" i="8"/>
  <c r="G18" i="8" s="1"/>
  <c r="G24" i="8" s="1"/>
  <c r="F10" i="8"/>
  <c r="C12" i="8"/>
  <c r="C18" i="8" s="1"/>
  <c r="C24" i="8" s="1"/>
  <c r="E22" i="8"/>
  <c r="E18" i="11" s="1"/>
  <c r="I22" i="8"/>
  <c r="I18" i="11" s="1"/>
  <c r="J10" i="8"/>
  <c r="C10" i="8"/>
  <c r="G10" i="8"/>
  <c r="K10" i="8"/>
  <c r="J22" i="8"/>
  <c r="J18" i="11" s="1"/>
  <c r="M42" i="8"/>
  <c r="M47" i="8" s="1"/>
  <c r="H10" i="8"/>
  <c r="L10" i="8"/>
  <c r="C22" i="8"/>
  <c r="C18" i="11" s="1"/>
  <c r="G22" i="8"/>
  <c r="G18" i="11" s="1"/>
  <c r="K22" i="8"/>
  <c r="K18" i="11" s="1"/>
  <c r="F7" i="8"/>
  <c r="F5" i="11" s="1"/>
  <c r="D16" i="8"/>
  <c r="D17" i="11" s="1"/>
  <c r="H16" i="8"/>
  <c r="H17" i="11" s="1"/>
  <c r="L16" i="8"/>
  <c r="L17" i="11" s="1"/>
  <c r="D22" i="8"/>
  <c r="D18" i="11" s="1"/>
  <c r="H22" i="8"/>
  <c r="H18" i="11" s="1"/>
  <c r="L22" i="8"/>
  <c r="L18" i="11" s="1"/>
  <c r="J7" i="8"/>
  <c r="E16" i="8"/>
  <c r="E17" i="11" s="1"/>
  <c r="I16" i="8"/>
  <c r="I17" i="11" s="1"/>
  <c r="C16" i="8"/>
  <c r="C17" i="11" s="1"/>
  <c r="H12" i="8"/>
  <c r="K16" i="8"/>
  <c r="K17" i="11" s="1"/>
  <c r="M22" i="8"/>
  <c r="D7" i="8"/>
  <c r="D5" i="11" s="1"/>
  <c r="H7" i="8"/>
  <c r="H5" i="11" s="1"/>
  <c r="L7" i="8"/>
  <c r="E12" i="8"/>
  <c r="I12" i="8"/>
  <c r="M12" i="8"/>
  <c r="F22" i="8"/>
  <c r="F18" i="11" s="1"/>
  <c r="G7" i="8"/>
  <c r="G5" i="11" s="1"/>
  <c r="K7" i="8"/>
  <c r="D12" i="8"/>
  <c r="L12" i="8"/>
  <c r="G16" i="8"/>
  <c r="G17" i="11" s="1"/>
  <c r="E7" i="8"/>
  <c r="E5" i="11" s="1"/>
  <c r="I7" i="8"/>
  <c r="M7" i="8"/>
  <c r="F12" i="8"/>
  <c r="J12" i="8"/>
  <c r="M10" i="8"/>
  <c r="B6" i="6"/>
  <c r="D38" i="26" s="1"/>
  <c r="E1" i="6"/>
  <c r="K21" i="14" l="1"/>
  <c r="G13" i="8"/>
  <c r="G11" i="11" s="1"/>
  <c r="K25" i="8"/>
  <c r="K33" i="8"/>
  <c r="C28" i="13"/>
  <c r="C31" i="13"/>
  <c r="C25" i="8"/>
  <c r="C33" i="8"/>
  <c r="E12" i="13"/>
  <c r="E31" i="13"/>
  <c r="G25" i="8"/>
  <c r="G33" i="8"/>
  <c r="F16" i="13"/>
  <c r="F31" i="13"/>
  <c r="G70" i="8"/>
  <c r="G72" i="8" s="1"/>
  <c r="K16" i="14"/>
  <c r="K23" i="14" s="1"/>
  <c r="E23" i="14"/>
  <c r="J16" i="14"/>
  <c r="F113" i="8"/>
  <c r="C41" i="11"/>
  <c r="C70" i="8"/>
  <c r="C72" i="8" s="1"/>
  <c r="F40" i="11"/>
  <c r="E70" i="8"/>
  <c r="E72" i="8" s="1"/>
  <c r="G39" i="11"/>
  <c r="I16" i="14"/>
  <c r="H37" i="11"/>
  <c r="H39" i="11"/>
  <c r="H16" i="14"/>
  <c r="G10" i="14"/>
  <c r="C16" i="13"/>
  <c r="G113" i="8"/>
  <c r="F41" i="11"/>
  <c r="D44" i="15"/>
  <c r="E113" i="8"/>
  <c r="K34" i="8"/>
  <c r="K14" i="11" s="1"/>
  <c r="J37" i="25"/>
  <c r="I70" i="8"/>
  <c r="I72" i="8" s="1"/>
  <c r="H40" i="11"/>
  <c r="E44" i="15"/>
  <c r="H113" i="8"/>
  <c r="E39" i="11"/>
  <c r="C113" i="8"/>
  <c r="K113" i="8"/>
  <c r="D113" i="8"/>
  <c r="D39" i="11"/>
  <c r="L70" i="8"/>
  <c r="L72" i="8" s="1"/>
  <c r="F37" i="11"/>
  <c r="J21" i="14"/>
  <c r="I10" i="14"/>
  <c r="D22" i="13"/>
  <c r="D28" i="13"/>
  <c r="J37" i="11"/>
  <c r="F44" i="15"/>
  <c r="I37" i="11"/>
  <c r="K42" i="15"/>
  <c r="K15" i="15"/>
  <c r="C19" i="8"/>
  <c r="C12" i="11" s="1"/>
  <c r="C25" i="11"/>
  <c r="C21" i="11"/>
  <c r="C13" i="11"/>
  <c r="F7" i="13"/>
  <c r="L5" i="11"/>
  <c r="C13" i="8"/>
  <c r="C11" i="11" s="1"/>
  <c r="L113" i="8"/>
  <c r="G37" i="11"/>
  <c r="I42" i="15"/>
  <c r="H42" i="15"/>
  <c r="H15" i="15"/>
  <c r="G21" i="14"/>
  <c r="J10" i="14"/>
  <c r="C47" i="13"/>
  <c r="I9" i="11"/>
  <c r="C22" i="13"/>
  <c r="O31" i="11"/>
  <c r="N31" i="11"/>
  <c r="F22" i="13"/>
  <c r="D16" i="13"/>
  <c r="L41" i="11"/>
  <c r="L39" i="11"/>
  <c r="F12" i="13"/>
  <c r="F28" i="13"/>
  <c r="I41" i="11"/>
  <c r="I39" i="11"/>
  <c r="I30" i="15"/>
  <c r="G42" i="13"/>
  <c r="J42" i="13"/>
  <c r="H42" i="13"/>
  <c r="K42" i="13"/>
  <c r="I42" i="13"/>
  <c r="O27" i="11"/>
  <c r="N27" i="11"/>
  <c r="C34" i="11"/>
  <c r="E47" i="13"/>
  <c r="K9" i="11"/>
  <c r="C7" i="13"/>
  <c r="I5" i="11"/>
  <c r="D7" i="13"/>
  <c r="J5" i="11"/>
  <c r="O18" i="11"/>
  <c r="N18" i="11"/>
  <c r="J42" i="15"/>
  <c r="G16" i="14"/>
  <c r="J30" i="15"/>
  <c r="G30" i="15"/>
  <c r="I15" i="15"/>
  <c r="I21" i="14"/>
  <c r="H21" i="14"/>
  <c r="H10" i="14"/>
  <c r="D37" i="11"/>
  <c r="J70" i="8"/>
  <c r="J72" i="8" s="1"/>
  <c r="O29" i="11"/>
  <c r="N29" i="11"/>
  <c r="C36" i="11"/>
  <c r="O28" i="11"/>
  <c r="N28" i="11"/>
  <c r="C35" i="11"/>
  <c r="E28" i="13"/>
  <c r="G40" i="11"/>
  <c r="E10" i="13"/>
  <c r="K19" i="8"/>
  <c r="K12" i="11" s="1"/>
  <c r="K13" i="11"/>
  <c r="K19" i="11" s="1"/>
  <c r="K21" i="11"/>
  <c r="K25" i="11"/>
  <c r="F47" i="13"/>
  <c r="L9" i="11"/>
  <c r="H30" i="15"/>
  <c r="K70" i="8"/>
  <c r="K72" i="8" s="1"/>
  <c r="C12" i="13"/>
  <c r="H6" i="13"/>
  <c r="K6" i="13"/>
  <c r="J6" i="13"/>
  <c r="J31" i="13" s="1"/>
  <c r="I6" i="13"/>
  <c r="I31" i="13" s="1"/>
  <c r="G6" i="13"/>
  <c r="G31" i="13" s="1"/>
  <c r="E7" i="13"/>
  <c r="K5" i="11"/>
  <c r="O17" i="11"/>
  <c r="N17" i="11"/>
  <c r="K13" i="8"/>
  <c r="K11" i="11" s="1"/>
  <c r="C34" i="8"/>
  <c r="C14" i="11" s="1"/>
  <c r="G19" i="8"/>
  <c r="G12" i="11" s="1"/>
  <c r="G13" i="11"/>
  <c r="G19" i="11" s="1"/>
  <c r="G25" i="11"/>
  <c r="G21" i="11"/>
  <c r="K37" i="11"/>
  <c r="L37" i="11"/>
  <c r="G42" i="15"/>
  <c r="C44" i="15"/>
  <c r="K30" i="15"/>
  <c r="K39" i="11"/>
  <c r="K41" i="11"/>
  <c r="J15" i="15"/>
  <c r="G15" i="15"/>
  <c r="C23" i="14"/>
  <c r="K10" i="14"/>
  <c r="D12" i="13"/>
  <c r="D10" i="13"/>
  <c r="J113" i="8"/>
  <c r="J39" i="11"/>
  <c r="J41" i="11"/>
  <c r="D47" i="13"/>
  <c r="J9" i="11"/>
  <c r="E37" i="11"/>
  <c r="N30" i="11"/>
  <c r="O30" i="11"/>
  <c r="I113" i="8"/>
  <c r="F10" i="13"/>
  <c r="E22" i="13"/>
  <c r="E16" i="13"/>
  <c r="D40" i="11"/>
  <c r="C10" i="13"/>
  <c r="L18" i="8"/>
  <c r="L13" i="8"/>
  <c r="L11" i="11" s="1"/>
  <c r="K37" i="8"/>
  <c r="D18" i="8"/>
  <c r="D24" i="8" s="1"/>
  <c r="D13" i="8"/>
  <c r="D11" i="11" s="1"/>
  <c r="M18" i="8"/>
  <c r="M24" i="8" s="1"/>
  <c r="M13" i="8"/>
  <c r="G39" i="8"/>
  <c r="G34" i="8"/>
  <c r="G14" i="11" s="1"/>
  <c r="G37" i="8"/>
  <c r="I18" i="8"/>
  <c r="I13" i="8"/>
  <c r="I11" i="11" s="1"/>
  <c r="J18" i="8"/>
  <c r="J24" i="8" s="1"/>
  <c r="J13" i="8"/>
  <c r="J11" i="11" s="1"/>
  <c r="H18" i="8"/>
  <c r="H13" i="8"/>
  <c r="H11" i="11" s="1"/>
  <c r="F18" i="8"/>
  <c r="F24" i="8" s="1"/>
  <c r="F13" i="8"/>
  <c r="F11" i="11" s="1"/>
  <c r="E18" i="8"/>
  <c r="E24" i="8" s="1"/>
  <c r="E13" i="8"/>
  <c r="E11" i="11" s="1"/>
  <c r="K28" i="13" l="1"/>
  <c r="K31" i="13"/>
  <c r="E18" i="13"/>
  <c r="E13" i="13"/>
  <c r="F25" i="8"/>
  <c r="F33" i="8"/>
  <c r="K37" i="25"/>
  <c r="L24" i="8"/>
  <c r="E33" i="8"/>
  <c r="E25" i="8"/>
  <c r="G37" i="25"/>
  <c r="H24" i="8"/>
  <c r="H22" i="13"/>
  <c r="H31" i="13"/>
  <c r="J25" i="8"/>
  <c r="J33" i="8"/>
  <c r="D33" i="8"/>
  <c r="D25" i="8"/>
  <c r="H37" i="25"/>
  <c r="I24" i="8"/>
  <c r="M33" i="8"/>
  <c r="M25" i="8"/>
  <c r="K40" i="11"/>
  <c r="J23" i="14"/>
  <c r="E40" i="11"/>
  <c r="C40" i="11"/>
  <c r="H23" i="14"/>
  <c r="I23" i="14"/>
  <c r="C39" i="8"/>
  <c r="C23" i="11" s="1"/>
  <c r="J40" i="11"/>
  <c r="H10" i="13"/>
  <c r="L40" i="11"/>
  <c r="C37" i="8"/>
  <c r="K39" i="8"/>
  <c r="K44" i="15"/>
  <c r="I40" i="11"/>
  <c r="O39" i="11"/>
  <c r="K6" i="11"/>
  <c r="I37" i="25"/>
  <c r="H46" i="25"/>
  <c r="H48" i="25" s="1"/>
  <c r="H52" i="25" s="1"/>
  <c r="H39" i="25"/>
  <c r="H60" i="25" s="1"/>
  <c r="K46" i="25"/>
  <c r="K48" i="25" s="1"/>
  <c r="K52" i="25" s="1"/>
  <c r="K59" i="25" s="1"/>
  <c r="K39" i="25"/>
  <c r="K60" i="25" s="1"/>
  <c r="J46" i="25"/>
  <c r="J48" i="25" s="1"/>
  <c r="J52" i="25" s="1"/>
  <c r="J59" i="25" s="1"/>
  <c r="J39" i="25"/>
  <c r="J60" i="25" s="1"/>
  <c r="G46" i="25"/>
  <c r="G48" i="25" s="1"/>
  <c r="G39" i="25"/>
  <c r="N41" i="11"/>
  <c r="O41" i="11"/>
  <c r="G44" i="15"/>
  <c r="N5" i="11"/>
  <c r="N39" i="11"/>
  <c r="N9" i="11"/>
  <c r="F13" i="13"/>
  <c r="F18" i="13"/>
  <c r="F25" i="11"/>
  <c r="F21" i="11"/>
  <c r="F13" i="11"/>
  <c r="F19" i="11" s="1"/>
  <c r="F6" i="11"/>
  <c r="G23" i="11"/>
  <c r="D25" i="11"/>
  <c r="D21" i="11"/>
  <c r="D6" i="11"/>
  <c r="D13" i="11"/>
  <c r="D19" i="11" s="1"/>
  <c r="E48" i="13"/>
  <c r="D48" i="13"/>
  <c r="H28" i="13"/>
  <c r="H12" i="13"/>
  <c r="H7" i="13"/>
  <c r="H16" i="13"/>
  <c r="C19" i="11"/>
  <c r="K10" i="13"/>
  <c r="K22" i="13"/>
  <c r="K12" i="13"/>
  <c r="K16" i="13"/>
  <c r="K7" i="13"/>
  <c r="J47" i="13"/>
  <c r="G47" i="13"/>
  <c r="G48" i="13" s="1"/>
  <c r="H47" i="13"/>
  <c r="K47" i="13"/>
  <c r="I47" i="13"/>
  <c r="O5" i="11"/>
  <c r="J28" i="13"/>
  <c r="J10" i="13"/>
  <c r="J7" i="13"/>
  <c r="J12" i="13"/>
  <c r="J16" i="13"/>
  <c r="J22" i="13"/>
  <c r="C13" i="13"/>
  <c r="C18" i="13"/>
  <c r="H44" i="15"/>
  <c r="O11" i="11"/>
  <c r="N11" i="11"/>
  <c r="K23" i="11"/>
  <c r="I22" i="13"/>
  <c r="I10" i="13"/>
  <c r="I16" i="13"/>
  <c r="I12" i="13"/>
  <c r="I28" i="13"/>
  <c r="I7" i="13"/>
  <c r="O35" i="11"/>
  <c r="N35" i="11"/>
  <c r="C37" i="11"/>
  <c r="O34" i="11"/>
  <c r="N34" i="11"/>
  <c r="J25" i="11"/>
  <c r="J21" i="11"/>
  <c r="J13" i="11"/>
  <c r="J19" i="11" s="1"/>
  <c r="J6" i="11"/>
  <c r="I25" i="11"/>
  <c r="I21" i="11"/>
  <c r="I13" i="11"/>
  <c r="I19" i="11" s="1"/>
  <c r="I6" i="11"/>
  <c r="L25" i="11"/>
  <c r="L21" i="11"/>
  <c r="L13" i="11"/>
  <c r="L19" i="11" s="1"/>
  <c r="L6" i="11"/>
  <c r="E25" i="11"/>
  <c r="E6" i="11"/>
  <c r="E21" i="11"/>
  <c r="E13" i="11"/>
  <c r="E19" i="11" s="1"/>
  <c r="H25" i="11"/>
  <c r="H21" i="11"/>
  <c r="H6" i="11"/>
  <c r="H13" i="11"/>
  <c r="H19" i="11" s="1"/>
  <c r="D13" i="13"/>
  <c r="D18" i="13"/>
  <c r="G6" i="11"/>
  <c r="G12" i="13"/>
  <c r="G16" i="13"/>
  <c r="G7" i="13"/>
  <c r="G10" i="13"/>
  <c r="G28" i="13"/>
  <c r="G22" i="13"/>
  <c r="O36" i="11"/>
  <c r="N36" i="11"/>
  <c r="J44" i="15"/>
  <c r="F48" i="13"/>
  <c r="O9" i="11"/>
  <c r="G23" i="14"/>
  <c r="I44" i="15"/>
  <c r="E19" i="8"/>
  <c r="E12" i="11" s="1"/>
  <c r="H19" i="8"/>
  <c r="H12" i="11" s="1"/>
  <c r="M19" i="8"/>
  <c r="F19" i="8"/>
  <c r="F12" i="11" s="1"/>
  <c r="J19" i="8"/>
  <c r="J12" i="11" s="1"/>
  <c r="G44" i="8"/>
  <c r="G40" i="8"/>
  <c r="G15" i="11" s="1"/>
  <c r="D19" i="8"/>
  <c r="D12" i="11" s="1"/>
  <c r="D7" i="11"/>
  <c r="K44" i="8"/>
  <c r="K40" i="8"/>
  <c r="K15" i="11" s="1"/>
  <c r="I19" i="8"/>
  <c r="I12" i="11" s="1"/>
  <c r="L19" i="8"/>
  <c r="L12" i="11" s="1"/>
  <c r="I25" i="8" l="1"/>
  <c r="I33" i="8"/>
  <c r="H33" i="8"/>
  <c r="H7" i="11" s="1"/>
  <c r="H25" i="8"/>
  <c r="L33" i="8"/>
  <c r="L7" i="11" s="1"/>
  <c r="L25" i="8"/>
  <c r="E24" i="13"/>
  <c r="E19" i="13"/>
  <c r="C40" i="8"/>
  <c r="C15" i="11" s="1"/>
  <c r="C44" i="8"/>
  <c r="C48" i="8" s="1"/>
  <c r="C50" i="8" s="1"/>
  <c r="C22" i="11" s="1"/>
  <c r="K48" i="13"/>
  <c r="O40" i="11"/>
  <c r="N40" i="11"/>
  <c r="K62" i="25"/>
  <c r="J62" i="25"/>
  <c r="H59" i="25"/>
  <c r="H62" i="25" s="1"/>
  <c r="H48" i="13"/>
  <c r="I46" i="25"/>
  <c r="I48" i="25" s="1"/>
  <c r="I52" i="25" s="1"/>
  <c r="I59" i="25" s="1"/>
  <c r="I39" i="25"/>
  <c r="I60" i="25" s="1"/>
  <c r="O12" i="11"/>
  <c r="N25" i="11"/>
  <c r="O21" i="11"/>
  <c r="F19" i="13"/>
  <c r="F24" i="13"/>
  <c r="F33" i="13" s="1"/>
  <c r="F7" i="11"/>
  <c r="G7" i="11"/>
  <c r="E7" i="11"/>
  <c r="O25" i="11"/>
  <c r="G18" i="13"/>
  <c r="G13" i="13"/>
  <c r="N12" i="11"/>
  <c r="O37" i="11"/>
  <c r="N37" i="11"/>
  <c r="I48" i="13"/>
  <c r="O19" i="11"/>
  <c r="N19" i="11"/>
  <c r="C24" i="13"/>
  <c r="C33" i="13" s="1"/>
  <c r="C19" i="13"/>
  <c r="J13" i="13"/>
  <c r="J18" i="13"/>
  <c r="I18" i="13"/>
  <c r="I13" i="13"/>
  <c r="N21" i="11"/>
  <c r="K18" i="13"/>
  <c r="K13" i="13"/>
  <c r="N13" i="11"/>
  <c r="H13" i="13"/>
  <c r="H18" i="13"/>
  <c r="J7" i="11"/>
  <c r="K7" i="11"/>
  <c r="D19" i="13"/>
  <c r="D24" i="13"/>
  <c r="D33" i="13" s="1"/>
  <c r="J48" i="13"/>
  <c r="O13" i="11"/>
  <c r="O6" i="11"/>
  <c r="N6" i="11"/>
  <c r="K48" i="8"/>
  <c r="K50" i="8" s="1"/>
  <c r="K22" i="11" s="1"/>
  <c r="K24" i="11" s="1"/>
  <c r="G48" i="8"/>
  <c r="G50" i="8" s="1"/>
  <c r="G22" i="11" s="1"/>
  <c r="G24" i="11" s="1"/>
  <c r="I39" i="8"/>
  <c r="I34" i="8"/>
  <c r="I14" i="11" s="1"/>
  <c r="I37" i="8"/>
  <c r="J34" i="8"/>
  <c r="J14" i="11" s="1"/>
  <c r="J39" i="8"/>
  <c r="J37" i="8"/>
  <c r="L37" i="8"/>
  <c r="L39" i="8"/>
  <c r="L34" i="8"/>
  <c r="L14" i="11" s="1"/>
  <c r="F34" i="8"/>
  <c r="F14" i="11" s="1"/>
  <c r="F39" i="8"/>
  <c r="F37" i="8"/>
  <c r="E39" i="8"/>
  <c r="E34" i="8"/>
  <c r="E14" i="11" s="1"/>
  <c r="E37" i="8"/>
  <c r="D37" i="8"/>
  <c r="D39" i="8"/>
  <c r="D34" i="8"/>
  <c r="D14" i="11" s="1"/>
  <c r="M39" i="8"/>
  <c r="M34" i="8"/>
  <c r="M37" i="8"/>
  <c r="H39" i="8" l="1"/>
  <c r="H37" i="8"/>
  <c r="H34" i="8"/>
  <c r="H14" i="11" s="1"/>
  <c r="O14" i="11" s="1"/>
  <c r="E33" i="13"/>
  <c r="E25" i="13"/>
  <c r="I7" i="11"/>
  <c r="K54" i="25"/>
  <c r="K55" i="25"/>
  <c r="F9" i="26" s="1"/>
  <c r="I62" i="25"/>
  <c r="K64" i="25" s="1"/>
  <c r="O7" i="11"/>
  <c r="N7" i="11"/>
  <c r="N14" i="11"/>
  <c r="I19" i="13"/>
  <c r="I24" i="13"/>
  <c r="I33" i="13" s="1"/>
  <c r="C25" i="13"/>
  <c r="D23" i="11"/>
  <c r="D8" i="11"/>
  <c r="E23" i="11"/>
  <c r="E8" i="11"/>
  <c r="J23" i="11"/>
  <c r="J8" i="11"/>
  <c r="K8" i="11"/>
  <c r="I23" i="11"/>
  <c r="I8" i="11"/>
  <c r="C24" i="11"/>
  <c r="D25" i="13"/>
  <c r="H19" i="13"/>
  <c r="H24" i="13"/>
  <c r="H33" i="13" s="1"/>
  <c r="K24" i="13"/>
  <c r="K33" i="13" s="1"/>
  <c r="K19" i="13"/>
  <c r="J19" i="13"/>
  <c r="J24" i="13"/>
  <c r="J33" i="13" s="1"/>
  <c r="G19" i="13"/>
  <c r="G24" i="13"/>
  <c r="G33" i="13" s="1"/>
  <c r="F25" i="13"/>
  <c r="H23" i="11"/>
  <c r="H8" i="11"/>
  <c r="L23" i="11"/>
  <c r="L8" i="11"/>
  <c r="F23" i="11"/>
  <c r="F8" i="11"/>
  <c r="G8" i="11"/>
  <c r="H44" i="8"/>
  <c r="H40" i="8"/>
  <c r="H15" i="11" s="1"/>
  <c r="L44" i="8"/>
  <c r="L40" i="8"/>
  <c r="L15" i="11" s="1"/>
  <c r="F40" i="8"/>
  <c r="F15" i="11" s="1"/>
  <c r="F44" i="8"/>
  <c r="M44" i="8"/>
  <c r="M40" i="8"/>
  <c r="D44" i="8"/>
  <c r="D40" i="8"/>
  <c r="D15" i="11" s="1"/>
  <c r="E44" i="8"/>
  <c r="E40" i="8"/>
  <c r="E15" i="11" s="1"/>
  <c r="J40" i="8"/>
  <c r="J15" i="11" s="1"/>
  <c r="J44" i="8"/>
  <c r="I44" i="8"/>
  <c r="I40" i="8"/>
  <c r="I15" i="11" s="1"/>
  <c r="E39" i="13" l="1"/>
  <c r="E34" i="13"/>
  <c r="E37" i="13"/>
  <c r="K65" i="25"/>
  <c r="F10" i="26"/>
  <c r="N8" i="11"/>
  <c r="O8" i="11"/>
  <c r="I25" i="13"/>
  <c r="K25" i="13"/>
  <c r="N23" i="11"/>
  <c r="O23" i="11"/>
  <c r="N15" i="11"/>
  <c r="O15" i="11"/>
  <c r="D39" i="13"/>
  <c r="D34" i="13"/>
  <c r="D37" i="13"/>
  <c r="J25" i="13"/>
  <c r="H25" i="13"/>
  <c r="G25" i="13"/>
  <c r="F39" i="13"/>
  <c r="F34" i="13"/>
  <c r="F37" i="13"/>
  <c r="C37" i="13"/>
  <c r="C34" i="13"/>
  <c r="C39" i="13"/>
  <c r="I45" i="8"/>
  <c r="C45" i="13" s="1"/>
  <c r="I48" i="8"/>
  <c r="C48" i="13" s="1"/>
  <c r="E45" i="8"/>
  <c r="E48" i="8"/>
  <c r="E50" i="8" s="1"/>
  <c r="E22" i="11" s="1"/>
  <c r="E24" i="11" s="1"/>
  <c r="M45" i="8"/>
  <c r="M48" i="8"/>
  <c r="M50" i="8" s="1"/>
  <c r="L45" i="8"/>
  <c r="L48" i="8"/>
  <c r="L50" i="8" s="1"/>
  <c r="L22" i="11" s="1"/>
  <c r="L24" i="11" s="1"/>
  <c r="J45" i="8"/>
  <c r="J48" i="8"/>
  <c r="J50" i="8" s="1"/>
  <c r="J22" i="11" s="1"/>
  <c r="J24" i="11" s="1"/>
  <c r="K45" i="8"/>
  <c r="F45" i="8"/>
  <c r="F48" i="8"/>
  <c r="F50" i="8" s="1"/>
  <c r="F22" i="11" s="1"/>
  <c r="F24" i="11" s="1"/>
  <c r="G45" i="8"/>
  <c r="D45" i="8"/>
  <c r="D48" i="8"/>
  <c r="D50" i="8" s="1"/>
  <c r="D22" i="11" s="1"/>
  <c r="H45" i="8"/>
  <c r="H48" i="8"/>
  <c r="H50" i="8" s="1"/>
  <c r="H22" i="11" s="1"/>
  <c r="H24" i="11" s="1"/>
  <c r="E40" i="13" l="1"/>
  <c r="E44" i="13"/>
  <c r="E50" i="13" s="1"/>
  <c r="I50" i="8"/>
  <c r="I22" i="11" s="1"/>
  <c r="I24" i="11" s="1"/>
  <c r="G10" i="26"/>
  <c r="H9" i="26"/>
  <c r="J39" i="13"/>
  <c r="J34" i="13"/>
  <c r="J37" i="13"/>
  <c r="C40" i="13"/>
  <c r="C44" i="13"/>
  <c r="C50" i="13" s="1"/>
  <c r="G39" i="13"/>
  <c r="G37" i="13"/>
  <c r="G34" i="13"/>
  <c r="H39" i="13"/>
  <c r="H34" i="13"/>
  <c r="H37" i="13"/>
  <c r="I39" i="13"/>
  <c r="I34" i="13"/>
  <c r="I37" i="13"/>
  <c r="D24" i="11"/>
  <c r="N22" i="11"/>
  <c r="F44" i="13"/>
  <c r="F50" i="13" s="1"/>
  <c r="F40" i="13"/>
  <c r="K39" i="13"/>
  <c r="K34" i="13"/>
  <c r="K37" i="13"/>
  <c r="D40" i="13"/>
  <c r="D44" i="13"/>
  <c r="D50" i="13" s="1"/>
  <c r="O22" i="11" l="1"/>
  <c r="I9" i="26"/>
  <c r="H10" i="26"/>
  <c r="G44" i="13"/>
  <c r="G50" i="13" s="1"/>
  <c r="G40" i="13"/>
  <c r="H44" i="13"/>
  <c r="H50" i="13" s="1"/>
  <c r="H40" i="13"/>
  <c r="F45" i="13"/>
  <c r="J44" i="13"/>
  <c r="J50" i="13" s="1"/>
  <c r="J40" i="13"/>
  <c r="E45" i="13"/>
  <c r="D45" i="13"/>
  <c r="K40" i="13"/>
  <c r="K44" i="13"/>
  <c r="K50" i="13" s="1"/>
  <c r="I40" i="13"/>
  <c r="I44" i="13"/>
  <c r="I50" i="13" s="1"/>
  <c r="N24" i="11"/>
  <c r="O24" i="11"/>
  <c r="J9" i="26" l="1"/>
  <c r="J10" i="26" s="1"/>
  <c r="I10" i="26"/>
  <c r="K45" i="13"/>
  <c r="H45" i="13"/>
  <c r="I45" i="13"/>
  <c r="J45" i="13"/>
  <c r="G45" i="13"/>
  <c r="K37" i="19"/>
  <c r="D18" i="26" s="1"/>
  <c r="J12" i="26" l="1"/>
  <c r="J14" i="26" s="1"/>
  <c r="I12" i="26"/>
  <c r="I14" i="26" s="1"/>
  <c r="G12" i="26"/>
  <c r="G14" i="26" s="1"/>
  <c r="D27" i="26"/>
  <c r="K12" i="26"/>
  <c r="K14" i="26" s="1"/>
  <c r="H12" i="26"/>
  <c r="H14" i="26" s="1"/>
  <c r="D32" i="26" l="1"/>
  <c r="D31" i="26"/>
  <c r="D33" i="26" l="1"/>
  <c r="F22" i="26" s="1"/>
  <c r="D37" i="26" l="1"/>
  <c r="D40" i="26" s="1"/>
  <c r="F30" i="26" s="1"/>
  <c r="D43" i="26" l="1"/>
</calcChain>
</file>

<file path=xl/sharedStrings.xml><?xml version="1.0" encoding="utf-8"?>
<sst xmlns="http://schemas.openxmlformats.org/spreadsheetml/2006/main" count="710" uniqueCount="395">
  <si>
    <t>Years</t>
  </si>
  <si>
    <t>LTM</t>
  </si>
  <si>
    <t>#</t>
  </si>
  <si>
    <t>Income Statement</t>
  </si>
  <si>
    <t>Sales</t>
  </si>
  <si>
    <t>Sales Growth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</si>
  <si>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</si>
  <si>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</si>
  <si>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</si>
  <si>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</si>
  <si>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</si>
  <si>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</si>
  <si>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</si>
  <si>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</si>
  <si>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</si>
  <si>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</t>
  </si>
  <si>
    <t>Interest % Sales</t>
  </si>
  <si>
    <t>Depreciation</t>
  </si>
  <si>
    <t>Depreciation % Sales</t>
  </si>
  <si>
    <t>Earnings Before Tax</t>
  </si>
  <si>
    <t>EBT % Sales</t>
  </si>
  <si>
    <t>Tax</t>
  </si>
  <si>
    <t>Effective Tax Rate</t>
  </si>
  <si>
    <t>Net Profit</t>
  </si>
  <si>
    <t>Net Margins</t>
  </si>
  <si>
    <t>No of Equity Shares</t>
  </si>
  <si>
    <t>EPS</t>
  </si>
  <si>
    <t>EPS Growth</t>
  </si>
  <si>
    <t>DPS</t>
  </si>
  <si>
    <t>Dividend Payout Ratio</t>
  </si>
  <si>
    <t>Retained Earnings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</si>
  <si>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</si>
  <si>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</si>
  <si>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</si>
  <si>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</si>
  <si>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</si>
  <si>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</si>
  <si>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</si>
  <si>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</si>
  <si>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</si>
  <si>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</si>
  <si>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Non-Current Assets</t>
  </si>
  <si>
    <t>Receivables</t>
  </si>
  <si>
    <t>Inventory</t>
  </si>
  <si>
    <t>Cash &amp; Bank</t>
  </si>
  <si>
    <t>Total Current Assets</t>
  </si>
  <si>
    <t>Total Assets</t>
  </si>
  <si>
    <t>Check</t>
  </si>
  <si>
    <t>Cash Flow Statements</t>
  </si>
  <si>
    <t>Operating Activities</t>
  </si>
  <si>
    <t>Profit from operations</t>
  </si>
  <si>
    <t>Payables</t>
  </si>
  <si>
    <t>Loans Advances</t>
  </si>
  <si>
    <t>Other WC items</t>
  </si>
  <si>
    <t>Direct taxes</t>
  </si>
  <si>
    <t>Cash From Operating Activities</t>
  </si>
  <si>
    <t>Investing Activites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</si>
  <si>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</si>
  <si>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</si>
  <si>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</si>
  <si>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</si>
  <si>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</si>
  <si>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</si>
  <si>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</si>
  <si>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</si>
  <si>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</si>
  <si>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</si>
  <si>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</si>
  <si>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Investing Activites</t>
  </si>
  <si>
    <t>Financing Activities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</si>
  <si>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</si>
  <si>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</si>
  <si>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</si>
  <si>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</si>
  <si>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</si>
  <si>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</si>
  <si>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</si>
  <si>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</si>
  <si>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Financing Activities</t>
  </si>
  <si>
    <t>Net Cash Flow</t>
  </si>
  <si>
    <t>Trend</t>
  </si>
  <si>
    <t>Mean</t>
  </si>
  <si>
    <t>Median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</si>
  <si>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</si>
  <si>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</si>
  <si>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</si>
  <si>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</si>
  <si>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</si>
  <si>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</si>
  <si>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</si>
  <si>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</si>
  <si>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</si>
  <si>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 % Sales</t>
  </si>
  <si>
    <t>OperatingIncome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</si>
  <si>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</si>
  <si>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</si>
  <si>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</si>
  <si>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</si>
  <si>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</si>
  <si>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</si>
  <si>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</si>
  <si>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</si>
  <si>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Assets Turnover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</si>
  <si>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</si>
  <si>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</si>
  <si>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</si>
  <si>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</si>
  <si>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</si>
  <si>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</si>
  <si>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</si>
  <si>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</si>
  <si>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</si>
  <si>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Weight</t>
  </si>
  <si>
    <t>S&amp;G Expenses</t>
  </si>
  <si>
    <t>EBIT</t>
  </si>
  <si>
    <t>EBIT Margins</t>
  </si>
  <si>
    <t>EBT</t>
  </si>
  <si>
    <t>EBT Margins</t>
  </si>
  <si>
    <t>EPS Growth Rate</t>
  </si>
  <si>
    <t>DPS Growth Rate</t>
  </si>
  <si>
    <t>Peer Comps</t>
  </si>
  <si>
    <t>Debt/</t>
  </si>
  <si>
    <t>Levered</t>
  </si>
  <si>
    <t>Unlevered</t>
  </si>
  <si>
    <t>Name of the Company</t>
  </si>
  <si>
    <t>Country</t>
  </si>
  <si>
    <t>Total Debt</t>
  </si>
  <si>
    <t>Total Equity</t>
  </si>
  <si>
    <t>Equity</t>
  </si>
  <si>
    <t>Capital</t>
  </si>
  <si>
    <t>India</t>
  </si>
  <si>
    <t>Average</t>
  </si>
  <si>
    <t>Cost of Debt</t>
  </si>
  <si>
    <t>Cost of Equity</t>
  </si>
  <si>
    <t>Risk Free Rate</t>
  </si>
  <si>
    <t>Pre-Tax Cost of Debt</t>
  </si>
  <si>
    <t>Equity Risk Premium</t>
  </si>
  <si>
    <t>Tax Rate</t>
  </si>
  <si>
    <t>Post-Tax Cost of Debt</t>
  </si>
  <si>
    <t>Capital Structure</t>
  </si>
  <si>
    <t xml:space="preserve">Levered Beta  </t>
  </si>
  <si>
    <t>Current</t>
  </si>
  <si>
    <t>Target</t>
  </si>
  <si>
    <t>Comps Median Unlevered Beta</t>
  </si>
  <si>
    <t>Target Debt / Equity</t>
  </si>
  <si>
    <t>Market Cap</t>
  </si>
  <si>
    <t>Total Capital</t>
  </si>
  <si>
    <t>Levered Beta</t>
  </si>
  <si>
    <t>Debt/Equity</t>
  </si>
  <si>
    <t>Weighted Average Cost of Capital</t>
  </si>
  <si>
    <t>Total Cost</t>
  </si>
  <si>
    <t>Total Weight</t>
  </si>
  <si>
    <t>Notes:</t>
  </si>
  <si>
    <t xml:space="preserve">Debt </t>
  </si>
  <si>
    <t>1. Tax Rate considered as Marginal Tax Rate for the country</t>
  </si>
  <si>
    <t xml:space="preserve">Equity  </t>
  </si>
  <si>
    <t>2. Levered Beta is based on 5 years monthly data</t>
  </si>
  <si>
    <t>WACC</t>
  </si>
  <si>
    <t>3. Unlevered Beta = Levered Beta /(1+(1-TaxRate)*Debt/Equity)</t>
  </si>
  <si>
    <t>4. Levered Beta = Unlevered Beta *(1+(1-TaxRate)*Debt/Equity</t>
  </si>
  <si>
    <t>COMPANY NAME</t>
  </si>
  <si>
    <t>AVENUE SUPERMARTS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</si>
  <si>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</si>
  <si>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</si>
  <si>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</si>
  <si>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</si>
  <si>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</si>
  <si>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</si>
  <si>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</si>
  <si>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</si>
  <si>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</si>
  <si>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</si>
  <si>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</si>
  <si>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</si>
  <si>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</si>
  <si>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</si>
  <si>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</si>
  <si>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</si>
  <si>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</si>
  <si>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</si>
  <si>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</si>
  <si>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</si>
  <si>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</si>
  <si>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</si>
  <si>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</si>
  <si>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</si>
  <si>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</si>
  <si>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</si>
  <si>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</si>
  <si>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</si>
  <si>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</si>
  <si>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</si>
  <si>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</si>
  <si>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</si>
  <si>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</si>
  <si>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</si>
  <si>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PRICE:</t>
  </si>
  <si>
    <t>DERIVED:</t>
  </si>
  <si>
    <t>Adjusted Equity Shares in Cr</t>
  </si>
  <si>
    <t>Cash from Operating Activity -</t>
  </si>
  <si>
    <t>Working capital changes</t>
  </si>
  <si>
    <t>Cash from Investing Activity -</t>
  </si>
  <si>
    <t>Cash from Financing Activity -</t>
  </si>
  <si>
    <t>Beta Calculation</t>
  </si>
  <si>
    <t>Regression Beta - 5 Years Monthly</t>
  </si>
  <si>
    <t>Monthly Returns</t>
  </si>
  <si>
    <t>Nifty 50</t>
  </si>
  <si>
    <t>Beta Drifting</t>
  </si>
  <si>
    <t>Date</t>
  </si>
  <si>
    <t>Closing Price</t>
  </si>
  <si>
    <t>Return</t>
  </si>
  <si>
    <t>Levered Raw Beta</t>
  </si>
  <si>
    <t>SUMMARY OUTPUT</t>
  </si>
  <si>
    <t>Beta Weight</t>
  </si>
  <si>
    <t>Regression Statistics</t>
  </si>
  <si>
    <t xml:space="preserve">Market Beta </t>
  </si>
  <si>
    <t>Multiple R</t>
  </si>
  <si>
    <t>Market Beta Weight</t>
  </si>
  <si>
    <t>R Square</t>
  </si>
  <si>
    <t>Adjusted R Square</t>
  </si>
  <si>
    <t>Adjusted Beta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</si>
  <si>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</si>
  <si>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</si>
  <si>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</si>
  <si>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</si>
  <si>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</si>
  <si>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</si>
  <si>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</si>
  <si>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</si>
  <si>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</si>
  <si>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</si>
  <si>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</si>
  <si>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</si>
  <si>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</si>
  <si>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</si>
  <si>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</si>
  <si>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</si>
  <si>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</si>
  <si>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</si>
  <si>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</si>
  <si>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S.No.</t>
  </si>
  <si>
    <t>Name</t>
  </si>
  <si>
    <t>CMP Rs.</t>
  </si>
  <si>
    <t xml:space="preserve">Mar Cap Rs.Cr. </t>
  </si>
  <si>
    <t>Debt Rs.Cr.</t>
  </si>
  <si>
    <t>Debt / Eq</t>
  </si>
  <si>
    <t>Year</t>
  </si>
  <si>
    <t>Annual</t>
  </si>
  <si>
    <t>Return on Markets</t>
  </si>
  <si>
    <t>Average Return</t>
  </si>
  <si>
    <t>Dividend Yield</t>
  </si>
  <si>
    <t>Total Market Return</t>
  </si>
  <si>
    <t>Int</t>
  </si>
  <si>
    <t>Particulars</t>
  </si>
  <si>
    <t>Actual Other Assets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</si>
  <si>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</si>
  <si>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</si>
  <si>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</si>
  <si>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</si>
  <si>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</si>
  <si>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</si>
  <si>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</si>
  <si>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</si>
  <si>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</si>
  <si>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</si>
  <si>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</si>
  <si>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</si>
  <si>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</si>
  <si>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</si>
  <si>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</si>
  <si>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</si>
  <si>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</si>
  <si>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</si>
  <si>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</si>
  <si>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</si>
  <si>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</si>
  <si>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</si>
  <si>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</si>
  <si>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</si>
  <si>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</si>
  <si>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</si>
  <si>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</si>
  <si>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</si>
  <si>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</si>
  <si>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</si>
  <si>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</si>
  <si>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</si>
  <si>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</si>
  <si>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</si>
  <si>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</si>
  <si>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Non-Current Assets</t>
  </si>
  <si>
    <t>Net Non-Current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</si>
  <si>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</si>
  <si>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</si>
  <si>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</si>
  <si>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</si>
  <si>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</si>
  <si>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</si>
  <si>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</si>
  <si>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</si>
  <si>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EBIT(1-T)</t>
  </si>
  <si>
    <t>4 Year Average</t>
  </si>
  <si>
    <t>4 Year Median</t>
  </si>
  <si>
    <t>Calculation of Growth Rate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</si>
  <si>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</si>
  <si>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</si>
  <si>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</si>
  <si>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</si>
  <si>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</si>
  <si>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</si>
  <si>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</si>
  <si>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</si>
  <si>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</si>
  <si>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</si>
  <si>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</si>
  <si>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</si>
  <si>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</si>
  <si>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</si>
  <si>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</si>
  <si>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 : Cash</t>
  </si>
  <si>
    <t>Less : Debt</t>
  </si>
  <si>
    <t>Calculation of Equity Value per Share</t>
  </si>
  <si>
    <t>Value of Equity</t>
  </si>
  <si>
    <t>No of Shares</t>
  </si>
  <si>
    <t>Equity Value per Share</t>
  </si>
  <si>
    <t xml:space="preserve">Share Price </t>
  </si>
  <si>
    <t>Discount/Premium</t>
  </si>
  <si>
    <t>Comparable Company 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</si>
  <si>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</si>
  <si>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</si>
  <si>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</si>
  <si>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</si>
  <si>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</si>
  <si>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</si>
  <si>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</si>
  <si>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Market Data</t>
  </si>
  <si>
    <t>Revenue</t>
  </si>
  <si>
    <t>Net Income</t>
  </si>
  <si>
    <t>Valuation</t>
  </si>
  <si>
    <t>Financials</t>
  </si>
  <si>
    <t>No. Eq. Shares Cr.</t>
  </si>
  <si>
    <t>Cash End Rs.Cr.</t>
  </si>
  <si>
    <t>EV Rs.Cr.</t>
  </si>
  <si>
    <t>Sales Rs.Cr.</t>
  </si>
  <si>
    <t>NP 12M Rs.Cr.</t>
  </si>
  <si>
    <t>Market Value</t>
  </si>
  <si>
    <t>EBITDA Margins Rs.Cr.</t>
  </si>
  <si>
    <t>EV / EBITDA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</si>
  <si>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</si>
  <si>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</si>
  <si>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</si>
  <si>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</si>
  <si>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</si>
  <si>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</si>
  <si>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</si>
  <si>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</si>
  <si>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</si>
  <si>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Implied Value per Share</t>
  </si>
  <si>
    <t>Comps</t>
  </si>
  <si>
    <t>DCF Bear</t>
  </si>
  <si>
    <t>DCF Base</t>
  </si>
  <si>
    <t>DCF Bull</t>
  </si>
  <si>
    <t>52W H/L</t>
  </si>
  <si>
    <t>OpenLow</t>
  </si>
  <si>
    <t>OpenHigh</t>
  </si>
  <si>
    <t>Sensitivity Analysis - EV</t>
  </si>
  <si>
    <t>Sensitivity Analysis - Share Price</t>
  </si>
  <si>
    <t>Football Field Analysis - Data</t>
  </si>
  <si>
    <t>HISTORICAL FINANCIAL STATEMENTS, RATIO ANALYSIS, COMMON SIZE STATEMENT, P&amp;L FORECAST, BS FORECAST &amp; CASH FLOWS FORECAST</t>
  </si>
  <si>
    <t>WEIGHTED AVERAGE COST OF CAPITAL, INTRINSIC GROWTH, DCF VALUATION (WITH SENSITIVITY ANALYSIS)</t>
  </si>
  <si>
    <t>RELATIVE VALUATION USING EV/EBITDA, EV/REVENUE &amp; P/E &amp; FOOTBALL FIELD ANALYSIS</t>
  </si>
  <si>
    <r>
      <t xml:space="preserve">Tax Rate </t>
    </r>
    <r>
      <rPr>
        <vertAlign val="superscript"/>
        <sz val="11"/>
        <color rgb="FF002060"/>
        <rFont val="Calibri"/>
        <family val="2"/>
        <scheme val="minor"/>
      </rPr>
      <t>1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</si>
  <si>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</si>
  <si>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3</t>
    </r>
  </si>
  <si>
    <r>
      <t xml:space="preserve">Levered Beta </t>
    </r>
    <r>
      <rPr>
        <vertAlign val="superscript"/>
        <sz val="11"/>
        <color rgb="FF002060"/>
        <rFont val="Calibri"/>
        <family val="2"/>
        <scheme val="minor"/>
      </rPr>
      <t>4</t>
    </r>
  </si>
  <si>
    <t>DATA SHEET FROM SCREENER &amp; CASH FLOWS MANUAL FROM SCREENER</t>
  </si>
  <si>
    <t>DATA SHEETS FOR CALCULATIONS &amp; VALUATIONS!</t>
  </si>
  <si>
    <t>RAW BALANCE SHEET, REGRESSION BETA, COMPARABLE COMPS BETA, PEERS LIST, RETURN ON MARKETS</t>
  </si>
  <si>
    <t>Mar Cap Rs.Cr.</t>
  </si>
  <si>
    <t>Other Income % Sales</t>
  </si>
  <si>
    <t xml:space="preserve">EBIT </t>
  </si>
  <si>
    <t>EBITMargins</t>
  </si>
  <si>
    <t>Operating investments</t>
  </si>
  <si>
    <t>Proceeds from debentures</t>
  </si>
  <si>
    <t>Application money refund</t>
  </si>
  <si>
    <t>Investment Income</t>
  </si>
  <si>
    <t>Operating Investments</t>
  </si>
  <si>
    <t>Proceeds from Debentures</t>
  </si>
  <si>
    <t>Avenue Super.</t>
  </si>
  <si>
    <t>Trent</t>
  </si>
  <si>
    <t>Vedant Fashions</t>
  </si>
  <si>
    <t>Redtape</t>
  </si>
  <si>
    <t>Electronics Mart</t>
  </si>
  <si>
    <t>Medplus Health</t>
  </si>
  <si>
    <t>Ethos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</si>
</sst>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[$-409]mmm\-yy;@"/>
    <numFmt numFmtId="167" formatCode="&quot;₹&quot;\ #,##0.00"/>
    <numFmt numFmtId="168" formatCode="&quot;₹&quot;\ #,##0.0;\(&quot;₹&quot;\ #,##0.0\);\-"/>
    <numFmt numFmtId="169" formatCode="0.00&quot;x&quot;"/>
    <numFmt numFmtId="170" formatCode="yyyy&quot;A&quot;"/>
    <numFmt numFmtId="171" formatCode="yyyy&quot;F&quot;"/>
    <numFmt numFmtId="172" formatCode="&quot;₹&quot;\ #,##0.0"/>
    <numFmt numFmtId="173" formatCode="0.0"/>
    <numFmt numFmtId="174" formatCode="#,##0.0"/>
    <numFmt numFmtId="175" formatCode="#,###.00%;\(#,###.00%\)"/>
    <numFmt numFmtId="176" formatCode="_-* #,##0.0_-;\-* #,##0.0_-;_-* &quot;-&quot;??_-;_-@_-"/>
    <numFmt numFmtId="177" formatCode="_ * #,##0.0_ ;_ * \-#,##0.0_ ;_ * &quot;-&quot;??_ ;_ @_ "/>
    <numFmt numFmtId="178" formatCode="#,##0.0;\(#,##0.0\);\-"/>
    <numFmt numFmtId="179" formatCode="mmm/yy&quot;F&quot;"/>
    <numFmt numFmtId="180" formatCode="mmm/yy&quot;A&quot;"/>
    <numFmt numFmtId="181" formatCode="0.000"/>
    <numFmt numFmtId="182" formatCode="0.00\x"/>
    <numFmt numFmtId="183" formatCode="0.0\x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vertAlign val="superscript"/>
      <sz val="11"/>
      <color rgb="FF002060"/>
      <name val="Calibri"/>
      <family val="2"/>
      <scheme val="minor"/>
    </font>
    <font>
      <i/>
      <sz val="9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26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6" fontId="2" fillId="3" borderId="0" xfId="0" applyNumberFormat="1" applyFont="1" applyFill="1" applyAlignment="1">
      <alignment horizontal="center"/>
    </xf>
    <xf numFmtId="166" fontId="2" fillId="3" borderId="0" xfId="1" applyNumberFormat="1" applyFont="1" applyFill="1" applyBorder="1"/>
    <xf numFmtId="166" fontId="6" fillId="0" borderId="0" xfId="1" applyNumberFormat="1" applyFont="1" applyFill="1" applyBorder="1"/>
    <xf numFmtId="164" fontId="0" fillId="0" borderId="0" xfId="1" applyNumberFormat="1" applyFont="1" applyBorder="1"/>
    <xf numFmtId="0" fontId="5" fillId="4" borderId="0" xfId="0" applyFont="1" applyFill="1"/>
    <xf numFmtId="17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0" fontId="1" fillId="5" borderId="0" xfId="0" applyFont="1" applyFill="1"/>
    <xf numFmtId="0" fontId="0" fillId="5" borderId="0" xfId="0" applyFill="1"/>
    <xf numFmtId="168" fontId="1" fillId="0" borderId="0" xfId="0" applyNumberFormat="1" applyFont="1"/>
    <xf numFmtId="3" fontId="0" fillId="0" borderId="0" xfId="0" applyNumberFormat="1"/>
    <xf numFmtId="167" fontId="1" fillId="0" borderId="1" xfId="0" applyNumberFormat="1" applyFont="1" applyBorder="1"/>
    <xf numFmtId="168" fontId="1" fillId="0" borderId="1" xfId="0" applyNumberFormat="1" applyFont="1" applyBorder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5" fillId="4" borderId="0" xfId="0" applyNumberFormat="1" applyFont="1" applyFill="1" applyAlignment="1">
      <alignment horizontal="right"/>
    </xf>
    <xf numFmtId="0" fontId="0" fillId="6" borderId="0" xfId="0" applyFill="1"/>
    <xf numFmtId="170" fontId="5" fillId="4" borderId="0" xfId="0" applyNumberFormat="1" applyFont="1" applyFill="1"/>
    <xf numFmtId="172" fontId="0" fillId="0" borderId="0" xfId="0" applyNumberFormat="1"/>
    <xf numFmtId="0" fontId="8" fillId="0" borderId="0" xfId="0" applyFont="1"/>
    <xf numFmtId="10" fontId="8" fillId="0" borderId="0" xfId="4" applyNumberFormat="1" applyFont="1"/>
    <xf numFmtId="172" fontId="0" fillId="6" borderId="0" xfId="0" applyNumberFormat="1" applyFill="1"/>
    <xf numFmtId="10" fontId="8" fillId="6" borderId="0" xfId="4" applyNumberFormat="1" applyFont="1" applyFill="1"/>
    <xf numFmtId="0" fontId="5" fillId="7" borderId="0" xfId="0" applyFont="1" applyFill="1"/>
    <xf numFmtId="171" fontId="5" fillId="7" borderId="0" xfId="0" applyNumberFormat="1" applyFont="1" applyFill="1"/>
    <xf numFmtId="173" fontId="0" fillId="0" borderId="0" xfId="0" applyNumberFormat="1"/>
    <xf numFmtId="10" fontId="8" fillId="0" borderId="0" xfId="0" applyNumberFormat="1" applyFont="1"/>
    <xf numFmtId="173" fontId="0" fillId="6" borderId="0" xfId="0" applyNumberFormat="1" applyFill="1"/>
    <xf numFmtId="168" fontId="9" fillId="6" borderId="0" xfId="0" applyNumberFormat="1" applyFont="1" applyFill="1"/>
    <xf numFmtId="0" fontId="9" fillId="6" borderId="0" xfId="0" applyFont="1" applyFill="1"/>
    <xf numFmtId="0" fontId="5" fillId="0" borderId="0" xfId="0" applyFont="1"/>
    <xf numFmtId="170" fontId="5" fillId="0" borderId="0" xfId="0" applyNumberFormat="1" applyFont="1"/>
    <xf numFmtId="171" fontId="5" fillId="0" borderId="0" xfId="0" applyNumberFormat="1" applyFont="1"/>
    <xf numFmtId="172" fontId="1" fillId="0" borderId="0" xfId="0" applyNumberFormat="1" applyFont="1"/>
    <xf numFmtId="172" fontId="1" fillId="6" borderId="0" xfId="0" applyNumberFormat="1" applyFont="1" applyFill="1"/>
    <xf numFmtId="172" fontId="1" fillId="0" borderId="4" xfId="0" applyNumberFormat="1" applyFont="1" applyBorder="1"/>
    <xf numFmtId="172" fontId="1" fillId="6" borderId="4" xfId="0" applyNumberFormat="1" applyFont="1" applyFill="1" applyBorder="1"/>
    <xf numFmtId="0" fontId="1" fillId="0" borderId="5" xfId="0" applyFont="1" applyBorder="1"/>
    <xf numFmtId="172" fontId="1" fillId="0" borderId="5" xfId="0" applyNumberFormat="1" applyFont="1" applyBorder="1"/>
    <xf numFmtId="172" fontId="1" fillId="6" borderId="5" xfId="0" applyNumberFormat="1" applyFont="1" applyFill="1" applyBorder="1"/>
    <xf numFmtId="168" fontId="1" fillId="0" borderId="5" xfId="0" applyNumberFormat="1" applyFont="1" applyBorder="1"/>
    <xf numFmtId="168" fontId="10" fillId="6" borderId="5" xfId="0" applyNumberFormat="1" applyFont="1" applyFill="1" applyBorder="1"/>
    <xf numFmtId="168" fontId="1" fillId="0" borderId="4" xfId="0" applyNumberFormat="1" applyFont="1" applyBorder="1"/>
    <xf numFmtId="168" fontId="10" fillId="6" borderId="4" xfId="0" applyNumberFormat="1" applyFont="1" applyFill="1" applyBorder="1"/>
    <xf numFmtId="175" fontId="0" fillId="0" borderId="0" xfId="4" applyNumberFormat="1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10" fontId="0" fillId="0" borderId="0" xfId="0" applyNumberFormat="1"/>
    <xf numFmtId="0" fontId="1" fillId="6" borderId="0" xfId="0" applyFont="1" applyFill="1"/>
    <xf numFmtId="2" fontId="1" fillId="6" borderId="0" xfId="0" applyNumberFormat="1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9" xfId="0" applyBorder="1"/>
    <xf numFmtId="0" fontId="0" fillId="0" borderId="10" xfId="0" applyBorder="1"/>
    <xf numFmtId="10" fontId="0" fillId="8" borderId="0" xfId="0" applyNumberFormat="1" applyFill="1"/>
    <xf numFmtId="2" fontId="0" fillId="8" borderId="0" xfId="0" applyNumberFormat="1" applyFill="1"/>
    <xf numFmtId="0" fontId="1" fillId="0" borderId="11" xfId="0" applyFont="1" applyBorder="1"/>
    <xf numFmtId="10" fontId="0" fillId="0" borderId="11" xfId="0" applyNumberFormat="1" applyBorder="1"/>
    <xf numFmtId="10" fontId="0" fillId="0" borderId="6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12" xfId="0" applyBorder="1"/>
    <xf numFmtId="0" fontId="1" fillId="0" borderId="10" xfId="0" applyFont="1" applyBorder="1"/>
    <xf numFmtId="10" fontId="0" fillId="0" borderId="12" xfId="0" applyNumberFormat="1" applyBorder="1"/>
    <xf numFmtId="9" fontId="0" fillId="0" borderId="0" xfId="0" applyNumberFormat="1"/>
    <xf numFmtId="10" fontId="0" fillId="8" borderId="12" xfId="0" applyNumberFormat="1" applyFill="1" applyBorder="1"/>
    <xf numFmtId="2" fontId="0" fillId="8" borderId="12" xfId="0" applyNumberFormat="1" applyFill="1" applyBorder="1"/>
    <xf numFmtId="165" fontId="0" fillId="0" borderId="0" xfId="0" applyNumberFormat="1"/>
    <xf numFmtId="165" fontId="0" fillId="0" borderId="12" xfId="0" applyNumberFormat="1" applyBorder="1"/>
    <xf numFmtId="176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10" fontId="1" fillId="0" borderId="0" xfId="0" applyNumberFormat="1" applyFont="1"/>
    <xf numFmtId="17" fontId="1" fillId="0" borderId="6" xfId="0" applyNumberFormat="1" applyFont="1" applyBorder="1"/>
    <xf numFmtId="43" fontId="0" fillId="0" borderId="0" xfId="0" applyNumberFormat="1"/>
    <xf numFmtId="0" fontId="1" fillId="0" borderId="0" xfId="0" applyFont="1" applyBorder="1"/>
    <xf numFmtId="17" fontId="1" fillId="0" borderId="0" xfId="0" applyNumberFormat="1" applyFont="1" applyBorder="1"/>
    <xf numFmtId="43" fontId="1" fillId="0" borderId="0" xfId="0" applyNumberFormat="1" applyFont="1"/>
    <xf numFmtId="10" fontId="1" fillId="0" borderId="0" xfId="4" applyNumberFormat="1" applyFont="1"/>
    <xf numFmtId="17" fontId="2" fillId="4" borderId="0" xfId="0" applyNumberFormat="1" applyFont="1" applyFill="1"/>
    <xf numFmtId="0" fontId="0" fillId="0" borderId="0" xfId="0" applyFont="1"/>
    <xf numFmtId="0" fontId="2" fillId="9" borderId="0" xfId="0" applyFont="1" applyFill="1"/>
    <xf numFmtId="17" fontId="2" fillId="9" borderId="0" xfId="0" applyNumberFormat="1" applyFont="1" applyFill="1"/>
    <xf numFmtId="0" fontId="0" fillId="9" borderId="0" xfId="0" applyFill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178" fontId="0" fillId="0" borderId="0" xfId="1" applyNumberFormat="1" applyFont="1" applyBorder="1"/>
    <xf numFmtId="178" fontId="1" fillId="0" borderId="11" xfId="1" applyNumberFormat="1" applyFont="1" applyBorder="1"/>
    <xf numFmtId="0" fontId="0" fillId="0" borderId="11" xfId="0" applyBorder="1"/>
    <xf numFmtId="10" fontId="1" fillId="0" borderId="5" xfId="4" applyNumberFormat="1" applyFont="1" applyBorder="1"/>
    <xf numFmtId="178" fontId="0" fillId="0" borderId="1" xfId="0" applyNumberFormat="1" applyBorder="1"/>
    <xf numFmtId="178" fontId="0" fillId="0" borderId="0" xfId="0" applyNumberFormat="1"/>
    <xf numFmtId="178" fontId="1" fillId="0" borderId="11" xfId="0" applyNumberFormat="1" applyFont="1" applyBorder="1"/>
    <xf numFmtId="178" fontId="1" fillId="0" borderId="5" xfId="0" applyNumberFormat="1" applyFont="1" applyBorder="1"/>
    <xf numFmtId="178" fontId="0" fillId="0" borderId="0" xfId="0" applyNumberFormat="1" applyBorder="1"/>
    <xf numFmtId="178" fontId="1" fillId="0" borderId="0" xfId="0" applyNumberFormat="1" applyFont="1"/>
    <xf numFmtId="10" fontId="0" fillId="0" borderId="1" xfId="0" applyNumberFormat="1" applyBorder="1"/>
    <xf numFmtId="10" fontId="1" fillId="6" borderId="0" xfId="0" applyNumberFormat="1" applyFont="1" applyFill="1"/>
    <xf numFmtId="10" fontId="1" fillId="0" borderId="5" xfId="0" applyNumberFormat="1" applyFont="1" applyBorder="1"/>
    <xf numFmtId="179" fontId="2" fillId="4" borderId="0" xfId="0" applyNumberFormat="1" applyFont="1" applyFill="1"/>
    <xf numFmtId="180" fontId="2" fillId="4" borderId="0" xfId="0" applyNumberFormat="1" applyFont="1" applyFill="1"/>
    <xf numFmtId="10" fontId="0" fillId="6" borderId="0" xfId="0" applyNumberFormat="1" applyFill="1"/>
    <xf numFmtId="9" fontId="0" fillId="6" borderId="0" xfId="0" applyNumberFormat="1" applyFill="1"/>
    <xf numFmtId="10" fontId="0" fillId="0" borderId="1" xfId="4" applyNumberFormat="1" applyFont="1" applyBorder="1"/>
    <xf numFmtId="43" fontId="0" fillId="8" borderId="1" xfId="0" applyNumberFormat="1" applyFill="1" applyBorder="1"/>
    <xf numFmtId="10" fontId="0" fillId="8" borderId="1" xfId="0" applyNumberFormat="1" applyFill="1" applyBorder="1"/>
    <xf numFmtId="0" fontId="0" fillId="8" borderId="1" xfId="0" applyFill="1" applyBorder="1"/>
    <xf numFmtId="0" fontId="0" fillId="8" borderId="0" xfId="0" applyFill="1"/>
    <xf numFmtId="181" fontId="0" fillId="0" borderId="1" xfId="0" applyNumberFormat="1" applyBorder="1"/>
    <xf numFmtId="0" fontId="1" fillId="8" borderId="5" xfId="0" applyFont="1" applyFill="1" applyBorder="1"/>
    <xf numFmtId="2" fontId="1" fillId="0" borderId="0" xfId="0" applyNumberFormat="1" applyFont="1"/>
    <xf numFmtId="0" fontId="1" fillId="0" borderId="0" xfId="0" applyFont="1" applyFill="1" applyBorder="1"/>
    <xf numFmtId="182" fontId="0" fillId="0" borderId="0" xfId="4" applyNumberFormat="1" applyFont="1"/>
    <xf numFmtId="0" fontId="0" fillId="0" borderId="6" xfId="0" applyBorder="1"/>
    <xf numFmtId="0" fontId="5" fillId="4" borderId="0" xfId="0" applyFont="1" applyFill="1" applyAlignment="1">
      <alignment wrapText="1"/>
    </xf>
    <xf numFmtId="0" fontId="5" fillId="4" borderId="0" xfId="0" applyFont="1" applyFill="1" applyBorder="1" applyAlignment="1"/>
    <xf numFmtId="0" fontId="12" fillId="0" borderId="6" xfId="0" applyFont="1" applyBorder="1"/>
    <xf numFmtId="0" fontId="5" fillId="4" borderId="0" xfId="0" applyFont="1" applyFill="1" applyAlignment="1">
      <alignment horizontal="right" wrapText="1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6" borderId="1" xfId="0" applyFill="1" applyBorder="1"/>
    <xf numFmtId="183" fontId="0" fillId="6" borderId="1" xfId="0" applyNumberFormat="1" applyFill="1" applyBorder="1"/>
    <xf numFmtId="183" fontId="0" fillId="0" borderId="1" xfId="0" applyNumberFormat="1" applyBorder="1"/>
    <xf numFmtId="0" fontId="2" fillId="4" borderId="6" xfId="0" applyFont="1" applyFill="1" applyBorder="1"/>
    <xf numFmtId="43" fontId="0" fillId="6" borderId="1" xfId="1" applyFont="1" applyFill="1" applyBorder="1"/>
    <xf numFmtId="0" fontId="1" fillId="6" borderId="4" xfId="0" applyFont="1" applyFill="1" applyBorder="1"/>
    <xf numFmtId="43" fontId="1" fillId="6" borderId="4" xfId="1" applyFont="1" applyFill="1" applyBorder="1"/>
    <xf numFmtId="0" fontId="1" fillId="6" borderId="1" xfId="0" applyFont="1" applyFill="1" applyBorder="1"/>
    <xf numFmtId="183" fontId="1" fillId="6" borderId="1" xfId="0" applyNumberFormat="1" applyFont="1" applyFill="1" applyBorder="1"/>
    <xf numFmtId="2" fontId="5" fillId="0" borderId="0" xfId="0" applyNumberFormat="1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43" fontId="0" fillId="6" borderId="0" xfId="1" applyFont="1" applyFill="1"/>
    <xf numFmtId="0" fontId="0" fillId="0" borderId="0" xfId="0" applyAlignment="1">
      <alignment vertical="center"/>
    </xf>
    <xf numFmtId="0" fontId="13" fillId="0" borderId="0" xfId="0" applyFont="1"/>
    <xf numFmtId="0" fontId="12" fillId="0" borderId="1" xfId="0" applyFont="1" applyBorder="1"/>
    <xf numFmtId="43" fontId="13" fillId="0" borderId="0" xfId="1" applyFont="1" applyBorder="1"/>
    <xf numFmtId="43" fontId="12" fillId="0" borderId="1" xfId="1" applyFont="1" applyBorder="1"/>
    <xf numFmtId="43" fontId="12" fillId="0" borderId="1" xfId="1" applyFont="1" applyFill="1" applyBorder="1"/>
    <xf numFmtId="0" fontId="12" fillId="0" borderId="0" xfId="0" applyFont="1"/>
    <xf numFmtId="0" fontId="13" fillId="0" borderId="2" xfId="0" applyFont="1" applyBorder="1"/>
    <xf numFmtId="0" fontId="13" fillId="0" borderId="3" xfId="0" applyFont="1" applyBorder="1"/>
    <xf numFmtId="0" fontId="15" fillId="0" borderId="0" xfId="0" applyFont="1"/>
    <xf numFmtId="0" fontId="12" fillId="0" borderId="4" xfId="0" applyFont="1" applyBorder="1"/>
    <xf numFmtId="0" fontId="12" fillId="0" borderId="5" xfId="0" applyFont="1" applyBorder="1"/>
    <xf numFmtId="43" fontId="12" fillId="0" borderId="5" xfId="1" applyFont="1" applyFill="1" applyBorder="1"/>
    <xf numFmtId="43" fontId="12" fillId="0" borderId="4" xfId="1" applyFont="1" applyFill="1" applyBorder="1"/>
    <xf numFmtId="43" fontId="12" fillId="0" borderId="5" xfId="1" applyFont="1" applyBorder="1"/>
    <xf numFmtId="10" fontId="13" fillId="0" borderId="0" xfId="0" applyNumberFormat="1" applyFont="1" applyAlignment="1">
      <alignment horizontal="right"/>
    </xf>
    <xf numFmtId="10" fontId="13" fillId="0" borderId="0" xfId="0" applyNumberFormat="1" applyFont="1"/>
    <xf numFmtId="0" fontId="13" fillId="0" borderId="10" xfId="0" applyFont="1" applyBorder="1"/>
    <xf numFmtId="0" fontId="13" fillId="0" borderId="10" xfId="0" applyFont="1" applyBorder="1" applyAlignment="1">
      <alignment horizontal="right"/>
    </xf>
    <xf numFmtId="0" fontId="13" fillId="0" borderId="9" xfId="0" applyFont="1" applyBorder="1"/>
    <xf numFmtId="0" fontId="13" fillId="0" borderId="0" xfId="0" applyFont="1" applyAlignment="1">
      <alignment horizontal="right"/>
    </xf>
    <xf numFmtId="0" fontId="13" fillId="0" borderId="12" xfId="0" applyFont="1" applyBorder="1"/>
    <xf numFmtId="0" fontId="12" fillId="0" borderId="11" xfId="0" applyFont="1" applyBorder="1"/>
    <xf numFmtId="0" fontId="12" fillId="0" borderId="10" xfId="0" applyFont="1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17" fontId="12" fillId="0" borderId="0" xfId="0" applyNumberFormat="1" applyFont="1"/>
    <xf numFmtId="3" fontId="13" fillId="0" borderId="0" xfId="0" applyNumberFormat="1" applyFont="1"/>
    <xf numFmtId="178" fontId="13" fillId="0" borderId="1" xfId="1" applyNumberFormat="1" applyFont="1" applyBorder="1"/>
    <xf numFmtId="178" fontId="13" fillId="0" borderId="2" xfId="1" applyNumberFormat="1" applyFont="1" applyBorder="1"/>
    <xf numFmtId="178" fontId="13" fillId="0" borderId="0" xfId="1" applyNumberFormat="1" applyFont="1" applyBorder="1"/>
    <xf numFmtId="177" fontId="12" fillId="0" borderId="4" xfId="1" applyNumberFormat="1" applyFont="1" applyBorder="1"/>
    <xf numFmtId="178" fontId="13" fillId="0" borderId="0" xfId="1" applyNumberFormat="1" applyFont="1"/>
    <xf numFmtId="178" fontId="12" fillId="0" borderId="4" xfId="0" applyNumberFormat="1" applyFont="1" applyBorder="1"/>
    <xf numFmtId="178" fontId="12" fillId="0" borderId="14" xfId="1" applyNumberFormat="1" applyFont="1" applyBorder="1"/>
    <xf numFmtId="174" fontId="13" fillId="0" borderId="0" xfId="0" applyNumberFormat="1" applyFont="1"/>
    <xf numFmtId="0" fontId="12" fillId="0" borderId="6" xfId="0" applyFont="1" applyBorder="1" applyAlignment="1">
      <alignment horizontal="right"/>
    </xf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2" fillId="6" borderId="0" xfId="0" applyFont="1" applyFill="1"/>
    <xf numFmtId="176" fontId="13" fillId="0" borderId="0" xfId="0" applyNumberFormat="1" applyFont="1"/>
    <xf numFmtId="173" fontId="13" fillId="0" borderId="0" xfId="4" applyNumberFormat="1" applyFont="1"/>
    <xf numFmtId="2" fontId="13" fillId="0" borderId="0" xfId="0" applyNumberFormat="1" applyFont="1"/>
    <xf numFmtId="0" fontId="12" fillId="0" borderId="13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10" fontId="13" fillId="0" borderId="0" xfId="4" applyNumberFormat="1" applyFont="1" applyAlignment="1">
      <alignment horizontal="right"/>
    </xf>
    <xf numFmtId="17" fontId="0" fillId="0" borderId="0" xfId="0" applyNumberFormat="1"/>
    <xf numFmtId="0" fontId="13" fillId="0" borderId="0" xfId="0" applyFont="1" applyBorder="1"/>
    <xf numFmtId="0" fontId="0" fillId="0" borderId="0" xfId="0" applyFill="1" applyBorder="1"/>
    <xf numFmtId="2" fontId="0" fillId="6" borderId="0" xfId="0" applyNumberFormat="1" applyFill="1"/>
    <xf numFmtId="2" fontId="0" fillId="0" borderId="0" xfId="0" applyNumberFormat="1" applyFont="1"/>
    <xf numFmtId="0" fontId="14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43" fontId="2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Football Field Analysis - Valuation Summary(Rs.)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Analysis'!$N$6:$N$10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B-4AEC-AF58-494E5B2CD81B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Analysis'!$O$6:$O$10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B-4AEC-AF58-494E5B2CD81B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Analysis'!$P$6:$P$10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B-4AEC-AF58-494E5B2CD81B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Analysis'!$Q$6:$Q$10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B-4AEC-AF58-494E5B2C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13304328"/>
        <c:axId val="513310232"/>
      </c:stockChart>
      <c:catAx>
        <c:axId val="5133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10232"/>
        <c:crosses val="autoZero"/>
        <c:auto val="1"/>
        <c:lblAlgn val="ctr"/>
        <c:lblOffset val="100"/>
        <c:noMultiLvlLbl val="0"/>
      </c:catAx>
      <c:valAx>
        <c:axId val="513310232"/>
        <c:scaling>
          <c:orientation val="minMax"/>
        </c:scaling>
        <c:delete val="0"/>
        <c:axPos val="l"/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176212</xdr:rowOff>
    </xdr:from>
    <xdr:to>
      <xdr:col>9</xdr:col>
      <xdr:colOff>333375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8FB33-AC7E-4498-A138-9157DD02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14</xdr:row>
      <xdr:rowOff>76200</xdr:rowOff>
    </xdr:from>
    <xdr:to>
      <xdr:col>9</xdr:col>
      <xdr:colOff>0</xdr:colOff>
      <xdr:row>14</xdr:row>
      <xdr:rowOff>76203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F8E788-952C-465E-ACDE-5976541B9FC7}"/>
            </a:ext>
          </a:extLst>
        </xdr:cNvPr>
        <xdr:cNvCxnSpPr/>
      </xdr:nvCxnSpPr>
      <xdr:spPr>
        <a:xfrm flipV="1">
          <a:off x="1457325" y="2362200"/>
          <a:ext cx="3543300" cy="3"/>
        </a:xfrm>
        <a:prstGeom prst="line">
          <a:avLst/>
        </a:prstGeom>
        <a:ln w="15875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433-6013-4F24-BC81-B2A143558F04}">
  <sheetPr>
    <tabColor rgb="FF002060"/>
    <pageSetUpPr fitToPage="1"/>
  </sheetPr>
  <dimension ref="D5:Q9"/>
  <sheetViews>
    <sheetView showGridLines="0" tabSelected="1" workbookViewId="0">
      <selection activeCell="F20" sqref="F20"/>
    </sheetView>
  </sheetViews>
  <sheetFormatPr defaultRowHeight="15" x14ac:dyDescent="0.25"/>
  <cols>
    <col min="1" max="1" width="1.85546875" customWidth="1"/>
  </cols>
  <sheetData>
    <row r="5" spans="4:17" x14ac:dyDescent="0.25">
      <c r="D5" s="216" t="str">
        <f>"FINANCIALS FOR "&amp;'Data Sheet'!B1</f>
        <v>FINANCIALS FOR AVENUE SUPERMARTS LTD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</row>
    <row r="6" spans="4:17" x14ac:dyDescent="0.25"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</row>
    <row r="7" spans="4:17" x14ac:dyDescent="0.25"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</row>
    <row r="8" spans="4:17" x14ac:dyDescent="0.25">
      <c r="D8" s="165"/>
      <c r="E8" s="165"/>
      <c r="F8" s="217" t="s">
        <v>368</v>
      </c>
      <c r="G8" s="217"/>
      <c r="H8" s="217"/>
      <c r="I8" s="217"/>
      <c r="J8" s="217"/>
      <c r="K8" s="217"/>
      <c r="L8" s="217"/>
      <c r="M8" s="217"/>
      <c r="N8" s="217"/>
      <c r="O8" s="217"/>
      <c r="P8" s="165"/>
      <c r="Q8" s="165"/>
    </row>
    <row r="9" spans="4:17" x14ac:dyDescent="0.25">
      <c r="D9" s="165"/>
      <c r="E9" s="165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165"/>
      <c r="Q9" s="165"/>
    </row>
  </sheetData>
  <mergeCells count="2">
    <mergeCell ref="D5:Q7"/>
    <mergeCell ref="F8:O9"/>
  </mergeCells>
  <pageMargins left="0.25" right="0.25" top="0.75" bottom="0.75" header="0.3" footer="0.3"/>
  <pageSetup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5C5E-8702-4C17-956F-C3CA1EF689BA}">
  <sheetPr>
    <pageSetUpPr fitToPage="1"/>
  </sheetPr>
  <dimension ref="A2:M113"/>
  <sheetViews>
    <sheetView showGridLines="0" zoomScaleNormal="100" workbookViewId="0">
      <pane ySplit="3" topLeftCell="A28" activePane="bottomLeft" state="frozen"/>
      <selection pane="bottomLeft" activeCell="E28" sqref="E28"/>
    </sheetView>
  </sheetViews>
  <sheetFormatPr defaultRowHeight="15" x14ac:dyDescent="0.25"/>
  <cols>
    <col min="1" max="1" width="1.85546875" customWidth="1"/>
    <col min="2" max="2" width="25.5703125" bestFit="1" customWidth="1"/>
    <col min="3" max="3" width="8.7109375" bestFit="1" customWidth="1"/>
    <col min="4" max="4" width="10.140625" bestFit="1" customWidth="1"/>
    <col min="5" max="5" width="8.7109375" bestFit="1" customWidth="1"/>
    <col min="6" max="12" width="10.140625" bestFit="1" customWidth="1"/>
    <col min="13" max="13" width="9.7109375" bestFit="1" customWidth="1"/>
  </cols>
  <sheetData>
    <row r="2" spans="1:13" x14ac:dyDescent="0.25">
      <c r="B2" s="218" t="str">
        <f>"Historical Financial Statement - "&amp;'Data Sheet'!B1</f>
        <v>Historical Financial Statement - AVENUE SUPERMARTS LTD</v>
      </c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</row>
    <row r="3" spans="1:13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10" t="s">
        <v>1</v>
      </c>
    </row>
    <row r="5" spans="1:13" x14ac:dyDescent="0.25">
      <c r="A5" t="s">
        <v>2</v>
      </c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B6" s="166" t="s">
        <v>4</v>
      </c>
      <c r="C6" s="13">
        <f>IFERROR('Data Sheet'!B17,0)</f>
        <v>4686.4799999999996</v>
      </c>
      <c r="D6" s="13">
        <f>IFERROR('Data Sheet'!C17,0)</f>
        <v>6439.43</v>
      </c>
      <c r="E6" s="13">
        <f>IFERROR('Data Sheet'!D17,0)</f>
        <v>8583.76</v>
      </c>
      <c r="F6" s="13">
        <f>IFERROR('Data Sheet'!E17,0)</f>
        <v>11897.7</v>
      </c>
      <c r="G6" s="13">
        <f>IFERROR('Data Sheet'!F17,0)</f>
        <v>15033.2</v>
      </c>
      <c r="H6" s="13">
        <f>IFERROR('Data Sheet'!G17,0)</f>
        <v>20004.52</v>
      </c>
      <c r="I6" s="13">
        <f>IFERROR('Data Sheet'!H17,0)</f>
        <v>24870.2</v>
      </c>
      <c r="J6" s="13">
        <f>IFERROR('Data Sheet'!I17,0)</f>
        <v>24143.06</v>
      </c>
      <c r="K6" s="13">
        <f>IFERROR('Data Sheet'!J17,0)</f>
        <v>30976.27</v>
      </c>
      <c r="L6" s="13">
        <f>IFERROR('Data Sheet'!K17,0)</f>
        <v>42839.56</v>
      </c>
      <c r="M6" s="13">
        <f>IFERROR(SUM('Data Sheet'!H42:K42),0)</f>
        <v>48656.390000000007</v>
      </c>
    </row>
    <row r="7" spans="1:13" x14ac:dyDescent="0.25">
      <c r="B7" s="15" t="s">
        <v>5</v>
      </c>
      <c r="C7" s="16" t="s">
        <v>6</v>
      </c>
      <c r="D7" s="17">
        <f>D6/C6-1</f>
        <v>0.37404405865382984</v>
      </c>
      <c r="E7" s="17">
        <f t="shared" ref="E7:M7" si="0">E6/D6-1</f>
        <v>0.33299997049428276</v>
      </c>
      <c r="F7" s="17">
        <f t="shared" si="0"/>
        <v>0.38607090598991589</v>
      </c>
      <c r="G7" s="17">
        <f t="shared" si="0"/>
        <v>0.26353833093791246</v>
      </c>
      <c r="H7" s="17">
        <f t="shared" si="0"/>
        <v>0.33068940744485542</v>
      </c>
      <c r="I7" s="17">
        <f t="shared" si="0"/>
        <v>0.24322903023916598</v>
      </c>
      <c r="J7" s="17">
        <f t="shared" si="0"/>
        <v>-2.9237400583831175E-2</v>
      </c>
      <c r="K7" s="17">
        <f t="shared" si="0"/>
        <v>0.28302998874210639</v>
      </c>
      <c r="L7" s="17">
        <f t="shared" si="0"/>
        <v>0.38297993915987938</v>
      </c>
      <c r="M7" s="17">
        <f t="shared" si="0"/>
        <v>0.13578174005522015</v>
      </c>
    </row>
    <row r="9" spans="1:13" x14ac:dyDescent="0.25">
      <c r="B9" s="166" t="s">
        <v>7</v>
      </c>
      <c r="C9" s="13">
        <f>IFERROR(SUM('Data Sheet'!B18,'Data Sheet'!B20:B22)-1*'Data Sheet'!B19,0)</f>
        <v>4240.6099999999997</v>
      </c>
      <c r="D9" s="13">
        <f>IFERROR(SUM('Data Sheet'!C18,'Data Sheet'!C20:C22)-1*'Data Sheet'!C19,0)</f>
        <v>5835.9300000000012</v>
      </c>
      <c r="E9" s="13">
        <f>IFERROR(SUM('Data Sheet'!D18,'Data Sheet'!D20:D22)-1*'Data Sheet'!D19,0)</f>
        <v>7773.1799999999994</v>
      </c>
      <c r="F9" s="13">
        <f>IFERROR(SUM('Data Sheet'!E18,'Data Sheet'!E20:E22)-1*'Data Sheet'!E19,0)</f>
        <v>10706.01</v>
      </c>
      <c r="G9" s="13">
        <f>IFERROR(SUM('Data Sheet'!F18,'Data Sheet'!F20:F22)-1*'Data Sheet'!F19,0)</f>
        <v>13413.76</v>
      </c>
      <c r="H9" s="13">
        <f>IFERROR(SUM('Data Sheet'!G18,'Data Sheet'!G20:G22)-1*'Data Sheet'!G19,0)</f>
        <v>18009.53</v>
      </c>
      <c r="I9" s="13">
        <f>IFERROR(SUM('Data Sheet'!H18,'Data Sheet'!H20:H22)-1*'Data Sheet'!H19,0)</f>
        <v>22394.27</v>
      </c>
      <c r="J9" s="13">
        <f>IFERROR(SUM('Data Sheet'!I18,'Data Sheet'!I20:I22)-1*'Data Sheet'!I19,0)</f>
        <v>22012.890000000003</v>
      </c>
      <c r="K9" s="13">
        <f>IFERROR(SUM('Data Sheet'!J18,'Data Sheet'!J20:J22)-1*'Data Sheet'!J19,0)</f>
        <v>28028.46</v>
      </c>
      <c r="L9" s="13">
        <f>IFERROR(SUM('Data Sheet'!K18,'Data Sheet'!K20:K22)-1*'Data Sheet'!K19,0)</f>
        <v>38563.29</v>
      </c>
      <c r="M9" s="13">
        <f>IFERROR(SUM('Data Sheet'!H43:K43),0)</f>
        <v>44724.75</v>
      </c>
    </row>
    <row r="10" spans="1:13" x14ac:dyDescent="0.25">
      <c r="B10" s="15" t="s">
        <v>8</v>
      </c>
      <c r="C10" s="17">
        <f>C9/C6</f>
        <v>0.90486036428193439</v>
      </c>
      <c r="D10" s="17">
        <f t="shared" ref="D10:M10" si="1">D9/D6</f>
        <v>0.90628052482906107</v>
      </c>
      <c r="E10" s="17">
        <f t="shared" si="1"/>
        <v>0.90556818923175852</v>
      </c>
      <c r="F10" s="17">
        <f t="shared" si="1"/>
        <v>0.89983862427191807</v>
      </c>
      <c r="G10" s="17">
        <f t="shared" si="1"/>
        <v>0.89227576297794209</v>
      </c>
      <c r="H10" s="17">
        <f t="shared" si="1"/>
        <v>0.9002730382933456</v>
      </c>
      <c r="I10" s="17">
        <f t="shared" si="1"/>
        <v>0.90044591519167516</v>
      </c>
      <c r="J10" s="17">
        <f t="shared" si="1"/>
        <v>0.91176884785938495</v>
      </c>
      <c r="K10" s="17">
        <f t="shared" si="1"/>
        <v>0.90483650872103061</v>
      </c>
      <c r="L10" s="17">
        <f t="shared" si="1"/>
        <v>0.90017941360742271</v>
      </c>
      <c r="M10" s="17">
        <f t="shared" si="1"/>
        <v>0.91919581374614912</v>
      </c>
    </row>
    <row r="12" spans="1:13" x14ac:dyDescent="0.25">
      <c r="B12" s="167" t="s">
        <v>9</v>
      </c>
      <c r="C12" s="22">
        <f>C6-C9</f>
        <v>445.86999999999989</v>
      </c>
      <c r="D12" s="22">
        <f t="shared" ref="D12:M12" si="2">D6-D9</f>
        <v>603.49999999999909</v>
      </c>
      <c r="E12" s="22">
        <f t="shared" si="2"/>
        <v>810.58000000000084</v>
      </c>
      <c r="F12" s="22">
        <f t="shared" si="2"/>
        <v>1191.6900000000005</v>
      </c>
      <c r="G12" s="22">
        <f t="shared" si="2"/>
        <v>1619.4400000000005</v>
      </c>
      <c r="H12" s="22">
        <f t="shared" si="2"/>
        <v>1994.9900000000016</v>
      </c>
      <c r="I12" s="22">
        <f t="shared" si="2"/>
        <v>2475.9300000000003</v>
      </c>
      <c r="J12" s="22">
        <f t="shared" si="2"/>
        <v>2130.1699999999983</v>
      </c>
      <c r="K12" s="22">
        <f t="shared" si="2"/>
        <v>2947.8100000000013</v>
      </c>
      <c r="L12" s="22">
        <f t="shared" si="2"/>
        <v>4276.2699999999968</v>
      </c>
      <c r="M12" s="22">
        <f t="shared" si="2"/>
        <v>3931.6400000000067</v>
      </c>
    </row>
    <row r="13" spans="1:13" x14ac:dyDescent="0.25">
      <c r="B13" s="15" t="s">
        <v>10</v>
      </c>
      <c r="C13" s="17">
        <f>C12/C6</f>
        <v>9.5139635718065566E-2</v>
      </c>
      <c r="D13" s="17">
        <f t="shared" ref="D13:M13" si="3">D12/D6</f>
        <v>9.3719475170938898E-2</v>
      </c>
      <c r="E13" s="17">
        <f t="shared" si="3"/>
        <v>9.4431810768241517E-2</v>
      </c>
      <c r="F13" s="17">
        <f t="shared" si="3"/>
        <v>0.10016137572808194</v>
      </c>
      <c r="G13" s="17">
        <f t="shared" si="3"/>
        <v>0.10772423702205787</v>
      </c>
      <c r="H13" s="17">
        <f t="shared" si="3"/>
        <v>9.9726961706654377E-2</v>
      </c>
      <c r="I13" s="17">
        <f t="shared" si="3"/>
        <v>9.9554084808324825E-2</v>
      </c>
      <c r="J13" s="17">
        <f t="shared" si="3"/>
        <v>8.8231152140615068E-2</v>
      </c>
      <c r="K13" s="17">
        <f t="shared" si="3"/>
        <v>9.5163491278969392E-2</v>
      </c>
      <c r="L13" s="17">
        <f t="shared" si="3"/>
        <v>9.9820586392577265E-2</v>
      </c>
      <c r="M13" s="17">
        <f t="shared" si="3"/>
        <v>8.0804186253850857E-2</v>
      </c>
    </row>
    <row r="15" spans="1:13" x14ac:dyDescent="0.25">
      <c r="B15" s="166" t="s">
        <v>11</v>
      </c>
      <c r="C15" s="12">
        <f>IFERROR(SUM('Data Sheet'!B23:B24),0)</f>
        <v>104.59000000000003</v>
      </c>
      <c r="D15" s="12">
        <f>IFERROR(SUM('Data Sheet'!C23:C24),0)</f>
        <v>147.23999999999995</v>
      </c>
      <c r="E15" s="12">
        <f>IFERROR(SUM('Data Sheet'!D23:D24),0)</f>
        <v>146.12</v>
      </c>
      <c r="F15" s="12">
        <f>IFERROR(SUM('Data Sheet'!E23:E24),0)</f>
        <v>222.51</v>
      </c>
      <c r="G15" s="12">
        <f>IFERROR(SUM('Data Sheet'!F23:F24),0)</f>
        <v>266.58000000000004</v>
      </c>
      <c r="H15" s="12">
        <f>IFERROR(SUM('Data Sheet'!G23:G24),0)</f>
        <v>361.68</v>
      </c>
      <c r="I15" s="12">
        <f>IFERROR(SUM('Data Sheet'!H23:H24),0)</f>
        <v>347.62</v>
      </c>
      <c r="J15" s="12">
        <f>IFERROR(SUM('Data Sheet'!I23:I24),0)</f>
        <v>385.34</v>
      </c>
      <c r="K15" s="12">
        <f>IFERROR(SUM('Data Sheet'!J23:J24),0)</f>
        <v>445.46000000000004</v>
      </c>
      <c r="L15" s="12">
        <f>IFERROR(SUM('Data Sheet'!K23:K24),0)</f>
        <v>637.5</v>
      </c>
    </row>
    <row r="16" spans="1:13" x14ac:dyDescent="0.25">
      <c r="B16" s="15" t="s">
        <v>12</v>
      </c>
      <c r="C16" s="17">
        <f>C15/C6</f>
        <v>2.2317389597309716E-2</v>
      </c>
      <c r="D16" s="17">
        <f t="shared" ref="D16:M16" si="4">D15/D6</f>
        <v>2.2865377836237051E-2</v>
      </c>
      <c r="E16" s="17">
        <f t="shared" si="4"/>
        <v>1.7022843136341184E-2</v>
      </c>
      <c r="F16" s="17">
        <f t="shared" si="4"/>
        <v>1.870193398724123E-2</v>
      </c>
      <c r="G16" s="17">
        <f t="shared" si="4"/>
        <v>1.7732751509991221E-2</v>
      </c>
      <c r="H16" s="17">
        <f t="shared" si="4"/>
        <v>1.8079913939449684E-2</v>
      </c>
      <c r="I16" s="17">
        <f t="shared" si="4"/>
        <v>1.3977370507675852E-2</v>
      </c>
      <c r="J16" s="17">
        <f t="shared" si="4"/>
        <v>1.5960694294757993E-2</v>
      </c>
      <c r="K16" s="17">
        <f t="shared" si="4"/>
        <v>1.438068560223681E-2</v>
      </c>
      <c r="L16" s="17">
        <f t="shared" si="4"/>
        <v>1.4881105221435514E-2</v>
      </c>
      <c r="M16" s="17">
        <f t="shared" si="4"/>
        <v>0</v>
      </c>
    </row>
    <row r="18" spans="2:13" x14ac:dyDescent="0.25">
      <c r="B18" s="167" t="s">
        <v>13</v>
      </c>
      <c r="C18" s="22">
        <f t="shared" ref="C18:M18" si="5">C12-C15</f>
        <v>341.27999999999986</v>
      </c>
      <c r="D18" s="22">
        <f t="shared" si="5"/>
        <v>456.25999999999914</v>
      </c>
      <c r="E18" s="22">
        <f t="shared" si="5"/>
        <v>664.46000000000083</v>
      </c>
      <c r="F18" s="22">
        <f t="shared" si="5"/>
        <v>969.18000000000052</v>
      </c>
      <c r="G18" s="22">
        <f t="shared" si="5"/>
        <v>1352.8600000000006</v>
      </c>
      <c r="H18" s="22">
        <f t="shared" si="5"/>
        <v>1633.3100000000015</v>
      </c>
      <c r="I18" s="22">
        <f t="shared" si="5"/>
        <v>2128.3100000000004</v>
      </c>
      <c r="J18" s="22">
        <f t="shared" si="5"/>
        <v>1744.8299999999983</v>
      </c>
      <c r="K18" s="22">
        <f t="shared" si="5"/>
        <v>2502.3500000000013</v>
      </c>
      <c r="L18" s="22">
        <f t="shared" si="5"/>
        <v>3638.7699999999968</v>
      </c>
      <c r="M18" s="22">
        <f t="shared" si="5"/>
        <v>3931.6400000000067</v>
      </c>
    </row>
    <row r="19" spans="2:13" x14ac:dyDescent="0.25">
      <c r="B19" s="15" t="s">
        <v>14</v>
      </c>
      <c r="C19" s="17">
        <f>C18/C6</f>
        <v>7.2822246120755857E-2</v>
      </c>
      <c r="D19" s="17">
        <f t="shared" ref="D19:M19" si="6">D18/D6</f>
        <v>7.0854097334701854E-2</v>
      </c>
      <c r="E19" s="17">
        <f t="shared" si="6"/>
        <v>7.7408967631900333E-2</v>
      </c>
      <c r="F19" s="17">
        <f t="shared" si="6"/>
        <v>8.1459441740840702E-2</v>
      </c>
      <c r="G19" s="17">
        <f t="shared" si="6"/>
        <v>8.9991485512066663E-2</v>
      </c>
      <c r="H19" s="17">
        <f t="shared" si="6"/>
        <v>8.1647047767204689E-2</v>
      </c>
      <c r="I19" s="17">
        <f t="shared" si="6"/>
        <v>8.5576714300648976E-2</v>
      </c>
      <c r="J19" s="17">
        <f t="shared" si="6"/>
        <v>7.2270457845857075E-2</v>
      </c>
      <c r="K19" s="17">
        <f t="shared" si="6"/>
        <v>8.0782805676732586E-2</v>
      </c>
      <c r="L19" s="17">
        <f t="shared" si="6"/>
        <v>8.4939481171141737E-2</v>
      </c>
      <c r="M19" s="17">
        <f t="shared" si="6"/>
        <v>8.0804186253850857E-2</v>
      </c>
    </row>
    <row r="21" spans="2:13" x14ac:dyDescent="0.25">
      <c r="B21" s="166" t="s">
        <v>17</v>
      </c>
      <c r="C21" s="12">
        <f>IFERROR('Data Sheet'!B26,0)</f>
        <v>57.01</v>
      </c>
      <c r="D21" s="12">
        <f>IFERROR('Data Sheet'!C26,0)</f>
        <v>81.540000000000006</v>
      </c>
      <c r="E21" s="12">
        <f>IFERROR('Data Sheet'!D26,0)</f>
        <v>98.43</v>
      </c>
      <c r="F21" s="12">
        <f>IFERROR('Data Sheet'!E26,0)</f>
        <v>127.82</v>
      </c>
      <c r="G21" s="12">
        <f>IFERROR('Data Sheet'!F26,0)</f>
        <v>159</v>
      </c>
      <c r="H21" s="12">
        <f>IFERROR('Data Sheet'!G26,0)</f>
        <v>212.49</v>
      </c>
      <c r="I21" s="12">
        <f>IFERROR('Data Sheet'!H26,0)</f>
        <v>374.41</v>
      </c>
      <c r="J21" s="12">
        <f>IFERROR('Data Sheet'!I26,0)</f>
        <v>414.16</v>
      </c>
      <c r="K21" s="12">
        <f>IFERROR('Data Sheet'!J26,0)</f>
        <v>498.08</v>
      </c>
      <c r="L21" s="12">
        <f>IFERROR('Data Sheet'!K26,0)</f>
        <v>638.87</v>
      </c>
      <c r="M21" s="12">
        <f>IFERROR(SUM('Data Sheet'!H45:K45),0)</f>
        <v>689.95</v>
      </c>
    </row>
    <row r="22" spans="2:13" x14ac:dyDescent="0.25">
      <c r="B22" s="15" t="s">
        <v>18</v>
      </c>
      <c r="C22" s="17">
        <f t="shared" ref="C22:M22" si="7">C21/C6</f>
        <v>1.2164780389546099E-2</v>
      </c>
      <c r="D22" s="17">
        <f t="shared" si="7"/>
        <v>1.26626114423171E-2</v>
      </c>
      <c r="E22" s="17">
        <f t="shared" si="7"/>
        <v>1.1467002805297445E-2</v>
      </c>
      <c r="F22" s="17">
        <f t="shared" si="7"/>
        <v>1.0743252897618866E-2</v>
      </c>
      <c r="G22" s="17">
        <f t="shared" si="7"/>
        <v>1.0576590479738178E-2</v>
      </c>
      <c r="H22" s="17">
        <f t="shared" si="7"/>
        <v>1.062209940553435E-2</v>
      </c>
      <c r="I22" s="17">
        <f t="shared" si="7"/>
        <v>1.5054563292615258E-2</v>
      </c>
      <c r="J22" s="17">
        <f t="shared" si="7"/>
        <v>1.7154412075354161E-2</v>
      </c>
      <c r="K22" s="17">
        <f t="shared" si="7"/>
        <v>1.6079405299605148E-2</v>
      </c>
      <c r="L22" s="17">
        <f t="shared" si="7"/>
        <v>1.4913085008342757E-2</v>
      </c>
      <c r="M22" s="17">
        <f t="shared" si="7"/>
        <v>1.418004911585097E-2</v>
      </c>
    </row>
    <row r="23" spans="2:13" x14ac:dyDescent="0.25"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67" t="s">
        <v>380</v>
      </c>
      <c r="C24" s="22">
        <f t="shared" ref="C24:M24" si="8">C18-C21</f>
        <v>284.26999999999987</v>
      </c>
      <c r="D24" s="22">
        <f t="shared" si="8"/>
        <v>374.71999999999912</v>
      </c>
      <c r="E24" s="22">
        <f t="shared" si="8"/>
        <v>566.03000000000088</v>
      </c>
      <c r="F24" s="22">
        <f t="shared" si="8"/>
        <v>841.36000000000058</v>
      </c>
      <c r="G24" s="22">
        <f t="shared" si="8"/>
        <v>1193.8600000000006</v>
      </c>
      <c r="H24" s="22">
        <f t="shared" si="8"/>
        <v>1420.8200000000015</v>
      </c>
      <c r="I24" s="22">
        <f t="shared" si="8"/>
        <v>1753.9000000000003</v>
      </c>
      <c r="J24" s="22">
        <f t="shared" si="8"/>
        <v>1330.6699999999983</v>
      </c>
      <c r="K24" s="22">
        <f t="shared" si="8"/>
        <v>2004.2700000000013</v>
      </c>
      <c r="L24" s="22">
        <f t="shared" si="8"/>
        <v>2999.8999999999969</v>
      </c>
      <c r="M24" s="22">
        <f t="shared" si="8"/>
        <v>3241.6900000000069</v>
      </c>
    </row>
    <row r="25" spans="2:13" x14ac:dyDescent="0.25">
      <c r="B25" s="15" t="s">
        <v>381</v>
      </c>
      <c r="C25" s="17">
        <f>C24/C6</f>
        <v>6.0657465731209753E-2</v>
      </c>
      <c r="D25" s="17">
        <f t="shared" ref="D25:M25" si="9">D24/D6</f>
        <v>5.8191485892384744E-2</v>
      </c>
      <c r="E25" s="17">
        <f t="shared" si="9"/>
        <v>6.5941964826602889E-2</v>
      </c>
      <c r="F25" s="17">
        <f t="shared" si="9"/>
        <v>7.0716188843221839E-2</v>
      </c>
      <c r="G25" s="17">
        <f t="shared" si="9"/>
        <v>7.9414895032328486E-2</v>
      </c>
      <c r="H25" s="17">
        <f t="shared" si="9"/>
        <v>7.1024948361670337E-2</v>
      </c>
      <c r="I25" s="17">
        <f t="shared" si="9"/>
        <v>7.0522151008033718E-2</v>
      </c>
      <c r="J25" s="17">
        <f t="shared" si="9"/>
        <v>5.5116045770502921E-2</v>
      </c>
      <c r="K25" s="17">
        <f t="shared" si="9"/>
        <v>6.4703400377127435E-2</v>
      </c>
      <c r="L25" s="17">
        <f t="shared" si="9"/>
        <v>7.0026396162798987E-2</v>
      </c>
      <c r="M25" s="17">
        <f t="shared" si="9"/>
        <v>6.6624137137999889E-2</v>
      </c>
    </row>
    <row r="26" spans="2:13" x14ac:dyDescent="0.25"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66" t="s">
        <v>179</v>
      </c>
      <c r="C27" s="12">
        <f>IFERROR('Data Sheet'!B25,0)</f>
        <v>16.27</v>
      </c>
      <c r="D27" s="12">
        <f>IFERROR('Data Sheet'!C25,0)</f>
        <v>20.27</v>
      </c>
      <c r="E27" s="12">
        <f>IFERROR('Data Sheet'!D25,0)</f>
        <v>17.02</v>
      </c>
      <c r="F27" s="12">
        <f>IFERROR('Data Sheet'!E25,0)</f>
        <v>27.7</v>
      </c>
      <c r="G27" s="12">
        <f>IFERROR('Data Sheet'!F25,0)</f>
        <v>87.75</v>
      </c>
      <c r="H27" s="12">
        <f>IFERROR('Data Sheet'!G25,0)</f>
        <v>48.33</v>
      </c>
      <c r="I27" s="12">
        <f>IFERROR('Data Sheet'!H25,0)</f>
        <v>59.99</v>
      </c>
      <c r="J27" s="12">
        <f>IFERROR('Data Sheet'!I25,0)</f>
        <v>194.43</v>
      </c>
      <c r="K27" s="12">
        <f>IFERROR('Data Sheet'!J25,0)</f>
        <v>113.64</v>
      </c>
      <c r="L27" s="12">
        <f>IFERROR('Data Sheet'!K25,0)</f>
        <v>127.6</v>
      </c>
      <c r="M27" s="12">
        <f>IFERROR(SUM('Data Sheet'!H44:K44),0)</f>
        <v>141.65</v>
      </c>
    </row>
    <row r="28" spans="2:13" x14ac:dyDescent="0.25">
      <c r="B28" s="15" t="s">
        <v>379</v>
      </c>
      <c r="C28" s="17">
        <f>C27/C6</f>
        <v>3.4716887728102972E-3</v>
      </c>
      <c r="D28" s="17">
        <f t="shared" ref="D28:M28" si="10">D27/D6</f>
        <v>3.1477941370587144E-3</v>
      </c>
      <c r="E28" s="17">
        <f t="shared" si="10"/>
        <v>1.9828140581749721E-3</v>
      </c>
      <c r="F28" s="17">
        <f t="shared" si="10"/>
        <v>2.3281810770148848E-3</v>
      </c>
      <c r="G28" s="17">
        <f t="shared" si="10"/>
        <v>5.8370805949498443E-3</v>
      </c>
      <c r="H28" s="17">
        <f t="shared" si="10"/>
        <v>2.4159539943972661E-3</v>
      </c>
      <c r="I28" s="17">
        <f t="shared" si="10"/>
        <v>2.4121237464917854E-3</v>
      </c>
      <c r="J28" s="17">
        <f t="shared" si="10"/>
        <v>8.0532459431405957E-3</v>
      </c>
      <c r="K28" s="17">
        <f t="shared" si="10"/>
        <v>3.6686147170075672E-3</v>
      </c>
      <c r="L28" s="17">
        <f t="shared" si="10"/>
        <v>2.9785553353022299E-3</v>
      </c>
      <c r="M28" s="17">
        <f t="shared" si="10"/>
        <v>2.911231186695108E-3</v>
      </c>
    </row>
    <row r="29" spans="2:13" x14ac:dyDescent="0.25"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66" t="s">
        <v>15</v>
      </c>
      <c r="C30" s="12">
        <f>IFERROR('Data Sheet'!B27,0)</f>
        <v>55.68</v>
      </c>
      <c r="D30" s="12">
        <f>IFERROR('Data Sheet'!C27,0)</f>
        <v>72.36</v>
      </c>
      <c r="E30" s="12">
        <f>IFERROR('Data Sheet'!D27,0)</f>
        <v>91.34</v>
      </c>
      <c r="F30" s="12">
        <f>IFERROR('Data Sheet'!E27,0)</f>
        <v>121.98</v>
      </c>
      <c r="G30" s="12">
        <f>IFERROR('Data Sheet'!F27,0)</f>
        <v>59.54</v>
      </c>
      <c r="H30" s="12">
        <f>IFERROR('Data Sheet'!G27,0)</f>
        <v>47.21</v>
      </c>
      <c r="I30" s="12">
        <f>IFERROR('Data Sheet'!H27,0)</f>
        <v>69.12</v>
      </c>
      <c r="J30" s="12">
        <f>IFERROR('Data Sheet'!I27,0)</f>
        <v>41.65</v>
      </c>
      <c r="K30" s="12">
        <f>IFERROR('Data Sheet'!J27,0)</f>
        <v>53.79</v>
      </c>
      <c r="L30" s="12">
        <f>IFERROR('Data Sheet'!K27,0)</f>
        <v>67.41</v>
      </c>
      <c r="M30" s="12">
        <f>IFERROR(SUM('Data Sheet'!H46:K46),0)</f>
        <v>60.239999999999995</v>
      </c>
    </row>
    <row r="31" spans="2:13" x14ac:dyDescent="0.25">
      <c r="B31" s="15" t="s">
        <v>16</v>
      </c>
      <c r="C31" s="17">
        <f t="shared" ref="C31:M31" si="11">C30/C6</f>
        <v>1.1880985302401803E-2</v>
      </c>
      <c r="D31" s="17">
        <f t="shared" si="11"/>
        <v>1.1237019425632393E-2</v>
      </c>
      <c r="E31" s="17">
        <f t="shared" si="11"/>
        <v>1.0641024446163452E-2</v>
      </c>
      <c r="F31" s="17">
        <f t="shared" si="11"/>
        <v>1.0252401724703094E-2</v>
      </c>
      <c r="G31" s="17">
        <f t="shared" si="11"/>
        <v>3.9605672777585609E-3</v>
      </c>
      <c r="H31" s="17">
        <f t="shared" si="11"/>
        <v>2.3599666475376565E-3</v>
      </c>
      <c r="I31" s="17">
        <f t="shared" si="11"/>
        <v>2.7792297609186899E-3</v>
      </c>
      <c r="J31" s="17">
        <f t="shared" si="11"/>
        <v>1.7251334337900829E-3</v>
      </c>
      <c r="K31" s="17">
        <f t="shared" si="11"/>
        <v>1.7364905458274996E-3</v>
      </c>
      <c r="L31" s="17">
        <f t="shared" si="11"/>
        <v>1.5735455732972048E-3</v>
      </c>
      <c r="M31" s="17">
        <f t="shared" si="11"/>
        <v>1.2380696553936695E-3</v>
      </c>
    </row>
    <row r="33" spans="2:13" x14ac:dyDescent="0.25">
      <c r="B33" s="167" t="s">
        <v>19</v>
      </c>
      <c r="C33" s="23">
        <f>IFERROR(C24+C27-C30,0)</f>
        <v>244.85999999999984</v>
      </c>
      <c r="D33" s="23">
        <f t="shared" ref="D33:M33" si="12">IFERROR(D24+D27-D30,0)</f>
        <v>322.62999999999909</v>
      </c>
      <c r="E33" s="23">
        <f t="shared" si="12"/>
        <v>491.71000000000083</v>
      </c>
      <c r="F33" s="23">
        <f t="shared" si="12"/>
        <v>747.08000000000061</v>
      </c>
      <c r="G33" s="23">
        <f t="shared" si="12"/>
        <v>1222.0700000000006</v>
      </c>
      <c r="H33" s="23">
        <f t="shared" si="12"/>
        <v>1421.9400000000014</v>
      </c>
      <c r="I33" s="23">
        <f t="shared" si="12"/>
        <v>1744.7700000000004</v>
      </c>
      <c r="J33" s="23">
        <f t="shared" si="12"/>
        <v>1483.4499999999982</v>
      </c>
      <c r="K33" s="23">
        <f t="shared" si="12"/>
        <v>2064.1200000000013</v>
      </c>
      <c r="L33" s="23">
        <f t="shared" si="12"/>
        <v>3060.089999999997</v>
      </c>
      <c r="M33" s="23">
        <f t="shared" si="12"/>
        <v>3323.1000000000072</v>
      </c>
    </row>
    <row r="34" spans="2:13" x14ac:dyDescent="0.25">
      <c r="B34" s="15" t="s">
        <v>20</v>
      </c>
      <c r="C34" s="17">
        <f t="shared" ref="C34:M34" si="13">C33/C6</f>
        <v>5.2248169201618247E-2</v>
      </c>
      <c r="D34" s="17">
        <f t="shared" si="13"/>
        <v>5.0102260603811059E-2</v>
      </c>
      <c r="E34" s="17">
        <f t="shared" si="13"/>
        <v>5.7283754438614408E-2</v>
      </c>
      <c r="F34" s="17">
        <f t="shared" si="13"/>
        <v>6.2791968195533635E-2</v>
      </c>
      <c r="G34" s="17">
        <f t="shared" si="13"/>
        <v>8.129140834951977E-2</v>
      </c>
      <c r="H34" s="17">
        <f t="shared" si="13"/>
        <v>7.1080935708529941E-2</v>
      </c>
      <c r="I34" s="17">
        <f t="shared" si="13"/>
        <v>7.0155044993606822E-2</v>
      </c>
      <c r="J34" s="17">
        <f t="shared" si="13"/>
        <v>6.1444158279853431E-2</v>
      </c>
      <c r="K34" s="17">
        <f t="shared" si="13"/>
        <v>6.6635524548307498E-2</v>
      </c>
      <c r="L34" s="17">
        <f t="shared" si="13"/>
        <v>7.1431405924804015E-2</v>
      </c>
      <c r="M34" s="17">
        <f t="shared" si="13"/>
        <v>6.8297298669301329E-2</v>
      </c>
    </row>
    <row r="36" spans="2:13" x14ac:dyDescent="0.25">
      <c r="B36" s="166" t="s">
        <v>21</v>
      </c>
      <c r="C36" s="13">
        <f>IFERROR('Data Sheet'!B29,0)</f>
        <v>83.48</v>
      </c>
      <c r="D36" s="13">
        <f>IFERROR('Data Sheet'!C29,0)</f>
        <v>110.92</v>
      </c>
      <c r="E36" s="13">
        <f>IFERROR('Data Sheet'!D29,0)</f>
        <v>171.47</v>
      </c>
      <c r="F36" s="13">
        <f>IFERROR('Data Sheet'!E29,0)</f>
        <v>268.27999999999997</v>
      </c>
      <c r="G36" s="13">
        <f>IFERROR('Data Sheet'!F29,0)</f>
        <v>415.79</v>
      </c>
      <c r="H36" s="13">
        <f>IFERROR('Data Sheet'!G29,0)</f>
        <v>519.48</v>
      </c>
      <c r="I36" s="13">
        <f>IFERROR('Data Sheet'!H29,0)</f>
        <v>443.79</v>
      </c>
      <c r="J36" s="13">
        <f>IFERROR('Data Sheet'!I29,0)</f>
        <v>384.02</v>
      </c>
      <c r="K36" s="13">
        <f>IFERROR('Data Sheet'!J29,0)</f>
        <v>571.72</v>
      </c>
      <c r="L36" s="13">
        <f>IFERROR('Data Sheet'!K29,0)</f>
        <v>681.75</v>
      </c>
      <c r="M36" s="13">
        <f>IFERROR(SUM('Data Sheet'!H48:K48),0)</f>
        <v>890.53</v>
      </c>
    </row>
    <row r="37" spans="2:13" x14ac:dyDescent="0.25">
      <c r="B37" s="15" t="s">
        <v>22</v>
      </c>
      <c r="C37" s="17">
        <f>C36/C33</f>
        <v>0.34092951074083172</v>
      </c>
      <c r="D37" s="17">
        <f t="shared" ref="D37:M37" si="14">D36/D33</f>
        <v>0.3437993986920011</v>
      </c>
      <c r="E37" s="17">
        <f t="shared" si="14"/>
        <v>0.34872180756950177</v>
      </c>
      <c r="F37" s="17">
        <f t="shared" si="14"/>
        <v>0.35910478128179013</v>
      </c>
      <c r="G37" s="17">
        <f t="shared" si="14"/>
        <v>0.34023419280401268</v>
      </c>
      <c r="H37" s="17">
        <f t="shared" si="14"/>
        <v>0.36533187054306054</v>
      </c>
      <c r="I37" s="17">
        <f t="shared" si="14"/>
        <v>0.25435444213277392</v>
      </c>
      <c r="J37" s="17">
        <f t="shared" si="14"/>
        <v>0.2588695271158451</v>
      </c>
      <c r="K37" s="17">
        <f t="shared" si="14"/>
        <v>0.27698002054144122</v>
      </c>
      <c r="L37" s="17">
        <f t="shared" si="14"/>
        <v>0.22278756507161576</v>
      </c>
      <c r="M37" s="17">
        <f t="shared" si="14"/>
        <v>0.26798170383075987</v>
      </c>
    </row>
    <row r="39" spans="2:13" x14ac:dyDescent="0.25">
      <c r="B39" s="167" t="s">
        <v>23</v>
      </c>
      <c r="C39" s="23">
        <f>C33-C36</f>
        <v>161.37999999999982</v>
      </c>
      <c r="D39" s="23">
        <f t="shared" ref="D39:M39" si="15">D33-D36</f>
        <v>211.70999999999907</v>
      </c>
      <c r="E39" s="23">
        <f t="shared" si="15"/>
        <v>320.2400000000008</v>
      </c>
      <c r="F39" s="23">
        <f t="shared" si="15"/>
        <v>478.80000000000064</v>
      </c>
      <c r="G39" s="23">
        <f t="shared" si="15"/>
        <v>806.28000000000065</v>
      </c>
      <c r="H39" s="23">
        <f t="shared" si="15"/>
        <v>902.4600000000014</v>
      </c>
      <c r="I39" s="23">
        <f t="shared" si="15"/>
        <v>1300.9800000000005</v>
      </c>
      <c r="J39" s="23">
        <f t="shared" si="15"/>
        <v>1099.4299999999982</v>
      </c>
      <c r="K39" s="23">
        <f t="shared" si="15"/>
        <v>1492.4000000000012</v>
      </c>
      <c r="L39" s="23">
        <f t="shared" si="15"/>
        <v>2378.339999999997</v>
      </c>
      <c r="M39" s="23">
        <f t="shared" si="15"/>
        <v>2432.570000000007</v>
      </c>
    </row>
    <row r="40" spans="2:13" x14ac:dyDescent="0.25">
      <c r="B40" s="15" t="s">
        <v>24</v>
      </c>
      <c r="C40" s="17">
        <f t="shared" ref="C40:M40" si="16">C39/C6</f>
        <v>3.4435226438606338E-2</v>
      </c>
      <c r="D40" s="17">
        <f t="shared" si="16"/>
        <v>3.2877133535110882E-2</v>
      </c>
      <c r="E40" s="17">
        <f t="shared" si="16"/>
        <v>3.7307660046413317E-2</v>
      </c>
      <c r="F40" s="17">
        <f t="shared" si="16"/>
        <v>4.0243072190423411E-2</v>
      </c>
      <c r="G40" s="17">
        <f t="shared" si="16"/>
        <v>5.3633291647819534E-2</v>
      </c>
      <c r="H40" s="17">
        <f t="shared" si="16"/>
        <v>4.5112804506181672E-2</v>
      </c>
      <c r="I40" s="17">
        <f t="shared" si="16"/>
        <v>5.2310797661458311E-2</v>
      </c>
      <c r="J40" s="17">
        <f t="shared" si="16"/>
        <v>4.5538138081916632E-2</v>
      </c>
      <c r="K40" s="17">
        <f t="shared" si="16"/>
        <v>4.8178815590127579E-2</v>
      </c>
      <c r="L40" s="17">
        <f t="shared" si="16"/>
        <v>5.5517376929174744E-2</v>
      </c>
      <c r="M40" s="17">
        <f t="shared" si="16"/>
        <v>4.999487220486367E-2</v>
      </c>
    </row>
    <row r="42" spans="2:13" x14ac:dyDescent="0.25">
      <c r="B42" s="166" t="s">
        <v>25</v>
      </c>
      <c r="C42">
        <f>IFERROR('Data Sheet'!B93,0)</f>
        <v>54.68</v>
      </c>
      <c r="D42">
        <f>IFERROR('Data Sheet'!C93,0)</f>
        <v>56.15</v>
      </c>
      <c r="E42">
        <f>IFERROR('Data Sheet'!D93,0)</f>
        <v>56.15</v>
      </c>
      <c r="F42">
        <f>IFERROR('Data Sheet'!E93,0)</f>
        <v>62.41</v>
      </c>
      <c r="G42">
        <f>IFERROR('Data Sheet'!F93,0)</f>
        <v>62.41</v>
      </c>
      <c r="H42">
        <f>IFERROR('Data Sheet'!G93,0)</f>
        <v>62.41</v>
      </c>
      <c r="I42">
        <f>IFERROR('Data Sheet'!H93,0)</f>
        <v>64.78</v>
      </c>
      <c r="J42">
        <f>IFERROR('Data Sheet'!I93,0)</f>
        <v>64.78</v>
      </c>
      <c r="K42">
        <f>IFERROR('Data Sheet'!J93,0)</f>
        <v>64.78</v>
      </c>
      <c r="L42">
        <f>IFERROR('Data Sheet'!K93,0)</f>
        <v>64.83</v>
      </c>
      <c r="M42">
        <f>L42</f>
        <v>64.83</v>
      </c>
    </row>
    <row r="44" spans="2:13" x14ac:dyDescent="0.25">
      <c r="B44" s="166" t="s">
        <v>26</v>
      </c>
      <c r="C44" s="13">
        <f>IFERROR(C39/C42,0)</f>
        <v>2.951353328456471</v>
      </c>
      <c r="D44" s="13">
        <f t="shared" ref="D44:M44" si="17">IFERROR(D39/D42,0)</f>
        <v>3.7704363312555489</v>
      </c>
      <c r="E44" s="13">
        <f t="shared" si="17"/>
        <v>5.7032947462155086</v>
      </c>
      <c r="F44" s="13">
        <f t="shared" si="17"/>
        <v>7.6718474603429048</v>
      </c>
      <c r="G44" s="13">
        <f t="shared" si="17"/>
        <v>12.919083480211516</v>
      </c>
      <c r="H44" s="13">
        <f t="shared" si="17"/>
        <v>14.460182663034793</v>
      </c>
      <c r="I44" s="13">
        <f t="shared" si="17"/>
        <v>20.083050324174135</v>
      </c>
      <c r="J44" s="13">
        <f t="shared" si="17"/>
        <v>16.971750540290184</v>
      </c>
      <c r="K44" s="13">
        <f t="shared" si="17"/>
        <v>23.037974683544324</v>
      </c>
      <c r="L44" s="13">
        <f t="shared" si="17"/>
        <v>36.685793614067514</v>
      </c>
      <c r="M44" s="13">
        <f t="shared" si="17"/>
        <v>37.52228906370518</v>
      </c>
    </row>
    <row r="45" spans="2:13" x14ac:dyDescent="0.25">
      <c r="B45" s="15" t="s">
        <v>27</v>
      </c>
      <c r="C45" s="17"/>
      <c r="D45" s="17">
        <f>IFERROR(D44/C44-1,0)</f>
        <v>0.27752793774354712</v>
      </c>
      <c r="E45" s="17">
        <f t="shared" ref="E45:M45" si="18">IFERROR(E44/D44-1,0)</f>
        <v>0.51263520853999434</v>
      </c>
      <c r="F45" s="17">
        <f t="shared" si="18"/>
        <v>0.34516061359684302</v>
      </c>
      <c r="G45" s="17">
        <f t="shared" si="18"/>
        <v>0.68395989974937255</v>
      </c>
      <c r="H45" s="17">
        <f t="shared" si="18"/>
        <v>0.11928858461080605</v>
      </c>
      <c r="I45" s="17">
        <f t="shared" si="18"/>
        <v>0.38885177263447224</v>
      </c>
      <c r="J45" s="17">
        <f t="shared" si="18"/>
        <v>-0.15492167443004679</v>
      </c>
      <c r="K45" s="17">
        <f t="shared" si="18"/>
        <v>0.35743066861919703</v>
      </c>
      <c r="L45" s="17">
        <f t="shared" si="18"/>
        <v>0.59240532720402816</v>
      </c>
      <c r="M45" s="17">
        <f t="shared" si="18"/>
        <v>2.2801617935202634E-2</v>
      </c>
    </row>
    <row r="47" spans="2:13" x14ac:dyDescent="0.25">
      <c r="B47" s="166" t="s">
        <v>28</v>
      </c>
      <c r="C47" s="13">
        <f>IFERROR('Data Sheet'!B31/'Historical FS'!C42,0)</f>
        <v>0</v>
      </c>
      <c r="D47" s="13">
        <f>IFERROR('Data Sheet'!C31/'Historical FS'!D42,0)</f>
        <v>0</v>
      </c>
      <c r="E47" s="13">
        <f>IFERROR('Data Sheet'!D31/'Historical FS'!E42,0)</f>
        <v>0</v>
      </c>
      <c r="F47" s="13">
        <f>IFERROR('Data Sheet'!E31/'Historical FS'!F42,0)</f>
        <v>0</v>
      </c>
      <c r="G47" s="13">
        <f>IFERROR('Data Sheet'!F31/'Historical FS'!G42,0)</f>
        <v>0</v>
      </c>
      <c r="H47" s="13">
        <f>IFERROR('Data Sheet'!G31/'Historical FS'!H42,0)</f>
        <v>0</v>
      </c>
      <c r="I47" s="13">
        <f>IFERROR('Data Sheet'!H31/'Historical FS'!I42,0)</f>
        <v>0</v>
      </c>
      <c r="J47" s="13">
        <f>IFERROR('Data Sheet'!I31/'Historical FS'!J42,0)</f>
        <v>0</v>
      </c>
      <c r="K47" s="13">
        <f>IFERROR('Data Sheet'!J31/'Historical FS'!K42,0)</f>
        <v>0</v>
      </c>
      <c r="L47" s="13">
        <f>IFERROR('Data Sheet'!K31/'Historical FS'!L42,0)</f>
        <v>0</v>
      </c>
      <c r="M47" s="13">
        <f>IFERROR('Data Sheet'!L31/'Historical FS'!M42,0)</f>
        <v>0</v>
      </c>
    </row>
    <row r="48" spans="2:13" x14ac:dyDescent="0.25">
      <c r="B48" s="15" t="s">
        <v>29</v>
      </c>
      <c r="C48" s="17">
        <f>IFERROR(C47/C44,0)</f>
        <v>0</v>
      </c>
      <c r="D48" s="17">
        <f t="shared" ref="D48:M48" si="19">IFERROR(D47/D44,0)</f>
        <v>0</v>
      </c>
      <c r="E48" s="17">
        <f t="shared" si="19"/>
        <v>0</v>
      </c>
      <c r="F48" s="17">
        <f t="shared" si="19"/>
        <v>0</v>
      </c>
      <c r="G48" s="17">
        <f t="shared" si="19"/>
        <v>0</v>
      </c>
      <c r="H48" s="17">
        <f t="shared" si="19"/>
        <v>0</v>
      </c>
      <c r="I48" s="17">
        <f t="shared" si="19"/>
        <v>0</v>
      </c>
      <c r="J48" s="17">
        <f t="shared" si="19"/>
        <v>0</v>
      </c>
      <c r="K48" s="17">
        <f t="shared" si="19"/>
        <v>0</v>
      </c>
      <c r="L48" s="17">
        <f t="shared" si="19"/>
        <v>0</v>
      </c>
      <c r="M48" s="17">
        <f t="shared" si="19"/>
        <v>0</v>
      </c>
    </row>
    <row r="50" spans="1:13" x14ac:dyDescent="0.25">
      <c r="B50" s="166" t="s">
        <v>30</v>
      </c>
      <c r="C50" s="14">
        <f>IFERROR(IF(C44&gt;C47,1-C48,0),0)</f>
        <v>1</v>
      </c>
      <c r="D50" s="14">
        <f t="shared" ref="D50:M50" si="20">IFERROR(IF(D44&gt;D47,1-D48,0),0)</f>
        <v>1</v>
      </c>
      <c r="E50" s="14">
        <f t="shared" si="20"/>
        <v>1</v>
      </c>
      <c r="F50" s="14">
        <f t="shared" si="20"/>
        <v>1</v>
      </c>
      <c r="G50" s="14">
        <f t="shared" si="20"/>
        <v>1</v>
      </c>
      <c r="H50" s="14">
        <f t="shared" si="20"/>
        <v>1</v>
      </c>
      <c r="I50" s="14">
        <f t="shared" si="20"/>
        <v>1</v>
      </c>
      <c r="J50" s="14">
        <f t="shared" si="20"/>
        <v>1</v>
      </c>
      <c r="K50" s="14">
        <f t="shared" si="20"/>
        <v>1</v>
      </c>
      <c r="L50" s="14">
        <f t="shared" si="20"/>
        <v>1</v>
      </c>
      <c r="M50" s="14">
        <f t="shared" si="20"/>
        <v>1</v>
      </c>
    </row>
    <row r="52" spans="1:13" x14ac:dyDescent="0.25">
      <c r="A52" t="s">
        <v>2</v>
      </c>
      <c r="B52" s="18" t="s">
        <v>31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25">
      <c r="B53" s="168" t="s">
        <v>32</v>
      </c>
      <c r="C53" s="13">
        <f>IFERROR('Data Sheet'!B57,0)</f>
        <v>546.75</v>
      </c>
      <c r="D53" s="13">
        <f>IFERROR('Data Sheet'!C57,0)</f>
        <v>561.54</v>
      </c>
      <c r="E53" s="13">
        <f>IFERROR('Data Sheet'!D57,0)</f>
        <v>561.54</v>
      </c>
      <c r="F53" s="13">
        <f>IFERROR('Data Sheet'!E57,0)</f>
        <v>624.08000000000004</v>
      </c>
      <c r="G53" s="13">
        <f>IFERROR('Data Sheet'!F57,0)</f>
        <v>624.08000000000004</v>
      </c>
      <c r="H53" s="13">
        <f>IFERROR('Data Sheet'!G57,0)</f>
        <v>624.08000000000004</v>
      </c>
      <c r="I53" s="13">
        <f>IFERROR('Data Sheet'!H57,0)</f>
        <v>647.77</v>
      </c>
      <c r="J53" s="13">
        <f>IFERROR('Data Sheet'!I57,0)</f>
        <v>647.77</v>
      </c>
      <c r="K53" s="13">
        <f>IFERROR('Data Sheet'!J57,0)</f>
        <v>647.77</v>
      </c>
      <c r="L53" s="13">
        <f>IFERROR('Data Sheet'!K57,0)</f>
        <v>648.26</v>
      </c>
    </row>
    <row r="54" spans="1:13" x14ac:dyDescent="0.25">
      <c r="B54" s="168" t="s">
        <v>33</v>
      </c>
      <c r="C54" s="13">
        <f>IFERROR('Data Sheet'!B58,0)</f>
        <v>408.82</v>
      </c>
      <c r="D54" s="13">
        <f>IFERROR('Data Sheet'!C58,0)</f>
        <v>637.65</v>
      </c>
      <c r="E54" s="13">
        <f>IFERROR('Data Sheet'!D58,0)</f>
        <v>958.9</v>
      </c>
      <c r="F54" s="13">
        <f>IFERROR('Data Sheet'!E58,0)</f>
        <v>3217.7</v>
      </c>
      <c r="G54" s="13">
        <f>IFERROR('Data Sheet'!F58,0)</f>
        <v>4044.97</v>
      </c>
      <c r="H54" s="13">
        <f>IFERROR('Data Sheet'!G58,0)</f>
        <v>4963.37</v>
      </c>
      <c r="I54" s="13">
        <f>IFERROR('Data Sheet'!H58,0)</f>
        <v>10431.969999999999</v>
      </c>
      <c r="J54" s="13">
        <f>IFERROR('Data Sheet'!I58,0)</f>
        <v>11535.94</v>
      </c>
      <c r="K54" s="13">
        <f>IFERROR('Data Sheet'!J58,0)</f>
        <v>13029.87</v>
      </c>
      <c r="L54" s="13">
        <f>IFERROR('Data Sheet'!K58,0)</f>
        <v>15430.44</v>
      </c>
    </row>
    <row r="55" spans="1:13" x14ac:dyDescent="0.25">
      <c r="B55" s="168" t="s">
        <v>34</v>
      </c>
      <c r="C55" s="13">
        <f>IFERROR('Data Sheet'!B59,0)</f>
        <v>640.82000000000005</v>
      </c>
      <c r="D55" s="13">
        <f>IFERROR('Data Sheet'!C59,0)</f>
        <v>904.26</v>
      </c>
      <c r="E55" s="13">
        <f>IFERROR('Data Sheet'!D59,0)</f>
        <v>1192.3399999999999</v>
      </c>
      <c r="F55" s="13">
        <f>IFERROR('Data Sheet'!E59,0)</f>
        <v>1497.32</v>
      </c>
      <c r="G55" s="13">
        <f>IFERROR('Data Sheet'!F59,0)</f>
        <v>439.25</v>
      </c>
      <c r="H55" s="13">
        <f>IFERROR('Data Sheet'!G59,0)</f>
        <v>700.15</v>
      </c>
      <c r="I55" s="13">
        <f>IFERROR('Data Sheet'!H59,0)</f>
        <v>333.19</v>
      </c>
      <c r="J55" s="13">
        <f>IFERROR('Data Sheet'!I59,0)</f>
        <v>392.71</v>
      </c>
      <c r="K55" s="13">
        <f>IFERROR('Data Sheet'!J59,0)</f>
        <v>646.94000000000005</v>
      </c>
      <c r="L55" s="13">
        <f>IFERROR('Data Sheet'!K59,0)</f>
        <v>642.98</v>
      </c>
    </row>
    <row r="56" spans="1:13" x14ac:dyDescent="0.25">
      <c r="B56" s="168" t="s">
        <v>35</v>
      </c>
      <c r="C56" s="13">
        <f>IFERROR('Data Sheet'!B60,0)</f>
        <v>211.26</v>
      </c>
      <c r="D56" s="13">
        <f>IFERROR('Data Sheet'!C60,0)</f>
        <v>251.36</v>
      </c>
      <c r="E56" s="13">
        <f>IFERROR('Data Sheet'!D60,0)</f>
        <v>388.78</v>
      </c>
      <c r="F56" s="13">
        <f>IFERROR('Data Sheet'!E60,0)</f>
        <v>480.18</v>
      </c>
      <c r="G56" s="13">
        <f>IFERROR('Data Sheet'!F60,0)</f>
        <v>539.91999999999996</v>
      </c>
      <c r="H56" s="13">
        <f>IFERROR('Data Sheet'!G60,0)</f>
        <v>717.9</v>
      </c>
      <c r="I56" s="13">
        <f>IFERROR('Data Sheet'!H60,0)</f>
        <v>663.23</v>
      </c>
      <c r="J56" s="13">
        <f>IFERROR('Data Sheet'!I60,0)</f>
        <v>1078.6300000000001</v>
      </c>
      <c r="K56" s="13">
        <f>IFERROR('Data Sheet'!J60,0)</f>
        <v>1146.4000000000001</v>
      </c>
      <c r="L56" s="13">
        <f>IFERROR('Data Sheet'!K60,0)</f>
        <v>1382.84</v>
      </c>
    </row>
    <row r="57" spans="1:13" x14ac:dyDescent="0.25">
      <c r="B57" s="169" t="s">
        <v>36</v>
      </c>
      <c r="C57" s="23">
        <f>IFERROR('Data Sheet'!B61,0)</f>
        <v>1807.65</v>
      </c>
      <c r="D57" s="23">
        <f>IFERROR('Data Sheet'!C61,0)</f>
        <v>2354.81</v>
      </c>
      <c r="E57" s="23">
        <f>IFERROR('Data Sheet'!D61,0)</f>
        <v>3101.56</v>
      </c>
      <c r="F57" s="23">
        <f>IFERROR('Data Sheet'!E61,0)</f>
        <v>5819.28</v>
      </c>
      <c r="G57" s="23">
        <f>IFERROR('Data Sheet'!F61,0)</f>
        <v>5648.22</v>
      </c>
      <c r="H57" s="23">
        <f>IFERROR('Data Sheet'!G61,0)</f>
        <v>7005.5</v>
      </c>
      <c r="I57" s="23">
        <f>IFERROR('Data Sheet'!H61,0)</f>
        <v>12076.16</v>
      </c>
      <c r="J57" s="23">
        <f>IFERROR('Data Sheet'!I61,0)</f>
        <v>13655.05</v>
      </c>
      <c r="K57" s="23">
        <f>IFERROR('Data Sheet'!J61,0)</f>
        <v>15470.98</v>
      </c>
      <c r="L57" s="23">
        <f>IFERROR('Data Sheet'!K61,0)</f>
        <v>18104.52</v>
      </c>
    </row>
    <row r="58" spans="1:13" x14ac:dyDescent="0.25">
      <c r="B58" s="1"/>
    </row>
    <row r="59" spans="1:13" x14ac:dyDescent="0.25">
      <c r="B59" s="168" t="s">
        <v>37</v>
      </c>
      <c r="C59" s="13">
        <f>IFERROR('Data Sheet'!B62,0)</f>
        <v>1171.69</v>
      </c>
      <c r="D59" s="13">
        <f>IFERROR('Data Sheet'!C62,0)</f>
        <v>1528.08</v>
      </c>
      <c r="E59" s="13">
        <f>IFERROR('Data Sheet'!D62,0)</f>
        <v>2093.52</v>
      </c>
      <c r="F59" s="13">
        <f>IFERROR('Data Sheet'!E62,0)</f>
        <v>2577.75</v>
      </c>
      <c r="G59" s="13">
        <f>IFERROR('Data Sheet'!F62,0)</f>
        <v>3399.97</v>
      </c>
      <c r="H59" s="13">
        <f>IFERROR('Data Sheet'!G62,0)</f>
        <v>4400.37</v>
      </c>
      <c r="I59" s="13">
        <f>IFERROR('Data Sheet'!H62,0)</f>
        <v>5948.03</v>
      </c>
      <c r="J59" s="13">
        <f>IFERROR('Data Sheet'!I62,0)</f>
        <v>7008.8</v>
      </c>
      <c r="K59" s="13">
        <f>IFERROR('Data Sheet'!J62,0)</f>
        <v>9260.02</v>
      </c>
      <c r="L59" s="13">
        <f>IFERROR('Data Sheet'!K62,0)</f>
        <v>11340.48</v>
      </c>
    </row>
    <row r="60" spans="1:13" x14ac:dyDescent="0.25">
      <c r="B60" s="168" t="s">
        <v>38</v>
      </c>
      <c r="C60" s="13">
        <f>IFERROR('Data Sheet'!B63,0)</f>
        <v>88.78</v>
      </c>
      <c r="D60" s="13">
        <f>IFERROR('Data Sheet'!C63,0)</f>
        <v>98.12</v>
      </c>
      <c r="E60" s="13">
        <f>IFERROR('Data Sheet'!D63,0)</f>
        <v>81.69</v>
      </c>
      <c r="F60" s="13">
        <f>IFERROR('Data Sheet'!E63,0)</f>
        <v>152.88999999999999</v>
      </c>
      <c r="G60" s="13">
        <f>IFERROR('Data Sheet'!F63,0)</f>
        <v>147.07</v>
      </c>
      <c r="H60" s="13">
        <f>IFERROR('Data Sheet'!G63,0)</f>
        <v>376.84</v>
      </c>
      <c r="I60" s="13">
        <f>IFERROR('Data Sheet'!H63,0)</f>
        <v>364.4</v>
      </c>
      <c r="J60" s="13">
        <f>IFERROR('Data Sheet'!I63,0)</f>
        <v>1019.59</v>
      </c>
      <c r="K60" s="13">
        <f>IFERROR('Data Sheet'!J63,0)</f>
        <v>1129.3399999999999</v>
      </c>
      <c r="L60" s="13">
        <f>IFERROR('Data Sheet'!K63,0)</f>
        <v>829.16</v>
      </c>
    </row>
    <row r="61" spans="1:13" x14ac:dyDescent="0.25">
      <c r="B61" s="168" t="s">
        <v>39</v>
      </c>
      <c r="C61" s="13">
        <f>IFERROR('Data Sheet'!B64,0)</f>
        <v>15.54</v>
      </c>
      <c r="D61" s="13">
        <f>IFERROR('Data Sheet'!C64,0)</f>
        <v>15.23</v>
      </c>
      <c r="E61" s="13">
        <f>IFERROR('Data Sheet'!D64,0)</f>
        <v>29.33</v>
      </c>
      <c r="F61" s="13">
        <f>IFERROR('Data Sheet'!E64,0)</f>
        <v>25.69</v>
      </c>
      <c r="G61" s="13">
        <f>IFERROR('Data Sheet'!F64,0)</f>
        <v>68.180000000000007</v>
      </c>
      <c r="H61" s="13">
        <f>IFERROR('Data Sheet'!G64,0)</f>
        <v>16.53</v>
      </c>
      <c r="I61" s="13">
        <f>IFERROR('Data Sheet'!H64,0)</f>
        <v>14.68</v>
      </c>
      <c r="J61" s="13">
        <f>IFERROR('Data Sheet'!I64,0)</f>
        <v>2.95</v>
      </c>
      <c r="K61" s="13">
        <f>IFERROR('Data Sheet'!J64,0)</f>
        <v>5.94</v>
      </c>
      <c r="L61" s="13">
        <f>IFERROR('Data Sheet'!K64,0)</f>
        <v>202.2</v>
      </c>
    </row>
    <row r="62" spans="1:13" x14ac:dyDescent="0.25">
      <c r="B62" s="168" t="s">
        <v>40</v>
      </c>
      <c r="C62" s="13">
        <f>IFERROR('Data Sheet'!B65-SUM('Data Sheet'!B67:B69),0)</f>
        <v>88.360000000000014</v>
      </c>
      <c r="D62" s="13">
        <f>IFERROR('Data Sheet'!C65-SUM('Data Sheet'!C67:C69),0)</f>
        <v>128.65999999999997</v>
      </c>
      <c r="E62" s="13">
        <f>IFERROR('Data Sheet'!D65-SUM('Data Sheet'!D67:D69),0)</f>
        <v>181.80999999999995</v>
      </c>
      <c r="F62" s="13">
        <f>IFERROR('Data Sheet'!E65-SUM('Data Sheet'!E67:E69),0)</f>
        <v>209.75999999999976</v>
      </c>
      <c r="G62" s="13">
        <f>IFERROR('Data Sheet'!F65-SUM('Data Sheet'!F67:F69),0)</f>
        <v>275.84999999999991</v>
      </c>
      <c r="H62" s="13">
        <f>IFERROR('Data Sheet'!G65-SUM('Data Sheet'!G67:G69),0)</f>
        <v>319.6700000000003</v>
      </c>
      <c r="I62" s="13">
        <f>IFERROR('Data Sheet'!H65-SUM('Data Sheet'!H67:H69),0)</f>
        <v>3674.2200000000003</v>
      </c>
      <c r="J62" s="13">
        <f>IFERROR('Data Sheet'!I65-SUM('Data Sheet'!I67:I69),0)</f>
        <v>1886.27</v>
      </c>
      <c r="K62" s="13">
        <f>IFERROR('Data Sheet'!J65-SUM('Data Sheet'!J67:J69),0)</f>
        <v>1967.5500000000006</v>
      </c>
      <c r="L62" s="13">
        <f>IFERROR('Data Sheet'!K65-SUM('Data Sheet'!K67:K69),0)</f>
        <v>1018.7100000000009</v>
      </c>
    </row>
    <row r="63" spans="1:13" x14ac:dyDescent="0.25">
      <c r="B63" s="169" t="s">
        <v>41</v>
      </c>
      <c r="C63" s="23">
        <f>SUM(C59:C62)</f>
        <v>1364.37</v>
      </c>
      <c r="D63" s="23">
        <f t="shared" ref="D63:L63" si="21">SUM(D59:D62)</f>
        <v>1770.0899999999997</v>
      </c>
      <c r="E63" s="23">
        <f t="shared" si="21"/>
        <v>2386.35</v>
      </c>
      <c r="F63" s="23">
        <f t="shared" si="21"/>
        <v>2966.0899999999997</v>
      </c>
      <c r="G63" s="23">
        <f t="shared" si="21"/>
        <v>3891.0699999999997</v>
      </c>
      <c r="H63" s="23">
        <f t="shared" si="21"/>
        <v>5113.41</v>
      </c>
      <c r="I63" s="23">
        <f t="shared" si="21"/>
        <v>10001.33</v>
      </c>
      <c r="J63" s="23">
        <f t="shared" si="21"/>
        <v>9917.61</v>
      </c>
      <c r="K63" s="23">
        <f t="shared" si="21"/>
        <v>12362.850000000002</v>
      </c>
      <c r="L63" s="23">
        <f t="shared" si="21"/>
        <v>13390.550000000001</v>
      </c>
    </row>
    <row r="64" spans="1:13" x14ac:dyDescent="0.25">
      <c r="B64" s="1"/>
    </row>
    <row r="65" spans="1:13" x14ac:dyDescent="0.25">
      <c r="B65" s="168" t="s">
        <v>42</v>
      </c>
      <c r="C65" s="13">
        <f>IFERROR('Data Sheet'!B67,0)</f>
        <v>9.5399999999999991</v>
      </c>
      <c r="D65" s="13">
        <f>IFERROR('Data Sheet'!C67,0)</f>
        <v>7.07</v>
      </c>
      <c r="E65" s="13">
        <f>IFERROR('Data Sheet'!D67,0)</f>
        <v>8.42</v>
      </c>
      <c r="F65" s="13">
        <f>IFERROR('Data Sheet'!E67,0)</f>
        <v>21</v>
      </c>
      <c r="G65" s="13">
        <f>IFERROR('Data Sheet'!F67,0)</f>
        <v>33.520000000000003</v>
      </c>
      <c r="H65" s="13">
        <f>IFERROR('Data Sheet'!G67,0)</f>
        <v>64.37</v>
      </c>
      <c r="I65" s="13">
        <f>IFERROR('Data Sheet'!H67,0)</f>
        <v>19.55</v>
      </c>
      <c r="J65" s="13">
        <f>IFERROR('Data Sheet'!I67,0)</f>
        <v>43.58</v>
      </c>
      <c r="K65" s="13">
        <f>IFERROR('Data Sheet'!J67,0)</f>
        <v>66.89</v>
      </c>
      <c r="L65" s="13">
        <f>IFERROR('Data Sheet'!K67,0)</f>
        <v>62.16</v>
      </c>
    </row>
    <row r="66" spans="1:13" x14ac:dyDescent="0.25">
      <c r="B66" s="168" t="s">
        <v>43</v>
      </c>
      <c r="C66" s="13">
        <f>IFERROR('Data Sheet'!B68,0)</f>
        <v>378.33</v>
      </c>
      <c r="D66" s="13">
        <f>IFERROR('Data Sheet'!C68,0)</f>
        <v>539.61</v>
      </c>
      <c r="E66" s="13">
        <f>IFERROR('Data Sheet'!D68,0)</f>
        <v>671.69</v>
      </c>
      <c r="F66" s="13">
        <f>IFERROR('Data Sheet'!E68,0)</f>
        <v>947.9</v>
      </c>
      <c r="G66" s="13">
        <f>IFERROR('Data Sheet'!F68,0)</f>
        <v>1163.45</v>
      </c>
      <c r="H66" s="13">
        <f>IFERROR('Data Sheet'!G68,0)</f>
        <v>1608.65</v>
      </c>
      <c r="I66" s="13">
        <f>IFERROR('Data Sheet'!H68,0)</f>
        <v>1947.4</v>
      </c>
      <c r="J66" s="13">
        <f>IFERROR('Data Sheet'!I68,0)</f>
        <v>2248.2800000000002</v>
      </c>
      <c r="K66" s="13">
        <f>IFERROR('Data Sheet'!J68,0)</f>
        <v>2742.66</v>
      </c>
      <c r="L66" s="13">
        <f>IFERROR('Data Sheet'!K68,0)</f>
        <v>3243.48</v>
      </c>
    </row>
    <row r="67" spans="1:13" x14ac:dyDescent="0.25">
      <c r="B67" s="168" t="s">
        <v>44</v>
      </c>
      <c r="C67" s="13">
        <f>IFERROR('Data Sheet'!B69,0)</f>
        <v>55.41</v>
      </c>
      <c r="D67" s="13">
        <f>IFERROR('Data Sheet'!C69,0)</f>
        <v>38.04</v>
      </c>
      <c r="E67" s="13">
        <f>IFERROR('Data Sheet'!D69,0)</f>
        <v>35.1</v>
      </c>
      <c r="F67" s="13">
        <f>IFERROR('Data Sheet'!E69,0)</f>
        <v>1884.29</v>
      </c>
      <c r="G67" s="13">
        <f>IFERROR('Data Sheet'!F69,0)</f>
        <v>560.17999999999995</v>
      </c>
      <c r="H67" s="13">
        <f>IFERROR('Data Sheet'!G69,0)</f>
        <v>219.07</v>
      </c>
      <c r="I67" s="13">
        <f>IFERROR('Data Sheet'!H69,0)</f>
        <v>107.88</v>
      </c>
      <c r="J67" s="13">
        <f>IFERROR('Data Sheet'!I69,0)</f>
        <v>1445.58</v>
      </c>
      <c r="K67" s="13">
        <f>IFERROR('Data Sheet'!J69,0)</f>
        <v>298.58</v>
      </c>
      <c r="L67" s="13">
        <f>IFERROR('Data Sheet'!K69,0)</f>
        <v>1408.33</v>
      </c>
    </row>
    <row r="68" spans="1:13" x14ac:dyDescent="0.25">
      <c r="B68" s="170" t="s">
        <v>45</v>
      </c>
      <c r="C68" s="23">
        <f>IFERROR(SUM(C65:C67),0)</f>
        <v>443.28</v>
      </c>
      <c r="D68" s="23">
        <f t="shared" ref="D68:L68" si="22">IFERROR(SUM(D65:D67),0)</f>
        <v>584.72</v>
      </c>
      <c r="E68" s="23">
        <f t="shared" si="22"/>
        <v>715.21</v>
      </c>
      <c r="F68" s="23">
        <f t="shared" si="22"/>
        <v>2853.19</v>
      </c>
      <c r="G68" s="23">
        <f t="shared" si="22"/>
        <v>1757.15</v>
      </c>
      <c r="H68" s="23">
        <f t="shared" si="22"/>
        <v>1892.09</v>
      </c>
      <c r="I68" s="23">
        <f t="shared" si="22"/>
        <v>2074.83</v>
      </c>
      <c r="J68" s="23">
        <f t="shared" si="22"/>
        <v>3737.44</v>
      </c>
      <c r="K68" s="23">
        <f t="shared" si="22"/>
        <v>3108.1299999999997</v>
      </c>
      <c r="L68" s="23">
        <f t="shared" si="22"/>
        <v>4713.9699999999993</v>
      </c>
    </row>
    <row r="69" spans="1:13" x14ac:dyDescent="0.25">
      <c r="B69" s="166"/>
    </row>
    <row r="70" spans="1:13" x14ac:dyDescent="0.25">
      <c r="B70" s="170" t="s">
        <v>46</v>
      </c>
      <c r="C70" s="23">
        <f>IFERROR(C68+C63,0)</f>
        <v>1807.6499999999999</v>
      </c>
      <c r="D70" s="23">
        <f t="shared" ref="D70:L70" si="23">IFERROR(D68+D63,0)</f>
        <v>2354.8099999999995</v>
      </c>
      <c r="E70" s="23">
        <f t="shared" si="23"/>
        <v>3101.56</v>
      </c>
      <c r="F70" s="23">
        <f t="shared" si="23"/>
        <v>5819.28</v>
      </c>
      <c r="G70" s="23">
        <f t="shared" si="23"/>
        <v>5648.2199999999993</v>
      </c>
      <c r="H70" s="23">
        <f t="shared" si="23"/>
        <v>7005.5</v>
      </c>
      <c r="I70" s="23">
        <f t="shared" si="23"/>
        <v>12076.16</v>
      </c>
      <c r="J70" s="23">
        <f t="shared" si="23"/>
        <v>13655.050000000001</v>
      </c>
      <c r="K70" s="23">
        <f t="shared" si="23"/>
        <v>15470.980000000001</v>
      </c>
      <c r="L70" s="23">
        <f t="shared" si="23"/>
        <v>18104.52</v>
      </c>
    </row>
    <row r="71" spans="1:13" x14ac:dyDescent="0.25">
      <c r="B71" s="11"/>
    </row>
    <row r="72" spans="1:13" x14ac:dyDescent="0.25">
      <c r="B72" s="15" t="s">
        <v>47</v>
      </c>
      <c r="C72" s="15" t="b">
        <f>C70=C57</f>
        <v>1</v>
      </c>
      <c r="D72" s="15" t="b">
        <f t="shared" ref="D72:L72" si="24">D70=D57</f>
        <v>1</v>
      </c>
      <c r="E72" s="15" t="b">
        <f t="shared" si="24"/>
        <v>1</v>
      </c>
      <c r="F72" s="15" t="b">
        <f t="shared" si="24"/>
        <v>1</v>
      </c>
      <c r="G72" s="15" t="b">
        <f t="shared" si="24"/>
        <v>1</v>
      </c>
      <c r="H72" s="15" t="b">
        <f t="shared" si="24"/>
        <v>1</v>
      </c>
      <c r="I72" s="15" t="b">
        <f t="shared" si="24"/>
        <v>1</v>
      </c>
      <c r="J72" s="15" t="b">
        <f t="shared" si="24"/>
        <v>1</v>
      </c>
      <c r="K72" s="15" t="b">
        <f t="shared" si="24"/>
        <v>1</v>
      </c>
      <c r="L72" s="15" t="b">
        <f t="shared" si="24"/>
        <v>1</v>
      </c>
    </row>
    <row r="74" spans="1:13" x14ac:dyDescent="0.25">
      <c r="A74" t="s">
        <v>2</v>
      </c>
      <c r="B74" s="18" t="s">
        <v>48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25">
      <c r="B75" s="171" t="s">
        <v>49</v>
      </c>
    </row>
    <row r="76" spans="1:13" x14ac:dyDescent="0.25">
      <c r="B76" s="166" t="s">
        <v>50</v>
      </c>
      <c r="C76" s="13">
        <f>IFERROR('Cash Flow Data (Manual)'!E6,0)</f>
        <v>356</v>
      </c>
      <c r="D76" s="13">
        <f>IFERROR('Cash Flow Data (Manual)'!F6,0)</f>
        <v>474</v>
      </c>
      <c r="E76" s="13">
        <f>IFERROR('Cash Flow Data (Manual)'!G6,0)</f>
        <v>666</v>
      </c>
      <c r="F76" s="13">
        <f>IFERROR('Cash Flow Data (Manual)'!H6,0)</f>
        <v>984</v>
      </c>
      <c r="G76" s="13">
        <f>IFERROR('Cash Flow Data (Manual)'!I6,0)</f>
        <v>1375</v>
      </c>
      <c r="H76" s="13">
        <f>IFERROR('Cash Flow Data (Manual)'!J6,0)</f>
        <v>1659</v>
      </c>
      <c r="I76" s="13">
        <f>IFERROR('Cash Flow Data (Manual)'!K6,0)</f>
        <v>2149</v>
      </c>
      <c r="J76" s="13">
        <f>IFERROR('Cash Flow Data (Manual)'!L6,0)</f>
        <v>1764</v>
      </c>
      <c r="K76" s="13">
        <f>IFERROR('Cash Flow Data (Manual)'!M6,0)</f>
        <v>2515</v>
      </c>
      <c r="L76" s="13">
        <f>IFERROR('Cash Flow Data (Manual)'!N6,0)</f>
        <v>3659</v>
      </c>
    </row>
    <row r="77" spans="1:13" x14ac:dyDescent="0.25">
      <c r="B77" s="166" t="s">
        <v>42</v>
      </c>
      <c r="C77" s="13">
        <f>IFERROR('Cash Flow Data (Manual)'!E7,0)</f>
        <v>4</v>
      </c>
      <c r="D77" s="13">
        <f>IFERROR('Cash Flow Data (Manual)'!F7,0)</f>
        <v>2</v>
      </c>
      <c r="E77" s="13">
        <f>IFERROR('Cash Flow Data (Manual)'!G7,0)</f>
        <v>-1</v>
      </c>
      <c r="F77" s="13">
        <f>IFERROR('Cash Flow Data (Manual)'!H7,0)</f>
        <v>54</v>
      </c>
      <c r="G77" s="13">
        <f>IFERROR('Cash Flow Data (Manual)'!I7,0)</f>
        <v>-13</v>
      </c>
      <c r="H77" s="13">
        <f>IFERROR('Cash Flow Data (Manual)'!J7,0)</f>
        <v>-31</v>
      </c>
      <c r="I77" s="13">
        <f>IFERROR('Cash Flow Data (Manual)'!K7,0)</f>
        <v>45</v>
      </c>
      <c r="J77" s="13">
        <f>IFERROR('Cash Flow Data (Manual)'!L7,0)</f>
        <v>-24</v>
      </c>
      <c r="K77" s="13">
        <f>IFERROR('Cash Flow Data (Manual)'!M7,0)</f>
        <v>-23</v>
      </c>
      <c r="L77" s="13">
        <f>IFERROR('Cash Flow Data (Manual)'!N7,0)</f>
        <v>5</v>
      </c>
    </row>
    <row r="78" spans="1:13" x14ac:dyDescent="0.25">
      <c r="B78" s="166" t="s">
        <v>43</v>
      </c>
      <c r="C78" s="13">
        <f>IFERROR('Cash Flow Data (Manual)'!E8,0)</f>
        <v>-102</v>
      </c>
      <c r="D78" s="13">
        <f>IFERROR('Cash Flow Data (Manual)'!F8,0)</f>
        <v>-161</v>
      </c>
      <c r="E78" s="13">
        <f>IFERROR('Cash Flow Data (Manual)'!G8,0)</f>
        <v>-132</v>
      </c>
      <c r="F78" s="13">
        <f>IFERROR('Cash Flow Data (Manual)'!H8,0)</f>
        <v>-276</v>
      </c>
      <c r="G78" s="13">
        <f>IFERROR('Cash Flow Data (Manual)'!I8,0)</f>
        <v>-212</v>
      </c>
      <c r="H78" s="13">
        <f>IFERROR('Cash Flow Data (Manual)'!J8,0)</f>
        <v>-445</v>
      </c>
      <c r="I78" s="13">
        <f>IFERROR('Cash Flow Data (Manual)'!K8,0)</f>
        <v>-339</v>
      </c>
      <c r="J78" s="13">
        <f>IFERROR('Cash Flow Data (Manual)'!L8,0)</f>
        <v>-301</v>
      </c>
      <c r="K78" s="13">
        <f>IFERROR('Cash Flow Data (Manual)'!M8,0)</f>
        <v>-494</v>
      </c>
      <c r="L78" s="13">
        <f>IFERROR('Cash Flow Data (Manual)'!N8,0)</f>
        <v>-501</v>
      </c>
    </row>
    <row r="79" spans="1:13" x14ac:dyDescent="0.25">
      <c r="B79" s="166" t="s">
        <v>51</v>
      </c>
      <c r="C79" s="13">
        <f>IFERROR('Cash Flow Data (Manual)'!E9,0)</f>
        <v>28</v>
      </c>
      <c r="D79" s="13">
        <f>IFERROR('Cash Flow Data (Manual)'!F9,0)</f>
        <v>-4</v>
      </c>
      <c r="E79" s="13">
        <f>IFERROR('Cash Flow Data (Manual)'!G9,0)</f>
        <v>72</v>
      </c>
      <c r="F79" s="13">
        <f>IFERROR('Cash Flow Data (Manual)'!H9,0)</f>
        <v>0</v>
      </c>
      <c r="G79" s="13">
        <f>IFERROR('Cash Flow Data (Manual)'!I9,0)</f>
        <v>55</v>
      </c>
      <c r="H79" s="13">
        <f>IFERROR('Cash Flow Data (Manual)'!J9,0)</f>
        <v>146</v>
      </c>
      <c r="I79" s="13">
        <f>IFERROR('Cash Flow Data (Manual)'!K9,0)</f>
        <v>-30</v>
      </c>
      <c r="J79" s="13">
        <f>IFERROR('Cash Flow Data (Manual)'!L9,0)</f>
        <v>145</v>
      </c>
      <c r="K79" s="13">
        <f>IFERROR('Cash Flow Data (Manual)'!M9,0)</f>
        <v>11</v>
      </c>
      <c r="L79" s="13">
        <f>IFERROR('Cash Flow Data (Manual)'!N9,0)</f>
        <v>165</v>
      </c>
    </row>
    <row r="80" spans="1:13" x14ac:dyDescent="0.25">
      <c r="B80" s="166" t="s">
        <v>52</v>
      </c>
      <c r="C80" s="13">
        <f>IFERROR('Cash Flow Data (Manual)'!E10,0)</f>
        <v>-18</v>
      </c>
      <c r="D80" s="13">
        <f>IFERROR('Cash Flow Data (Manual)'!F10,0)</f>
        <v>-5</v>
      </c>
      <c r="E80" s="13">
        <f>IFERROR('Cash Flow Data (Manual)'!G10,0)</f>
        <v>0</v>
      </c>
      <c r="F80" s="13">
        <f>IFERROR('Cash Flow Data (Manual)'!H10,0)</f>
        <v>0</v>
      </c>
      <c r="G80" s="13">
        <f>IFERROR('Cash Flow Data (Manual)'!I10,0)</f>
        <v>0</v>
      </c>
      <c r="H80" s="13">
        <f>IFERROR('Cash Flow Data (Manual)'!J10,0)</f>
        <v>0</v>
      </c>
      <c r="I80" s="13">
        <f>IFERROR('Cash Flow Data (Manual)'!K10,0)</f>
        <v>0</v>
      </c>
      <c r="J80" s="13">
        <f>IFERROR('Cash Flow Data (Manual)'!L10,0)</f>
        <v>0</v>
      </c>
      <c r="K80" s="13">
        <f>IFERROR('Cash Flow Data (Manual)'!M10,0)</f>
        <v>0</v>
      </c>
      <c r="L80" s="13">
        <f>IFERROR('Cash Flow Data (Manual)'!N10,0)</f>
        <v>0</v>
      </c>
    </row>
    <row r="81" spans="2:12" x14ac:dyDescent="0.25">
      <c r="B81" s="166" t="s">
        <v>386</v>
      </c>
      <c r="C81" s="13">
        <f>IFERROR('Cash Flow Data (Manual)'!E11,0)</f>
        <v>0</v>
      </c>
      <c r="D81" s="13">
        <f>IFERROR('Cash Flow Data (Manual)'!F11,0)</f>
        <v>0</v>
      </c>
      <c r="E81" s="13">
        <f>IFERROR('Cash Flow Data (Manual)'!G11,0)</f>
        <v>0</v>
      </c>
      <c r="F81" s="13">
        <f>IFERROR('Cash Flow Data (Manual)'!H11,0)</f>
        <v>-2</v>
      </c>
      <c r="G81" s="13">
        <f>IFERROR('Cash Flow Data (Manual)'!I11,0)</f>
        <v>-62</v>
      </c>
      <c r="H81" s="13">
        <f>IFERROR('Cash Flow Data (Manual)'!J11,0)</f>
        <v>52</v>
      </c>
      <c r="I81" s="13">
        <f>IFERROR('Cash Flow Data (Manual)'!K11,0)</f>
        <v>2</v>
      </c>
      <c r="J81" s="13">
        <f>IFERROR('Cash Flow Data (Manual)'!L11,0)</f>
        <v>12</v>
      </c>
      <c r="K81" s="13">
        <f>IFERROR('Cash Flow Data (Manual)'!M11,0)</f>
        <v>-3</v>
      </c>
      <c r="L81" s="13">
        <f>IFERROR('Cash Flow Data (Manual)'!N11,0)</f>
        <v>0</v>
      </c>
    </row>
    <row r="82" spans="2:12" x14ac:dyDescent="0.25">
      <c r="B82" s="166" t="s">
        <v>53</v>
      </c>
      <c r="C82" s="13">
        <f>IFERROR('Cash Flow Data (Manual)'!E12,0)</f>
        <v>6</v>
      </c>
      <c r="D82" s="13">
        <f>IFERROR('Cash Flow Data (Manual)'!F12,0)</f>
        <v>16</v>
      </c>
      <c r="E82" s="13">
        <f>IFERROR('Cash Flow Data (Manual)'!G12,0)</f>
        <v>-7</v>
      </c>
      <c r="F82" s="13">
        <f>IFERROR('Cash Flow Data (Manual)'!H12,0)</f>
        <v>-46</v>
      </c>
      <c r="G82" s="13">
        <f>IFERROR('Cash Flow Data (Manual)'!I12,0)</f>
        <v>-11</v>
      </c>
      <c r="H82" s="13">
        <f>IFERROR('Cash Flow Data (Manual)'!J12,0)</f>
        <v>-72</v>
      </c>
      <c r="I82" s="13">
        <f>IFERROR('Cash Flow Data (Manual)'!K12,0)</f>
        <v>-54</v>
      </c>
      <c r="J82" s="13">
        <f>IFERROR('Cash Flow Data (Manual)'!L12,0)</f>
        <v>41</v>
      </c>
      <c r="K82" s="13">
        <f>IFERROR('Cash Flow Data (Manual)'!M12,0)</f>
        <v>-73</v>
      </c>
      <c r="L82" s="13">
        <f>IFERROR('Cash Flow Data (Manual)'!N12,0)</f>
        <v>12</v>
      </c>
    </row>
    <row r="83" spans="2:12" x14ac:dyDescent="0.25">
      <c r="B83" s="166" t="s">
        <v>54</v>
      </c>
      <c r="C83" s="13">
        <f>IFERROR('Cash Flow Data (Manual)'!E14,0)</f>
        <v>-75</v>
      </c>
      <c r="D83" s="13">
        <f>IFERROR('Cash Flow Data (Manual)'!F14,0)</f>
        <v>-100</v>
      </c>
      <c r="E83" s="13">
        <f>IFERROR('Cash Flow Data (Manual)'!G14,0)</f>
        <v>-164</v>
      </c>
      <c r="F83" s="13">
        <f>IFERROR('Cash Flow Data (Manual)'!H14,0)</f>
        <v>-258</v>
      </c>
      <c r="G83" s="13">
        <f>IFERROR('Cash Flow Data (Manual)'!I14,0)</f>
        <v>-403</v>
      </c>
      <c r="H83" s="13">
        <f>IFERROR('Cash Flow Data (Manual)'!J14,0)</f>
        <v>-502</v>
      </c>
      <c r="I83" s="13">
        <f>IFERROR('Cash Flow Data (Manual)'!K14,0)</f>
        <v>-492</v>
      </c>
      <c r="J83" s="13">
        <f>IFERROR('Cash Flow Data (Manual)'!L14,0)</f>
        <v>-262</v>
      </c>
      <c r="K83" s="13">
        <f>IFERROR('Cash Flow Data (Manual)'!M14,0)</f>
        <v>-560</v>
      </c>
      <c r="L83" s="13">
        <f>IFERROR('Cash Flow Data (Manual)'!N14,0)</f>
        <v>-709</v>
      </c>
    </row>
    <row r="84" spans="2:12" x14ac:dyDescent="0.25">
      <c r="B84" s="171" t="s">
        <v>55</v>
      </c>
      <c r="C84" s="20">
        <f t="shared" ref="C84:L84" si="25">SUM(C76:C83)</f>
        <v>199</v>
      </c>
      <c r="D84" s="20">
        <f t="shared" si="25"/>
        <v>222</v>
      </c>
      <c r="E84" s="20">
        <f t="shared" si="25"/>
        <v>434</v>
      </c>
      <c r="F84" s="20">
        <f t="shared" si="25"/>
        <v>456</v>
      </c>
      <c r="G84" s="20">
        <f t="shared" si="25"/>
        <v>729</v>
      </c>
      <c r="H84" s="20">
        <f t="shared" si="25"/>
        <v>807</v>
      </c>
      <c r="I84" s="20">
        <f t="shared" si="25"/>
        <v>1281</v>
      </c>
      <c r="J84" s="20">
        <f t="shared" si="25"/>
        <v>1375</v>
      </c>
      <c r="K84" s="20">
        <f t="shared" si="25"/>
        <v>1373</v>
      </c>
      <c r="L84" s="20">
        <f t="shared" si="25"/>
        <v>2631</v>
      </c>
    </row>
    <row r="86" spans="2:12" x14ac:dyDescent="0.25">
      <c r="B86" s="171" t="s">
        <v>56</v>
      </c>
    </row>
    <row r="87" spans="2:12" x14ac:dyDescent="0.25">
      <c r="B87" s="166" t="s">
        <v>57</v>
      </c>
      <c r="C87" s="13">
        <f>IFERROR('Cash Flow Data (Manual)'!E17,0)</f>
        <v>-272</v>
      </c>
      <c r="D87" s="13">
        <f>IFERROR('Cash Flow Data (Manual)'!F17,0)</f>
        <v>-477</v>
      </c>
      <c r="E87" s="13">
        <f>IFERROR('Cash Flow Data (Manual)'!G17,0)</f>
        <v>0</v>
      </c>
      <c r="F87" s="13">
        <f>IFERROR('Cash Flow Data (Manual)'!H17,0)</f>
        <v>-645</v>
      </c>
      <c r="G87" s="13">
        <f>IFERROR('Cash Flow Data (Manual)'!I17,0)</f>
        <v>-916</v>
      </c>
      <c r="H87" s="13">
        <f>IFERROR('Cash Flow Data (Manual)'!J17,0)</f>
        <v>-1417</v>
      </c>
      <c r="I87" s="13">
        <f>IFERROR('Cash Flow Data (Manual)'!K17,0)</f>
        <v>-1712</v>
      </c>
      <c r="J87" s="13">
        <f>IFERROR('Cash Flow Data (Manual)'!L17,0)</f>
        <v>-2029</v>
      </c>
      <c r="K87" s="13">
        <f>IFERROR('Cash Flow Data (Manual)'!M17,0)</f>
        <v>-2410</v>
      </c>
      <c r="L87" s="13">
        <f>IFERROR('Cash Flow Data (Manual)'!N17,0)</f>
        <v>-2212</v>
      </c>
    </row>
    <row r="88" spans="2:12" x14ac:dyDescent="0.25">
      <c r="B88" s="166" t="s">
        <v>58</v>
      </c>
      <c r="C88" s="13">
        <f>IFERROR('Cash Flow Data (Manual)'!E18,0)</f>
        <v>1</v>
      </c>
      <c r="D88" s="13">
        <f>IFERROR('Cash Flow Data (Manual)'!F18,0)</f>
        <v>0</v>
      </c>
      <c r="E88" s="13">
        <f>IFERROR('Cash Flow Data (Manual)'!G18,0)</f>
        <v>2</v>
      </c>
      <c r="F88" s="13">
        <f>IFERROR('Cash Flow Data (Manual)'!H18,0)</f>
        <v>10</v>
      </c>
      <c r="G88" s="13">
        <f>IFERROR('Cash Flow Data (Manual)'!I18,0)</f>
        <v>7</v>
      </c>
      <c r="H88" s="13">
        <f>IFERROR('Cash Flow Data (Manual)'!J18,0)</f>
        <v>8</v>
      </c>
      <c r="I88" s="13">
        <f>IFERROR('Cash Flow Data (Manual)'!K18,0)</f>
        <v>6</v>
      </c>
      <c r="J88" s="13">
        <f>IFERROR('Cash Flow Data (Manual)'!L18,0)</f>
        <v>2</v>
      </c>
      <c r="K88" s="13">
        <f>IFERROR('Cash Flow Data (Manual)'!M18,0)</f>
        <v>21</v>
      </c>
      <c r="L88" s="13">
        <f>IFERROR('Cash Flow Data (Manual)'!N18,0)</f>
        <v>5</v>
      </c>
    </row>
    <row r="89" spans="2:12" x14ac:dyDescent="0.25">
      <c r="B89" s="166" t="s">
        <v>59</v>
      </c>
      <c r="C89" s="13">
        <f>IFERROR('Cash Flow Data (Manual)'!E19,0)</f>
        <v>-644</v>
      </c>
      <c r="D89" s="13">
        <f>IFERROR('Cash Flow Data (Manual)'!F19,0)</f>
        <v>-2901</v>
      </c>
      <c r="E89" s="13">
        <f>IFERROR('Cash Flow Data (Manual)'!G19,0)</f>
        <v>-638</v>
      </c>
      <c r="F89" s="13">
        <f>IFERROR('Cash Flow Data (Manual)'!H19,0)</f>
        <v>0</v>
      </c>
      <c r="G89" s="13">
        <f>IFERROR('Cash Flow Data (Manual)'!I19,0)</f>
        <v>0</v>
      </c>
      <c r="H89" s="13">
        <f>IFERROR('Cash Flow Data (Manual)'!J19,0)</f>
        <v>0</v>
      </c>
      <c r="I89" s="13">
        <f>IFERROR('Cash Flow Data (Manual)'!K19,0)</f>
        <v>0</v>
      </c>
      <c r="J89" s="13">
        <f>IFERROR('Cash Flow Data (Manual)'!L19,0)</f>
        <v>0</v>
      </c>
      <c r="K89" s="13">
        <f>IFERROR('Cash Flow Data (Manual)'!M19,0)</f>
        <v>0</v>
      </c>
      <c r="L89" s="13">
        <f>IFERROR('Cash Flow Data (Manual)'!N19,0)</f>
        <v>-193</v>
      </c>
    </row>
    <row r="90" spans="2:12" x14ac:dyDescent="0.25">
      <c r="B90" s="166" t="s">
        <v>60</v>
      </c>
      <c r="C90" s="13">
        <f>IFERROR('Cash Flow Data (Manual)'!E20,0)</f>
        <v>645</v>
      </c>
      <c r="D90" s="13">
        <f>IFERROR('Cash Flow Data (Manual)'!F20,0)</f>
        <v>2904</v>
      </c>
      <c r="E90" s="13">
        <f>IFERROR('Cash Flow Data (Manual)'!G20,0)</f>
        <v>0</v>
      </c>
      <c r="F90" s="13">
        <f>IFERROR('Cash Flow Data (Manual)'!H20,0)</f>
        <v>0</v>
      </c>
      <c r="G90" s="13">
        <f>IFERROR('Cash Flow Data (Manual)'!I20,0)</f>
        <v>1376</v>
      </c>
      <c r="H90" s="13">
        <f>IFERROR('Cash Flow Data (Manual)'!J20,0)</f>
        <v>410</v>
      </c>
      <c r="I90" s="13">
        <f>IFERROR('Cash Flow Data (Manual)'!K20,0)</f>
        <v>232</v>
      </c>
      <c r="J90" s="13">
        <f>IFERROR('Cash Flow Data (Manual)'!L20,0)</f>
        <v>3</v>
      </c>
      <c r="K90" s="13">
        <f>IFERROR('Cash Flow Data (Manual)'!M20,0)</f>
        <v>4</v>
      </c>
      <c r="L90" s="13">
        <f>IFERROR('Cash Flow Data (Manual)'!N20,0)</f>
        <v>6</v>
      </c>
    </row>
    <row r="91" spans="2:12" x14ac:dyDescent="0.25">
      <c r="B91" s="166" t="s">
        <v>61</v>
      </c>
      <c r="C91" s="13">
        <f>IFERROR('Cash Flow Data (Manual)'!E21,0)</f>
        <v>0</v>
      </c>
      <c r="D91" s="13">
        <f>IFERROR('Cash Flow Data (Manual)'!F21,0)</f>
        <v>0</v>
      </c>
      <c r="E91" s="13">
        <f>IFERROR('Cash Flow Data (Manual)'!G21,0)</f>
        <v>1</v>
      </c>
      <c r="F91" s="13">
        <f>IFERROR('Cash Flow Data (Manual)'!H21,0)</f>
        <v>1</v>
      </c>
      <c r="G91" s="13">
        <f>IFERROR('Cash Flow Data (Manual)'!I21,0)</f>
        <v>31</v>
      </c>
      <c r="H91" s="13">
        <f>IFERROR('Cash Flow Data (Manual)'!J21,0)</f>
        <v>36</v>
      </c>
      <c r="I91" s="13">
        <f>IFERROR('Cash Flow Data (Manual)'!K21,0)</f>
        <v>12</v>
      </c>
      <c r="J91" s="13">
        <f>IFERROR('Cash Flow Data (Manual)'!L21,0)</f>
        <v>129</v>
      </c>
      <c r="K91" s="13">
        <f>IFERROR('Cash Flow Data (Manual)'!M21,0)</f>
        <v>43</v>
      </c>
      <c r="L91" s="13">
        <f>IFERROR('Cash Flow Data (Manual)'!N21,0)</f>
        <v>39</v>
      </c>
    </row>
    <row r="92" spans="2:12" x14ac:dyDescent="0.25">
      <c r="B92" s="166" t="s">
        <v>62</v>
      </c>
      <c r="C92" s="13">
        <f>IFERROR('Cash Flow Data (Manual)'!E22,0)</f>
        <v>0</v>
      </c>
      <c r="D92" s="13">
        <f>IFERROR('Cash Flow Data (Manual)'!F22,0)</f>
        <v>0</v>
      </c>
      <c r="E92" s="13">
        <f>IFERROR('Cash Flow Data (Manual)'!G22,0)</f>
        <v>0</v>
      </c>
      <c r="F92" s="13">
        <f>IFERROR('Cash Flow Data (Manual)'!H22,0)</f>
        <v>0</v>
      </c>
      <c r="G92" s="13">
        <f>IFERROR('Cash Flow Data (Manual)'!I22,0)</f>
        <v>0</v>
      </c>
      <c r="H92" s="13">
        <f>IFERROR('Cash Flow Data (Manual)'!J22,0)</f>
        <v>0</v>
      </c>
      <c r="I92" s="13">
        <f>IFERROR('Cash Flow Data (Manual)'!K22,0)</f>
        <v>0</v>
      </c>
      <c r="J92" s="13">
        <f>IFERROR('Cash Flow Data (Manual)'!L22,0)</f>
        <v>0</v>
      </c>
      <c r="K92" s="13">
        <f>IFERROR('Cash Flow Data (Manual)'!M22,0)</f>
        <v>0</v>
      </c>
      <c r="L92" s="13">
        <f>IFERROR('Cash Flow Data (Manual)'!N22,0)</f>
        <v>0</v>
      </c>
    </row>
    <row r="93" spans="2:12" x14ac:dyDescent="0.25">
      <c r="B93" s="166" t="s">
        <v>385</v>
      </c>
      <c r="C93" s="13">
        <f>IFERROR('Cash Flow Data (Manual)'!E23,0)</f>
        <v>0</v>
      </c>
      <c r="D93" s="13">
        <f>IFERROR('Cash Flow Data (Manual)'!F23,0)</f>
        <v>0</v>
      </c>
      <c r="E93" s="13">
        <f>IFERROR('Cash Flow Data (Manual)'!G23,0)</f>
        <v>3</v>
      </c>
      <c r="F93" s="13">
        <f>IFERROR('Cash Flow Data (Manual)'!H23,0)</f>
        <v>8</v>
      </c>
      <c r="G93" s="13">
        <f>IFERROR('Cash Flow Data (Manual)'!I23,0)</f>
        <v>0</v>
      </c>
      <c r="H93" s="13">
        <f>IFERROR('Cash Flow Data (Manual)'!J23,0)</f>
        <v>0</v>
      </c>
      <c r="I93" s="13">
        <f>IFERROR('Cash Flow Data (Manual)'!K23,0)</f>
        <v>0</v>
      </c>
      <c r="J93" s="13">
        <f>IFERROR('Cash Flow Data (Manual)'!L23,0)</f>
        <v>0</v>
      </c>
      <c r="K93" s="13">
        <f>IFERROR('Cash Flow Data (Manual)'!M23,0)</f>
        <v>0</v>
      </c>
      <c r="L93" s="13">
        <f>IFERROR('Cash Flow Data (Manual)'!N23,0)</f>
        <v>0</v>
      </c>
    </row>
    <row r="94" spans="2:12" x14ac:dyDescent="0.25">
      <c r="B94" s="166" t="s">
        <v>63</v>
      </c>
      <c r="C94" s="13">
        <f>IFERROR('Cash Flow Data (Manual)'!E24,0)</f>
        <v>0</v>
      </c>
      <c r="D94" s="13">
        <f>IFERROR('Cash Flow Data (Manual)'!F24,0)</f>
        <v>0</v>
      </c>
      <c r="E94" s="13">
        <f>IFERROR('Cash Flow Data (Manual)'!G24,0)</f>
        <v>-14</v>
      </c>
      <c r="F94" s="13">
        <f>IFERROR('Cash Flow Data (Manual)'!H24,0)</f>
        <v>-21</v>
      </c>
      <c r="G94" s="13">
        <f>IFERROR('Cash Flow Data (Manual)'!I24,0)</f>
        <v>-49</v>
      </c>
      <c r="H94" s="13">
        <f>IFERROR('Cash Flow Data (Manual)'!J24,0)</f>
        <v>0</v>
      </c>
      <c r="I94" s="13">
        <f>IFERROR('Cash Flow Data (Manual)'!K24,0)</f>
        <v>0</v>
      </c>
      <c r="J94" s="13">
        <f>IFERROR('Cash Flow Data (Manual)'!L24,0)</f>
        <v>0</v>
      </c>
      <c r="K94" s="13">
        <f>IFERROR('Cash Flow Data (Manual)'!M24,0)</f>
        <v>0</v>
      </c>
      <c r="L94" s="13">
        <f>IFERROR('Cash Flow Data (Manual)'!N24,0)</f>
        <v>0</v>
      </c>
    </row>
    <row r="95" spans="2:12" x14ac:dyDescent="0.25">
      <c r="B95" s="166" t="s">
        <v>64</v>
      </c>
      <c r="C95" s="13">
        <f>IFERROR('Cash Flow Data (Manual)'!E25,0)</f>
        <v>0</v>
      </c>
      <c r="D95" s="13">
        <f>IFERROR('Cash Flow Data (Manual)'!F25,0)</f>
        <v>0</v>
      </c>
      <c r="E95" s="13">
        <f>IFERROR('Cash Flow Data (Manual)'!G25,0)</f>
        <v>0</v>
      </c>
      <c r="F95" s="13">
        <f>IFERROR('Cash Flow Data (Manual)'!H25,0)</f>
        <v>0</v>
      </c>
      <c r="G95" s="13">
        <f>IFERROR('Cash Flow Data (Manual)'!I25,0)</f>
        <v>8</v>
      </c>
      <c r="H95" s="13">
        <f>IFERROR('Cash Flow Data (Manual)'!J25,0)</f>
        <v>0</v>
      </c>
      <c r="I95" s="13">
        <f>IFERROR('Cash Flow Data (Manual)'!K25,0)</f>
        <v>0</v>
      </c>
      <c r="J95" s="13">
        <f>IFERROR('Cash Flow Data (Manual)'!L25,0)</f>
        <v>0</v>
      </c>
      <c r="K95" s="13">
        <f>IFERROR('Cash Flow Data (Manual)'!M25,0)</f>
        <v>0</v>
      </c>
      <c r="L95" s="13">
        <f>IFERROR('Cash Flow Data (Manual)'!N25,0)</f>
        <v>0</v>
      </c>
    </row>
    <row r="96" spans="2:12" x14ac:dyDescent="0.25">
      <c r="B96" s="166" t="s">
        <v>65</v>
      </c>
      <c r="C96" s="13">
        <f>IFERROR('Cash Flow Data (Manual)'!E26,0)</f>
        <v>0</v>
      </c>
      <c r="D96" s="13">
        <f>IFERROR('Cash Flow Data (Manual)'!F26,0)</f>
        <v>0</v>
      </c>
      <c r="E96" s="13">
        <f>IFERROR('Cash Flow Data (Manual)'!G26,0)</f>
        <v>0</v>
      </c>
      <c r="F96" s="13">
        <f>IFERROR('Cash Flow Data (Manual)'!H26,0)</f>
        <v>0</v>
      </c>
      <c r="G96" s="13">
        <f>IFERROR('Cash Flow Data (Manual)'!I26,0)</f>
        <v>0</v>
      </c>
      <c r="H96" s="13">
        <f>IFERROR('Cash Flow Data (Manual)'!J26,0)</f>
        <v>0</v>
      </c>
      <c r="I96" s="13">
        <f>IFERROR('Cash Flow Data (Manual)'!K26,0)</f>
        <v>0</v>
      </c>
      <c r="J96" s="13">
        <f>IFERROR('Cash Flow Data (Manual)'!L26,0)</f>
        <v>0</v>
      </c>
      <c r="K96" s="13">
        <f>IFERROR('Cash Flow Data (Manual)'!M26,0)</f>
        <v>0</v>
      </c>
      <c r="L96" s="13">
        <f>IFERROR('Cash Flow Data (Manual)'!N26,0)</f>
        <v>0</v>
      </c>
    </row>
    <row r="97" spans="2:12" x14ac:dyDescent="0.25">
      <c r="B97" s="166" t="s">
        <v>66</v>
      </c>
      <c r="C97" s="13">
        <f>IFERROR('Cash Flow Data (Manual)'!E27,0)</f>
        <v>0</v>
      </c>
      <c r="D97" s="13">
        <f>IFERROR('Cash Flow Data (Manual)'!F27,0)</f>
        <v>0</v>
      </c>
      <c r="E97" s="13">
        <f>IFERROR('Cash Flow Data (Manual)'!G27,0)</f>
        <v>0</v>
      </c>
      <c r="F97" s="13">
        <f>IFERROR('Cash Flow Data (Manual)'!H27,0)</f>
        <v>0</v>
      </c>
      <c r="G97" s="13">
        <f>IFERROR('Cash Flow Data (Manual)'!I27,0)</f>
        <v>0</v>
      </c>
      <c r="H97" s="13">
        <f>IFERROR('Cash Flow Data (Manual)'!J27,0)</f>
        <v>0</v>
      </c>
      <c r="I97" s="13">
        <f>IFERROR('Cash Flow Data (Manual)'!K27,0)</f>
        <v>0</v>
      </c>
      <c r="J97" s="13">
        <f>IFERROR('Cash Flow Data (Manual)'!L27,0)</f>
        <v>0</v>
      </c>
      <c r="K97" s="13">
        <f>IFERROR('Cash Flow Data (Manual)'!M27,0)</f>
        <v>0</v>
      </c>
      <c r="L97" s="13">
        <f>IFERROR('Cash Flow Data (Manual)'!N27,0)</f>
        <v>0</v>
      </c>
    </row>
    <row r="98" spans="2:12" x14ac:dyDescent="0.25">
      <c r="B98" s="166" t="s">
        <v>67</v>
      </c>
      <c r="C98" s="13">
        <f>IFERROR('Cash Flow Data (Manual)'!E28,0)</f>
        <v>0</v>
      </c>
      <c r="D98" s="13">
        <f>IFERROR('Cash Flow Data (Manual)'!F28,0)</f>
        <v>0</v>
      </c>
      <c r="E98" s="13">
        <f>IFERROR('Cash Flow Data (Manual)'!G28,0)</f>
        <v>14</v>
      </c>
      <c r="F98" s="13">
        <f>IFERROR('Cash Flow Data (Manual)'!H28,0)</f>
        <v>-1835</v>
      </c>
      <c r="G98" s="13">
        <f>IFERROR('Cash Flow Data (Manual)'!I28,0)</f>
        <v>7</v>
      </c>
      <c r="H98" s="13">
        <f>IFERROR('Cash Flow Data (Manual)'!J28,0)</f>
        <v>3</v>
      </c>
      <c r="I98" s="13">
        <f>IFERROR('Cash Flow Data (Manual)'!K28,0)</f>
        <v>-3194</v>
      </c>
      <c r="J98" s="13">
        <f>IFERROR('Cash Flow Data (Manual)'!L28,0)</f>
        <v>786</v>
      </c>
      <c r="K98" s="13">
        <f>IFERROR('Cash Flow Data (Manual)'!M28,0)</f>
        <v>1054</v>
      </c>
      <c r="L98" s="13">
        <f>IFERROR('Cash Flow Data (Manual)'!N28,0)</f>
        <v>42</v>
      </c>
    </row>
    <row r="99" spans="2:12" x14ac:dyDescent="0.25">
      <c r="B99" s="171" t="s">
        <v>68</v>
      </c>
      <c r="C99" s="20">
        <f t="shared" ref="C99:L99" si="26">SUM(C87:C98)</f>
        <v>-270</v>
      </c>
      <c r="D99" s="20">
        <f t="shared" si="26"/>
        <v>-474</v>
      </c>
      <c r="E99" s="20">
        <f t="shared" si="26"/>
        <v>-632</v>
      </c>
      <c r="F99" s="20">
        <f t="shared" si="26"/>
        <v>-2482</v>
      </c>
      <c r="G99" s="20">
        <f t="shared" si="26"/>
        <v>464</v>
      </c>
      <c r="H99" s="20">
        <f t="shared" si="26"/>
        <v>-960</v>
      </c>
      <c r="I99" s="20">
        <f t="shared" si="26"/>
        <v>-4656</v>
      </c>
      <c r="J99" s="20">
        <f t="shared" si="26"/>
        <v>-1109</v>
      </c>
      <c r="K99" s="20">
        <f t="shared" si="26"/>
        <v>-1288</v>
      </c>
      <c r="L99" s="20">
        <f t="shared" si="26"/>
        <v>-2313</v>
      </c>
    </row>
    <row r="101" spans="2:12" x14ac:dyDescent="0.25">
      <c r="B101" s="171" t="s">
        <v>69</v>
      </c>
    </row>
    <row r="102" spans="2:12" x14ac:dyDescent="0.25">
      <c r="B102" s="166" t="s">
        <v>70</v>
      </c>
      <c r="C102" s="13">
        <f>IFERROR('Cash Flow Data (Manual)'!E31,0)</f>
        <v>5</v>
      </c>
      <c r="D102" s="13">
        <f>IFERROR('Cash Flow Data (Manual)'!F31,0)</f>
        <v>33</v>
      </c>
      <c r="E102" s="13">
        <f>IFERROR('Cash Flow Data (Manual)'!G31,0)</f>
        <v>0</v>
      </c>
      <c r="F102" s="13">
        <f>IFERROR('Cash Flow Data (Manual)'!H31,0)</f>
        <v>1841</v>
      </c>
      <c r="G102" s="13">
        <f>IFERROR('Cash Flow Data (Manual)'!I31,0)</f>
        <v>0</v>
      </c>
      <c r="H102" s="13">
        <f>IFERROR('Cash Flow Data (Manual)'!J31,0)</f>
        <v>0</v>
      </c>
      <c r="I102" s="13">
        <f>IFERROR('Cash Flow Data (Manual)'!K31,0)</f>
        <v>110</v>
      </c>
      <c r="J102" s="13">
        <f>IFERROR('Cash Flow Data (Manual)'!L31,0)</f>
        <v>0</v>
      </c>
      <c r="K102" s="13">
        <f>IFERROR('Cash Flow Data (Manual)'!M31,0)</f>
        <v>0</v>
      </c>
      <c r="L102" s="13">
        <f>IFERROR('Cash Flow Data (Manual)'!N31,0)</f>
        <v>15</v>
      </c>
    </row>
    <row r="103" spans="2:12" x14ac:dyDescent="0.25">
      <c r="B103" s="166" t="s">
        <v>387</v>
      </c>
      <c r="C103" s="13">
        <f>IFERROR('Cash Flow Data (Manual)'!E32,0)</f>
        <v>0</v>
      </c>
      <c r="D103" s="13">
        <f>IFERROR('Cash Flow Data (Manual)'!F32,0)</f>
        <v>200</v>
      </c>
      <c r="E103" s="13">
        <f>IFERROR('Cash Flow Data (Manual)'!G32,0)</f>
        <v>350</v>
      </c>
      <c r="F103" s="13">
        <f>IFERROR('Cash Flow Data (Manual)'!H32,0)</f>
        <v>250</v>
      </c>
      <c r="G103" s="13">
        <f>IFERROR('Cash Flow Data (Manual)'!I32,0)</f>
        <v>0</v>
      </c>
      <c r="H103" s="13">
        <f>IFERROR('Cash Flow Data (Manual)'!J32,0)</f>
        <v>0</v>
      </c>
      <c r="I103" s="13">
        <f>IFERROR('Cash Flow Data (Manual)'!K32,0)</f>
        <v>300</v>
      </c>
      <c r="J103" s="13">
        <f>IFERROR('Cash Flow Data (Manual)'!L32,0)</f>
        <v>0</v>
      </c>
      <c r="K103" s="13">
        <f>IFERROR('Cash Flow Data (Manual)'!M32,0)</f>
        <v>0</v>
      </c>
      <c r="L103" s="13">
        <f>IFERROR('Cash Flow Data (Manual)'!N32,0)</f>
        <v>0</v>
      </c>
    </row>
    <row r="104" spans="2:12" x14ac:dyDescent="0.25">
      <c r="B104" s="166" t="s">
        <v>71</v>
      </c>
      <c r="C104" s="13">
        <f>IFERROR('Cash Flow Data (Manual)'!E33,0)</f>
        <v>0</v>
      </c>
      <c r="D104" s="13">
        <f>IFERROR('Cash Flow Data (Manual)'!F33,0)</f>
        <v>0</v>
      </c>
      <c r="E104" s="13">
        <f>IFERROR('Cash Flow Data (Manual)'!G33,0)</f>
        <v>0</v>
      </c>
      <c r="F104" s="13">
        <f>IFERROR('Cash Flow Data (Manual)'!H33,0)</f>
        <v>0</v>
      </c>
      <c r="G104" s="13">
        <f>IFERROR('Cash Flow Data (Manual)'!I33,0)</f>
        <v>-384</v>
      </c>
      <c r="H104" s="13">
        <f>IFERROR('Cash Flow Data (Manual)'!J33,0)</f>
        <v>-170</v>
      </c>
      <c r="I104" s="13">
        <f>IFERROR('Cash Flow Data (Manual)'!K33,0)</f>
        <v>-512</v>
      </c>
      <c r="J104" s="13">
        <f>IFERROR('Cash Flow Data (Manual)'!L33,0)</f>
        <v>-34</v>
      </c>
      <c r="K104" s="13">
        <f>IFERROR('Cash Flow Data (Manual)'!M33,0)</f>
        <v>0</v>
      </c>
      <c r="L104" s="13">
        <f>IFERROR('Cash Flow Data (Manual)'!N33,0)</f>
        <v>0</v>
      </c>
    </row>
    <row r="105" spans="2:12" x14ac:dyDescent="0.25">
      <c r="B105" s="166" t="s">
        <v>72</v>
      </c>
      <c r="C105" s="13">
        <f>IFERROR('Cash Flow Data (Manual)'!E34,0)</f>
        <v>245</v>
      </c>
      <c r="D105" s="13">
        <f>IFERROR('Cash Flow Data (Manual)'!F34,0)</f>
        <v>295</v>
      </c>
      <c r="E105" s="13">
        <f>IFERROR('Cash Flow Data (Manual)'!G34,0)</f>
        <v>-60</v>
      </c>
      <c r="F105" s="13">
        <f>IFERROR('Cash Flow Data (Manual)'!H34,0)</f>
        <v>260</v>
      </c>
      <c r="G105" s="13">
        <f>IFERROR('Cash Flow Data (Manual)'!I34,0)</f>
        <v>0</v>
      </c>
      <c r="H105" s="13">
        <f>IFERROR('Cash Flow Data (Manual)'!J34,0)</f>
        <v>992</v>
      </c>
      <c r="I105" s="13">
        <f>IFERROR('Cash Flow Data (Manual)'!K34,0)</f>
        <v>1100</v>
      </c>
      <c r="J105" s="13">
        <f>IFERROR('Cash Flow Data (Manual)'!L34,0)</f>
        <v>200</v>
      </c>
      <c r="K105" s="13">
        <f>IFERROR('Cash Flow Data (Manual)'!M34,0)</f>
        <v>248</v>
      </c>
      <c r="L105" s="13">
        <f>IFERROR('Cash Flow Data (Manual)'!N34,0)</f>
        <v>0</v>
      </c>
    </row>
    <row r="106" spans="2:12" x14ac:dyDescent="0.25">
      <c r="B106" s="166" t="s">
        <v>73</v>
      </c>
      <c r="C106" s="13">
        <f>IFERROR('Cash Flow Data (Manual)'!E35,0)</f>
        <v>-130</v>
      </c>
      <c r="D106" s="13">
        <f>IFERROR('Cash Flow Data (Manual)'!F35,0)</f>
        <v>-232</v>
      </c>
      <c r="E106" s="13">
        <f>IFERROR('Cash Flow Data (Manual)'!G35,0)</f>
        <v>0</v>
      </c>
      <c r="F106" s="13">
        <f>IFERROR('Cash Flow Data (Manual)'!H35,0)</f>
        <v>-155</v>
      </c>
      <c r="G106" s="13">
        <f>IFERROR('Cash Flow Data (Manual)'!I35,0)</f>
        <v>-695</v>
      </c>
      <c r="H106" s="13">
        <f>IFERROR('Cash Flow Data (Manual)'!J35,0)</f>
        <v>-562</v>
      </c>
      <c r="I106" s="13">
        <f>IFERROR('Cash Flow Data (Manual)'!K35,0)</f>
        <v>-1550</v>
      </c>
      <c r="J106" s="13">
        <f>IFERROR('Cash Flow Data (Manual)'!L35,0)</f>
        <v>-204</v>
      </c>
      <c r="K106" s="13">
        <f>IFERROR('Cash Flow Data (Manual)'!M35,0)</f>
        <v>-248</v>
      </c>
      <c r="L106" s="13">
        <f>IFERROR('Cash Flow Data (Manual)'!N35,0)</f>
        <v>0</v>
      </c>
    </row>
    <row r="107" spans="2:12" x14ac:dyDescent="0.25">
      <c r="B107" s="166" t="s">
        <v>74</v>
      </c>
      <c r="C107" s="13">
        <f>IFERROR('Cash Flow Data (Manual)'!E36,0)</f>
        <v>-54</v>
      </c>
      <c r="D107" s="13">
        <f>IFERROR('Cash Flow Data (Manual)'!F36,0)</f>
        <v>-62</v>
      </c>
      <c r="E107" s="13">
        <f>IFERROR('Cash Flow Data (Manual)'!G36,0)</f>
        <v>-93</v>
      </c>
      <c r="F107" s="13">
        <f>IFERROR('Cash Flow Data (Manual)'!H36,0)</f>
        <v>-120</v>
      </c>
      <c r="G107" s="13">
        <f>IFERROR('Cash Flow Data (Manual)'!I36,0)</f>
        <v>-80</v>
      </c>
      <c r="H107" s="13">
        <f>IFERROR('Cash Flow Data (Manual)'!J36,0)</f>
        <v>-51</v>
      </c>
      <c r="I107" s="13">
        <f>IFERROR('Cash Flow Data (Manual)'!K36,0)</f>
        <v>-98</v>
      </c>
      <c r="J107" s="13">
        <f>IFERROR('Cash Flow Data (Manual)'!L36,0)</f>
        <v>-44</v>
      </c>
      <c r="K107" s="13">
        <f>IFERROR('Cash Flow Data (Manual)'!M36,0)</f>
        <v>-54</v>
      </c>
      <c r="L107" s="13">
        <f>IFERROR('Cash Flow Data (Manual)'!N36,0)</f>
        <v>-67</v>
      </c>
    </row>
    <row r="108" spans="2:12" x14ac:dyDescent="0.25">
      <c r="B108" s="166" t="s">
        <v>76</v>
      </c>
      <c r="C108" s="13">
        <f>IFERROR('Cash Flow Data (Manual)'!E37,0)</f>
        <v>0</v>
      </c>
      <c r="D108" s="13">
        <f>IFERROR('Cash Flow Data (Manual)'!F37,0)</f>
        <v>0</v>
      </c>
      <c r="E108" s="13">
        <f>IFERROR('Cash Flow Data (Manual)'!G37,0)</f>
        <v>0</v>
      </c>
      <c r="F108" s="13">
        <f>IFERROR('Cash Flow Data (Manual)'!H37,0)</f>
        <v>0</v>
      </c>
      <c r="G108" s="13">
        <f>IFERROR('Cash Flow Data (Manual)'!I37,0)</f>
        <v>0</v>
      </c>
      <c r="H108" s="13">
        <f>IFERROR('Cash Flow Data (Manual)'!J37,0)</f>
        <v>0</v>
      </c>
      <c r="I108" s="13">
        <f>IFERROR('Cash Flow Data (Manual)'!K37,0)</f>
        <v>-70</v>
      </c>
      <c r="J108" s="13">
        <f>IFERROR('Cash Flow Data (Manual)'!L37,0)</f>
        <v>-98</v>
      </c>
      <c r="K108" s="13">
        <f>IFERROR('Cash Flow Data (Manual)'!M37,0)</f>
        <v>-125</v>
      </c>
      <c r="L108" s="13">
        <f>IFERROR('Cash Flow Data (Manual)'!N37,0)</f>
        <v>-153</v>
      </c>
    </row>
    <row r="109" spans="2:12" x14ac:dyDescent="0.25">
      <c r="B109" s="166" t="s">
        <v>384</v>
      </c>
      <c r="C109" s="13">
        <f>IFERROR('Cash Flow Data (Manual)'!E38,0)</f>
        <v>0</v>
      </c>
      <c r="D109" s="13">
        <f>IFERROR('Cash Flow Data (Manual)'!F38,0)</f>
        <v>0</v>
      </c>
      <c r="E109" s="13">
        <f>IFERROR('Cash Flow Data (Manual)'!G38,0)</f>
        <v>0</v>
      </c>
      <c r="F109" s="13">
        <f>IFERROR('Cash Flow Data (Manual)'!H38,0)</f>
        <v>0</v>
      </c>
      <c r="G109" s="13">
        <f>IFERROR('Cash Flow Data (Manual)'!I38,0)</f>
        <v>0</v>
      </c>
      <c r="H109" s="13">
        <f>IFERROR('Cash Flow Data (Manual)'!J38,0)</f>
        <v>0</v>
      </c>
      <c r="I109" s="13">
        <f>IFERROR('Cash Flow Data (Manual)'!K38,0)</f>
        <v>0</v>
      </c>
      <c r="J109" s="13">
        <f>IFERROR('Cash Flow Data (Manual)'!L38,0)</f>
        <v>0</v>
      </c>
      <c r="K109" s="13">
        <f>IFERROR('Cash Flow Data (Manual)'!M38,0)</f>
        <v>0</v>
      </c>
      <c r="L109" s="13">
        <f>IFERROR('Cash Flow Data (Manual)'!N38,0)</f>
        <v>1</v>
      </c>
    </row>
    <row r="110" spans="2:12" x14ac:dyDescent="0.25">
      <c r="B110" s="166" t="s">
        <v>77</v>
      </c>
      <c r="C110" s="13">
        <f>IFERROR('Cash Flow Data (Manual)'!E39,0)</f>
        <v>0</v>
      </c>
      <c r="D110" s="13">
        <f>IFERROR('Cash Flow Data (Manual)'!F39,0)</f>
        <v>0</v>
      </c>
      <c r="E110" s="13">
        <f>IFERROR('Cash Flow Data (Manual)'!G39,0)</f>
        <v>0</v>
      </c>
      <c r="F110" s="13">
        <f>IFERROR('Cash Flow Data (Manual)'!H39,0)</f>
        <v>-50</v>
      </c>
      <c r="G110" s="13">
        <f>IFERROR('Cash Flow Data (Manual)'!I39,0)</f>
        <v>0</v>
      </c>
      <c r="H110" s="13">
        <f>IFERROR('Cash Flow Data (Manual)'!J39,0)</f>
        <v>0</v>
      </c>
      <c r="I110" s="13">
        <f>IFERROR('Cash Flow Data (Manual)'!K39,0)</f>
        <v>4077</v>
      </c>
      <c r="J110" s="13">
        <f>IFERROR('Cash Flow Data (Manual)'!L39,0)</f>
        <v>0</v>
      </c>
      <c r="K110" s="13">
        <f>IFERROR('Cash Flow Data (Manual)'!M39,0)</f>
        <v>0</v>
      </c>
      <c r="L110" s="13">
        <f>IFERROR('Cash Flow Data (Manual)'!N39,0)</f>
        <v>0</v>
      </c>
    </row>
    <row r="111" spans="2:12" x14ac:dyDescent="0.25">
      <c r="B111" s="171" t="s">
        <v>78</v>
      </c>
      <c r="C111" s="20">
        <f>SUM(C102:C110)</f>
        <v>66</v>
      </c>
      <c r="D111" s="20">
        <f t="shared" ref="D111:L111" si="27">SUM(D102:D110)</f>
        <v>234</v>
      </c>
      <c r="E111" s="20">
        <f t="shared" si="27"/>
        <v>197</v>
      </c>
      <c r="F111" s="20">
        <f t="shared" si="27"/>
        <v>2026</v>
      </c>
      <c r="G111" s="20">
        <f t="shared" si="27"/>
        <v>-1159</v>
      </c>
      <c r="H111" s="20">
        <f t="shared" si="27"/>
        <v>209</v>
      </c>
      <c r="I111" s="20">
        <f t="shared" si="27"/>
        <v>3357</v>
      </c>
      <c r="J111" s="20">
        <f t="shared" si="27"/>
        <v>-180</v>
      </c>
      <c r="K111" s="20">
        <f t="shared" si="27"/>
        <v>-179</v>
      </c>
      <c r="L111" s="20">
        <f t="shared" si="27"/>
        <v>-204</v>
      </c>
    </row>
    <row r="113" spans="2:12" x14ac:dyDescent="0.25">
      <c r="B113" s="171" t="s">
        <v>79</v>
      </c>
      <c r="C113" s="20">
        <f t="shared" ref="C113:L113" si="28">IFERROR(C111+C99+C84,0)</f>
        <v>-5</v>
      </c>
      <c r="D113" s="20">
        <f t="shared" si="28"/>
        <v>-18</v>
      </c>
      <c r="E113" s="20">
        <f t="shared" si="28"/>
        <v>-1</v>
      </c>
      <c r="F113" s="20">
        <f t="shared" si="28"/>
        <v>0</v>
      </c>
      <c r="G113" s="20">
        <f t="shared" si="28"/>
        <v>34</v>
      </c>
      <c r="H113" s="20">
        <f t="shared" si="28"/>
        <v>56</v>
      </c>
      <c r="I113" s="20">
        <f t="shared" si="28"/>
        <v>-18</v>
      </c>
      <c r="J113" s="20">
        <f t="shared" si="28"/>
        <v>86</v>
      </c>
      <c r="K113" s="20">
        <f t="shared" si="28"/>
        <v>-94</v>
      </c>
      <c r="L113" s="20">
        <f t="shared" si="28"/>
        <v>114</v>
      </c>
    </row>
  </sheetData>
  <mergeCells count="1">
    <mergeCell ref="B2:M2"/>
  </mergeCells>
  <pageMargins left="0.25" right="0.25" top="0.75" bottom="0.75" header="0.3" footer="0.3"/>
  <pageSetup fitToHeight="0" orientation="landscape" r:id="rId1"/>
  <ignoredErrors>
    <ignoredError sqref="M6 M9 C15:L15 M30 M36 M21 M2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E4A-C50E-4923-90AB-0008938320D6}">
  <dimension ref="B2:O41"/>
  <sheetViews>
    <sheetView showGridLines="0" workbookViewId="0">
      <pane ySplit="3" topLeftCell="A4" activePane="bottomLeft" state="frozen"/>
      <selection pane="bottomLeft" activeCell="C36" sqref="C36"/>
    </sheetView>
  </sheetViews>
  <sheetFormatPr defaultRowHeight="15" x14ac:dyDescent="0.25"/>
  <cols>
    <col min="1" max="1" width="1.85546875" customWidth="1"/>
    <col min="2" max="2" width="26.140625" bestFit="1" customWidth="1"/>
    <col min="4" max="9" width="9.28515625" bestFit="1" customWidth="1"/>
    <col min="10" max="11" width="9.85546875" bestFit="1" customWidth="1"/>
    <col min="12" max="12" width="9.28515625" bestFit="1" customWidth="1"/>
    <col min="13" max="13" width="19.7109375" customWidth="1"/>
    <col min="14" max="14" width="11.140625" customWidth="1"/>
    <col min="15" max="15" width="10.140625" customWidth="1"/>
  </cols>
  <sheetData>
    <row r="2" spans="2:15" x14ac:dyDescent="0.25">
      <c r="B2" s="218" t="str">
        <f>"Ratio Analysis - "&amp;'Data Sheet'!B1</f>
        <v>Ratio Analysis - AVENUE SUPERMARTS LTD</v>
      </c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</row>
    <row r="3" spans="2:15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35" t="s">
        <v>80</v>
      </c>
      <c r="N3" s="35" t="s">
        <v>81</v>
      </c>
      <c r="O3" s="35" t="s">
        <v>82</v>
      </c>
    </row>
    <row r="5" spans="2:15" x14ac:dyDescent="0.25">
      <c r="B5" s="172" t="s">
        <v>5</v>
      </c>
      <c r="C5" s="24"/>
      <c r="D5" s="25">
        <f>IFERROR('Historical FS'!D7,0)</f>
        <v>0.37404405865382984</v>
      </c>
      <c r="E5" s="25">
        <f>IFERROR('Historical FS'!E7,0)</f>
        <v>0.33299997049428276</v>
      </c>
      <c r="F5" s="25">
        <f>IFERROR('Historical FS'!F7,0)</f>
        <v>0.38607090598991589</v>
      </c>
      <c r="G5" s="25">
        <f>IFERROR('Historical FS'!G7,0)</f>
        <v>0.26353833093791246</v>
      </c>
      <c r="H5" s="25">
        <f>IFERROR('Historical FS'!H7,0)</f>
        <v>0.33068940744485542</v>
      </c>
      <c r="I5" s="25">
        <f>IFERROR('Historical FS'!I7,0)</f>
        <v>0.24322903023916598</v>
      </c>
      <c r="J5" s="25">
        <f>IFERROR('Historical FS'!J7,0)</f>
        <v>-2.9237400583831175E-2</v>
      </c>
      <c r="K5" s="25">
        <f>IFERROR('Historical FS'!K7,0)</f>
        <v>0.28302998874210639</v>
      </c>
      <c r="L5" s="25">
        <f>IFERROR('Historical FS'!L7,0)</f>
        <v>0.38297993915987938</v>
      </c>
      <c r="M5" s="24"/>
      <c r="N5" s="25">
        <f>IFERROR(AVERAGE(D5:L5),0)</f>
        <v>0.28526047011979078</v>
      </c>
      <c r="O5" s="25">
        <f>IFERROR(MEDIAN(C5:L5),0)</f>
        <v>0.33068940744485542</v>
      </c>
    </row>
    <row r="6" spans="2:15" x14ac:dyDescent="0.25">
      <c r="B6" s="166" t="s">
        <v>83</v>
      </c>
      <c r="D6" s="26">
        <f>IFERROR('Historical FS'!D18/'Historical FS'!C18-1,0)</f>
        <v>0.33690811064228599</v>
      </c>
      <c r="E6" s="26">
        <f>IFERROR('Historical FS'!E18/'Historical FS'!D18-1,0)</f>
        <v>0.45631876561610074</v>
      </c>
      <c r="F6" s="26">
        <f>IFERROR('Historical FS'!F18/'Historical FS'!E18-1,0)</f>
        <v>0.45859795924510016</v>
      </c>
      <c r="G6" s="26">
        <f>IFERROR('Historical FS'!G18/'Historical FS'!F18-1,0)</f>
        <v>0.39588105408695995</v>
      </c>
      <c r="H6" s="26">
        <f>IFERROR('Historical FS'!H18/'Historical FS'!G18-1,0)</f>
        <v>0.20730156852889503</v>
      </c>
      <c r="I6" s="26">
        <f>IFERROR('Historical FS'!I18/'Historical FS'!H18-1,0)</f>
        <v>0.30306555399770918</v>
      </c>
      <c r="J6" s="26">
        <f>IFERROR('Historical FS'!J18/'Historical FS'!I18-1,0)</f>
        <v>-0.18018051881539909</v>
      </c>
      <c r="K6" s="26">
        <f>IFERROR('Historical FS'!K18/'Historical FS'!J18-1,0)</f>
        <v>0.43415117805173198</v>
      </c>
      <c r="L6" s="26">
        <f>IFERROR('Historical FS'!L18/'Historical FS'!K18-1,0)</f>
        <v>0.45414110735908042</v>
      </c>
      <c r="N6" s="26">
        <f t="shared" ref="N6:N9" si="0">IFERROR(AVERAGE(D6:L6),0)</f>
        <v>0.31846497541249608</v>
      </c>
      <c r="O6" s="26">
        <f t="shared" ref="O6:O31" si="1">IFERROR(MEDIAN(C6:L6),0)</f>
        <v>0.39588105408695995</v>
      </c>
    </row>
    <row r="7" spans="2:15" x14ac:dyDescent="0.25">
      <c r="B7" s="166" t="s">
        <v>84</v>
      </c>
      <c r="D7" s="26">
        <f>IFERROR('Historical FS'!D33/'Historical FS'!C33-1,0)</f>
        <v>0.31761006289307891</v>
      </c>
      <c r="E7" s="26">
        <f>IFERROR('Historical FS'!E33/'Historical FS'!D33-1,0)</f>
        <v>0.52406781762391041</v>
      </c>
      <c r="F7" s="26">
        <f>IFERROR('Historical FS'!F33/'Historical FS'!E33-1,0)</f>
        <v>0.51935083687539274</v>
      </c>
      <c r="G7" s="26">
        <f>IFERROR('Historical FS'!G33/'Historical FS'!F33-1,0)</f>
        <v>0.63579536328104025</v>
      </c>
      <c r="H7" s="26">
        <f>IFERROR('Historical FS'!H33/'Historical FS'!G33-1,0)</f>
        <v>0.16355036945510548</v>
      </c>
      <c r="I7" s="26">
        <f>IFERROR('Historical FS'!I33/'Historical FS'!H33-1,0)</f>
        <v>0.22703489598717153</v>
      </c>
      <c r="J7" s="26">
        <f>IFERROR('Historical FS'!J33/'Historical FS'!I33-1,0)</f>
        <v>-0.14977332255827536</v>
      </c>
      <c r="K7" s="26">
        <f>IFERROR('Historical FS'!K33/'Historical FS'!J33-1,0)</f>
        <v>0.3914321345512175</v>
      </c>
      <c r="L7" s="26">
        <f>IFERROR('Historical FS'!L33/'Historical FS'!K33-1,0)</f>
        <v>0.48251555142142655</v>
      </c>
      <c r="N7" s="26">
        <f t="shared" si="0"/>
        <v>0.34573152328111872</v>
      </c>
      <c r="O7" s="26">
        <f t="shared" si="1"/>
        <v>0.3914321345512175</v>
      </c>
    </row>
    <row r="8" spans="2:15" x14ac:dyDescent="0.25">
      <c r="B8" s="166" t="s">
        <v>85</v>
      </c>
      <c r="D8" s="26">
        <f>IFERROR('Historical FS'!D39/'Historical FS'!C39-1,0)</f>
        <v>0.31187259883504348</v>
      </c>
      <c r="E8" s="26">
        <f>IFERROR('Historical FS'!E39/'Historical FS'!D39-1,0)</f>
        <v>0.51263520853999434</v>
      </c>
      <c r="F8" s="26">
        <f>IFERROR('Historical FS'!F39/'Historical FS'!E39-1,0)</f>
        <v>0.49512865350986579</v>
      </c>
      <c r="G8" s="26">
        <f>IFERROR('Historical FS'!G39/'Historical FS'!F39-1,0)</f>
        <v>0.68395989974937255</v>
      </c>
      <c r="H8" s="26">
        <f>IFERROR('Historical FS'!H39/'Historical FS'!G39-1,0)</f>
        <v>0.11928858461080605</v>
      </c>
      <c r="I8" s="26">
        <f>IFERROR('Historical FS'!I39/'Historical FS'!H39-1,0)</f>
        <v>0.44159297919021179</v>
      </c>
      <c r="J8" s="26">
        <f>IFERROR('Historical FS'!J39/'Historical FS'!I39-1,0)</f>
        <v>-0.15492167443004667</v>
      </c>
      <c r="K8" s="26">
        <f>IFERROR('Historical FS'!K39/'Historical FS'!J39-1,0)</f>
        <v>0.35743066861919681</v>
      </c>
      <c r="L8" s="26">
        <f>IFERROR('Historical FS'!L39/'Historical FS'!K39-1,0)</f>
        <v>0.5936344143661183</v>
      </c>
      <c r="N8" s="26">
        <f t="shared" si="0"/>
        <v>0.37340237033228468</v>
      </c>
      <c r="O8" s="26">
        <f t="shared" si="1"/>
        <v>0.44159297919021179</v>
      </c>
    </row>
    <row r="9" spans="2:15" x14ac:dyDescent="0.25">
      <c r="B9" s="173" t="s">
        <v>86</v>
      </c>
      <c r="C9" s="27"/>
      <c r="D9" s="28">
        <f>IFERROR('Historical FS'!D47/'Historical FS'!C47-1,0)</f>
        <v>0</v>
      </c>
      <c r="E9" s="28">
        <f>IFERROR('Historical FS'!E47/'Historical FS'!D47-1,0)</f>
        <v>0</v>
      </c>
      <c r="F9" s="28">
        <f>IFERROR('Historical FS'!F47/'Historical FS'!E47-1,0)</f>
        <v>0</v>
      </c>
      <c r="G9" s="28">
        <f>IFERROR('Historical FS'!G47/'Historical FS'!F47-1,0)</f>
        <v>0</v>
      </c>
      <c r="H9" s="28">
        <f>IFERROR('Historical FS'!H47/'Historical FS'!G47-1,0)</f>
        <v>0</v>
      </c>
      <c r="I9" s="28">
        <f>IFERROR('Historical FS'!I47/'Historical FS'!H47-1,0)</f>
        <v>0</v>
      </c>
      <c r="J9" s="28">
        <f>IFERROR('Historical FS'!J47/'Historical FS'!I47-1,0)</f>
        <v>0</v>
      </c>
      <c r="K9" s="28">
        <f>IFERROR('Historical FS'!K47/'Historical FS'!J47-1,0)</f>
        <v>0</v>
      </c>
      <c r="L9" s="28">
        <f>IFERROR('Historical FS'!L47/'Historical FS'!K47-1,0)</f>
        <v>0</v>
      </c>
      <c r="M9" s="27"/>
      <c r="N9" s="28">
        <f t="shared" si="0"/>
        <v>0</v>
      </c>
      <c r="O9" s="28">
        <f>IFERROR(MEDIAN(C9:L9),0)</f>
        <v>0</v>
      </c>
    </row>
    <row r="11" spans="2:15" x14ac:dyDescent="0.25">
      <c r="B11" s="172" t="s">
        <v>87</v>
      </c>
      <c r="C11" s="25">
        <f>IFERROR('Historical FS'!C13,0)</f>
        <v>9.5139635718065566E-2</v>
      </c>
      <c r="D11" s="25">
        <f>IFERROR('Historical FS'!D13,0)</f>
        <v>9.3719475170938898E-2</v>
      </c>
      <c r="E11" s="25">
        <f>IFERROR('Historical FS'!E13,0)</f>
        <v>9.4431810768241517E-2</v>
      </c>
      <c r="F11" s="25">
        <f>IFERROR('Historical FS'!F13,0)</f>
        <v>0.10016137572808194</v>
      </c>
      <c r="G11" s="25">
        <f>IFERROR('Historical FS'!G13,0)</f>
        <v>0.10772423702205787</v>
      </c>
      <c r="H11" s="25">
        <f>IFERROR('Historical FS'!H13,0)</f>
        <v>9.9726961706654377E-2</v>
      </c>
      <c r="I11" s="25">
        <f>IFERROR('Historical FS'!I13,0)</f>
        <v>9.9554084808324825E-2</v>
      </c>
      <c r="J11" s="25">
        <f>IFERROR('Historical FS'!J13,0)</f>
        <v>8.8231152140615068E-2</v>
      </c>
      <c r="K11" s="25">
        <f>IFERROR('Historical FS'!K13,0)</f>
        <v>9.5163491278969392E-2</v>
      </c>
      <c r="L11" s="25">
        <f>IFERROR('Historical FS'!L13,0)</f>
        <v>9.9820586392577265E-2</v>
      </c>
      <c r="M11" s="24"/>
      <c r="N11" s="25">
        <f>IFERROR(AVERAGE(C11:L11),0)</f>
        <v>9.7367281073452674E-2</v>
      </c>
      <c r="O11" s="25">
        <f t="shared" si="1"/>
        <v>9.7358788043647115E-2</v>
      </c>
    </row>
    <row r="12" spans="2:15" x14ac:dyDescent="0.25">
      <c r="B12" s="166" t="s">
        <v>88</v>
      </c>
      <c r="C12" s="26">
        <f>IFERROR('Historical FS'!C19,0)</f>
        <v>7.2822246120755857E-2</v>
      </c>
      <c r="D12" s="26">
        <f>IFERROR('Historical FS'!D19,0)</f>
        <v>7.0854097334701854E-2</v>
      </c>
      <c r="E12" s="26">
        <f>IFERROR('Historical FS'!E19,0)</f>
        <v>7.7408967631900333E-2</v>
      </c>
      <c r="F12" s="26">
        <f>IFERROR('Historical FS'!F19,0)</f>
        <v>8.1459441740840702E-2</v>
      </c>
      <c r="G12" s="26">
        <f>IFERROR('Historical FS'!G19,0)</f>
        <v>8.9991485512066663E-2</v>
      </c>
      <c r="H12" s="26">
        <f>IFERROR('Historical FS'!H19,0)</f>
        <v>8.1647047767204689E-2</v>
      </c>
      <c r="I12" s="26">
        <f>IFERROR('Historical FS'!I19,0)</f>
        <v>8.5576714300648976E-2</v>
      </c>
      <c r="J12" s="26">
        <f>IFERROR('Historical FS'!J19,0)</f>
        <v>7.2270457845857075E-2</v>
      </c>
      <c r="K12" s="26">
        <f>IFERROR('Historical FS'!K19,0)</f>
        <v>8.0782805676732586E-2</v>
      </c>
      <c r="L12" s="26">
        <f>IFERROR('Historical FS'!L19,0)</f>
        <v>8.4939481171141737E-2</v>
      </c>
      <c r="N12" s="26">
        <f t="shared" ref="N12:N41" si="2">IFERROR(AVERAGE(C12:L12),0)</f>
        <v>7.977527451018504E-2</v>
      </c>
      <c r="O12" s="26">
        <f t="shared" si="1"/>
        <v>8.1121123708786644E-2</v>
      </c>
    </row>
    <row r="13" spans="2:15" x14ac:dyDescent="0.25">
      <c r="B13" s="166" t="s">
        <v>89</v>
      </c>
      <c r="C13" s="26">
        <f>IFERROR(('Historical FS'!C18-'Historical FS'!C21)/'Historical FS'!C6,0)</f>
        <v>6.0657465731209753E-2</v>
      </c>
      <c r="D13" s="26">
        <f>IFERROR(('Historical FS'!D18-'Historical FS'!D21)/'Historical FS'!D6,0)</f>
        <v>5.8191485892384744E-2</v>
      </c>
      <c r="E13" s="26">
        <f>IFERROR(('Historical FS'!E18-'Historical FS'!E21)/'Historical FS'!E6,0)</f>
        <v>6.5941964826602889E-2</v>
      </c>
      <c r="F13" s="26">
        <f>IFERROR(('Historical FS'!F18-'Historical FS'!F21)/'Historical FS'!F6,0)</f>
        <v>7.0716188843221839E-2</v>
      </c>
      <c r="G13" s="26">
        <f>IFERROR(('Historical FS'!G18-'Historical FS'!G21)/'Historical FS'!G6,0)</f>
        <v>7.9414895032328486E-2</v>
      </c>
      <c r="H13" s="26">
        <f>IFERROR(('Historical FS'!H18-'Historical FS'!H21)/'Historical FS'!H6,0)</f>
        <v>7.1024948361670337E-2</v>
      </c>
      <c r="I13" s="26">
        <f>IFERROR(('Historical FS'!I18-'Historical FS'!I21)/'Historical FS'!I6,0)</f>
        <v>7.0522151008033718E-2</v>
      </c>
      <c r="J13" s="26">
        <f>IFERROR(('Historical FS'!J18-'Historical FS'!J21)/'Historical FS'!J6,0)</f>
        <v>5.5116045770502921E-2</v>
      </c>
      <c r="K13" s="26">
        <f>IFERROR(('Historical FS'!K18-'Historical FS'!K21)/'Historical FS'!K6,0)</f>
        <v>6.4703400377127435E-2</v>
      </c>
      <c r="L13" s="26">
        <f>IFERROR(('Historical FS'!L18-'Historical FS'!L21)/'Historical FS'!L6,0)</f>
        <v>7.0026396162798987E-2</v>
      </c>
      <c r="N13" s="26">
        <f t="shared" si="2"/>
        <v>6.6631494200588115E-2</v>
      </c>
      <c r="O13" s="26">
        <f t="shared" si="1"/>
        <v>6.7984180494700938E-2</v>
      </c>
    </row>
    <row r="14" spans="2:15" x14ac:dyDescent="0.25">
      <c r="B14" s="166" t="s">
        <v>90</v>
      </c>
      <c r="C14" s="26">
        <f>IFERROR('Historical FS'!C34,0)</f>
        <v>5.2248169201618247E-2</v>
      </c>
      <c r="D14" s="26">
        <f>IFERROR('Historical FS'!D34,0)</f>
        <v>5.0102260603811059E-2</v>
      </c>
      <c r="E14" s="26">
        <f>IFERROR('Historical FS'!E34,0)</f>
        <v>5.7283754438614408E-2</v>
      </c>
      <c r="F14" s="26">
        <f>IFERROR('Historical FS'!F34,0)</f>
        <v>6.2791968195533635E-2</v>
      </c>
      <c r="G14" s="26">
        <f>IFERROR('Historical FS'!G34,0)</f>
        <v>8.129140834951977E-2</v>
      </c>
      <c r="H14" s="26">
        <f>IFERROR('Historical FS'!H34,0)</f>
        <v>7.1080935708529941E-2</v>
      </c>
      <c r="I14" s="26">
        <f>IFERROR('Historical FS'!I34,0)</f>
        <v>7.0155044993606822E-2</v>
      </c>
      <c r="J14" s="26">
        <f>IFERROR('Historical FS'!J34,0)</f>
        <v>6.1444158279853431E-2</v>
      </c>
      <c r="K14" s="26">
        <f>IFERROR('Historical FS'!K34,0)</f>
        <v>6.6635524548307498E-2</v>
      </c>
      <c r="L14" s="26">
        <f>IFERROR('Historical FS'!L34,0)</f>
        <v>7.1431405924804015E-2</v>
      </c>
      <c r="N14" s="26">
        <f t="shared" si="2"/>
        <v>6.4446463024419878E-2</v>
      </c>
      <c r="O14" s="26">
        <f t="shared" si="1"/>
        <v>6.4713746371920566E-2</v>
      </c>
    </row>
    <row r="15" spans="2:15" x14ac:dyDescent="0.25">
      <c r="B15" s="173" t="s">
        <v>91</v>
      </c>
      <c r="C15" s="28">
        <f>IFERROR('Historical FS'!C40,0)</f>
        <v>3.4435226438606338E-2</v>
      </c>
      <c r="D15" s="28">
        <f>IFERROR('Historical FS'!D40,0)</f>
        <v>3.2877133535110882E-2</v>
      </c>
      <c r="E15" s="28">
        <f>IFERROR('Historical FS'!E40,0)</f>
        <v>3.7307660046413317E-2</v>
      </c>
      <c r="F15" s="28">
        <f>IFERROR('Historical FS'!F40,0)</f>
        <v>4.0243072190423411E-2</v>
      </c>
      <c r="G15" s="28">
        <f>IFERROR('Historical FS'!G40,0)</f>
        <v>5.3633291647819534E-2</v>
      </c>
      <c r="H15" s="28">
        <f>IFERROR('Historical FS'!H40,0)</f>
        <v>4.5112804506181672E-2</v>
      </c>
      <c r="I15" s="28">
        <f>IFERROR('Historical FS'!I40,0)</f>
        <v>5.2310797661458311E-2</v>
      </c>
      <c r="J15" s="28">
        <f>IFERROR('Historical FS'!J40,0)</f>
        <v>4.5538138081916632E-2</v>
      </c>
      <c r="K15" s="28">
        <f>IFERROR('Historical FS'!K40,0)</f>
        <v>4.8178815590127579E-2</v>
      </c>
      <c r="L15" s="28">
        <f>IFERROR('Historical FS'!L40,0)</f>
        <v>5.5517376929174744E-2</v>
      </c>
      <c r="M15" s="27"/>
      <c r="N15" s="28">
        <f t="shared" si="2"/>
        <v>4.4515431662723245E-2</v>
      </c>
      <c r="O15" s="28">
        <f t="shared" si="1"/>
        <v>4.5325471294049152E-2</v>
      </c>
    </row>
    <row r="16" spans="2:15" x14ac:dyDescent="0.25">
      <c r="N16" s="14"/>
    </row>
    <row r="17" spans="2:15" x14ac:dyDescent="0.25">
      <c r="B17" s="172" t="s">
        <v>92</v>
      </c>
      <c r="C17" s="25">
        <f>IFERROR('Historical FS'!C16,0)</f>
        <v>2.2317389597309716E-2</v>
      </c>
      <c r="D17" s="25">
        <f>IFERROR('Historical FS'!D16,0)</f>
        <v>2.2865377836237051E-2</v>
      </c>
      <c r="E17" s="25">
        <f>IFERROR('Historical FS'!E16,0)</f>
        <v>1.7022843136341184E-2</v>
      </c>
      <c r="F17" s="25">
        <f>IFERROR('Historical FS'!F16,0)</f>
        <v>1.870193398724123E-2</v>
      </c>
      <c r="G17" s="25">
        <f>IFERROR('Historical FS'!G16,0)</f>
        <v>1.7732751509991221E-2</v>
      </c>
      <c r="H17" s="25">
        <f>IFERROR('Historical FS'!H16,0)</f>
        <v>1.8079913939449684E-2</v>
      </c>
      <c r="I17" s="25">
        <f>IFERROR('Historical FS'!I16,0)</f>
        <v>1.3977370507675852E-2</v>
      </c>
      <c r="J17" s="25">
        <f>IFERROR('Historical FS'!J16,0)</f>
        <v>1.5960694294757993E-2</v>
      </c>
      <c r="K17" s="25">
        <f>IFERROR('Historical FS'!K16,0)</f>
        <v>1.438068560223681E-2</v>
      </c>
      <c r="L17" s="25">
        <f>IFERROR('Historical FS'!L16,0)</f>
        <v>1.4881105221435514E-2</v>
      </c>
      <c r="M17" s="24"/>
      <c r="N17" s="25">
        <f t="shared" si="2"/>
        <v>1.7592006563267627E-2</v>
      </c>
      <c r="O17" s="25">
        <f t="shared" si="1"/>
        <v>1.7377797323166203E-2</v>
      </c>
    </row>
    <row r="18" spans="2:15" x14ac:dyDescent="0.25">
      <c r="B18" s="166" t="s">
        <v>18</v>
      </c>
      <c r="C18" s="26">
        <f>IFERROR('Historical FS'!C22,0)</f>
        <v>1.2164780389546099E-2</v>
      </c>
      <c r="D18" s="26">
        <f>IFERROR('Historical FS'!D22,0)</f>
        <v>1.26626114423171E-2</v>
      </c>
      <c r="E18" s="26">
        <f>IFERROR('Historical FS'!E22,0)</f>
        <v>1.1467002805297445E-2</v>
      </c>
      <c r="F18" s="26">
        <f>IFERROR('Historical FS'!F22,0)</f>
        <v>1.0743252897618866E-2</v>
      </c>
      <c r="G18" s="26">
        <f>IFERROR('Historical FS'!G22,0)</f>
        <v>1.0576590479738178E-2</v>
      </c>
      <c r="H18" s="26">
        <f>IFERROR('Historical FS'!H22,0)</f>
        <v>1.062209940553435E-2</v>
      </c>
      <c r="I18" s="26">
        <f>IFERROR('Historical FS'!I22,0)</f>
        <v>1.5054563292615258E-2</v>
      </c>
      <c r="J18" s="26">
        <f>IFERROR('Historical FS'!J22,0)</f>
        <v>1.7154412075354161E-2</v>
      </c>
      <c r="K18" s="26">
        <f>IFERROR('Historical FS'!K22,0)</f>
        <v>1.6079405299605148E-2</v>
      </c>
      <c r="L18" s="26">
        <f>IFERROR('Historical FS'!L22,0)</f>
        <v>1.4913085008342757E-2</v>
      </c>
      <c r="N18" s="26">
        <f t="shared" si="2"/>
        <v>1.3143780309596936E-2</v>
      </c>
      <c r="O18" s="26">
        <f t="shared" si="1"/>
        <v>1.24136959159316E-2</v>
      </c>
    </row>
    <row r="19" spans="2:15" x14ac:dyDescent="0.25">
      <c r="B19" s="173" t="s">
        <v>93</v>
      </c>
      <c r="C19" s="28">
        <f>C13</f>
        <v>6.0657465731209753E-2</v>
      </c>
      <c r="D19" s="28">
        <f t="shared" ref="D19:L19" si="3">D13</f>
        <v>5.8191485892384744E-2</v>
      </c>
      <c r="E19" s="28">
        <f t="shared" si="3"/>
        <v>6.5941964826602889E-2</v>
      </c>
      <c r="F19" s="28">
        <f t="shared" si="3"/>
        <v>7.0716188843221839E-2</v>
      </c>
      <c r="G19" s="28">
        <f t="shared" si="3"/>
        <v>7.9414895032328486E-2</v>
      </c>
      <c r="H19" s="28">
        <f t="shared" si="3"/>
        <v>7.1024948361670337E-2</v>
      </c>
      <c r="I19" s="28">
        <f t="shared" si="3"/>
        <v>7.0522151008033718E-2</v>
      </c>
      <c r="J19" s="28">
        <f t="shared" si="3"/>
        <v>5.5116045770502921E-2</v>
      </c>
      <c r="K19" s="28">
        <f t="shared" si="3"/>
        <v>6.4703400377127435E-2</v>
      </c>
      <c r="L19" s="28">
        <f t="shared" si="3"/>
        <v>7.0026396162798987E-2</v>
      </c>
      <c r="M19" s="27"/>
      <c r="N19" s="28">
        <f t="shared" si="2"/>
        <v>6.6631494200588115E-2</v>
      </c>
      <c r="O19" s="28">
        <f t="shared" si="1"/>
        <v>6.7984180494700938E-2</v>
      </c>
    </row>
    <row r="20" spans="2:15" x14ac:dyDescent="0.25">
      <c r="N20" s="14"/>
    </row>
    <row r="21" spans="2:15" x14ac:dyDescent="0.25">
      <c r="B21" s="172" t="s">
        <v>94</v>
      </c>
      <c r="C21" s="25">
        <f>IFERROR(('Historical FS'!C18-'Historical FS'!C21)/SUM('Historical FS'!C53:C55),0)</f>
        <v>0.17807052161439241</v>
      </c>
      <c r="D21" s="25">
        <f>IFERROR(('Historical FS'!D18-'Historical FS'!D21)/SUM('Historical FS'!D53:D55),0)</f>
        <v>0.17814542774964898</v>
      </c>
      <c r="E21" s="25">
        <f>IFERROR(('Historical FS'!E18-'Historical FS'!E21)/SUM('Historical FS'!E53:E55),0)</f>
        <v>0.20865311599171366</v>
      </c>
      <c r="F21" s="25">
        <f>IFERROR(('Historical FS'!F18-'Historical FS'!F21)/SUM('Historical FS'!F53:F55),0)</f>
        <v>0.15758461163866583</v>
      </c>
      <c r="G21" s="25">
        <f>IFERROR(('Historical FS'!G18-'Historical FS'!G21)/SUM('Historical FS'!G53:G55),0)</f>
        <v>0.23370984476244555</v>
      </c>
      <c r="H21" s="25">
        <f>IFERROR(('Historical FS'!H18-'Historical FS'!H21)/SUM('Historical FS'!H53:H55),0)</f>
        <v>0.22597175392836721</v>
      </c>
      <c r="I21" s="25">
        <f>IFERROR(('Historical FS'!I18-'Historical FS'!I21)/SUM('Historical FS'!I53:I55),0)</f>
        <v>0.15367657560328507</v>
      </c>
      <c r="J21" s="25">
        <f>IFERROR(('Historical FS'!J18-'Historical FS'!J21)/SUM('Historical FS'!J53:J55),0)</f>
        <v>0.1058067399148564</v>
      </c>
      <c r="K21" s="25">
        <f>IFERROR(('Historical FS'!K18-'Historical FS'!K21)/SUM('Historical FS'!K53:K55),0)</f>
        <v>0.13991823844049886</v>
      </c>
      <c r="L21" s="25">
        <f>IFERROR(('Historical FS'!L18-'Historical FS'!L21)/SUM('Historical FS'!L53:L55),0)</f>
        <v>0.17940183043808977</v>
      </c>
      <c r="M21" s="24"/>
      <c r="N21" s="25">
        <f t="shared" si="2"/>
        <v>0.17609386600819638</v>
      </c>
      <c r="O21" s="25">
        <f t="shared" si="1"/>
        <v>0.17810797468202069</v>
      </c>
    </row>
    <row r="22" spans="2:15" x14ac:dyDescent="0.25">
      <c r="B22" s="166" t="s">
        <v>95</v>
      </c>
      <c r="C22" s="26">
        <f>IFERROR('Historical FS'!C50,0)</f>
        <v>1</v>
      </c>
      <c r="D22" s="26">
        <f>IFERROR('Historical FS'!D50,0)</f>
        <v>1</v>
      </c>
      <c r="E22" s="26">
        <f>IFERROR('Historical FS'!E50,0)</f>
        <v>1</v>
      </c>
      <c r="F22" s="26">
        <f>IFERROR('Historical FS'!F50,0)</f>
        <v>1</v>
      </c>
      <c r="G22" s="26">
        <f>IFERROR('Historical FS'!G50,0)</f>
        <v>1</v>
      </c>
      <c r="H22" s="26">
        <f>IFERROR('Historical FS'!H50,0)</f>
        <v>1</v>
      </c>
      <c r="I22" s="26">
        <f>IFERROR('Historical FS'!I50,0)</f>
        <v>1</v>
      </c>
      <c r="J22" s="26">
        <f>IFERROR('Historical FS'!J50,0)</f>
        <v>1</v>
      </c>
      <c r="K22" s="26">
        <f>IFERROR('Historical FS'!K50,0)</f>
        <v>1</v>
      </c>
      <c r="L22" s="26">
        <f>IFERROR('Historical FS'!L50,0)</f>
        <v>1</v>
      </c>
      <c r="N22" s="26">
        <f t="shared" si="2"/>
        <v>1</v>
      </c>
      <c r="O22" s="26">
        <f t="shared" si="1"/>
        <v>1</v>
      </c>
    </row>
    <row r="23" spans="2:15" x14ac:dyDescent="0.25">
      <c r="B23" s="166" t="s">
        <v>96</v>
      </c>
      <c r="C23" s="26">
        <f>IFERROR(('Historical FS'!C39)/SUM('Historical FS'!C53:C54),0)</f>
        <v>0.16888349362160787</v>
      </c>
      <c r="D23" s="26">
        <f>IFERROR(('Historical FS'!D39)/SUM('Historical FS'!D53:D54),0)</f>
        <v>0.17654416731293546</v>
      </c>
      <c r="E23" s="26">
        <f>IFERROR(('Historical FS'!E39)/SUM('Historical FS'!E53:E54),0)</f>
        <v>0.21062324064086763</v>
      </c>
      <c r="F23" s="26">
        <f>IFERROR(('Historical FS'!F39)/SUM('Historical FS'!F53:F54),0)</f>
        <v>0.1246297289277368</v>
      </c>
      <c r="G23" s="26">
        <f>IFERROR(('Historical FS'!G39)/SUM('Historical FS'!G53:G54),0)</f>
        <v>0.17268609245992239</v>
      </c>
      <c r="H23" s="26">
        <f>IFERROR(('Historical FS'!H39)/SUM('Historical FS'!H53:H54),0)</f>
        <v>0.16151553928894244</v>
      </c>
      <c r="I23" s="26">
        <f>IFERROR(('Historical FS'!I39)/SUM('Historical FS'!I53:I54),0)</f>
        <v>0.11741972284548198</v>
      </c>
      <c r="J23" s="26">
        <f>IFERROR(('Historical FS'!J39)/SUM('Historical FS'!J53:J54),0)</f>
        <v>9.0237702637373851E-2</v>
      </c>
      <c r="K23" s="26">
        <f>IFERROR(('Historical FS'!K39)/SUM('Historical FS'!K53:K54),0)</f>
        <v>0.10911239073407408</v>
      </c>
      <c r="L23" s="26">
        <f>IFERROR(('Historical FS'!L39)/SUM('Historical FS'!L53:L54),0)</f>
        <v>0.14791867501725867</v>
      </c>
      <c r="N23" s="26">
        <f t="shared" si="2"/>
        <v>0.14795707534862013</v>
      </c>
      <c r="O23" s="26">
        <f t="shared" si="1"/>
        <v>0.15471710715310055</v>
      </c>
    </row>
    <row r="24" spans="2:15" x14ac:dyDescent="0.25">
      <c r="B24" s="166" t="s">
        <v>97</v>
      </c>
      <c r="C24" s="26">
        <f>IFERROR(C22*C23,0)</f>
        <v>0.16888349362160787</v>
      </c>
      <c r="D24" s="26">
        <f t="shared" ref="D24:L24" si="4">IFERROR(D22*D23,0)</f>
        <v>0.17654416731293546</v>
      </c>
      <c r="E24" s="26">
        <f t="shared" si="4"/>
        <v>0.21062324064086763</v>
      </c>
      <c r="F24" s="26">
        <f t="shared" si="4"/>
        <v>0.1246297289277368</v>
      </c>
      <c r="G24" s="26">
        <f t="shared" si="4"/>
        <v>0.17268609245992239</v>
      </c>
      <c r="H24" s="26">
        <f t="shared" si="4"/>
        <v>0.16151553928894244</v>
      </c>
      <c r="I24" s="26">
        <f t="shared" si="4"/>
        <v>0.11741972284548198</v>
      </c>
      <c r="J24" s="26">
        <f t="shared" si="4"/>
        <v>9.0237702637373851E-2</v>
      </c>
      <c r="K24" s="26">
        <f t="shared" si="4"/>
        <v>0.10911239073407408</v>
      </c>
      <c r="L24" s="26">
        <f t="shared" si="4"/>
        <v>0.14791867501725867</v>
      </c>
      <c r="N24" s="26">
        <f t="shared" si="2"/>
        <v>0.14795707534862013</v>
      </c>
      <c r="O24" s="26">
        <f t="shared" si="1"/>
        <v>0.15471710715310055</v>
      </c>
    </row>
    <row r="25" spans="2:15" x14ac:dyDescent="0.25">
      <c r="B25" s="173" t="s">
        <v>98</v>
      </c>
      <c r="C25" s="29">
        <f>IFERROR(('Historical FS'!C18-'Historical FS'!C21)/'Historical FS'!C30,0)</f>
        <v>5.1054238505747103</v>
      </c>
      <c r="D25" s="29">
        <f>IFERROR(('Historical FS'!D18-'Historical FS'!D21)/'Historical FS'!D30,0)</f>
        <v>5.1785516860143606</v>
      </c>
      <c r="E25" s="29">
        <f>IFERROR(('Historical FS'!E18-'Historical FS'!E21)/'Historical FS'!E30,0)</f>
        <v>6.1969564265382182</v>
      </c>
      <c r="F25" s="29">
        <f>IFERROR(('Historical FS'!F18-'Historical FS'!F21)/'Historical FS'!F30,0)</f>
        <v>6.8975241842925117</v>
      </c>
      <c r="G25" s="29">
        <f>IFERROR(('Historical FS'!G18-'Historical FS'!G21)/'Historical FS'!G30,0)</f>
        <v>20.051394020826347</v>
      </c>
      <c r="H25" s="29">
        <f>IFERROR(('Historical FS'!H18-'Historical FS'!H21)/'Historical FS'!H30,0)</f>
        <v>30.095742427451842</v>
      </c>
      <c r="I25" s="29">
        <f>IFERROR(('Historical FS'!I18-'Historical FS'!I21)/'Historical FS'!I30,0)</f>
        <v>25.374710648148152</v>
      </c>
      <c r="J25" s="29">
        <f>IFERROR(('Historical FS'!J18-'Historical FS'!J21)/'Historical FS'!J30,0)</f>
        <v>31.948859543817488</v>
      </c>
      <c r="K25" s="29">
        <f>IFERROR(('Historical FS'!K18-'Historical FS'!K21)/'Historical FS'!K30,0)</f>
        <v>37.2610150585611</v>
      </c>
      <c r="L25" s="29">
        <f>IFERROR(('Historical FS'!L18-'Historical FS'!L21)/'Historical FS'!L30,0)</f>
        <v>44.502299362112403</v>
      </c>
      <c r="M25" s="27"/>
      <c r="N25" s="29">
        <f t="shared" si="2"/>
        <v>21.261247720833715</v>
      </c>
      <c r="O25" s="29">
        <f t="shared" si="1"/>
        <v>22.713052334487251</v>
      </c>
    </row>
    <row r="26" spans="2:15" x14ac:dyDescent="0.25">
      <c r="C26" s="14"/>
      <c r="N26" s="14"/>
    </row>
    <row r="27" spans="2:15" x14ac:dyDescent="0.25">
      <c r="B27" s="172" t="s">
        <v>99</v>
      </c>
      <c r="C27" s="30">
        <f>IFERROR('Historical FS'!C6/'Historical FS'!C65,0)</f>
        <v>491.24528301886789</v>
      </c>
      <c r="D27" s="30">
        <f>IFERROR('Historical FS'!D6/'Historical FS'!D65,0)</f>
        <v>910.81046676096184</v>
      </c>
      <c r="E27" s="30">
        <f>IFERROR('Historical FS'!E6/'Historical FS'!E65,0)</f>
        <v>1019.4489311163895</v>
      </c>
      <c r="F27" s="30">
        <f>IFERROR('Historical FS'!F6/'Historical FS'!F65,0)</f>
        <v>566.55714285714294</v>
      </c>
      <c r="G27" s="30">
        <f>IFERROR('Historical FS'!G6/'Historical FS'!G65,0)</f>
        <v>448.48448687350833</v>
      </c>
      <c r="H27" s="30">
        <f>IFERROR('Historical FS'!H6/'Historical FS'!H65,0)</f>
        <v>310.77396302625448</v>
      </c>
      <c r="I27" s="30">
        <f>IFERROR('Historical FS'!I6/'Historical FS'!I65,0)</f>
        <v>1272.1329923273656</v>
      </c>
      <c r="J27" s="30">
        <f>IFERROR('Historical FS'!J6/'Historical FS'!J65,0)</f>
        <v>553.99403396053242</v>
      </c>
      <c r="K27" s="30">
        <f>IFERROR('Historical FS'!K6/'Historical FS'!K65,0)</f>
        <v>463.09268949020782</v>
      </c>
      <c r="L27" s="30">
        <f>IFERROR('Historical FS'!L6/'Historical FS'!L65,0)</f>
        <v>689.18211068211065</v>
      </c>
      <c r="M27" s="24"/>
      <c r="N27" s="30">
        <f t="shared" si="2"/>
        <v>672.57221001133416</v>
      </c>
      <c r="O27" s="30">
        <f t="shared" si="1"/>
        <v>560.27558840883762</v>
      </c>
    </row>
    <row r="28" spans="2:15" x14ac:dyDescent="0.25">
      <c r="B28" s="166" t="s">
        <v>100</v>
      </c>
      <c r="C28" s="31">
        <f>IFERROR('Historical FS'!C6/'Historical FS'!C56,0)</f>
        <v>22.183470604941778</v>
      </c>
      <c r="D28" s="31">
        <f>IFERROR('Historical FS'!D6/'Historical FS'!D56,0)</f>
        <v>25.618356142584339</v>
      </c>
      <c r="E28" s="31">
        <f>IFERROR('Historical FS'!E6/'Historical FS'!E56,0)</f>
        <v>22.078707752456403</v>
      </c>
      <c r="F28" s="31">
        <f>IFERROR('Historical FS'!F6/'Historical FS'!F56,0)</f>
        <v>24.777583406222668</v>
      </c>
      <c r="G28" s="31">
        <f>IFERROR('Historical FS'!G6/'Historical FS'!G56,0)</f>
        <v>27.843384205067419</v>
      </c>
      <c r="H28" s="31">
        <f>IFERROR('Historical FS'!H6/'Historical FS'!H56,0)</f>
        <v>27.865329433068673</v>
      </c>
      <c r="I28" s="31">
        <f>IFERROR('Historical FS'!I6/'Historical FS'!I56,0)</f>
        <v>37.498605310374984</v>
      </c>
      <c r="J28" s="31">
        <f>IFERROR('Historical FS'!J6/'Historical FS'!J56,0)</f>
        <v>22.383078534808043</v>
      </c>
      <c r="K28" s="31">
        <f>IFERROR('Historical FS'!K6/'Historical FS'!K56,0)</f>
        <v>27.020472784368454</v>
      </c>
      <c r="L28" s="31">
        <f>IFERROR('Historical FS'!L6/'Historical FS'!L56,0)</f>
        <v>30.979404703364093</v>
      </c>
      <c r="N28" s="31">
        <f t="shared" si="2"/>
        <v>26.824839287725688</v>
      </c>
      <c r="O28" s="31">
        <f t="shared" si="1"/>
        <v>26.319414463476399</v>
      </c>
    </row>
    <row r="29" spans="2:15" x14ac:dyDescent="0.25">
      <c r="B29" s="166" t="s">
        <v>101</v>
      </c>
      <c r="C29" s="31">
        <f>IFERROR('Historical FS'!C6/'Historical FS'!C66,0)</f>
        <v>12.387280945206564</v>
      </c>
      <c r="D29" s="31">
        <f>IFERROR('Historical FS'!D6/'Historical FS'!D66,0)</f>
        <v>11.933489001315765</v>
      </c>
      <c r="E29" s="31">
        <f>IFERROR('Historical FS'!E6/'Historical FS'!E66,0)</f>
        <v>12.779347615715583</v>
      </c>
      <c r="F29" s="31">
        <f>IFERROR('Historical FS'!F6/'Historical FS'!F66,0)</f>
        <v>12.551640468403841</v>
      </c>
      <c r="G29" s="31">
        <f>IFERROR('Historical FS'!G6/'Historical FS'!G66,0)</f>
        <v>12.921225665047919</v>
      </c>
      <c r="H29" s="31">
        <f>IFERROR('Historical FS'!H6/'Historical FS'!H66,0)</f>
        <v>12.435595064184254</v>
      </c>
      <c r="I29" s="31">
        <f>IFERROR('Historical FS'!I6/'Historical FS'!I66,0)</f>
        <v>12.770976686864538</v>
      </c>
      <c r="J29" s="31">
        <f>IFERROR('Historical FS'!J6/'Historical FS'!J66,0)</f>
        <v>10.738457843329122</v>
      </c>
      <c r="K29" s="31">
        <f>IFERROR('Historical FS'!K6/'Historical FS'!K66,0)</f>
        <v>11.294243544588101</v>
      </c>
      <c r="L29" s="31">
        <f>IFERROR('Historical FS'!L6/'Historical FS'!L66,0)</f>
        <v>13.2079001566219</v>
      </c>
      <c r="N29" s="31">
        <f t="shared" si="2"/>
        <v>12.302015699127759</v>
      </c>
      <c r="O29" s="31">
        <f t="shared" si="1"/>
        <v>12.493617766294047</v>
      </c>
    </row>
    <row r="30" spans="2:15" x14ac:dyDescent="0.25">
      <c r="B30" s="166" t="s">
        <v>102</v>
      </c>
      <c r="C30" s="31">
        <f>IFERROR('Historical FS'!C6/'Historical FS'!C59,0)</f>
        <v>3.9997610289411014</v>
      </c>
      <c r="D30" s="31">
        <f>IFERROR('Historical FS'!D6/'Historical FS'!D59,0)</f>
        <v>4.2140660174859956</v>
      </c>
      <c r="E30" s="31">
        <f>IFERROR('Historical FS'!E6/'Historical FS'!E59,0)</f>
        <v>4.1001566739271658</v>
      </c>
      <c r="F30" s="31">
        <f>IFERROR('Historical FS'!F6/'Historical FS'!F59,0)</f>
        <v>4.6155368053535062</v>
      </c>
      <c r="G30" s="31">
        <f>IFERROR('Historical FS'!G6/'Historical FS'!G59,0)</f>
        <v>4.4215684256037555</v>
      </c>
      <c r="H30" s="31">
        <f>IFERROR('Historical FS'!H6/'Historical FS'!H59,0)</f>
        <v>4.5460995325393094</v>
      </c>
      <c r="I30" s="31">
        <f>IFERROR('Historical FS'!I6/'Historical FS'!I59,0)</f>
        <v>4.1812499264462355</v>
      </c>
      <c r="J30" s="31">
        <f>IFERROR('Historical FS'!J6/'Historical FS'!J59,0)</f>
        <v>3.4446781189361948</v>
      </c>
      <c r="K30" s="31">
        <f>IFERROR('Historical FS'!K6/'Historical FS'!K59,0)</f>
        <v>3.3451623214636683</v>
      </c>
      <c r="L30" s="31">
        <f>IFERROR('Historical FS'!L6/'Historical FS'!L59,0)</f>
        <v>3.7775790795451338</v>
      </c>
      <c r="N30" s="31">
        <f t="shared" si="2"/>
        <v>4.0645857930242064</v>
      </c>
      <c r="O30" s="31">
        <f t="shared" si="1"/>
        <v>4.1407033001867006</v>
      </c>
    </row>
    <row r="31" spans="2:15" x14ac:dyDescent="0.25">
      <c r="B31" s="173" t="s">
        <v>103</v>
      </c>
      <c r="C31" s="29">
        <f>IFERROR('Historical FS'!C6/SUM('Historical FS'!C53:C54),0)</f>
        <v>4.9043816779513794</v>
      </c>
      <c r="D31" s="29">
        <f>IFERROR('Historical FS'!D6/SUM('Historical FS'!D53:D54),0)</f>
        <v>5.3698162926642148</v>
      </c>
      <c r="E31" s="29">
        <f>IFERROR('Historical FS'!E6/SUM('Historical FS'!E53:E54),0)</f>
        <v>5.6455762805503671</v>
      </c>
      <c r="F31" s="29">
        <f>IFERROR('Historical FS'!F6/SUM('Historical FS'!F53:F54),0)</f>
        <v>3.0969238217701172</v>
      </c>
      <c r="G31" s="29">
        <f>IFERROR('Historical FS'!G6/SUM('Historical FS'!G53:G54),0)</f>
        <v>3.2197556248059027</v>
      </c>
      <c r="H31" s="29">
        <f>IFERROR('Historical FS'!H6/SUM('Historical FS'!H53:H54),0)</f>
        <v>3.5802593311796977</v>
      </c>
      <c r="I31" s="29">
        <f>IFERROR('Historical FS'!I6/SUM('Historical FS'!I53:I54),0)</f>
        <v>2.2446555605095426</v>
      </c>
      <c r="J31" s="29">
        <f>IFERROR('Historical FS'!J6/SUM('Historical FS'!J53:J54),0)</f>
        <v>1.9815852478432268</v>
      </c>
      <c r="K31" s="29">
        <f>IFERROR('Historical FS'!K6/SUM('Historical FS'!K53:K54),0)</f>
        <v>2.2647379226240782</v>
      </c>
      <c r="L31" s="29">
        <f>IFERROR('Historical FS'!L6/SUM('Historical FS'!L53:L54),0)</f>
        <v>2.6643671441099093</v>
      </c>
      <c r="M31" s="27"/>
      <c r="N31" s="29">
        <f t="shared" si="2"/>
        <v>3.4972058904008434</v>
      </c>
      <c r="O31" s="29">
        <f t="shared" si="1"/>
        <v>3.1583397232880097</v>
      </c>
    </row>
    <row r="32" spans="2:15" x14ac:dyDescent="0.25">
      <c r="N32" s="14"/>
    </row>
    <row r="33" spans="2:15" x14ac:dyDescent="0.25">
      <c r="B33" s="174" t="s">
        <v>104</v>
      </c>
      <c r="N33" s="14"/>
    </row>
    <row r="34" spans="2:15" x14ac:dyDescent="0.25">
      <c r="B34" s="172" t="s">
        <v>105</v>
      </c>
      <c r="C34" s="32">
        <f>IFERROR(365/C27,0)</f>
        <v>0.74300967890613001</v>
      </c>
      <c r="D34" s="32">
        <f t="shared" ref="D34:L34" si="5">IFERROR(365/D27,0)</f>
        <v>0.40074199113896725</v>
      </c>
      <c r="E34" s="32">
        <f t="shared" si="5"/>
        <v>0.35803657138596606</v>
      </c>
      <c r="F34" s="32">
        <f t="shared" si="5"/>
        <v>0.64424216445195281</v>
      </c>
      <c r="G34" s="32">
        <f t="shared" si="5"/>
        <v>0.81385200755660803</v>
      </c>
      <c r="H34" s="32">
        <f t="shared" si="5"/>
        <v>1.1744870659231013</v>
      </c>
      <c r="I34" s="32">
        <f t="shared" si="5"/>
        <v>0.28691968701498183</v>
      </c>
      <c r="J34" s="32">
        <f t="shared" si="5"/>
        <v>0.65885186053466294</v>
      </c>
      <c r="K34" s="32">
        <f t="shared" si="5"/>
        <v>0.7881791448744474</v>
      </c>
      <c r="L34" s="32">
        <f t="shared" si="5"/>
        <v>0.52961328267610597</v>
      </c>
      <c r="M34" s="24"/>
      <c r="N34" s="32">
        <f t="shared" si="2"/>
        <v>0.63979334544629229</v>
      </c>
      <c r="O34" s="32">
        <f t="shared" ref="O34:O37" si="6">IFERROR(MEDIAN(C34:L34),0)</f>
        <v>0.65154701249330782</v>
      </c>
    </row>
    <row r="35" spans="2:15" x14ac:dyDescent="0.25">
      <c r="B35" s="166" t="s">
        <v>106</v>
      </c>
      <c r="C35" s="33">
        <f>IFERROR(365/C28,0)</f>
        <v>16.453692323449584</v>
      </c>
      <c r="D35" s="33">
        <f t="shared" ref="D35:L35" si="7">IFERROR(365/D28,0)</f>
        <v>14.247596448754006</v>
      </c>
      <c r="E35" s="33">
        <f t="shared" si="7"/>
        <v>16.531764634612337</v>
      </c>
      <c r="F35" s="33">
        <f t="shared" si="7"/>
        <v>14.731057263168511</v>
      </c>
      <c r="G35" s="33">
        <f t="shared" si="7"/>
        <v>13.109038661096772</v>
      </c>
      <c r="H35" s="33">
        <f t="shared" si="7"/>
        <v>13.098714690479952</v>
      </c>
      <c r="I35" s="33">
        <f t="shared" si="7"/>
        <v>9.7336953462376652</v>
      </c>
      <c r="J35" s="33">
        <f t="shared" si="7"/>
        <v>16.306961503637069</v>
      </c>
      <c r="K35" s="33">
        <f t="shared" si="7"/>
        <v>13.508275851159615</v>
      </c>
      <c r="L35" s="33">
        <f t="shared" si="7"/>
        <v>11.782021103858209</v>
      </c>
      <c r="N35" s="33">
        <f t="shared" si="2"/>
        <v>13.950281782645371</v>
      </c>
      <c r="O35" s="33">
        <f t="shared" si="6"/>
        <v>13.87793614995681</v>
      </c>
    </row>
    <row r="36" spans="2:15" x14ac:dyDescent="0.25">
      <c r="B36" s="166" t="s">
        <v>107</v>
      </c>
      <c r="C36" s="33">
        <f>IFERROR(365/C29,0)</f>
        <v>29.465707738003793</v>
      </c>
      <c r="D36" s="33">
        <f t="shared" ref="D36:L36" si="8">IFERROR(365/D29,0)</f>
        <v>30.586193187906382</v>
      </c>
      <c r="E36" s="33">
        <f t="shared" si="8"/>
        <v>28.561708388864552</v>
      </c>
      <c r="F36" s="33">
        <f t="shared" si="8"/>
        <v>29.079864175428863</v>
      </c>
      <c r="G36" s="33">
        <f t="shared" si="8"/>
        <v>28.248094218130536</v>
      </c>
      <c r="H36" s="33">
        <f t="shared" si="8"/>
        <v>29.351229122218378</v>
      </c>
      <c r="I36" s="33">
        <f t="shared" si="8"/>
        <v>28.580429590433528</v>
      </c>
      <c r="J36" s="33">
        <f t="shared" si="8"/>
        <v>33.989983042746033</v>
      </c>
      <c r="K36" s="33">
        <f t="shared" si="8"/>
        <v>32.317348086131737</v>
      </c>
      <c r="L36" s="33">
        <f t="shared" si="8"/>
        <v>27.634975709367698</v>
      </c>
      <c r="N36" s="33">
        <f t="shared" si="2"/>
        <v>29.781553325923152</v>
      </c>
      <c r="O36" s="33">
        <f t="shared" si="6"/>
        <v>29.215546648823619</v>
      </c>
    </row>
    <row r="37" spans="2:15" x14ac:dyDescent="0.25">
      <c r="B37" s="173" t="s">
        <v>108</v>
      </c>
      <c r="C37" s="34">
        <f>IFERROR((SUM(C34,C36)-C35),0)</f>
        <v>13.75502509346034</v>
      </c>
      <c r="D37" s="34">
        <f t="shared" ref="D37:L37" si="9">IFERROR((SUM(D34,D36)-D35),0)</f>
        <v>16.739338730291344</v>
      </c>
      <c r="E37" s="34">
        <f t="shared" si="9"/>
        <v>12.387980325638182</v>
      </c>
      <c r="F37" s="34">
        <f t="shared" si="9"/>
        <v>14.993049076712305</v>
      </c>
      <c r="G37" s="34">
        <f t="shared" si="9"/>
        <v>15.952907564590372</v>
      </c>
      <c r="H37" s="34">
        <f t="shared" si="9"/>
        <v>17.427001497661529</v>
      </c>
      <c r="I37" s="34">
        <f t="shared" si="9"/>
        <v>19.133653931210844</v>
      </c>
      <c r="J37" s="34">
        <f t="shared" si="9"/>
        <v>18.341873399643625</v>
      </c>
      <c r="K37" s="34">
        <f t="shared" si="9"/>
        <v>19.597251379846568</v>
      </c>
      <c r="L37" s="34">
        <f t="shared" si="9"/>
        <v>16.382567888185594</v>
      </c>
      <c r="M37" s="27"/>
      <c r="N37" s="34">
        <f t="shared" si="2"/>
        <v>16.471064888724072</v>
      </c>
      <c r="O37" s="34">
        <f t="shared" si="6"/>
        <v>16.560953309238471</v>
      </c>
    </row>
    <row r="38" spans="2:15" x14ac:dyDescent="0.25">
      <c r="N38" s="14"/>
    </row>
    <row r="39" spans="2:15" x14ac:dyDescent="0.25">
      <c r="B39" s="172" t="s">
        <v>109</v>
      </c>
      <c r="C39" s="25">
        <f>IFERROR('Historical FS'!C84/'Historical FS'!C6,0)</f>
        <v>4.246257318925932E-2</v>
      </c>
      <c r="D39" s="25">
        <f>IFERROR('Historical FS'!D84/'Historical FS'!D6,0)</f>
        <v>3.4475101057081139E-2</v>
      </c>
      <c r="E39" s="25">
        <f>IFERROR('Historical FS'!E84/'Historical FS'!E6,0)</f>
        <v>5.0560593492828314E-2</v>
      </c>
      <c r="F39" s="25">
        <f>IFERROR('Historical FS'!F84/'Historical FS'!F6,0)</f>
        <v>3.8326735419450815E-2</v>
      </c>
      <c r="G39" s="25">
        <f>IFERROR('Historical FS'!G84/'Historical FS'!G6,0)</f>
        <v>4.8492669558044856E-2</v>
      </c>
      <c r="H39" s="25">
        <f>IFERROR('Historical FS'!H84/'Historical FS'!H6,0)</f>
        <v>4.0340882960450936E-2</v>
      </c>
      <c r="I39" s="25">
        <f>IFERROR('Historical FS'!I84/'Historical FS'!I6,0)</f>
        <v>5.1507426558692733E-2</v>
      </c>
      <c r="J39" s="25">
        <f>IFERROR('Historical FS'!J84/'Historical FS'!J6,0)</f>
        <v>5.6952184188748235E-2</v>
      </c>
      <c r="K39" s="25">
        <f>IFERROR('Historical FS'!K84/'Historical FS'!K6,0)</f>
        <v>4.4324252080705652E-2</v>
      </c>
      <c r="L39" s="25">
        <f>IFERROR('Historical FS'!L84/'Historical FS'!L6,0)</f>
        <v>6.1415196607995041E-2</v>
      </c>
      <c r="M39" s="24"/>
      <c r="N39" s="25">
        <f t="shared" si="2"/>
        <v>4.6885761511325709E-2</v>
      </c>
      <c r="O39" s="25">
        <f t="shared" ref="O39:O41" si="10">IFERROR(MEDIAN(C39:L39),0)</f>
        <v>4.6408460819375254E-2</v>
      </c>
    </row>
    <row r="40" spans="2:15" x14ac:dyDescent="0.25">
      <c r="B40" s="166" t="s">
        <v>110</v>
      </c>
      <c r="C40" s="26">
        <f>IFERROR('Historical FS'!C84/'Historical FS'!C70,0)</f>
        <v>0.1100876829032169</v>
      </c>
      <c r="D40" s="26">
        <f>IFERROR('Historical FS'!D84/'Historical FS'!D70,0)</f>
        <v>9.4275121984363941E-2</v>
      </c>
      <c r="E40" s="26">
        <f>IFERROR('Historical FS'!E84/'Historical FS'!E70,0)</f>
        <v>0.13992958382233456</v>
      </c>
      <c r="F40" s="26">
        <f>IFERROR('Historical FS'!F84/'Historical FS'!F70,0)</f>
        <v>7.8360209510454901E-2</v>
      </c>
      <c r="G40" s="26">
        <f>IFERROR('Historical FS'!G84/'Historical FS'!G70,0)</f>
        <v>0.12906721055482967</v>
      </c>
      <c r="H40" s="26">
        <f>IFERROR('Historical FS'!H84/'Historical FS'!H70,0)</f>
        <v>0.11519520376846763</v>
      </c>
      <c r="I40" s="26">
        <f>IFERROR('Historical FS'!I84/'Historical FS'!I70,0)</f>
        <v>0.10607676612433091</v>
      </c>
      <c r="J40" s="26">
        <f>IFERROR('Historical FS'!J84/'Historical FS'!J70,0)</f>
        <v>0.1006953471426322</v>
      </c>
      <c r="K40" s="26">
        <f>IFERROR('Historical FS'!K84/'Historical FS'!K70,0)</f>
        <v>8.8746802077179332E-2</v>
      </c>
      <c r="L40" s="26">
        <f>IFERROR('Historical FS'!L84/'Historical FS'!L70,0)</f>
        <v>0.14532282546016131</v>
      </c>
      <c r="N40" s="26">
        <f t="shared" si="2"/>
        <v>0.11077567533479712</v>
      </c>
      <c r="O40" s="26">
        <f t="shared" si="10"/>
        <v>0.1080822245137739</v>
      </c>
    </row>
    <row r="41" spans="2:15" x14ac:dyDescent="0.25">
      <c r="B41" s="173" t="s">
        <v>111</v>
      </c>
      <c r="C41" s="28">
        <f>IFERROR('Historical FS'!C84/'Historical FS'!C55,0)</f>
        <v>0.31053962111045219</v>
      </c>
      <c r="D41" s="28">
        <f>IFERROR('Historical FS'!D84/'Historical FS'!D55,0)</f>
        <v>0.24550461150554045</v>
      </c>
      <c r="E41" s="28">
        <f>IFERROR('Historical FS'!E84/'Historical FS'!E55,0)</f>
        <v>0.36399013704144795</v>
      </c>
      <c r="F41" s="28">
        <f>IFERROR('Historical FS'!F84/'Historical FS'!F55,0)</f>
        <v>0.30454411882563515</v>
      </c>
      <c r="G41" s="28">
        <f>IFERROR('Historical FS'!G84/'Historical FS'!G55,0)</f>
        <v>1.659647125782584</v>
      </c>
      <c r="H41" s="28">
        <f>IFERROR('Historical FS'!H84/'Historical FS'!H55,0)</f>
        <v>1.1526101549667929</v>
      </c>
      <c r="I41" s="28">
        <f>IFERROR('Historical FS'!I84/'Historical FS'!I55,0)</f>
        <v>3.844653200876377</v>
      </c>
      <c r="J41" s="28">
        <f>IFERROR('Historical FS'!J84/'Historical FS'!J55,0)</f>
        <v>3.5013114002699193</v>
      </c>
      <c r="K41" s="28">
        <f>IFERROR('Historical FS'!K84/'Historical FS'!K55,0)</f>
        <v>2.1222988221473398</v>
      </c>
      <c r="L41" s="28">
        <f>IFERROR('Historical FS'!L84/'Historical FS'!L55,0)</f>
        <v>4.0918846620423652</v>
      </c>
      <c r="M41" s="27"/>
      <c r="N41" s="28">
        <f t="shared" si="2"/>
        <v>1.7596983854568453</v>
      </c>
      <c r="O41" s="28">
        <f t="shared" si="10"/>
        <v>1.4061286403746884</v>
      </c>
    </row>
  </sheetData>
  <mergeCells count="1">
    <mergeCell ref="B2:O2"/>
  </mergeCells>
  <pageMargins left="0.7" right="0.7" top="0.75" bottom="0.75" header="0.3" footer="0.3"/>
  <pageSetup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1C8910B-1E56-46C0-A863-BF65BD186D2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  <x14:sparkline>
              <xm:f>'Ratio Analysis'!D16:L16</xm:f>
              <xm:sqref>M16</xm:sqref>
            </x14:sparkline>
            <x14:sparkline>
              <xm:f>'Ratio Analysis'!D17:L17</xm:f>
              <xm:sqref>M17</xm:sqref>
            </x14:sparkline>
            <x14:sparkline>
              <xm:f>'Ratio Analysis'!D18:L18</xm:f>
              <xm:sqref>M18</xm:sqref>
            </x14:sparkline>
            <x14:sparkline>
              <xm:f>'Ratio Analysis'!D19:L19</xm:f>
              <xm:sqref>M19</xm:sqref>
            </x14:sparkline>
            <x14:sparkline>
              <xm:f>'Ratio Analysis'!D20:L20</xm:f>
              <xm:sqref>M20</xm:sqref>
            </x14:sparkline>
            <x14:sparkline>
              <xm:f>'Ratio Analysis'!D21:L21</xm:f>
              <xm:sqref>M21</xm:sqref>
            </x14:sparkline>
            <x14:sparkline>
              <xm:f>'Ratio Analysis'!D22:L22</xm:f>
              <xm:sqref>M22</xm:sqref>
            </x14:sparkline>
            <x14:sparkline>
              <xm:f>'Ratio Analysis'!D23:L23</xm:f>
              <xm:sqref>M23</xm:sqref>
            </x14:sparkline>
            <x14:sparkline>
              <xm:f>'Ratio Analysis'!D24:L24</xm:f>
              <xm:sqref>M24</xm:sqref>
            </x14:sparkline>
            <x14:sparkline>
              <xm:f>'Ratio Analysis'!D25:L25</xm:f>
              <xm:sqref>M25</xm:sqref>
            </x14:sparkline>
            <x14:sparkline>
              <xm:f>'Ratio Analysis'!D26:L26</xm:f>
              <xm:sqref>M26</xm:sqref>
            </x14:sparkline>
            <x14:sparkline>
              <xm:f>'Ratio Analysis'!D27:L27</xm:f>
              <xm:sqref>M27</xm:sqref>
            </x14:sparkline>
            <x14:sparkline>
              <xm:f>'Ratio Analysis'!D28:L28</xm:f>
              <xm:sqref>M28</xm:sqref>
            </x14:sparkline>
            <x14:sparkline>
              <xm:f>'Ratio Analysis'!D29:L29</xm:f>
              <xm:sqref>M29</xm:sqref>
            </x14:sparkline>
            <x14:sparkline>
              <xm:f>'Ratio Analysis'!D30:L30</xm:f>
              <xm:sqref>M30</xm:sqref>
            </x14:sparkline>
            <x14:sparkline>
              <xm:f>'Ratio Analysis'!D31:L31</xm:f>
              <xm:sqref>M31</xm:sqref>
            </x14:sparkline>
            <x14:sparkline>
              <xm:f>'Ratio Analysis'!D32:L32</xm:f>
              <xm:sqref>M32</xm:sqref>
            </x14:sparkline>
            <x14:sparkline>
              <xm:f>'Ratio Analysis'!D33:L33</xm:f>
              <xm:sqref>M33</xm:sqref>
            </x14:sparkline>
            <x14:sparkline>
              <xm:f>'Ratio Analysis'!D34:L34</xm:f>
              <xm:sqref>M34</xm:sqref>
            </x14:sparkline>
            <x14:sparkline>
              <xm:f>'Ratio Analysis'!D35:L35</xm:f>
              <xm:sqref>M35</xm:sqref>
            </x14:sparkline>
            <x14:sparkline>
              <xm:f>'Ratio Analysis'!D36:L36</xm:f>
              <xm:sqref>M36</xm:sqref>
            </x14:sparkline>
            <x14:sparkline>
              <xm:f>'Ratio Analysis'!D37:L37</xm:f>
              <xm:sqref>M37</xm:sqref>
            </x14:sparkline>
            <x14:sparkline>
              <xm:f>'Ratio Analysis'!D38:L38</xm:f>
              <xm:sqref>M38</xm:sqref>
            </x14:sparkline>
            <x14:sparkline>
              <xm:f>'Ratio Analysis'!D39:L39</xm:f>
              <xm:sqref>M39</xm:sqref>
            </x14:sparkline>
            <x14:sparkline>
              <xm:f>'Ratio Analysis'!D40:L40</xm:f>
              <xm:sqref>M40</xm:sqref>
            </x14:sparkline>
            <x14:sparkline>
              <xm:f>'Ratio Analysis'!D41:L41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44A1-21CE-4BB2-B32E-FA7AFD36045B}">
  <dimension ref="B2:L39"/>
  <sheetViews>
    <sheetView showGridLines="0" workbookViewId="0">
      <selection activeCell="B21" sqref="B21:L21"/>
    </sheetView>
  </sheetViews>
  <sheetFormatPr defaultRowHeight="15" x14ac:dyDescent="0.25"/>
  <cols>
    <col min="1" max="1" width="1.85546875" customWidth="1"/>
    <col min="2" max="2" width="19.85546875" bestFit="1" customWidth="1"/>
    <col min="3" max="3" width="9.85546875" bestFit="1" customWidth="1"/>
  </cols>
  <sheetData>
    <row r="2" spans="2:12" x14ac:dyDescent="0.25">
      <c r="B2" s="218" t="str">
        <f>"Common Size Income Statement"&amp;" "&amp;" - "&amp;'Data Sheet'!$B$1</f>
        <v>Common Size Income Statement  - AVENUE SUPERMARTS LTD</v>
      </c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2:12" x14ac:dyDescent="0.25">
      <c r="B4" s="69" t="s">
        <v>253</v>
      </c>
      <c r="C4" s="104">
        <f>'Data Sheet'!B16</f>
        <v>41729</v>
      </c>
      <c r="D4" s="104">
        <f>'Data Sheet'!C16</f>
        <v>42094</v>
      </c>
      <c r="E4" s="104">
        <f>'Data Sheet'!D16</f>
        <v>42460</v>
      </c>
      <c r="F4" s="104">
        <f>'Data Sheet'!E16</f>
        <v>42825</v>
      </c>
      <c r="G4" s="104">
        <f>'Data Sheet'!F16</f>
        <v>43190</v>
      </c>
      <c r="H4" s="104">
        <f>'Data Sheet'!G16</f>
        <v>43555</v>
      </c>
      <c r="I4" s="104">
        <f>'Data Sheet'!H16</f>
        <v>43921</v>
      </c>
      <c r="J4" s="104">
        <f>'Data Sheet'!I16</f>
        <v>44286</v>
      </c>
      <c r="K4" s="104">
        <f>'Data Sheet'!J16</f>
        <v>44651</v>
      </c>
      <c r="L4" s="104">
        <f>'Data Sheet'!K16</f>
        <v>45016</v>
      </c>
    </row>
    <row r="6" spans="2:12" x14ac:dyDescent="0.25">
      <c r="B6" s="105" t="str">
        <f>'Data Sheet'!A17</f>
        <v>Sales</v>
      </c>
      <c r="C6" s="14">
        <f>'Data Sheet'!B17/'Data Sheet'!B$17</f>
        <v>1</v>
      </c>
      <c r="D6" s="14">
        <f>'Data Sheet'!C17/'Data Sheet'!C$17</f>
        <v>1</v>
      </c>
      <c r="E6" s="14">
        <f>'Data Sheet'!D17/'Data Sheet'!D$17</f>
        <v>1</v>
      </c>
      <c r="F6" s="14">
        <f>'Data Sheet'!E17/'Data Sheet'!E$17</f>
        <v>1</v>
      </c>
      <c r="G6" s="14">
        <f>'Data Sheet'!F17/'Data Sheet'!F$17</f>
        <v>1</v>
      </c>
      <c r="H6" s="14">
        <f>'Data Sheet'!G17/'Data Sheet'!G$17</f>
        <v>1</v>
      </c>
      <c r="I6" s="14">
        <f>'Data Sheet'!H17/'Data Sheet'!H$17</f>
        <v>1</v>
      </c>
      <c r="J6" s="14">
        <f>'Data Sheet'!I17/'Data Sheet'!I$17</f>
        <v>1</v>
      </c>
      <c r="K6" s="14">
        <f>'Data Sheet'!J17/'Data Sheet'!J$17</f>
        <v>1</v>
      </c>
      <c r="L6" s="14">
        <f>'Data Sheet'!K17/'Data Sheet'!K$17</f>
        <v>1</v>
      </c>
    </row>
    <row r="7" spans="2:12" x14ac:dyDescent="0.25">
      <c r="B7" s="105" t="str">
        <f>'Data Sheet'!A18</f>
        <v>Raw Material Cost</v>
      </c>
      <c r="C7" s="14">
        <f>'Data Sheet'!B18/'Data Sheet'!B$17</f>
        <v>0.8719828101261502</v>
      </c>
      <c r="D7" s="14">
        <f>'Data Sheet'!C18/'Data Sheet'!C$17</f>
        <v>0.87716925255806799</v>
      </c>
      <c r="E7" s="14">
        <f>'Data Sheet'!D18/'Data Sheet'!D$17</f>
        <v>0.86624276540816614</v>
      </c>
      <c r="F7" s="14">
        <f>'Data Sheet'!E18/'Data Sheet'!E$17</f>
        <v>0.87052539566470821</v>
      </c>
      <c r="G7" s="14">
        <f>'Data Sheet'!F18/'Data Sheet'!F$17</f>
        <v>0.85457188090360003</v>
      </c>
      <c r="H7" s="14">
        <f>'Data Sheet'!G18/'Data Sheet'!G$17</f>
        <v>0.87207741050522591</v>
      </c>
      <c r="I7" s="14">
        <f>'Data Sheet'!H18/'Data Sheet'!H$17</f>
        <v>0.86214344878609739</v>
      </c>
      <c r="J7" s="14">
        <f>'Data Sheet'!I18/'Data Sheet'!I$17</f>
        <v>0.86383250507599285</v>
      </c>
      <c r="K7" s="14">
        <f>'Data Sheet'!J18/'Data Sheet'!J$17</f>
        <v>0.86814099954578139</v>
      </c>
      <c r="L7" s="14">
        <f>'Data Sheet'!K18/'Data Sheet'!K$17</f>
        <v>0.86099787206031053</v>
      </c>
    </row>
    <row r="8" spans="2:12" x14ac:dyDescent="0.25">
      <c r="B8" s="105" t="str">
        <f>'Data Sheet'!A19</f>
        <v>Change in Inventory</v>
      </c>
      <c r="C8" s="14">
        <f>'Data Sheet'!B19/'Data Sheet'!B$17</f>
        <v>2.1786073983032041E-2</v>
      </c>
      <c r="D8" s="14">
        <f>'Data Sheet'!C19/'Data Sheet'!C$17</f>
        <v>2.5045695038225433E-2</v>
      </c>
      <c r="E8" s="14">
        <f>'Data Sheet'!D19/'Data Sheet'!D$17</f>
        <v>1.5387196286941855E-2</v>
      </c>
      <c r="F8" s="14">
        <f>'Data Sheet'!E19/'Data Sheet'!E$17</f>
        <v>2.3216251880615581E-2</v>
      </c>
      <c r="G8" s="14">
        <f>'Data Sheet'!F19/'Data Sheet'!F$17</f>
        <v>1.4056222228135061E-2</v>
      </c>
      <c r="H8" s="14">
        <f>'Data Sheet'!G19/'Data Sheet'!G$17</f>
        <v>2.2227476590290594E-2</v>
      </c>
      <c r="I8" s="14">
        <f>'Data Sheet'!H19/'Data Sheet'!H$17</f>
        <v>1.3620718771863514E-2</v>
      </c>
      <c r="J8" s="14">
        <f>'Data Sheet'!I19/'Data Sheet'!I$17</f>
        <v>1.2462380493607686E-2</v>
      </c>
      <c r="K8" s="14">
        <f>'Data Sheet'!J19/'Data Sheet'!J$17</f>
        <v>1.5959959026700117E-2</v>
      </c>
      <c r="L8" s="14">
        <f>'Data Sheet'!K19/'Data Sheet'!K$17</f>
        <v>1.169059626195974E-2</v>
      </c>
    </row>
    <row r="9" spans="2:12" x14ac:dyDescent="0.25">
      <c r="B9" s="105" t="str">
        <f>'Data Sheet'!A20</f>
        <v>Power and Fuel</v>
      </c>
      <c r="C9" s="14">
        <f>'Data Sheet'!B20/'Data Sheet'!B$17</f>
        <v>9.6682371417353766E-3</v>
      </c>
      <c r="D9" s="14">
        <f>'Data Sheet'!C20/'Data Sheet'!C$17</f>
        <v>9.2135484041289354E-3</v>
      </c>
      <c r="E9" s="14">
        <f>'Data Sheet'!D20/'Data Sheet'!D$17</f>
        <v>9.2313857796583309E-3</v>
      </c>
      <c r="F9" s="14">
        <f>'Data Sheet'!E20/'Data Sheet'!E$17</f>
        <v>8.3553964211570287E-3</v>
      </c>
      <c r="G9" s="14">
        <f>'Data Sheet'!F20/'Data Sheet'!F$17</f>
        <v>8.0661469281324005E-3</v>
      </c>
      <c r="H9" s="14">
        <f>'Data Sheet'!G20/'Data Sheet'!G$17</f>
        <v>7.6382737501324701E-3</v>
      </c>
      <c r="I9" s="14">
        <f>'Data Sheet'!H20/'Data Sheet'!H$17</f>
        <v>7.5688977169463857E-3</v>
      </c>
      <c r="J9" s="14">
        <f>'Data Sheet'!I20/'Data Sheet'!I$17</f>
        <v>7.2153239895854119E-3</v>
      </c>
      <c r="K9" s="14">
        <f>'Data Sheet'!J20/'Data Sheet'!J$17</f>
        <v>6.7102979151460141E-3</v>
      </c>
      <c r="L9" s="14">
        <f>'Data Sheet'!K20/'Data Sheet'!K$17</f>
        <v>7.3441463917930071E-3</v>
      </c>
    </row>
    <row r="10" spans="2:12" x14ac:dyDescent="0.25">
      <c r="B10" s="105" t="str">
        <f>'Data Sheet'!A21</f>
        <v>Other Mfr. Exp</v>
      </c>
      <c r="C10" s="14">
        <f>'Data Sheet'!B21/'Data Sheet'!B$17</f>
        <v>2.6358802342056301E-2</v>
      </c>
      <c r="D10" s="14">
        <f>'Data Sheet'!C21/'Data Sheet'!C$17</f>
        <v>2.4124806077556554E-2</v>
      </c>
      <c r="E10" s="14">
        <f>'Data Sheet'!D21/'Data Sheet'!D$17</f>
        <v>2.8118213929560008E-2</v>
      </c>
      <c r="F10" s="14">
        <f>'Data Sheet'!E21/'Data Sheet'!E$17</f>
        <v>2.7980197853366612E-2</v>
      </c>
      <c r="G10" s="14">
        <f>'Data Sheet'!F21/'Data Sheet'!F$17</f>
        <v>2.4859643987973287E-2</v>
      </c>
      <c r="H10" s="14">
        <f>'Data Sheet'!G21/'Data Sheet'!G$17</f>
        <v>2.4980354439896584E-2</v>
      </c>
      <c r="I10" s="14">
        <f>'Data Sheet'!H21/'Data Sheet'!H$17</f>
        <v>2.5973253130252269E-2</v>
      </c>
      <c r="J10" s="14">
        <f>'Data Sheet'!I21/'Data Sheet'!I$17</f>
        <v>3.0916959159278067E-2</v>
      </c>
      <c r="K10" s="14">
        <f>'Data Sheet'!J21/'Data Sheet'!J$17</f>
        <v>2.6015075410951674E-2</v>
      </c>
      <c r="L10" s="14">
        <f>'Data Sheet'!K21/'Data Sheet'!K$17</f>
        <v>2.6063759758503589E-2</v>
      </c>
    </row>
    <row r="11" spans="2:12" x14ac:dyDescent="0.25">
      <c r="B11" s="105" t="str">
        <f>'Data Sheet'!A22</f>
        <v>Employee Cost</v>
      </c>
      <c r="C11" s="14">
        <f>'Data Sheet'!B22/'Data Sheet'!B$17</f>
        <v>1.8636588655024669E-2</v>
      </c>
      <c r="D11" s="14">
        <f>'Data Sheet'!C22/'Data Sheet'!C$17</f>
        <v>2.0818612827532872E-2</v>
      </c>
      <c r="E11" s="14">
        <f>'Data Sheet'!D22/'Data Sheet'!D$17</f>
        <v>1.7363020401315973E-2</v>
      </c>
      <c r="F11" s="14">
        <f>'Data Sheet'!E22/'Data Sheet'!E$17</f>
        <v>1.6193886213301728E-2</v>
      </c>
      <c r="G11" s="14">
        <f>'Data Sheet'!F22/'Data Sheet'!F$17</f>
        <v>1.8834313386371496E-2</v>
      </c>
      <c r="H11" s="14">
        <f>'Data Sheet'!G22/'Data Sheet'!G$17</f>
        <v>1.7804476188381425E-2</v>
      </c>
      <c r="I11" s="14">
        <f>'Data Sheet'!H22/'Data Sheet'!H$17</f>
        <v>1.8381034330242619E-2</v>
      </c>
      <c r="J11" s="14">
        <f>'Data Sheet'!I22/'Data Sheet'!I$17</f>
        <v>2.2266440128136201E-2</v>
      </c>
      <c r="K11" s="14">
        <f>'Data Sheet'!J22/'Data Sheet'!J$17</f>
        <v>1.9930094875851741E-2</v>
      </c>
      <c r="L11" s="14">
        <f>'Data Sheet'!K22/'Data Sheet'!K$17</f>
        <v>1.7464231658775208E-2</v>
      </c>
    </row>
    <row r="12" spans="2:12" x14ac:dyDescent="0.25">
      <c r="B12" s="105" t="str">
        <f>'Data Sheet'!A23</f>
        <v>Selling and admin</v>
      </c>
      <c r="C12" s="14">
        <f>'Data Sheet'!B23/'Data Sheet'!B$17</f>
        <v>8.9642972977586596E-2</v>
      </c>
      <c r="D12" s="14">
        <f>'Data Sheet'!C23/'Data Sheet'!C$17</f>
        <v>9.0504904937238229E-2</v>
      </c>
      <c r="E12" s="14">
        <f>'Data Sheet'!D23/'Data Sheet'!D$17</f>
        <v>7.541799863929094E-2</v>
      </c>
      <c r="F12" s="14">
        <f>'Data Sheet'!E23/'Data Sheet'!E$17</f>
        <v>5.9877119107054301E-3</v>
      </c>
      <c r="G12" s="14">
        <f>'Data Sheet'!F23/'Data Sheet'!F$17</f>
        <v>6.3858659500305986E-3</v>
      </c>
      <c r="H12" s="14">
        <f>'Data Sheet'!G23/'Data Sheet'!G$17</f>
        <v>6.7904653548298086E-3</v>
      </c>
      <c r="I12" s="14">
        <f>'Data Sheet'!H23/'Data Sheet'!H$17</f>
        <v>4.794090920056936E-3</v>
      </c>
      <c r="J12" s="14">
        <f>'Data Sheet'!I23/'Data Sheet'!I$17</f>
        <v>4.5019148359818515E-3</v>
      </c>
      <c r="K12" s="14">
        <f>'Data Sheet'!J23/'Data Sheet'!J$17</f>
        <v>4.6296729722461738E-3</v>
      </c>
      <c r="L12" s="14">
        <f>'Data Sheet'!K23/'Data Sheet'!K$17</f>
        <v>4.9496306684755865E-3</v>
      </c>
    </row>
    <row r="13" spans="2:12" x14ac:dyDescent="0.25">
      <c r="B13" s="105" t="str">
        <f>'Data Sheet'!A24</f>
        <v>Other Expenses</v>
      </c>
      <c r="C13" s="14">
        <f>'Data Sheet'!B24/'Data Sheet'!B$17</f>
        <v>-6.7325583380276888E-2</v>
      </c>
      <c r="D13" s="14">
        <f>'Data Sheet'!C24/'Data Sheet'!C$17</f>
        <v>-6.7639527101001171E-2</v>
      </c>
      <c r="E13" s="14">
        <f>'Data Sheet'!D24/'Data Sheet'!D$17</f>
        <v>-5.8395155502949755E-2</v>
      </c>
      <c r="F13" s="14">
        <f>'Data Sheet'!E24/'Data Sheet'!E$17</f>
        <v>1.2714222076535801E-2</v>
      </c>
      <c r="G13" s="14">
        <f>'Data Sheet'!F24/'Data Sheet'!F$17</f>
        <v>1.1346885559960621E-2</v>
      </c>
      <c r="H13" s="14">
        <f>'Data Sheet'!G24/'Data Sheet'!G$17</f>
        <v>1.1289448584619876E-2</v>
      </c>
      <c r="I13" s="14">
        <f>'Data Sheet'!H24/'Data Sheet'!H$17</f>
        <v>9.1832795876189161E-3</v>
      </c>
      <c r="J13" s="14">
        <f>'Data Sheet'!I24/'Data Sheet'!I$17</f>
        <v>1.1458779458776144E-2</v>
      </c>
      <c r="K13" s="14">
        <f>'Data Sheet'!J24/'Data Sheet'!J$17</f>
        <v>9.7510126299906342E-3</v>
      </c>
      <c r="L13" s="14">
        <f>'Data Sheet'!K24/'Data Sheet'!K$17</f>
        <v>9.931474552959927E-3</v>
      </c>
    </row>
    <row r="14" spans="2:12" x14ac:dyDescent="0.25">
      <c r="B14" s="105" t="str">
        <f>'Data Sheet'!A25</f>
        <v>Other Income</v>
      </c>
      <c r="C14" s="14">
        <f>'Data Sheet'!B25/'Data Sheet'!B$17</f>
        <v>3.4716887728102972E-3</v>
      </c>
      <c r="D14" s="14">
        <f>'Data Sheet'!C25/'Data Sheet'!C$17</f>
        <v>3.1477941370587144E-3</v>
      </c>
      <c r="E14" s="14">
        <f>'Data Sheet'!D25/'Data Sheet'!D$17</f>
        <v>1.9828140581749721E-3</v>
      </c>
      <c r="F14" s="14">
        <f>'Data Sheet'!E25/'Data Sheet'!E$17</f>
        <v>2.3281810770148848E-3</v>
      </c>
      <c r="G14" s="14">
        <f>'Data Sheet'!F25/'Data Sheet'!F$17</f>
        <v>5.8370805949498443E-3</v>
      </c>
      <c r="H14" s="14">
        <f>'Data Sheet'!G25/'Data Sheet'!G$17</f>
        <v>2.4159539943972661E-3</v>
      </c>
      <c r="I14" s="14">
        <f>'Data Sheet'!H25/'Data Sheet'!H$17</f>
        <v>2.4121237464917854E-3</v>
      </c>
      <c r="J14" s="14">
        <f>'Data Sheet'!I25/'Data Sheet'!I$17</f>
        <v>8.0532459431405957E-3</v>
      </c>
      <c r="K14" s="14">
        <f>'Data Sheet'!J25/'Data Sheet'!J$17</f>
        <v>3.6686147170075672E-3</v>
      </c>
      <c r="L14" s="14">
        <f>'Data Sheet'!K25/'Data Sheet'!K$17</f>
        <v>2.9785553353022299E-3</v>
      </c>
    </row>
    <row r="15" spans="2:12" x14ac:dyDescent="0.25">
      <c r="B15" s="105" t="str">
        <f>'Data Sheet'!A26</f>
        <v>Depreciation</v>
      </c>
      <c r="C15" s="14">
        <f>'Data Sheet'!B26/'Data Sheet'!B$17</f>
        <v>1.2164780389546099E-2</v>
      </c>
      <c r="D15" s="14">
        <f>'Data Sheet'!C26/'Data Sheet'!C$17</f>
        <v>1.26626114423171E-2</v>
      </c>
      <c r="E15" s="14">
        <f>'Data Sheet'!D26/'Data Sheet'!D$17</f>
        <v>1.1467002805297445E-2</v>
      </c>
      <c r="F15" s="14">
        <f>'Data Sheet'!E26/'Data Sheet'!E$17</f>
        <v>1.0743252897618866E-2</v>
      </c>
      <c r="G15" s="14">
        <f>'Data Sheet'!F26/'Data Sheet'!F$17</f>
        <v>1.0576590479738178E-2</v>
      </c>
      <c r="H15" s="14">
        <f>'Data Sheet'!G26/'Data Sheet'!G$17</f>
        <v>1.062209940553435E-2</v>
      </c>
      <c r="I15" s="14">
        <f>'Data Sheet'!H26/'Data Sheet'!H$17</f>
        <v>1.5054563292615258E-2</v>
      </c>
      <c r="J15" s="14">
        <f>'Data Sheet'!I26/'Data Sheet'!I$17</f>
        <v>1.7154412075354161E-2</v>
      </c>
      <c r="K15" s="14">
        <f>'Data Sheet'!J26/'Data Sheet'!J$17</f>
        <v>1.6079405299605148E-2</v>
      </c>
      <c r="L15" s="14">
        <f>'Data Sheet'!K26/'Data Sheet'!K$17</f>
        <v>1.4913085008342757E-2</v>
      </c>
    </row>
    <row r="16" spans="2:12" x14ac:dyDescent="0.25">
      <c r="B16" s="105" t="str">
        <f>'Data Sheet'!A27</f>
        <v>Interest</v>
      </c>
      <c r="C16" s="14">
        <f>'Data Sheet'!B27/'Data Sheet'!B$17</f>
        <v>1.1880985302401803E-2</v>
      </c>
      <c r="D16" s="14">
        <f>'Data Sheet'!C27/'Data Sheet'!C$17</f>
        <v>1.1237019425632393E-2</v>
      </c>
      <c r="E16" s="14">
        <f>'Data Sheet'!D27/'Data Sheet'!D$17</f>
        <v>1.0641024446163452E-2</v>
      </c>
      <c r="F16" s="14">
        <f>'Data Sheet'!E27/'Data Sheet'!E$17</f>
        <v>1.0252401724703094E-2</v>
      </c>
      <c r="G16" s="14">
        <f>'Data Sheet'!F27/'Data Sheet'!F$17</f>
        <v>3.9605672777585609E-3</v>
      </c>
      <c r="H16" s="14">
        <f>'Data Sheet'!G27/'Data Sheet'!G$17</f>
        <v>2.3599666475376565E-3</v>
      </c>
      <c r="I16" s="14">
        <f>'Data Sheet'!H27/'Data Sheet'!H$17</f>
        <v>2.7792297609186899E-3</v>
      </c>
      <c r="J16" s="14">
        <f>'Data Sheet'!I27/'Data Sheet'!I$17</f>
        <v>1.7251334337900829E-3</v>
      </c>
      <c r="K16" s="14">
        <f>'Data Sheet'!J27/'Data Sheet'!J$17</f>
        <v>1.7364905458274996E-3</v>
      </c>
      <c r="L16" s="14">
        <f>'Data Sheet'!K27/'Data Sheet'!K$17</f>
        <v>1.5735455732972048E-3</v>
      </c>
    </row>
    <row r="17" spans="2:12" x14ac:dyDescent="0.25">
      <c r="B17" s="105" t="str">
        <f>'Data Sheet'!A28</f>
        <v>Profit before tax</v>
      </c>
      <c r="C17" s="14">
        <f>'Data Sheet'!B28/'Data Sheet'!B$17</f>
        <v>5.2248169201618282E-2</v>
      </c>
      <c r="D17" s="14">
        <f>'Data Sheet'!C28/'Data Sheet'!C$17</f>
        <v>5.0102260603811205E-2</v>
      </c>
      <c r="E17" s="14">
        <f>'Data Sheet'!D28/'Data Sheet'!D$17</f>
        <v>5.7283754438614311E-2</v>
      </c>
      <c r="F17" s="14">
        <f>'Data Sheet'!E28/'Data Sheet'!E$17</f>
        <v>6.2791968195533593E-2</v>
      </c>
      <c r="G17" s="14">
        <f>'Data Sheet'!F28/'Data Sheet'!F$17</f>
        <v>8.1291408349519728E-2</v>
      </c>
      <c r="H17" s="14">
        <f>'Data Sheet'!G28/'Data Sheet'!G$17</f>
        <v>7.1080935708529872E-2</v>
      </c>
      <c r="I17" s="14">
        <f>'Data Sheet'!H28/'Data Sheet'!H$17</f>
        <v>7.0155044993606808E-2</v>
      </c>
      <c r="J17" s="14">
        <f>'Data Sheet'!I28/'Data Sheet'!I$17</f>
        <v>6.1444158279853507E-2</v>
      </c>
      <c r="K17" s="14">
        <f>'Data Sheet'!J28/'Data Sheet'!J$17</f>
        <v>6.6635524548307457E-2</v>
      </c>
      <c r="L17" s="14">
        <f>'Data Sheet'!K28/'Data Sheet'!K$17</f>
        <v>7.1431405924804084E-2</v>
      </c>
    </row>
    <row r="18" spans="2:12" x14ac:dyDescent="0.25">
      <c r="B18" s="105" t="str">
        <f>'Data Sheet'!A29</f>
        <v>Tax</v>
      </c>
      <c r="C18" s="14">
        <f>'Data Sheet'!B29/'Data Sheet'!B$17</f>
        <v>1.7812942763011902E-2</v>
      </c>
      <c r="D18" s="14">
        <f>'Data Sheet'!C29/'Data Sheet'!C$17</f>
        <v>1.7225127068700181E-2</v>
      </c>
      <c r="E18" s="14">
        <f>'Data Sheet'!D29/'Data Sheet'!D$17</f>
        <v>1.9976094392201087E-2</v>
      </c>
      <c r="F18" s="14">
        <f>'Data Sheet'!E29/'Data Sheet'!E$17</f>
        <v>2.2548896005110227E-2</v>
      </c>
      <c r="G18" s="14">
        <f>'Data Sheet'!F29/'Data Sheet'!F$17</f>
        <v>2.7658116701700236E-2</v>
      </c>
      <c r="H18" s="14">
        <f>'Data Sheet'!G29/'Data Sheet'!G$17</f>
        <v>2.5968131202348269E-2</v>
      </c>
      <c r="I18" s="14">
        <f>'Data Sheet'!H29/'Data Sheet'!H$17</f>
        <v>1.7844247332148514E-2</v>
      </c>
      <c r="J18" s="14">
        <f>'Data Sheet'!I29/'Data Sheet'!I$17</f>
        <v>1.5906020197936795E-2</v>
      </c>
      <c r="K18" s="14">
        <f>'Data Sheet'!J29/'Data Sheet'!J$17</f>
        <v>1.8456708958179923E-2</v>
      </c>
      <c r="L18" s="14">
        <f>'Data Sheet'!K29/'Data Sheet'!K$17</f>
        <v>1.5914028995629274E-2</v>
      </c>
    </row>
    <row r="19" spans="2:12" x14ac:dyDescent="0.25">
      <c r="B19" s="105" t="str">
        <f>'Data Sheet'!A30</f>
        <v>Net profit</v>
      </c>
      <c r="C19" s="14">
        <f>'Data Sheet'!B30/'Data Sheet'!B$17</f>
        <v>3.4433092640958674E-2</v>
      </c>
      <c r="D19" s="14">
        <f>'Data Sheet'!C30/'Data Sheet'!C$17</f>
        <v>3.2870921805190828E-2</v>
      </c>
      <c r="E19" s="14">
        <f>'Data Sheet'!D30/'Data Sheet'!D$17</f>
        <v>3.7307660046413227E-2</v>
      </c>
      <c r="F19" s="14">
        <f>'Data Sheet'!E30/'Data Sheet'!E$17</f>
        <v>4.0238869697504558E-2</v>
      </c>
      <c r="G19" s="14">
        <f>'Data Sheet'!F30/'Data Sheet'!F$17</f>
        <v>5.3631961259079902E-2</v>
      </c>
      <c r="H19" s="14">
        <f>'Data Sheet'!G30/'Data Sheet'!G$17</f>
        <v>4.511680360238586E-2</v>
      </c>
      <c r="I19" s="14">
        <f>'Data Sheet'!H30/'Data Sheet'!H$17</f>
        <v>5.2314818537848508E-2</v>
      </c>
      <c r="J19" s="14">
        <f>'Data Sheet'!I30/'Data Sheet'!I$17</f>
        <v>4.5540623268135849E-2</v>
      </c>
      <c r="K19" s="14">
        <f>'Data Sheet'!J30/'Data Sheet'!J$17</f>
        <v>4.8183658006596658E-2</v>
      </c>
      <c r="L19" s="14">
        <f>'Data Sheet'!K30/'Data Sheet'!K$17</f>
        <v>5.5521345223900537E-2</v>
      </c>
    </row>
    <row r="20" spans="2:12" x14ac:dyDescent="0.25">
      <c r="B20" s="105"/>
    </row>
    <row r="21" spans="2:12" x14ac:dyDescent="0.25">
      <c r="B21" s="218" t="str">
        <f>"Common Size Balance Sheet"&amp;" "&amp;" - "&amp;'Data Sheet'!$B$1</f>
        <v>Common Size Balance Sheet  - AVENUE SUPERMARTS LTD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</row>
    <row r="22" spans="2:12" x14ac:dyDescent="0.25">
      <c r="B22" s="105"/>
    </row>
    <row r="23" spans="2:12" x14ac:dyDescent="0.25">
      <c r="B23" s="69" t="s">
        <v>253</v>
      </c>
      <c r="C23" s="104">
        <f>'Data Sheet'!B16</f>
        <v>41729</v>
      </c>
      <c r="D23" s="104">
        <f>'Data Sheet'!C16</f>
        <v>42094</v>
      </c>
      <c r="E23" s="104">
        <f>'Data Sheet'!D16</f>
        <v>42460</v>
      </c>
      <c r="F23" s="104">
        <f>'Data Sheet'!E16</f>
        <v>42825</v>
      </c>
      <c r="G23" s="104">
        <f>'Data Sheet'!F16</f>
        <v>43190</v>
      </c>
      <c r="H23" s="104">
        <f>'Data Sheet'!G16</f>
        <v>43555</v>
      </c>
      <c r="I23" s="104">
        <f>'Data Sheet'!H16</f>
        <v>43921</v>
      </c>
      <c r="J23" s="104">
        <f>'Data Sheet'!I16</f>
        <v>44286</v>
      </c>
      <c r="K23" s="104">
        <f>'Data Sheet'!J16</f>
        <v>44651</v>
      </c>
      <c r="L23" s="104">
        <f>'Data Sheet'!K16</f>
        <v>45016</v>
      </c>
    </row>
    <row r="24" spans="2:12" x14ac:dyDescent="0.25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</row>
    <row r="25" spans="2:12" x14ac:dyDescent="0.25">
      <c r="B25" s="108" t="s">
        <v>36</v>
      </c>
      <c r="C25" s="109">
        <f>'Data Sheet'!B61/'Data Sheet'!B$61</f>
        <v>1</v>
      </c>
      <c r="D25" s="109">
        <f>'Data Sheet'!C61/'Data Sheet'!C$61</f>
        <v>1</v>
      </c>
      <c r="E25" s="109">
        <f>'Data Sheet'!D61/'Data Sheet'!D$61</f>
        <v>1</v>
      </c>
      <c r="F25" s="109">
        <f>'Data Sheet'!E61/'Data Sheet'!E$61</f>
        <v>1</v>
      </c>
      <c r="G25" s="109">
        <f>'Data Sheet'!F61/'Data Sheet'!F$61</f>
        <v>1</v>
      </c>
      <c r="H25" s="109">
        <f>'Data Sheet'!G61/'Data Sheet'!G$61</f>
        <v>1</v>
      </c>
      <c r="I25" s="109">
        <f>'Data Sheet'!H61/'Data Sheet'!H$61</f>
        <v>1</v>
      </c>
      <c r="J25" s="109">
        <f>'Data Sheet'!I61/'Data Sheet'!I$61</f>
        <v>1</v>
      </c>
      <c r="K25" s="109">
        <f>'Data Sheet'!J61/'Data Sheet'!J$61</f>
        <v>1</v>
      </c>
      <c r="L25" s="109">
        <f>'Data Sheet'!K61/'Data Sheet'!K$61</f>
        <v>1</v>
      </c>
    </row>
    <row r="26" spans="2:12" x14ac:dyDescent="0.25">
      <c r="B26" s="105" t="str">
        <f>'Data Sheet'!A57</f>
        <v>Equity Share Capital</v>
      </c>
      <c r="C26" s="14">
        <f>'Data Sheet'!B57/'Data Sheet'!B$61</f>
        <v>0.30246452576549665</v>
      </c>
      <c r="D26" s="14">
        <f>'Data Sheet'!C57/'Data Sheet'!C$61</f>
        <v>0.23846509909504376</v>
      </c>
      <c r="E26" s="14">
        <f>'Data Sheet'!D57/'Data Sheet'!D$61</f>
        <v>0.18105082603593028</v>
      </c>
      <c r="F26" s="14">
        <f>'Data Sheet'!E57/'Data Sheet'!E$61</f>
        <v>0.10724350778790505</v>
      </c>
      <c r="G26" s="14">
        <f>'Data Sheet'!F57/'Data Sheet'!F$61</f>
        <v>0.11049144686290549</v>
      </c>
      <c r="H26" s="14">
        <f>'Data Sheet'!G57/'Data Sheet'!G$61</f>
        <v>8.9084290914281647E-2</v>
      </c>
      <c r="I26" s="14">
        <f>'Data Sheet'!H57/'Data Sheet'!H$61</f>
        <v>5.3640395622449523E-2</v>
      </c>
      <c r="J26" s="14">
        <f>'Data Sheet'!I57/'Data Sheet'!I$61</f>
        <v>4.7438127286242089E-2</v>
      </c>
      <c r="K26" s="14">
        <f>'Data Sheet'!J57/'Data Sheet'!J$61</f>
        <v>4.1870004356543672E-2</v>
      </c>
      <c r="L26" s="14">
        <f>'Data Sheet'!K57/'Data Sheet'!K$61</f>
        <v>3.5806527872597561E-2</v>
      </c>
    </row>
    <row r="27" spans="2:12" x14ac:dyDescent="0.25">
      <c r="B27" s="105" t="str">
        <f>'Data Sheet'!A58</f>
        <v>Reserves</v>
      </c>
      <c r="C27" s="14">
        <f>'Data Sheet'!B58/'Data Sheet'!B$61</f>
        <v>0.22616103781152325</v>
      </c>
      <c r="D27" s="14">
        <f>'Data Sheet'!C58/'Data Sheet'!C$61</f>
        <v>0.27078617807806149</v>
      </c>
      <c r="E27" s="14">
        <f>'Data Sheet'!D58/'Data Sheet'!D$61</f>
        <v>0.30916699983234242</v>
      </c>
      <c r="F27" s="14">
        <f>'Data Sheet'!E58/'Data Sheet'!E$61</f>
        <v>0.55293782048638318</v>
      </c>
      <c r="G27" s="14">
        <f>'Data Sheet'!F58/'Data Sheet'!F$61</f>
        <v>0.71614951258980697</v>
      </c>
      <c r="H27" s="14">
        <f>'Data Sheet'!G58/'Data Sheet'!G$61</f>
        <v>0.70849618157162231</v>
      </c>
      <c r="I27" s="14">
        <f>'Data Sheet'!H58/'Data Sheet'!H$61</f>
        <v>0.86384827627325234</v>
      </c>
      <c r="J27" s="14">
        <f>'Data Sheet'!I58/'Data Sheet'!I$61</f>
        <v>0.84481126030296494</v>
      </c>
      <c r="K27" s="14">
        <f>'Data Sheet'!J58/'Data Sheet'!J$61</f>
        <v>0.84221361542707707</v>
      </c>
      <c r="L27" s="14">
        <f>'Data Sheet'!K58/'Data Sheet'!K$61</f>
        <v>0.852297658264345</v>
      </c>
    </row>
    <row r="28" spans="2:12" x14ac:dyDescent="0.25">
      <c r="B28" s="105" t="str">
        <f>'Data Sheet'!A59</f>
        <v>Borrowings</v>
      </c>
      <c r="C28" s="14">
        <f>'Data Sheet'!B59/'Data Sheet'!B$61</f>
        <v>0.35450446712582634</v>
      </c>
      <c r="D28" s="14">
        <f>'Data Sheet'!C59/'Data Sheet'!C$61</f>
        <v>0.38400550362874286</v>
      </c>
      <c r="E28" s="14">
        <f>'Data Sheet'!D59/'Data Sheet'!D$61</f>
        <v>0.38443235017217142</v>
      </c>
      <c r="F28" s="14">
        <f>'Data Sheet'!E59/'Data Sheet'!E$61</f>
        <v>0.25730330900042619</v>
      </c>
      <c r="G28" s="14">
        <f>'Data Sheet'!F59/'Data Sheet'!F$61</f>
        <v>7.7767863149806479E-2</v>
      </c>
      <c r="H28" s="14">
        <f>'Data Sheet'!G59/'Data Sheet'!G$61</f>
        <v>9.9942902005567047E-2</v>
      </c>
      <c r="I28" s="14">
        <f>'Data Sheet'!H59/'Data Sheet'!H$61</f>
        <v>2.7590724203720388E-2</v>
      </c>
      <c r="J28" s="14">
        <f>'Data Sheet'!I59/'Data Sheet'!I$61</f>
        <v>2.875932347373316E-2</v>
      </c>
      <c r="K28" s="14">
        <f>'Data Sheet'!J59/'Data Sheet'!J$61</f>
        <v>4.1816355524989371E-2</v>
      </c>
      <c r="L28" s="14">
        <f>'Data Sheet'!K59/'Data Sheet'!K$61</f>
        <v>3.5514887994821186E-2</v>
      </c>
    </row>
    <row r="29" spans="2:12" x14ac:dyDescent="0.25">
      <c r="B29" s="105" t="str">
        <f>'Data Sheet'!A60</f>
        <v>Other Liabilities</v>
      </c>
      <c r="C29" s="14">
        <f>'Data Sheet'!B60/'Data Sheet'!B$61</f>
        <v>0.11686996929715375</v>
      </c>
      <c r="D29" s="14">
        <f>'Data Sheet'!C60/'Data Sheet'!C$61</f>
        <v>0.10674321919815187</v>
      </c>
      <c r="E29" s="14">
        <f>'Data Sheet'!D60/'Data Sheet'!D$61</f>
        <v>0.12534982395955582</v>
      </c>
      <c r="F29" s="14">
        <f>'Data Sheet'!E60/'Data Sheet'!E$61</f>
        <v>8.2515362725285604E-2</v>
      </c>
      <c r="G29" s="14">
        <f>'Data Sheet'!F60/'Data Sheet'!F$61</f>
        <v>9.5591177397480964E-2</v>
      </c>
      <c r="H29" s="14">
        <f>'Data Sheet'!G60/'Data Sheet'!G$61</f>
        <v>0.10247662550852901</v>
      </c>
      <c r="I29" s="14">
        <f>'Data Sheet'!H60/'Data Sheet'!H$61</f>
        <v>5.4920603900577666E-2</v>
      </c>
      <c r="J29" s="14">
        <f>'Data Sheet'!I60/'Data Sheet'!I$61</f>
        <v>7.8991288937059922E-2</v>
      </c>
      <c r="K29" s="14">
        <f>'Data Sheet'!J60/'Data Sheet'!J$61</f>
        <v>7.4100024691389946E-2</v>
      </c>
      <c r="L29" s="14">
        <f>'Data Sheet'!K60/'Data Sheet'!K$61</f>
        <v>7.6380925868236207E-2</v>
      </c>
    </row>
    <row r="31" spans="2:12" x14ac:dyDescent="0.25">
      <c r="B31" s="108" t="s">
        <v>46</v>
      </c>
      <c r="C31" s="109">
        <f>'Data Sheet'!B66/'Data Sheet'!B$66</f>
        <v>1</v>
      </c>
      <c r="D31" s="109">
        <f>'Data Sheet'!C66/'Data Sheet'!C$66</f>
        <v>1</v>
      </c>
      <c r="E31" s="109">
        <f>'Data Sheet'!D66/'Data Sheet'!D$66</f>
        <v>1</v>
      </c>
      <c r="F31" s="109">
        <f>'Data Sheet'!E66/'Data Sheet'!E$66</f>
        <v>1</v>
      </c>
      <c r="G31" s="109">
        <f>'Data Sheet'!F66/'Data Sheet'!F$66</f>
        <v>1</v>
      </c>
      <c r="H31" s="109">
        <f>'Data Sheet'!G66/'Data Sheet'!G$66</f>
        <v>1</v>
      </c>
      <c r="I31" s="109">
        <f>'Data Sheet'!H66/'Data Sheet'!H$66</f>
        <v>1</v>
      </c>
      <c r="J31" s="109">
        <f>'Data Sheet'!I66/'Data Sheet'!I$66</f>
        <v>1</v>
      </c>
      <c r="K31" s="109">
        <f>'Data Sheet'!J66/'Data Sheet'!J$66</f>
        <v>1</v>
      </c>
      <c r="L31" s="109">
        <f>'Data Sheet'!K66/'Data Sheet'!K$66</f>
        <v>1</v>
      </c>
    </row>
    <row r="32" spans="2:12" x14ac:dyDescent="0.25">
      <c r="B32" s="105" t="str">
        <f>'Data Sheet'!A62</f>
        <v>Net Block</v>
      </c>
      <c r="C32" s="14">
        <f>'Data Sheet'!B62/'Data Sheet'!B$66</f>
        <v>0.64818410643653357</v>
      </c>
      <c r="D32" s="14">
        <f>'Data Sheet'!C62/'Data Sheet'!C$66</f>
        <v>0.64891859640480543</v>
      </c>
      <c r="E32" s="14">
        <f>'Data Sheet'!D62/'Data Sheet'!D$66</f>
        <v>0.67498936019293521</v>
      </c>
      <c r="F32" s="14">
        <f>'Data Sheet'!E62/'Data Sheet'!E$66</f>
        <v>0.44296717119643669</v>
      </c>
      <c r="G32" s="14">
        <f>'Data Sheet'!F62/'Data Sheet'!F$66</f>
        <v>0.60195424399191244</v>
      </c>
      <c r="H32" s="14">
        <f>'Data Sheet'!G62/'Data Sheet'!G$66</f>
        <v>0.62813075440725141</v>
      </c>
      <c r="I32" s="14">
        <f>'Data Sheet'!H62/'Data Sheet'!H$66</f>
        <v>0.49254315941491333</v>
      </c>
      <c r="J32" s="14">
        <f>'Data Sheet'!I62/'Data Sheet'!I$66</f>
        <v>0.513275308402386</v>
      </c>
      <c r="K32" s="14">
        <f>'Data Sheet'!J62/'Data Sheet'!J$66</f>
        <v>0.59854126887889458</v>
      </c>
      <c r="L32" s="14">
        <f>'Data Sheet'!K62/'Data Sheet'!K$66</f>
        <v>0.62638943203133801</v>
      </c>
    </row>
    <row r="33" spans="2:12" x14ac:dyDescent="0.25">
      <c r="B33" s="105" t="str">
        <f>'Data Sheet'!A63</f>
        <v>Capital Work in Progress</v>
      </c>
      <c r="C33" s="14">
        <f>'Data Sheet'!B63/'Data Sheet'!B$66</f>
        <v>4.9113489890188919E-2</v>
      </c>
      <c r="D33" s="14">
        <f>'Data Sheet'!C63/'Data Sheet'!C$66</f>
        <v>4.166790526624229E-2</v>
      </c>
      <c r="E33" s="14">
        <f>'Data Sheet'!D63/'Data Sheet'!D$66</f>
        <v>2.6338358761397489E-2</v>
      </c>
      <c r="F33" s="14">
        <f>'Data Sheet'!E63/'Data Sheet'!E$66</f>
        <v>2.6273009719415458E-2</v>
      </c>
      <c r="G33" s="14">
        <f>'Data Sheet'!F63/'Data Sheet'!F$66</f>
        <v>2.6038291709600543E-2</v>
      </c>
      <c r="H33" s="14">
        <f>'Data Sheet'!G63/'Data Sheet'!G$66</f>
        <v>5.3792020555277993E-2</v>
      </c>
      <c r="I33" s="14">
        <f>'Data Sheet'!H63/'Data Sheet'!H$66</f>
        <v>3.0175155016164076E-2</v>
      </c>
      <c r="J33" s="14">
        <f>'Data Sheet'!I63/'Data Sheet'!I$66</f>
        <v>7.466761381320465E-2</v>
      </c>
      <c r="K33" s="14">
        <f>'Data Sheet'!J63/'Data Sheet'!J$66</f>
        <v>7.299731497293642E-2</v>
      </c>
      <c r="L33" s="14">
        <f>'Data Sheet'!K63/'Data Sheet'!K$66</f>
        <v>4.5798507775958709E-2</v>
      </c>
    </row>
    <row r="34" spans="2:12" x14ac:dyDescent="0.25">
      <c r="B34" s="105" t="str">
        <f>'Data Sheet'!A64</f>
        <v>Investments</v>
      </c>
      <c r="C34" s="14">
        <f>'Data Sheet'!B64/'Data Sheet'!B$66</f>
        <v>8.5967969463115086E-3</v>
      </c>
      <c r="D34" s="14">
        <f>'Data Sheet'!C64/'Data Sheet'!C$66</f>
        <v>6.4676130982966786E-3</v>
      </c>
      <c r="E34" s="14">
        <f>'Data Sheet'!D64/'Data Sheet'!D$66</f>
        <v>9.4565315518642234E-3</v>
      </c>
      <c r="F34" s="14">
        <f>'Data Sheet'!E64/'Data Sheet'!E$66</f>
        <v>4.4146354875517248E-3</v>
      </c>
      <c r="G34" s="14">
        <f>'Data Sheet'!F64/'Data Sheet'!F$66</f>
        <v>1.2071059555045661E-2</v>
      </c>
      <c r="H34" s="14">
        <f>'Data Sheet'!G64/'Data Sheet'!G$66</f>
        <v>2.3595746199414746E-3</v>
      </c>
      <c r="I34" s="14">
        <f>'Data Sheet'!H64/'Data Sheet'!H$66</f>
        <v>1.2156182097620436E-3</v>
      </c>
      <c r="J34" s="14">
        <f>'Data Sheet'!I64/'Data Sheet'!I$66</f>
        <v>2.1603729023328367E-4</v>
      </c>
      <c r="K34" s="14">
        <f>'Data Sheet'!J64/'Data Sheet'!J$66</f>
        <v>3.8394464991875114E-4</v>
      </c>
      <c r="L34" s="14">
        <f>'Data Sheet'!K64/'Data Sheet'!K$66</f>
        <v>1.1168481683027221E-2</v>
      </c>
    </row>
    <row r="35" spans="2:12" x14ac:dyDescent="0.25">
      <c r="B35" s="105" t="str">
        <f>'Data Sheet'!A65</f>
        <v>Other Assets</v>
      </c>
      <c r="C35" s="14">
        <f>'Data Sheet'!B74/'Data Sheet'!B$66</f>
        <v>4.8881144026775097E-2</v>
      </c>
      <c r="D35" s="14">
        <f>'Data Sheet'!C74/'Data Sheet'!C$66</f>
        <v>5.4637104479766933E-2</v>
      </c>
      <c r="E35" s="14">
        <f>'Data Sheet'!D74/'Data Sheet'!D$66</f>
        <v>5.8618888559305624E-2</v>
      </c>
      <c r="F35" s="14">
        <f>'Data Sheet'!E74/'Data Sheet'!E$66</f>
        <v>3.6045696374809214E-2</v>
      </c>
      <c r="G35" s="14">
        <f>'Data Sheet'!F74/'Data Sheet'!F$66</f>
        <v>4.8838395105006517E-2</v>
      </c>
      <c r="H35" s="14">
        <f>'Data Sheet'!G74/'Data Sheet'!G$66</f>
        <v>4.5631289700949297E-2</v>
      </c>
      <c r="I35" s="14">
        <f>'Data Sheet'!H74/'Data Sheet'!H$66</f>
        <v>0.30425400127192753</v>
      </c>
      <c r="J35" s="14">
        <f>'Data Sheet'!I74/'Data Sheet'!I$66</f>
        <v>0.13813717269435119</v>
      </c>
      <c r="K35" s="14">
        <f>'Data Sheet'!J74/'Data Sheet'!J$66</f>
        <v>0.12717681749960252</v>
      </c>
      <c r="L35" s="14">
        <f>'Data Sheet'!K74/'Data Sheet'!K$66</f>
        <v>5.626826891848008E-2</v>
      </c>
    </row>
    <row r="36" spans="2:12" x14ac:dyDescent="0.25">
      <c r="B36" s="105" t="str">
        <f>'Data Sheet'!A67</f>
        <v>Receivables</v>
      </c>
      <c r="C36" s="14">
        <f>'Data Sheet'!B67/'Data Sheet'!B$66</f>
        <v>5.2775703261140148E-3</v>
      </c>
      <c r="D36" s="14">
        <f>'Data Sheet'!C67/'Data Sheet'!C$66</f>
        <v>3.0023653713038422E-3</v>
      </c>
      <c r="E36" s="14">
        <f>'Data Sheet'!D67/'Data Sheet'!D$66</f>
        <v>2.7147628935116522E-3</v>
      </c>
      <c r="F36" s="14">
        <f>'Data Sheet'!E67/'Data Sheet'!E$66</f>
        <v>3.6086938590341074E-3</v>
      </c>
      <c r="G36" s="14">
        <f>'Data Sheet'!F67/'Data Sheet'!F$66</f>
        <v>5.9346130285293421E-3</v>
      </c>
      <c r="H36" s="14">
        <f>'Data Sheet'!G67/'Data Sheet'!G$66</f>
        <v>9.1884947541217617E-3</v>
      </c>
      <c r="I36" s="14">
        <f>'Data Sheet'!H67/'Data Sheet'!H$66</f>
        <v>1.6188920981504056E-3</v>
      </c>
      <c r="J36" s="14">
        <f>'Data Sheet'!I67/'Data Sheet'!I$66</f>
        <v>3.1914932570733905E-3</v>
      </c>
      <c r="K36" s="14">
        <f>'Data Sheet'!J67/'Data Sheet'!J$66</f>
        <v>4.3235787261052634E-3</v>
      </c>
      <c r="L36" s="14">
        <f>'Data Sheet'!K67/'Data Sheet'!K$66</f>
        <v>3.4333967429128194E-3</v>
      </c>
    </row>
    <row r="37" spans="2:12" x14ac:dyDescent="0.25">
      <c r="B37" s="105" t="str">
        <f>'Data Sheet'!A68</f>
        <v>Inventory</v>
      </c>
      <c r="C37" s="14">
        <f>'Data Sheet'!B68/'Data Sheet'!B$66</f>
        <v>0.20929383453655295</v>
      </c>
      <c r="D37" s="14">
        <f>'Data Sheet'!C68/'Data Sheet'!C$66</f>
        <v>0.22915224582875052</v>
      </c>
      <c r="E37" s="14">
        <f>'Data Sheet'!D68/'Data Sheet'!D$66</f>
        <v>0.21656521234475556</v>
      </c>
      <c r="F37" s="14">
        <f>'Data Sheet'!E68/'Data Sheet'!E$66</f>
        <v>0.16288956709421096</v>
      </c>
      <c r="G37" s="14">
        <f>'Data Sheet'!F68/'Data Sheet'!F$66</f>
        <v>0.20598524844995414</v>
      </c>
      <c r="H37" s="14">
        <f>'Data Sheet'!G68/'Data Sheet'!G$66</f>
        <v>0.22962672186139463</v>
      </c>
      <c r="I37" s="14">
        <f>'Data Sheet'!H68/'Data Sheet'!H$66</f>
        <v>0.16125987068737083</v>
      </c>
      <c r="J37" s="14">
        <f>'Data Sheet'!I68/'Data Sheet'!I$66</f>
        <v>0.16464824369006339</v>
      </c>
      <c r="K37" s="14">
        <f>'Data Sheet'!J68/'Data Sheet'!J$66</f>
        <v>0.17727771608521245</v>
      </c>
      <c r="L37" s="14">
        <f>'Data Sheet'!K68/'Data Sheet'!K$66</f>
        <v>0.17915305128222123</v>
      </c>
    </row>
    <row r="38" spans="2:12" x14ac:dyDescent="0.25">
      <c r="B38" s="105" t="str">
        <f>'Data Sheet'!A69</f>
        <v>Cash &amp; Bank</v>
      </c>
      <c r="C38" s="14">
        <f>'Data Sheet'!B69/'Data Sheet'!B$66</f>
        <v>3.0653057837523853E-2</v>
      </c>
      <c r="D38" s="14">
        <f>'Data Sheet'!C69/'Data Sheet'!C$66</f>
        <v>1.6154169550834249E-2</v>
      </c>
      <c r="E38" s="14">
        <f>'Data Sheet'!D69/'Data Sheet'!D$66</f>
        <v>1.1316885696230284E-2</v>
      </c>
      <c r="F38" s="14">
        <f>'Data Sheet'!E69/'Data Sheet'!E$66</f>
        <v>0.3238012262685418</v>
      </c>
      <c r="G38" s="14">
        <f>'Data Sheet'!F69/'Data Sheet'!F$66</f>
        <v>9.9178148159951268E-2</v>
      </c>
      <c r="H38" s="14">
        <f>'Data Sheet'!G69/'Data Sheet'!G$66</f>
        <v>3.127114410106345E-2</v>
      </c>
      <c r="I38" s="14">
        <f>'Data Sheet'!H69/'Data Sheet'!H$66</f>
        <v>8.9333033017118015E-3</v>
      </c>
      <c r="J38" s="14">
        <f>'Data Sheet'!I69/'Data Sheet'!I$66</f>
        <v>0.1058641308526882</v>
      </c>
      <c r="K38" s="14">
        <f>'Data Sheet'!J69/'Data Sheet'!J$66</f>
        <v>1.9299359187330084E-2</v>
      </c>
      <c r="L38" s="14">
        <f>'Data Sheet'!K69/'Data Sheet'!K$66</f>
        <v>7.7788861566061948E-2</v>
      </c>
    </row>
    <row r="39" spans="2:12" x14ac:dyDescent="0.25">
      <c r="B39" s="105"/>
    </row>
  </sheetData>
  <mergeCells count="2">
    <mergeCell ref="B2:L2"/>
    <mergeCell ref="B21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DD3B-8424-4E6C-8975-D52B5E340906}">
  <dimension ref="B2:M50"/>
  <sheetViews>
    <sheetView showGridLines="0" workbookViewId="0">
      <pane ySplit="4" topLeftCell="A5" activePane="bottomLeft" state="frozen"/>
      <selection pane="bottomLeft" activeCell="M5" sqref="M5"/>
    </sheetView>
  </sheetViews>
  <sheetFormatPr defaultRowHeight="15" x14ac:dyDescent="0.25"/>
  <cols>
    <col min="1" max="1" width="1.85546875" customWidth="1"/>
    <col min="2" max="2" width="19.7109375" bestFit="1" customWidth="1"/>
    <col min="3" max="3" width="11.5703125" bestFit="1" customWidth="1"/>
    <col min="4" max="11" width="11.28515625" bestFit="1" customWidth="1"/>
    <col min="13" max="13" width="9.7109375" bestFit="1" customWidth="1"/>
  </cols>
  <sheetData>
    <row r="2" spans="2:13" x14ac:dyDescent="0.25">
      <c r="B2" s="218" t="str">
        <f>'Data Sheet'!B1&amp; " - "&amp;'Data Sheet'!A15&amp; " FORECASTING"</f>
        <v>AVENUE SUPERMARTS LTD - PROFIT &amp; LOSS FORECASTING</v>
      </c>
      <c r="C2" s="218"/>
      <c r="D2" s="218"/>
      <c r="E2" s="218"/>
      <c r="F2" s="218"/>
      <c r="G2" s="218"/>
      <c r="H2" s="218"/>
      <c r="I2" s="218"/>
      <c r="J2" s="218"/>
      <c r="K2" s="218"/>
    </row>
    <row r="3" spans="2:13" x14ac:dyDescent="0.25">
      <c r="B3" s="8" t="s">
        <v>112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2:13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2:13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2:13" x14ac:dyDescent="0.25">
      <c r="B6" s="171" t="s">
        <v>4</v>
      </c>
      <c r="C6" s="53">
        <f>'Historical FS'!I6</f>
        <v>24870.2</v>
      </c>
      <c r="D6" s="53">
        <f>'Historical FS'!J6</f>
        <v>24143.06</v>
      </c>
      <c r="E6" s="53">
        <f>'Historical FS'!K6</f>
        <v>30976.27</v>
      </c>
      <c r="F6" s="53">
        <f>'Historical FS'!L6</f>
        <v>42839.56</v>
      </c>
      <c r="G6" s="54">
        <f t="shared" ref="G6:K6" si="1">FORECAST(G3,$C$6:$F$6,$C$3:$F$3)</f>
        <v>45892.595000000001</v>
      </c>
      <c r="H6" s="54">
        <f t="shared" si="1"/>
        <v>51966.723999999987</v>
      </c>
      <c r="I6" s="54">
        <f t="shared" si="1"/>
        <v>58040.852999999988</v>
      </c>
      <c r="J6" s="54">
        <f t="shared" si="1"/>
        <v>64114.981999999989</v>
      </c>
      <c r="K6" s="54">
        <f t="shared" si="1"/>
        <v>70189.11099999999</v>
      </c>
    </row>
    <row r="7" spans="2:13" x14ac:dyDescent="0.25">
      <c r="B7" s="39" t="s">
        <v>5</v>
      </c>
      <c r="C7" s="46">
        <f>'Historical FS'!I7</f>
        <v>0.24322903023916598</v>
      </c>
      <c r="D7" s="46">
        <f>'Historical FS'!J7</f>
        <v>-2.9237400583831175E-2</v>
      </c>
      <c r="E7" s="46">
        <f>'Historical FS'!K7</f>
        <v>0.28302998874210639</v>
      </c>
      <c r="F7" s="46">
        <f>'Historical FS'!L7</f>
        <v>0.38297993915987938</v>
      </c>
      <c r="G7" s="42">
        <f t="shared" ref="G7:K7" si="2">G6/F6-1</f>
        <v>7.1266721693686863E-2</v>
      </c>
      <c r="H7" s="42">
        <f t="shared" si="2"/>
        <v>0.13235531788951982</v>
      </c>
      <c r="I7" s="42">
        <f t="shared" si="2"/>
        <v>0.11688497046687041</v>
      </c>
      <c r="J7" s="42">
        <f t="shared" si="2"/>
        <v>0.10465264871279545</v>
      </c>
      <c r="K7" s="42">
        <f t="shared" si="2"/>
        <v>9.4738059818842313E-2</v>
      </c>
    </row>
    <row r="8" spans="2:13" x14ac:dyDescent="0.25">
      <c r="G8" s="36"/>
      <c r="H8" s="36"/>
      <c r="I8" s="36"/>
      <c r="J8" s="36"/>
      <c r="K8" s="36"/>
    </row>
    <row r="9" spans="2:13" x14ac:dyDescent="0.25">
      <c r="B9" s="166" t="s">
        <v>7</v>
      </c>
      <c r="C9" s="38">
        <f>'Historical FS'!I9</f>
        <v>22394.27</v>
      </c>
      <c r="D9" s="38">
        <f>'Historical FS'!J9</f>
        <v>22012.890000000003</v>
      </c>
      <c r="E9" s="38">
        <f>'Historical FS'!K9</f>
        <v>28028.46</v>
      </c>
      <c r="F9" s="38">
        <f>'Historical FS'!L9</f>
        <v>38563.29</v>
      </c>
      <c r="G9" s="41">
        <f t="shared" ref="G9:K9" si="3">FORECAST(G3,$C$9:$F$9,$C$3:$F$3)</f>
        <v>41380.385000000002</v>
      </c>
      <c r="H9" s="41">
        <f t="shared" si="3"/>
        <v>46832.648000000001</v>
      </c>
      <c r="I9" s="41">
        <f t="shared" si="3"/>
        <v>52284.911</v>
      </c>
      <c r="J9" s="41">
        <f t="shared" si="3"/>
        <v>57737.173999999999</v>
      </c>
      <c r="K9" s="41">
        <f t="shared" si="3"/>
        <v>63189.436999999998</v>
      </c>
    </row>
    <row r="10" spans="2:13" x14ac:dyDescent="0.25">
      <c r="B10" s="39" t="s">
        <v>8</v>
      </c>
      <c r="C10" s="40">
        <f>C9/C6</f>
        <v>0.90044591519167516</v>
      </c>
      <c r="D10" s="40">
        <f t="shared" ref="D10:K10" si="4">D9/D6</f>
        <v>0.91176884785938495</v>
      </c>
      <c r="E10" s="40">
        <f t="shared" si="4"/>
        <v>0.90483650872103061</v>
      </c>
      <c r="F10" s="40">
        <f t="shared" si="4"/>
        <v>0.90017941360742271</v>
      </c>
      <c r="G10" s="42">
        <f t="shared" si="4"/>
        <v>0.90167890920092886</v>
      </c>
      <c r="H10" s="42">
        <f t="shared" si="4"/>
        <v>0.90120454774097392</v>
      </c>
      <c r="I10" s="42">
        <f t="shared" si="4"/>
        <v>0.90082947264748181</v>
      </c>
      <c r="J10" s="42">
        <f t="shared" si="4"/>
        <v>0.90052546532727729</v>
      </c>
      <c r="K10" s="42">
        <f t="shared" si="4"/>
        <v>0.90027407527643433</v>
      </c>
    </row>
    <row r="11" spans="2:13" x14ac:dyDescent="0.25">
      <c r="G11" s="36"/>
      <c r="H11" s="36"/>
      <c r="I11" s="36"/>
      <c r="J11" s="36"/>
      <c r="K11" s="36"/>
    </row>
    <row r="12" spans="2:13" x14ac:dyDescent="0.25">
      <c r="B12" s="175" t="s">
        <v>9</v>
      </c>
      <c r="C12" s="55">
        <f>C6-C9</f>
        <v>2475.9300000000003</v>
      </c>
      <c r="D12" s="55">
        <f t="shared" ref="D12:K12" si="5">D6-D9</f>
        <v>2130.1699999999983</v>
      </c>
      <c r="E12" s="55">
        <f t="shared" si="5"/>
        <v>2947.8100000000013</v>
      </c>
      <c r="F12" s="55">
        <f t="shared" si="5"/>
        <v>4276.2699999999968</v>
      </c>
      <c r="G12" s="56">
        <f t="shared" si="5"/>
        <v>4512.2099999999991</v>
      </c>
      <c r="H12" s="56">
        <f t="shared" si="5"/>
        <v>5134.0759999999864</v>
      </c>
      <c r="I12" s="56">
        <f t="shared" si="5"/>
        <v>5755.9419999999882</v>
      </c>
      <c r="J12" s="56">
        <f t="shared" si="5"/>
        <v>6377.80799999999</v>
      </c>
      <c r="K12" s="56">
        <f t="shared" si="5"/>
        <v>6999.6739999999918</v>
      </c>
    </row>
    <row r="13" spans="2:13" x14ac:dyDescent="0.25">
      <c r="B13" s="39" t="s">
        <v>87</v>
      </c>
      <c r="C13" s="40">
        <f t="shared" ref="C13" si="6">C12/C6</f>
        <v>9.9554084808324825E-2</v>
      </c>
      <c r="D13" s="40">
        <f>D12/D6</f>
        <v>8.8231152140615068E-2</v>
      </c>
      <c r="E13" s="40">
        <f t="shared" ref="E13:K13" si="7">E12/E6</f>
        <v>9.5163491278969392E-2</v>
      </c>
      <c r="F13" s="40">
        <f t="shared" si="7"/>
        <v>9.9820586392577265E-2</v>
      </c>
      <c r="G13" s="42">
        <f t="shared" si="7"/>
        <v>9.8321090799071156E-2</v>
      </c>
      <c r="H13" s="42">
        <f t="shared" si="7"/>
        <v>9.879545225902614E-2</v>
      </c>
      <c r="I13" s="42">
        <f t="shared" si="7"/>
        <v>9.9170527352518217E-2</v>
      </c>
      <c r="J13" s="42">
        <f t="shared" si="7"/>
        <v>9.9474534672722686E-2</v>
      </c>
      <c r="K13" s="42">
        <f t="shared" si="7"/>
        <v>9.9725924723565632E-2</v>
      </c>
    </row>
    <row r="14" spans="2:13" x14ac:dyDescent="0.25">
      <c r="G14" s="36"/>
      <c r="H14" s="36"/>
      <c r="I14" s="36"/>
      <c r="J14" s="36"/>
      <c r="K14" s="36"/>
    </row>
    <row r="15" spans="2:13" x14ac:dyDescent="0.25">
      <c r="B15" s="166" t="s">
        <v>113</v>
      </c>
      <c r="C15" s="38">
        <f>'Historical FS'!I15</f>
        <v>347.62</v>
      </c>
      <c r="D15" s="38">
        <f>'Historical FS'!J15</f>
        <v>385.34</v>
      </c>
      <c r="E15" s="38">
        <f>'Historical FS'!K15</f>
        <v>445.46000000000004</v>
      </c>
      <c r="F15" s="38">
        <f>'Historical FS'!L15</f>
        <v>637.5</v>
      </c>
      <c r="G15" s="41">
        <f t="shared" ref="G15:K15" si="8">FORECAST(G3,$C$15:$F$15,$C$3:$F$3)</f>
        <v>686.42000000000007</v>
      </c>
      <c r="H15" s="41">
        <f t="shared" si="8"/>
        <v>779.39599999999996</v>
      </c>
      <c r="I15" s="41">
        <f t="shared" si="8"/>
        <v>872.37200000000007</v>
      </c>
      <c r="J15" s="41">
        <f t="shared" si="8"/>
        <v>965.34799999999996</v>
      </c>
      <c r="K15" s="41">
        <f t="shared" si="8"/>
        <v>1058.3240000000001</v>
      </c>
      <c r="M15" s="38"/>
    </row>
    <row r="16" spans="2:13" x14ac:dyDescent="0.25">
      <c r="B16" s="39" t="s">
        <v>12</v>
      </c>
      <c r="C16" s="40">
        <f>C15/C6</f>
        <v>1.3977370507675852E-2</v>
      </c>
      <c r="D16" s="40">
        <f t="shared" ref="D16:K16" si="9">D15/D6</f>
        <v>1.5960694294757993E-2</v>
      </c>
      <c r="E16" s="40">
        <f t="shared" si="9"/>
        <v>1.438068560223681E-2</v>
      </c>
      <c r="F16" s="40">
        <f t="shared" si="9"/>
        <v>1.4881105221435514E-2</v>
      </c>
      <c r="G16" s="42">
        <f t="shared" si="9"/>
        <v>1.4957097109021621E-2</v>
      </c>
      <c r="H16" s="42">
        <f t="shared" si="9"/>
        <v>1.4997982170282663E-2</v>
      </c>
      <c r="I16" s="42">
        <f t="shared" si="9"/>
        <v>1.50303097716362E-2</v>
      </c>
      <c r="J16" s="42">
        <f t="shared" si="9"/>
        <v>1.5056512064528071E-2</v>
      </c>
      <c r="K16" s="42">
        <f t="shared" si="9"/>
        <v>1.507817929194174E-2</v>
      </c>
    </row>
    <row r="17" spans="2:11" x14ac:dyDescent="0.25">
      <c r="G17" s="36"/>
      <c r="H17" s="36"/>
      <c r="I17" s="36"/>
      <c r="J17" s="36"/>
      <c r="K17" s="36"/>
    </row>
    <row r="18" spans="2:11" x14ac:dyDescent="0.25">
      <c r="B18" s="175" t="s">
        <v>13</v>
      </c>
      <c r="C18" s="55">
        <f>C12-C15</f>
        <v>2128.3100000000004</v>
      </c>
      <c r="D18" s="55">
        <f t="shared" ref="D18:K18" si="10">D12-D15</f>
        <v>1744.8299999999983</v>
      </c>
      <c r="E18" s="55">
        <f t="shared" si="10"/>
        <v>2502.3500000000013</v>
      </c>
      <c r="F18" s="55">
        <f t="shared" si="10"/>
        <v>3638.7699999999968</v>
      </c>
      <c r="G18" s="56">
        <f t="shared" si="10"/>
        <v>3825.7899999999991</v>
      </c>
      <c r="H18" s="56">
        <f t="shared" si="10"/>
        <v>4354.6799999999866</v>
      </c>
      <c r="I18" s="56">
        <f t="shared" si="10"/>
        <v>4883.5699999999879</v>
      </c>
      <c r="J18" s="56">
        <f t="shared" si="10"/>
        <v>5412.45999999999</v>
      </c>
      <c r="K18" s="56">
        <f t="shared" si="10"/>
        <v>5941.3499999999913</v>
      </c>
    </row>
    <row r="19" spans="2:11" x14ac:dyDescent="0.25">
      <c r="B19" s="39" t="s">
        <v>14</v>
      </c>
      <c r="C19" s="40">
        <f>C18/C6</f>
        <v>8.5576714300648976E-2</v>
      </c>
      <c r="D19" s="40">
        <f t="shared" ref="D19:K19" si="11">D18/D6</f>
        <v>7.2270457845857075E-2</v>
      </c>
      <c r="E19" s="40">
        <f t="shared" si="11"/>
        <v>8.0782805676732586E-2</v>
      </c>
      <c r="F19" s="40">
        <f t="shared" si="11"/>
        <v>8.4939481171141737E-2</v>
      </c>
      <c r="G19" s="42">
        <f t="shared" si="11"/>
        <v>8.3363993690049543E-2</v>
      </c>
      <c r="H19" s="42">
        <f t="shared" si="11"/>
        <v>8.379747008874347E-2</v>
      </c>
      <c r="I19" s="42">
        <f t="shared" si="11"/>
        <v>8.4140217580882012E-2</v>
      </c>
      <c r="J19" s="42">
        <f t="shared" si="11"/>
        <v>8.4418022608194615E-2</v>
      </c>
      <c r="K19" s="42">
        <f t="shared" si="11"/>
        <v>8.4647745431623886E-2</v>
      </c>
    </row>
    <row r="20" spans="2:11" x14ac:dyDescent="0.25">
      <c r="G20" s="36"/>
      <c r="H20" s="36"/>
      <c r="I20" s="36"/>
      <c r="J20" s="36"/>
      <c r="K20" s="36"/>
    </row>
    <row r="21" spans="2:11" x14ac:dyDescent="0.25">
      <c r="B21" s="166" t="s">
        <v>17</v>
      </c>
      <c r="C21" s="38">
        <f>'Historical FS'!I21</f>
        <v>374.41</v>
      </c>
      <c r="D21" s="38">
        <f>'Historical FS'!J21</f>
        <v>414.16</v>
      </c>
      <c r="E21" s="38">
        <f>'Historical FS'!K21</f>
        <v>498.08</v>
      </c>
      <c r="F21" s="38">
        <f>'Historical FS'!L21</f>
        <v>638.87</v>
      </c>
      <c r="G21" s="41">
        <f t="shared" ref="G21:K21" si="12">FORECAST(G3,$C$21:$F$21,$C$3:$F$3)</f>
        <v>700.70499999999993</v>
      </c>
      <c r="H21" s="41">
        <f t="shared" si="12"/>
        <v>788.43499999999995</v>
      </c>
      <c r="I21" s="41">
        <f t="shared" si="12"/>
        <v>876.16499999999996</v>
      </c>
      <c r="J21" s="41">
        <f t="shared" si="12"/>
        <v>963.89499999999998</v>
      </c>
      <c r="K21" s="41">
        <f t="shared" si="12"/>
        <v>1051.625</v>
      </c>
    </row>
    <row r="22" spans="2:11" x14ac:dyDescent="0.25">
      <c r="B22" s="39" t="s">
        <v>18</v>
      </c>
      <c r="C22" s="40">
        <f t="shared" ref="C22:K22" si="13">C21/C6</f>
        <v>1.5054563292615258E-2</v>
      </c>
      <c r="D22" s="40">
        <f t="shared" si="13"/>
        <v>1.7154412075354161E-2</v>
      </c>
      <c r="E22" s="40">
        <f t="shared" si="13"/>
        <v>1.6079405299605148E-2</v>
      </c>
      <c r="F22" s="40">
        <f t="shared" si="13"/>
        <v>1.4913085008342757E-2</v>
      </c>
      <c r="G22" s="42">
        <f t="shared" si="13"/>
        <v>1.5268367369506996E-2</v>
      </c>
      <c r="H22" s="42">
        <f t="shared" si="13"/>
        <v>1.5171920400447026E-2</v>
      </c>
      <c r="I22" s="42">
        <f t="shared" si="13"/>
        <v>1.5095660292931948E-2</v>
      </c>
      <c r="J22" s="42">
        <f t="shared" si="13"/>
        <v>1.5033849654671978E-2</v>
      </c>
      <c r="K22" s="42">
        <f t="shared" si="13"/>
        <v>1.498273713710379E-2</v>
      </c>
    </row>
    <row r="23" spans="2:11" x14ac:dyDescent="0.25">
      <c r="B23" s="39"/>
      <c r="C23" s="40"/>
      <c r="D23" s="40"/>
      <c r="E23" s="40"/>
      <c r="F23" s="40"/>
      <c r="G23" s="42"/>
      <c r="H23" s="42"/>
      <c r="I23" s="42"/>
      <c r="J23" s="42"/>
      <c r="K23" s="42"/>
    </row>
    <row r="24" spans="2:11" x14ac:dyDescent="0.25">
      <c r="B24" s="175" t="s">
        <v>114</v>
      </c>
      <c r="C24" s="55">
        <f>C18-C21</f>
        <v>1753.9000000000003</v>
      </c>
      <c r="D24" s="55">
        <f t="shared" ref="D24:K24" si="14">D18-D21</f>
        <v>1330.6699999999983</v>
      </c>
      <c r="E24" s="55">
        <f t="shared" si="14"/>
        <v>2004.2700000000013</v>
      </c>
      <c r="F24" s="55">
        <f t="shared" si="14"/>
        <v>2999.8999999999969</v>
      </c>
      <c r="G24" s="56">
        <f t="shared" si="14"/>
        <v>3125.0849999999991</v>
      </c>
      <c r="H24" s="56">
        <f t="shared" si="14"/>
        <v>3566.2449999999867</v>
      </c>
      <c r="I24" s="56">
        <f t="shared" si="14"/>
        <v>4007.4049999999879</v>
      </c>
      <c r="J24" s="56">
        <f t="shared" si="14"/>
        <v>4448.5649999999896</v>
      </c>
      <c r="K24" s="56">
        <f t="shared" si="14"/>
        <v>4889.7249999999913</v>
      </c>
    </row>
    <row r="25" spans="2:11" x14ac:dyDescent="0.25">
      <c r="B25" s="39" t="s">
        <v>115</v>
      </c>
      <c r="C25" s="40">
        <f>C24/C6</f>
        <v>7.0522151008033718E-2</v>
      </c>
      <c r="D25" s="40">
        <f t="shared" ref="D25:K25" si="15">D24/D6</f>
        <v>5.5116045770502921E-2</v>
      </c>
      <c r="E25" s="40">
        <f t="shared" si="15"/>
        <v>6.4703400377127435E-2</v>
      </c>
      <c r="F25" s="40">
        <f t="shared" si="15"/>
        <v>7.0026396162798987E-2</v>
      </c>
      <c r="G25" s="42">
        <f t="shared" si="15"/>
        <v>6.8095626320542543E-2</v>
      </c>
      <c r="H25" s="42">
        <f t="shared" si="15"/>
        <v>6.8625549688296442E-2</v>
      </c>
      <c r="I25" s="42">
        <f t="shared" si="15"/>
        <v>6.9044557287950073E-2</v>
      </c>
      <c r="J25" s="42">
        <f t="shared" si="15"/>
        <v>6.938417295352263E-2</v>
      </c>
      <c r="K25" s="42">
        <f t="shared" si="15"/>
        <v>6.9665008294520103E-2</v>
      </c>
    </row>
    <row r="26" spans="2:11" x14ac:dyDescent="0.25">
      <c r="B26" s="39"/>
      <c r="C26" s="40"/>
      <c r="D26" s="40"/>
      <c r="E26" s="40"/>
      <c r="F26" s="40"/>
      <c r="G26" s="42"/>
      <c r="H26" s="42"/>
      <c r="I26" s="42"/>
      <c r="J26" s="42"/>
      <c r="K26" s="42"/>
    </row>
    <row r="27" spans="2:11" x14ac:dyDescent="0.25">
      <c r="B27" s="166" t="s">
        <v>15</v>
      </c>
      <c r="C27" s="38">
        <f>'Historical FS'!I30</f>
        <v>69.12</v>
      </c>
      <c r="D27" s="38">
        <f>'Historical FS'!J30</f>
        <v>41.65</v>
      </c>
      <c r="E27" s="38">
        <f>'Historical FS'!K30</f>
        <v>53.79</v>
      </c>
      <c r="F27" s="38">
        <f>'Historical FS'!L30</f>
        <v>67.41</v>
      </c>
      <c r="G27" s="41">
        <f t="shared" ref="G27:K27" si="16">FORECAST(G3,$C$27:$F$27,$C$3:$F$3)</f>
        <v>59.744999999999997</v>
      </c>
      <c r="H27" s="41">
        <f t="shared" si="16"/>
        <v>60.445999999999998</v>
      </c>
      <c r="I27" s="41">
        <f t="shared" si="16"/>
        <v>61.146999999999991</v>
      </c>
      <c r="J27" s="41">
        <f t="shared" si="16"/>
        <v>61.847999999999992</v>
      </c>
      <c r="K27" s="41">
        <f t="shared" si="16"/>
        <v>62.548999999999985</v>
      </c>
    </row>
    <row r="28" spans="2:11" x14ac:dyDescent="0.25">
      <c r="B28" s="39" t="s">
        <v>16</v>
      </c>
      <c r="C28" s="40">
        <f t="shared" ref="C28:K28" si="17">C27/C6</f>
        <v>2.7792297609186899E-3</v>
      </c>
      <c r="D28" s="40">
        <f t="shared" si="17"/>
        <v>1.7251334337900829E-3</v>
      </c>
      <c r="E28" s="40">
        <f t="shared" si="17"/>
        <v>1.7364905458274996E-3</v>
      </c>
      <c r="F28" s="40">
        <f t="shared" si="17"/>
        <v>1.5735455732972048E-3</v>
      </c>
      <c r="G28" s="42">
        <f t="shared" si="17"/>
        <v>1.301844012089532E-3</v>
      </c>
      <c r="H28" s="42">
        <f t="shared" si="17"/>
        <v>1.1631674145940007E-3</v>
      </c>
      <c r="I28" s="42">
        <f t="shared" si="17"/>
        <v>1.0535165635832404E-3</v>
      </c>
      <c r="J28" s="42">
        <f t="shared" si="17"/>
        <v>9.6464193033696873E-4</v>
      </c>
      <c r="K28" s="42">
        <f t="shared" si="17"/>
        <v>8.9114962575890144E-4</v>
      </c>
    </row>
    <row r="29" spans="2:11" x14ac:dyDescent="0.25">
      <c r="B29" s="39"/>
      <c r="C29" s="40"/>
      <c r="D29" s="40"/>
      <c r="E29" s="40"/>
      <c r="F29" s="40"/>
      <c r="G29" s="42"/>
      <c r="H29" s="42"/>
      <c r="I29" s="42"/>
      <c r="J29" s="42"/>
      <c r="K29" s="42"/>
    </row>
    <row r="30" spans="2:11" x14ac:dyDescent="0.25">
      <c r="B30" s="166" t="s">
        <v>179</v>
      </c>
      <c r="C30" s="38">
        <f>'Historical FS'!I27</f>
        <v>59.99</v>
      </c>
      <c r="D30" s="38">
        <f>'Historical FS'!J27</f>
        <v>194.43</v>
      </c>
      <c r="E30" s="38">
        <f>'Historical FS'!K27</f>
        <v>113.64</v>
      </c>
      <c r="F30" s="38">
        <f>'Historical FS'!L27</f>
        <v>127.6</v>
      </c>
      <c r="G30" s="41">
        <f>FORECAST(G3,$C$30:$F$30,$C$3:$F$3)</f>
        <v>154.42499999999998</v>
      </c>
      <c r="H30" s="41">
        <f t="shared" ref="H30:K30" si="18">FORECAST(H3,$C$30:$F$30,$C$3:$F$3)</f>
        <v>166.62899999999999</v>
      </c>
      <c r="I30" s="41">
        <f t="shared" si="18"/>
        <v>178.83299999999997</v>
      </c>
      <c r="J30" s="41">
        <f t="shared" si="18"/>
        <v>191.03699999999998</v>
      </c>
      <c r="K30" s="41">
        <f t="shared" si="18"/>
        <v>203.24099999999999</v>
      </c>
    </row>
    <row r="31" spans="2:11" x14ac:dyDescent="0.25">
      <c r="B31" s="39" t="s">
        <v>379</v>
      </c>
      <c r="C31" s="40">
        <f>C30/C6</f>
        <v>2.4121237464917854E-3</v>
      </c>
      <c r="D31" s="40">
        <f t="shared" ref="D31:F31" si="19">D30/D6</f>
        <v>8.0532459431405957E-3</v>
      </c>
      <c r="E31" s="40">
        <f t="shared" si="19"/>
        <v>3.6686147170075672E-3</v>
      </c>
      <c r="F31" s="40">
        <f t="shared" si="19"/>
        <v>2.9785553353022299E-3</v>
      </c>
      <c r="G31" s="42">
        <f t="shared" ref="G31" si="20">G30/G6</f>
        <v>3.3649219443790436E-3</v>
      </c>
      <c r="H31" s="42">
        <f t="shared" ref="H31" si="21">H30/H6</f>
        <v>3.2064557311713556E-3</v>
      </c>
      <c r="I31" s="42">
        <f t="shared" ref="I31" si="22">I30/I6</f>
        <v>3.0811573358510082E-3</v>
      </c>
      <c r="J31" s="42">
        <f t="shared" ref="J31" si="23">J30/J6</f>
        <v>2.9795999942727898E-3</v>
      </c>
      <c r="K31" s="42">
        <f t="shared" ref="K31" si="24">K30/K6</f>
        <v>2.8956200912702828E-3</v>
      </c>
    </row>
    <row r="32" spans="2:11" x14ac:dyDescent="0.25">
      <c r="G32" s="36"/>
      <c r="H32" s="36"/>
      <c r="I32" s="36"/>
      <c r="J32" s="36"/>
      <c r="K32" s="36"/>
    </row>
    <row r="33" spans="2:11" x14ac:dyDescent="0.25">
      <c r="B33" s="175" t="s">
        <v>116</v>
      </c>
      <c r="C33" s="55">
        <f>C24-C27+C30</f>
        <v>1744.7700000000002</v>
      </c>
      <c r="D33" s="55">
        <f t="shared" ref="D33:K33" si="25">D24-D27+D30</f>
        <v>1483.4499999999982</v>
      </c>
      <c r="E33" s="55">
        <f t="shared" si="25"/>
        <v>2064.1200000000013</v>
      </c>
      <c r="F33" s="55">
        <f t="shared" si="25"/>
        <v>3060.089999999997</v>
      </c>
      <c r="G33" s="56">
        <f t="shared" si="25"/>
        <v>3219.7649999999994</v>
      </c>
      <c r="H33" s="56">
        <f t="shared" si="25"/>
        <v>3672.4279999999867</v>
      </c>
      <c r="I33" s="56">
        <f t="shared" si="25"/>
        <v>4125.0909999999876</v>
      </c>
      <c r="J33" s="56">
        <f t="shared" si="25"/>
        <v>4577.7539999999899</v>
      </c>
      <c r="K33" s="56">
        <f t="shared" si="25"/>
        <v>5030.4169999999913</v>
      </c>
    </row>
    <row r="34" spans="2:11" x14ac:dyDescent="0.25">
      <c r="B34" s="39" t="s">
        <v>117</v>
      </c>
      <c r="C34" s="40">
        <f>C33/C6</f>
        <v>7.0155044993606808E-2</v>
      </c>
      <c r="D34" s="40">
        <f t="shared" ref="D34:K34" si="26">D33/D6</f>
        <v>6.1444158279853431E-2</v>
      </c>
      <c r="E34" s="40">
        <f t="shared" si="26"/>
        <v>6.6635524548307498E-2</v>
      </c>
      <c r="F34" s="40">
        <f t="shared" si="26"/>
        <v>7.1431405924804015E-2</v>
      </c>
      <c r="G34" s="42">
        <f t="shared" si="26"/>
        <v>7.0158704252832063E-2</v>
      </c>
      <c r="H34" s="42">
        <f t="shared" si="26"/>
        <v>7.0668838004873807E-2</v>
      </c>
      <c r="I34" s="42">
        <f t="shared" si="26"/>
        <v>7.1072198060217834E-2</v>
      </c>
      <c r="J34" s="42">
        <f t="shared" si="26"/>
        <v>7.1399131017458456E-2</v>
      </c>
      <c r="K34" s="42">
        <f t="shared" si="26"/>
        <v>7.1669478760031477E-2</v>
      </c>
    </row>
    <row r="35" spans="2:11" x14ac:dyDescent="0.25">
      <c r="B35" s="39"/>
      <c r="C35" s="40"/>
      <c r="D35" s="40"/>
      <c r="E35" s="40"/>
      <c r="F35" s="40"/>
      <c r="G35" s="42"/>
      <c r="H35" s="42"/>
      <c r="I35" s="42"/>
      <c r="J35" s="42"/>
      <c r="K35" s="42"/>
    </row>
    <row r="36" spans="2:11" x14ac:dyDescent="0.25">
      <c r="B36" s="166" t="s">
        <v>21</v>
      </c>
      <c r="C36" s="38">
        <f>'Historical FS'!I36</f>
        <v>443.79</v>
      </c>
      <c r="D36" s="38">
        <f>'Historical FS'!J36</f>
        <v>384.02</v>
      </c>
      <c r="E36" s="38">
        <f>'Historical FS'!K36</f>
        <v>571.72</v>
      </c>
      <c r="F36" s="38">
        <f>'Historical FS'!L36</f>
        <v>681.75</v>
      </c>
      <c r="G36" s="41">
        <f>FORECAST(G3,$C$36:$F$36,$C$3:$F$3)</f>
        <v>745.71499999999992</v>
      </c>
      <c r="H36" s="41">
        <f t="shared" ref="H36:K36" si="27">FORECAST(H3,$C$36:$F$36,$C$3:$F$3)</f>
        <v>835.87299999999982</v>
      </c>
      <c r="I36" s="41">
        <f t="shared" si="27"/>
        <v>926.03099999999984</v>
      </c>
      <c r="J36" s="41">
        <f t="shared" si="27"/>
        <v>1016.1889999999999</v>
      </c>
      <c r="K36" s="41">
        <f t="shared" si="27"/>
        <v>1106.3469999999998</v>
      </c>
    </row>
    <row r="37" spans="2:11" x14ac:dyDescent="0.25">
      <c r="B37" s="39" t="s">
        <v>22</v>
      </c>
      <c r="C37" s="40">
        <f>C36/C33</f>
        <v>0.25435444213277392</v>
      </c>
      <c r="D37" s="40">
        <f t="shared" ref="D37:K37" si="28">D36/D33</f>
        <v>0.2588695271158451</v>
      </c>
      <c r="E37" s="40">
        <f t="shared" si="28"/>
        <v>0.27698002054144122</v>
      </c>
      <c r="F37" s="40">
        <f t="shared" si="28"/>
        <v>0.22278756507161576</v>
      </c>
      <c r="G37" s="42">
        <f t="shared" si="28"/>
        <v>0.23160541219623174</v>
      </c>
      <c r="H37" s="42">
        <f t="shared" si="28"/>
        <v>0.22760772981798497</v>
      </c>
      <c r="I37" s="42">
        <f t="shared" si="28"/>
        <v>0.22448741130801783</v>
      </c>
      <c r="J37" s="42">
        <f t="shared" si="28"/>
        <v>0.22198418700524364</v>
      </c>
      <c r="K37" s="42">
        <f t="shared" si="28"/>
        <v>0.2199314689020814</v>
      </c>
    </row>
    <row r="38" spans="2:11" x14ac:dyDescent="0.25">
      <c r="B38" s="39"/>
      <c r="C38" s="40"/>
      <c r="D38" s="40"/>
      <c r="E38" s="40"/>
      <c r="F38" s="40"/>
      <c r="G38" s="42"/>
      <c r="H38" s="42"/>
      <c r="I38" s="42"/>
      <c r="J38" s="42"/>
      <c r="K38" s="42"/>
    </row>
    <row r="39" spans="2:11" ht="15.75" thickBot="1" x14ac:dyDescent="0.3">
      <c r="B39" s="176" t="s">
        <v>23</v>
      </c>
      <c r="C39" s="58">
        <f>C33-C36</f>
        <v>1300.9800000000002</v>
      </c>
      <c r="D39" s="58">
        <f t="shared" ref="D39:K39" si="29">D33-D36</f>
        <v>1099.4299999999982</v>
      </c>
      <c r="E39" s="58">
        <f t="shared" si="29"/>
        <v>1492.4000000000012</v>
      </c>
      <c r="F39" s="58">
        <f t="shared" si="29"/>
        <v>2378.339999999997</v>
      </c>
      <c r="G39" s="59">
        <f t="shared" si="29"/>
        <v>2474.0499999999993</v>
      </c>
      <c r="H39" s="59">
        <f t="shared" si="29"/>
        <v>2836.5549999999866</v>
      </c>
      <c r="I39" s="59">
        <f t="shared" si="29"/>
        <v>3199.0599999999877</v>
      </c>
      <c r="J39" s="59">
        <f t="shared" si="29"/>
        <v>3561.5649999999901</v>
      </c>
      <c r="K39" s="59">
        <f t="shared" si="29"/>
        <v>3924.0699999999915</v>
      </c>
    </row>
    <row r="40" spans="2:11" x14ac:dyDescent="0.25">
      <c r="B40" s="39" t="s">
        <v>24</v>
      </c>
      <c r="C40" s="40">
        <f>C39/C6</f>
        <v>5.2310797661458297E-2</v>
      </c>
      <c r="D40" s="40">
        <f t="shared" ref="D40:K40" si="30">D39/D6</f>
        <v>4.5538138081916632E-2</v>
      </c>
      <c r="E40" s="40">
        <f t="shared" si="30"/>
        <v>4.8178815590127579E-2</v>
      </c>
      <c r="F40" s="40">
        <f t="shared" si="30"/>
        <v>5.5517376929174744E-2</v>
      </c>
      <c r="G40" s="42">
        <f t="shared" si="30"/>
        <v>5.3909568635201369E-2</v>
      </c>
      <c r="H40" s="42">
        <f t="shared" si="30"/>
        <v>5.4584064217709533E-2</v>
      </c>
      <c r="I40" s="42">
        <f t="shared" si="30"/>
        <v>5.5117384301708802E-2</v>
      </c>
      <c r="J40" s="42">
        <f t="shared" si="30"/>
        <v>5.5549652965667065E-2</v>
      </c>
      <c r="K40" s="42">
        <f t="shared" si="30"/>
        <v>5.5907105020891232E-2</v>
      </c>
    </row>
    <row r="41" spans="2:11" x14ac:dyDescent="0.25">
      <c r="G41" s="36"/>
      <c r="H41" s="36"/>
      <c r="I41" s="36"/>
      <c r="J41" s="36"/>
      <c r="K41" s="36"/>
    </row>
    <row r="42" spans="2:11" x14ac:dyDescent="0.25">
      <c r="B42" s="166" t="s">
        <v>25</v>
      </c>
      <c r="C42" s="45">
        <f>'Historical FS'!I42</f>
        <v>64.78</v>
      </c>
      <c r="D42" s="45">
        <f>'Historical FS'!J42</f>
        <v>64.78</v>
      </c>
      <c r="E42" s="45">
        <f>'Historical FS'!K42</f>
        <v>64.78</v>
      </c>
      <c r="F42" s="45">
        <f>'Historical FS'!L42</f>
        <v>64.83</v>
      </c>
      <c r="G42" s="47">
        <f>FORECAST(G3,$C$42:$F$42,$C$3:$F$3)</f>
        <v>64.830000000000013</v>
      </c>
      <c r="H42" s="47">
        <f t="shared" ref="H42:K42" si="31">FORECAST(H3,$C$42:$F$42,$C$3:$F$3)</f>
        <v>64.844999999999999</v>
      </c>
      <c r="I42" s="47">
        <f t="shared" si="31"/>
        <v>64.86</v>
      </c>
      <c r="J42" s="47">
        <f t="shared" si="31"/>
        <v>64.875</v>
      </c>
      <c r="K42" s="47">
        <f t="shared" si="31"/>
        <v>64.89</v>
      </c>
    </row>
    <row r="43" spans="2:11" x14ac:dyDescent="0.25">
      <c r="G43" s="36"/>
      <c r="H43" s="36"/>
      <c r="I43" s="36"/>
      <c r="J43" s="36"/>
      <c r="K43" s="36"/>
    </row>
    <row r="44" spans="2:11" x14ac:dyDescent="0.25">
      <c r="B44" s="166" t="s">
        <v>26</v>
      </c>
      <c r="C44" s="38">
        <f>C39/C42</f>
        <v>20.083050324174131</v>
      </c>
      <c r="D44" s="38">
        <f t="shared" ref="D44:K44" si="32">D39/D42</f>
        <v>16.971750540290184</v>
      </c>
      <c r="E44" s="38">
        <f t="shared" si="32"/>
        <v>23.037974683544324</v>
      </c>
      <c r="F44" s="38">
        <f t="shared" si="32"/>
        <v>36.685793614067514</v>
      </c>
      <c r="G44" s="41">
        <f t="shared" si="32"/>
        <v>38.162116304180145</v>
      </c>
      <c r="H44" s="41">
        <f t="shared" si="32"/>
        <v>43.743619400107747</v>
      </c>
      <c r="I44" s="41">
        <f t="shared" si="32"/>
        <v>49.32254085723077</v>
      </c>
      <c r="J44" s="41">
        <f t="shared" si="32"/>
        <v>54.898882466281158</v>
      </c>
      <c r="K44" s="41">
        <f t="shared" si="32"/>
        <v>60.472646016335204</v>
      </c>
    </row>
    <row r="45" spans="2:11" x14ac:dyDescent="0.25">
      <c r="B45" s="39" t="s">
        <v>118</v>
      </c>
      <c r="C45" s="40">
        <f>'Historical FS'!I45</f>
        <v>0.38885177263447224</v>
      </c>
      <c r="D45" s="40">
        <f>D44/C44-1</f>
        <v>-0.15492167443004656</v>
      </c>
      <c r="E45" s="40">
        <f t="shared" ref="E45:K45" si="33">E44/D44-1</f>
        <v>0.35743066861919703</v>
      </c>
      <c r="F45" s="40">
        <f t="shared" si="33"/>
        <v>0.59240532720402816</v>
      </c>
      <c r="G45" s="42">
        <f t="shared" si="33"/>
        <v>4.0242353910711737E-2</v>
      </c>
      <c r="H45" s="42">
        <f t="shared" si="33"/>
        <v>0.146257693138371</v>
      </c>
      <c r="I45" s="42">
        <f t="shared" si="33"/>
        <v>0.1275368049930794</v>
      </c>
      <c r="J45" s="42">
        <f t="shared" si="33"/>
        <v>0.11305868497715243</v>
      </c>
      <c r="K45" s="42">
        <f t="shared" si="33"/>
        <v>0.10152781440455461</v>
      </c>
    </row>
    <row r="46" spans="2:11" x14ac:dyDescent="0.25">
      <c r="G46" s="36"/>
      <c r="H46" s="36"/>
      <c r="I46" s="36"/>
      <c r="J46" s="36"/>
      <c r="K46" s="36"/>
    </row>
    <row r="47" spans="2:11" x14ac:dyDescent="0.25">
      <c r="B47" s="166" t="s">
        <v>28</v>
      </c>
      <c r="C47" s="38">
        <f>'Historical FS'!I47</f>
        <v>0</v>
      </c>
      <c r="D47" s="38">
        <f>'Historical FS'!J47</f>
        <v>0</v>
      </c>
      <c r="E47" s="38">
        <f>'Historical FS'!K47</f>
        <v>0</v>
      </c>
      <c r="F47" s="38">
        <f>'Historical FS'!L47</f>
        <v>0</v>
      </c>
      <c r="G47" s="41">
        <f>FORECAST(G3,$C$47:$F$47,$C$3:$F$3)</f>
        <v>0</v>
      </c>
      <c r="H47" s="41">
        <f t="shared" ref="H47:K47" si="34">FORECAST(H3,$C$47:$F$47,$C$3:$F$3)</f>
        <v>0</v>
      </c>
      <c r="I47" s="41">
        <f t="shared" si="34"/>
        <v>0</v>
      </c>
      <c r="J47" s="41">
        <f t="shared" si="34"/>
        <v>0</v>
      </c>
      <c r="K47" s="41">
        <f t="shared" si="34"/>
        <v>0</v>
      </c>
    </row>
    <row r="48" spans="2:11" x14ac:dyDescent="0.25">
      <c r="B48" s="39" t="s">
        <v>119</v>
      </c>
      <c r="C48" s="40">
        <f>'Historical FS'!I48</f>
        <v>0</v>
      </c>
      <c r="D48" s="40">
        <f>IFERROR(D47/C47-1,0)</f>
        <v>0</v>
      </c>
      <c r="E48" s="40">
        <f t="shared" ref="E48:K48" si="35">IFERROR(E47/D47-1,0)</f>
        <v>0</v>
      </c>
      <c r="F48" s="40">
        <f t="shared" si="35"/>
        <v>0</v>
      </c>
      <c r="G48" s="42">
        <f t="shared" si="35"/>
        <v>0</v>
      </c>
      <c r="H48" s="42">
        <f t="shared" si="35"/>
        <v>0</v>
      </c>
      <c r="I48" s="42">
        <f t="shared" si="35"/>
        <v>0</v>
      </c>
      <c r="J48" s="42">
        <f t="shared" si="35"/>
        <v>0</v>
      </c>
      <c r="K48" s="42">
        <f t="shared" si="35"/>
        <v>0</v>
      </c>
    </row>
    <row r="49" spans="2:11" x14ac:dyDescent="0.25">
      <c r="G49" s="36"/>
      <c r="H49" s="36"/>
      <c r="I49" s="36"/>
      <c r="J49" s="36"/>
      <c r="K49" s="36"/>
    </row>
    <row r="50" spans="2:11" x14ac:dyDescent="0.25">
      <c r="B50" s="166" t="s">
        <v>30</v>
      </c>
      <c r="C50" s="72">
        <f>IFERROR(IF(C44&gt;C47,C44-C47,0),0)</f>
        <v>20.083050324174131</v>
      </c>
      <c r="D50" s="72">
        <f t="shared" ref="D50:K50" si="36">IFERROR(IF(D44&gt;D47,D44-D47,0),0)</f>
        <v>16.971750540290184</v>
      </c>
      <c r="E50" s="72">
        <f t="shared" si="36"/>
        <v>23.037974683544324</v>
      </c>
      <c r="F50" s="72">
        <f t="shared" si="36"/>
        <v>36.685793614067514</v>
      </c>
      <c r="G50" s="214">
        <f t="shared" si="36"/>
        <v>38.162116304180145</v>
      </c>
      <c r="H50" s="214">
        <f t="shared" si="36"/>
        <v>43.743619400107747</v>
      </c>
      <c r="I50" s="214">
        <f t="shared" si="36"/>
        <v>49.32254085723077</v>
      </c>
      <c r="J50" s="214">
        <f t="shared" si="36"/>
        <v>54.898882466281158</v>
      </c>
      <c r="K50" s="214">
        <f t="shared" si="36"/>
        <v>60.472646016335204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499-59F6-4F93-9DE0-F0796AC313D7}">
  <dimension ref="A2:K23"/>
  <sheetViews>
    <sheetView showGridLines="0" workbookViewId="0">
      <pane ySplit="4" topLeftCell="A11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4.42578125" bestFit="1" customWidth="1"/>
    <col min="3" max="11" width="11.28515625" bestFit="1" customWidth="1"/>
  </cols>
  <sheetData>
    <row r="2" spans="1:11" x14ac:dyDescent="0.25">
      <c r="B2" s="218" t="str">
        <f>'Data Sheet'!B1&amp; " - "&amp;'Data Sheet'!A55&amp; " FORECASTING"</f>
        <v>AVENUE SUPERMARTS LTD - BALANCE SHEET FORECASTING</v>
      </c>
      <c r="C2" s="218"/>
      <c r="D2" s="218"/>
      <c r="E2" s="218"/>
      <c r="F2" s="218"/>
      <c r="G2" s="218"/>
      <c r="H2" s="218"/>
      <c r="I2" s="218"/>
      <c r="J2" s="218"/>
      <c r="K2" s="218"/>
    </row>
    <row r="3" spans="1:11" x14ac:dyDescent="0.25">
      <c r="B3" s="8" t="s">
        <v>112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B6" s="168" t="s">
        <v>32</v>
      </c>
      <c r="C6" s="13">
        <f>'Historical FS'!I53</f>
        <v>647.77</v>
      </c>
      <c r="D6" s="13">
        <f>'Historical FS'!J53</f>
        <v>647.77</v>
      </c>
      <c r="E6" s="13">
        <f>'Historical FS'!K53</f>
        <v>647.77</v>
      </c>
      <c r="F6" s="13">
        <f>'Historical FS'!L53</f>
        <v>648.26</v>
      </c>
      <c r="G6" s="48">
        <f>FORECAST(G3,$C$6:$F$6,$C$3:$F$3)</f>
        <v>648.25999999999988</v>
      </c>
      <c r="H6" s="48">
        <f t="shared" ref="H6:K6" si="1">FORECAST(H3,$C$6:$F$6,$C$3:$F$3)</f>
        <v>648.40699999999993</v>
      </c>
      <c r="I6" s="48">
        <f t="shared" si="1"/>
        <v>648.55399999999986</v>
      </c>
      <c r="J6" s="48">
        <f t="shared" si="1"/>
        <v>648.70099999999991</v>
      </c>
      <c r="K6" s="48">
        <f t="shared" si="1"/>
        <v>648.84799999999984</v>
      </c>
    </row>
    <row r="7" spans="1:11" x14ac:dyDescent="0.25">
      <c r="B7" s="168" t="s">
        <v>33</v>
      </c>
      <c r="C7" s="13">
        <f>'Historical FS'!I54</f>
        <v>10431.969999999999</v>
      </c>
      <c r="D7" s="13">
        <f>'Historical FS'!J54</f>
        <v>11535.94</v>
      </c>
      <c r="E7" s="13">
        <f>'Historical FS'!K54</f>
        <v>13029.87</v>
      </c>
      <c r="F7" s="13">
        <f>'Historical FS'!L54</f>
        <v>15430.44</v>
      </c>
      <c r="G7" s="48">
        <f>FORECAST(G3,$C$7:$F$7,$C$3:$F$3)</f>
        <v>16729.39</v>
      </c>
      <c r="H7" s="48">
        <f t="shared" ref="H7:K7" si="2">FORECAST(H3,$C$7:$F$7,$C$3:$F$3)</f>
        <v>18378.324000000001</v>
      </c>
      <c r="I7" s="48">
        <f t="shared" si="2"/>
        <v>20027.258000000002</v>
      </c>
      <c r="J7" s="48">
        <f t="shared" si="2"/>
        <v>21676.192000000003</v>
      </c>
      <c r="K7" s="48">
        <f t="shared" si="2"/>
        <v>23325.126000000004</v>
      </c>
    </row>
    <row r="8" spans="1:11" x14ac:dyDescent="0.25">
      <c r="B8" s="168" t="s">
        <v>34</v>
      </c>
      <c r="C8" s="13">
        <f>'Historical FS'!I55</f>
        <v>333.19</v>
      </c>
      <c r="D8" s="13">
        <f>'Historical FS'!J55</f>
        <v>392.71</v>
      </c>
      <c r="E8" s="13">
        <f>'Historical FS'!K55</f>
        <v>646.94000000000005</v>
      </c>
      <c r="F8" s="13">
        <f>'Historical FS'!L55</f>
        <v>642.98</v>
      </c>
      <c r="G8" s="48">
        <f>FORECAST(G3,$C$8:$F$8,$C$3:$F$3)</f>
        <v>799.85500000000002</v>
      </c>
      <c r="H8" s="48">
        <f t="shared" ref="H8:K8" si="3">FORECAST(H3,$C$8:$F$8,$C$3:$F$3)</f>
        <v>918.21500000000015</v>
      </c>
      <c r="I8" s="48">
        <f t="shared" si="3"/>
        <v>1036.575</v>
      </c>
      <c r="J8" s="48">
        <f t="shared" si="3"/>
        <v>1154.9350000000002</v>
      </c>
      <c r="K8" s="48">
        <f t="shared" si="3"/>
        <v>1273.2950000000003</v>
      </c>
    </row>
    <row r="9" spans="1:11" x14ac:dyDescent="0.25">
      <c r="B9" s="168" t="s">
        <v>35</v>
      </c>
      <c r="C9" s="13">
        <f>'Historical FS'!I56</f>
        <v>663.23</v>
      </c>
      <c r="D9" s="13">
        <f>'Historical FS'!J56</f>
        <v>1078.6300000000001</v>
      </c>
      <c r="E9" s="13">
        <f>'Historical FS'!K56</f>
        <v>1146.4000000000001</v>
      </c>
      <c r="F9" s="13">
        <f>'Historical FS'!L56</f>
        <v>1382.84</v>
      </c>
      <c r="G9" s="48">
        <f>FORECAST(G3,$C$9:$F$9,$C$3:$F$3)</f>
        <v>1624.425</v>
      </c>
      <c r="H9" s="48">
        <f t="shared" ref="H9:K9" si="4">FORECAST(H3,$C$9:$F$9,$C$3:$F$3)</f>
        <v>1847.0849999999998</v>
      </c>
      <c r="I9" s="48">
        <f t="shared" si="4"/>
        <v>2069.7449999999999</v>
      </c>
      <c r="J9" s="48">
        <f t="shared" si="4"/>
        <v>2292.4049999999997</v>
      </c>
      <c r="K9" s="48">
        <f t="shared" si="4"/>
        <v>2515.0649999999996</v>
      </c>
    </row>
    <row r="10" spans="1:11" ht="15.75" thickBot="1" x14ac:dyDescent="0.3">
      <c r="A10" t="s">
        <v>2</v>
      </c>
      <c r="B10" s="179" t="s">
        <v>36</v>
      </c>
      <c r="C10" s="60">
        <f>SUM(C6:C9)</f>
        <v>12076.16</v>
      </c>
      <c r="D10" s="60">
        <f t="shared" ref="D10:K10" si="5">SUM(D6:D9)</f>
        <v>13655.05</v>
      </c>
      <c r="E10" s="60">
        <f t="shared" si="5"/>
        <v>15470.980000000001</v>
      </c>
      <c r="F10" s="60">
        <f t="shared" si="5"/>
        <v>18104.52</v>
      </c>
      <c r="G10" s="61">
        <f t="shared" si="5"/>
        <v>19801.929999999997</v>
      </c>
      <c r="H10" s="61">
        <f t="shared" si="5"/>
        <v>21792.030999999999</v>
      </c>
      <c r="I10" s="61">
        <f t="shared" si="5"/>
        <v>23782.132000000001</v>
      </c>
      <c r="J10" s="61">
        <f t="shared" si="5"/>
        <v>25772.233000000004</v>
      </c>
      <c r="K10" s="61">
        <f t="shared" si="5"/>
        <v>27762.334000000003</v>
      </c>
    </row>
    <row r="11" spans="1:11" x14ac:dyDescent="0.25">
      <c r="B11" s="1"/>
      <c r="G11" s="49"/>
      <c r="H11" s="49"/>
      <c r="I11" s="49"/>
      <c r="J11" s="49"/>
      <c r="K11" s="49"/>
    </row>
    <row r="12" spans="1:11" x14ac:dyDescent="0.25">
      <c r="B12" s="168" t="s">
        <v>37</v>
      </c>
      <c r="C12" s="13">
        <f>'Historical FS'!I59</f>
        <v>5948.03</v>
      </c>
      <c r="D12" s="13">
        <f>'Historical FS'!J59</f>
        <v>7008.8</v>
      </c>
      <c r="E12" s="13">
        <f>'Historical FS'!K59</f>
        <v>9260.02</v>
      </c>
      <c r="F12" s="13">
        <f>'Historical FS'!L59</f>
        <v>11340.48</v>
      </c>
      <c r="G12" s="48">
        <f>FORECAST(G3,$C$12:$F$12,$C$3:$F$3)</f>
        <v>12996.475</v>
      </c>
      <c r="H12" s="48">
        <f t="shared" ref="H12:K12" si="6">FORECAST(H3,$C$12:$F$12,$C$3:$F$3)</f>
        <v>14839.332</v>
      </c>
      <c r="I12" s="48">
        <f t="shared" si="6"/>
        <v>16682.188999999998</v>
      </c>
      <c r="J12" s="48">
        <f t="shared" si="6"/>
        <v>18525.046000000002</v>
      </c>
      <c r="K12" s="48">
        <f t="shared" si="6"/>
        <v>20367.902999999998</v>
      </c>
    </row>
    <row r="13" spans="1:11" x14ac:dyDescent="0.25">
      <c r="B13" s="168" t="s">
        <v>38</v>
      </c>
      <c r="C13" s="13">
        <f>'Historical FS'!I60</f>
        <v>364.4</v>
      </c>
      <c r="D13" s="13">
        <f>'Historical FS'!J60</f>
        <v>1019.59</v>
      </c>
      <c r="E13" s="13">
        <f>'Historical FS'!K60</f>
        <v>1129.3399999999999</v>
      </c>
      <c r="F13" s="13">
        <f>'Historical FS'!L60</f>
        <v>829.16</v>
      </c>
      <c r="G13" s="48">
        <f>FORECAST(G3,$C$13:$F$13,$C$3:$F$3)</f>
        <v>1211.6299999999999</v>
      </c>
      <c r="H13" s="48">
        <f t="shared" ref="H13:K13" si="7">FORECAST(H3,$C$13:$F$13,$C$3:$F$3)</f>
        <v>1362.0329999999999</v>
      </c>
      <c r="I13" s="48">
        <f t="shared" si="7"/>
        <v>1512.4359999999997</v>
      </c>
      <c r="J13" s="48">
        <f t="shared" si="7"/>
        <v>1662.8389999999997</v>
      </c>
      <c r="K13" s="48">
        <f t="shared" si="7"/>
        <v>1813.2419999999997</v>
      </c>
    </row>
    <row r="14" spans="1:11" x14ac:dyDescent="0.25">
      <c r="B14" s="168" t="s">
        <v>39</v>
      </c>
      <c r="C14" s="13">
        <f>'Historical FS'!I61</f>
        <v>14.68</v>
      </c>
      <c r="D14" s="13">
        <f>'Historical FS'!J61</f>
        <v>2.95</v>
      </c>
      <c r="E14" s="13">
        <f>'Historical FS'!K61</f>
        <v>5.94</v>
      </c>
      <c r="F14" s="13">
        <f>'Historical FS'!L61</f>
        <v>202.2</v>
      </c>
      <c r="G14" s="48">
        <f>FORECAST(G3,$C$14:$F$14,$C$3:$F$3)</f>
        <v>197.82999999999998</v>
      </c>
      <c r="H14" s="48">
        <f t="shared" ref="H14:K14" si="8">FORECAST(H3,$C$14:$F$14,$C$3:$F$3)</f>
        <v>254.38499999999993</v>
      </c>
      <c r="I14" s="48">
        <f t="shared" si="8"/>
        <v>310.93999999999994</v>
      </c>
      <c r="J14" s="48">
        <f t="shared" si="8"/>
        <v>367.49499999999995</v>
      </c>
      <c r="K14" s="48">
        <f t="shared" si="8"/>
        <v>424.04999999999995</v>
      </c>
    </row>
    <row r="15" spans="1:11" x14ac:dyDescent="0.25">
      <c r="B15" s="168" t="s">
        <v>40</v>
      </c>
      <c r="C15" s="13">
        <f>'Historical FS'!I62</f>
        <v>3674.2200000000003</v>
      </c>
      <c r="D15" s="13">
        <f>'Historical FS'!J62</f>
        <v>1886.27</v>
      </c>
      <c r="E15" s="13">
        <f>'Historical FS'!K62</f>
        <v>1967.5500000000006</v>
      </c>
      <c r="F15" s="13">
        <f>'Historical FS'!L62</f>
        <v>1018.7100000000009</v>
      </c>
      <c r="G15" s="48">
        <f>FORECAST(G3,$C$15:$F$15,$C$3:$F$3)</f>
        <v>165.37500000000091</v>
      </c>
      <c r="H15" s="48">
        <f t="shared" ref="H15:K15" si="9">FORECAST(H3,$C$15:$F$15,$C$3:$F$3)</f>
        <v>-623.14999999999964</v>
      </c>
      <c r="I15" s="48">
        <f t="shared" si="9"/>
        <v>-1411.6749999999993</v>
      </c>
      <c r="J15" s="48">
        <f t="shared" si="9"/>
        <v>-2200.1999999999989</v>
      </c>
      <c r="K15" s="48">
        <f t="shared" si="9"/>
        <v>-2988.7249999999985</v>
      </c>
    </row>
    <row r="16" spans="1:11" x14ac:dyDescent="0.25">
      <c r="A16" t="s">
        <v>2</v>
      </c>
      <c r="B16" s="178" t="s">
        <v>41</v>
      </c>
      <c r="C16" s="62">
        <f>SUM(C12:C15)</f>
        <v>10001.33</v>
      </c>
      <c r="D16" s="62">
        <f t="shared" ref="D16:K16" si="10">SUM(D12:D15)</f>
        <v>9917.61</v>
      </c>
      <c r="E16" s="62">
        <f t="shared" si="10"/>
        <v>12362.850000000002</v>
      </c>
      <c r="F16" s="62">
        <f t="shared" si="10"/>
        <v>13390.550000000001</v>
      </c>
      <c r="G16" s="63">
        <f t="shared" si="10"/>
        <v>14571.310000000001</v>
      </c>
      <c r="H16" s="63">
        <f t="shared" si="10"/>
        <v>15832.6</v>
      </c>
      <c r="I16" s="63">
        <f t="shared" si="10"/>
        <v>17093.89</v>
      </c>
      <c r="J16" s="63">
        <f t="shared" si="10"/>
        <v>18355.18</v>
      </c>
      <c r="K16" s="63">
        <f t="shared" si="10"/>
        <v>19616.469999999998</v>
      </c>
    </row>
    <row r="17" spans="1:11" x14ac:dyDescent="0.25">
      <c r="B17" s="1"/>
      <c r="G17" s="49"/>
      <c r="H17" s="49"/>
      <c r="I17" s="49"/>
      <c r="J17" s="49"/>
      <c r="K17" s="49"/>
    </row>
    <row r="18" spans="1:11" x14ac:dyDescent="0.25">
      <c r="B18" s="168" t="s">
        <v>42</v>
      </c>
      <c r="C18" s="13">
        <f>'Historical FS'!I65</f>
        <v>19.55</v>
      </c>
      <c r="D18" s="13">
        <f>'Historical FS'!J65</f>
        <v>43.58</v>
      </c>
      <c r="E18" s="13">
        <f>'Historical FS'!K65</f>
        <v>66.89</v>
      </c>
      <c r="F18" s="13">
        <f>'Historical FS'!L65</f>
        <v>62.16</v>
      </c>
      <c r="G18" s="48">
        <f>FORECAST(G3,$C$18:$F$18,$C$3:$F$3)</f>
        <v>85.829999999999984</v>
      </c>
      <c r="H18" s="48">
        <f t="shared" ref="H18:K18" si="11">FORECAST(H3,$C$18:$F$18,$C$3:$F$3)</f>
        <v>100.94399999999999</v>
      </c>
      <c r="I18" s="48">
        <f t="shared" si="11"/>
        <v>116.05799999999999</v>
      </c>
      <c r="J18" s="48">
        <f t="shared" si="11"/>
        <v>131.172</v>
      </c>
      <c r="K18" s="48">
        <f t="shared" si="11"/>
        <v>146.28599999999997</v>
      </c>
    </row>
    <row r="19" spans="1:11" x14ac:dyDescent="0.25">
      <c r="B19" s="168" t="s">
        <v>43</v>
      </c>
      <c r="C19" s="13">
        <f>'Historical FS'!I66</f>
        <v>1947.4</v>
      </c>
      <c r="D19" s="13">
        <f>'Historical FS'!J66</f>
        <v>2248.2800000000002</v>
      </c>
      <c r="E19" s="13">
        <f>'Historical FS'!K66</f>
        <v>2742.66</v>
      </c>
      <c r="F19" s="13">
        <f>'Historical FS'!L66</f>
        <v>3243.48</v>
      </c>
      <c r="G19" s="48">
        <f>FORECAST(G3,$C$19:$F$19,$C$3:$F$3)</f>
        <v>3641.1099999999997</v>
      </c>
      <c r="H19" s="48">
        <f t="shared" ref="H19:K19" si="12">FORECAST(H3,$C$19:$F$19,$C$3:$F$3)</f>
        <v>4079.3719999999994</v>
      </c>
      <c r="I19" s="48">
        <f t="shared" si="12"/>
        <v>4517.634</v>
      </c>
      <c r="J19" s="48">
        <f t="shared" si="12"/>
        <v>4955.8959999999988</v>
      </c>
      <c r="K19" s="48">
        <f t="shared" si="12"/>
        <v>5394.1579999999994</v>
      </c>
    </row>
    <row r="20" spans="1:11" x14ac:dyDescent="0.25">
      <c r="B20" s="168" t="s">
        <v>44</v>
      </c>
      <c r="C20" s="13">
        <f>'Historical FS'!I67</f>
        <v>107.88</v>
      </c>
      <c r="D20" s="13">
        <f>'Historical FS'!J67</f>
        <v>1445.58</v>
      </c>
      <c r="E20" s="13">
        <f>'Historical FS'!K67</f>
        <v>298.58</v>
      </c>
      <c r="F20" s="13">
        <f>'Historical FS'!L67</f>
        <v>1408.33</v>
      </c>
      <c r="G20" s="48">
        <f>FORECAST(G3,$C$20:$F$20,$C$3:$F$3)</f>
        <v>1503.6799999999998</v>
      </c>
      <c r="H20" s="48">
        <f t="shared" ref="H20:K20" si="13">FORECAST(H3,$C$20:$F$20,$C$3:$F$3)</f>
        <v>1779.1149999999998</v>
      </c>
      <c r="I20" s="48">
        <f t="shared" si="13"/>
        <v>2054.5499999999997</v>
      </c>
      <c r="J20" s="48">
        <f t="shared" si="13"/>
        <v>2329.9849999999997</v>
      </c>
      <c r="K20" s="48">
        <f t="shared" si="13"/>
        <v>2605.4199999999996</v>
      </c>
    </row>
    <row r="21" spans="1:11" x14ac:dyDescent="0.25">
      <c r="A21" t="s">
        <v>2</v>
      </c>
      <c r="B21" s="178" t="s">
        <v>45</v>
      </c>
      <c r="C21" s="62">
        <f>SUM(C18:C20)</f>
        <v>2074.83</v>
      </c>
      <c r="D21" s="62">
        <f t="shared" ref="D21:K21" si="14">SUM(D18:D20)</f>
        <v>3737.44</v>
      </c>
      <c r="E21" s="62">
        <f t="shared" si="14"/>
        <v>3108.1299999999997</v>
      </c>
      <c r="F21" s="62">
        <f t="shared" si="14"/>
        <v>4713.9699999999993</v>
      </c>
      <c r="G21" s="63">
        <f t="shared" si="14"/>
        <v>5230.619999999999</v>
      </c>
      <c r="H21" s="63">
        <f t="shared" si="14"/>
        <v>5959.4309999999996</v>
      </c>
      <c r="I21" s="63">
        <f t="shared" si="14"/>
        <v>6688.2420000000002</v>
      </c>
      <c r="J21" s="63">
        <f t="shared" si="14"/>
        <v>7417.0529999999981</v>
      </c>
      <c r="K21" s="63">
        <f t="shared" si="14"/>
        <v>8145.8639999999996</v>
      </c>
    </row>
    <row r="22" spans="1:11" x14ac:dyDescent="0.25">
      <c r="G22" s="49"/>
      <c r="H22" s="49"/>
      <c r="I22" s="49"/>
      <c r="J22" s="49"/>
      <c r="K22" s="49"/>
    </row>
    <row r="23" spans="1:11" ht="15.75" thickBot="1" x14ac:dyDescent="0.3">
      <c r="A23" t="s">
        <v>2</v>
      </c>
      <c r="B23" s="177" t="s">
        <v>46</v>
      </c>
      <c r="C23" s="60">
        <f>C21+C16</f>
        <v>12076.16</v>
      </c>
      <c r="D23" s="60">
        <f t="shared" ref="D23:K23" si="15">D21+D16</f>
        <v>13655.050000000001</v>
      </c>
      <c r="E23" s="60">
        <f t="shared" si="15"/>
        <v>15470.980000000001</v>
      </c>
      <c r="F23" s="60">
        <f t="shared" si="15"/>
        <v>18104.52</v>
      </c>
      <c r="G23" s="61">
        <f t="shared" si="15"/>
        <v>19801.93</v>
      </c>
      <c r="H23" s="61">
        <f t="shared" si="15"/>
        <v>21792.030999999999</v>
      </c>
      <c r="I23" s="61">
        <f t="shared" si="15"/>
        <v>23782.131999999998</v>
      </c>
      <c r="J23" s="61">
        <f t="shared" si="15"/>
        <v>25772.233</v>
      </c>
      <c r="K23" s="61">
        <f t="shared" si="15"/>
        <v>27762.333999999995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1035-75F8-403D-9870-62A6224161F9}">
  <dimension ref="A2:K44"/>
  <sheetViews>
    <sheetView showGridLines="0" workbookViewId="0">
      <pane ySplit="4" topLeftCell="A1048559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8.7109375" bestFit="1" customWidth="1"/>
    <col min="3" max="9" width="11.140625" bestFit="1" customWidth="1"/>
    <col min="10" max="11" width="12.7109375" bestFit="1" customWidth="1"/>
  </cols>
  <sheetData>
    <row r="2" spans="1:11" x14ac:dyDescent="0.25">
      <c r="B2" s="218" t="str">
        <f>'Data Sheet'!B1&amp; " - "&amp;'Data Sheet'!A80&amp; " FORECASTING"</f>
        <v>AVENUE SUPERMARTS LTD - CASH FLOW: FORECASTING</v>
      </c>
      <c r="C2" s="218"/>
      <c r="D2" s="218"/>
      <c r="E2" s="218"/>
      <c r="F2" s="218"/>
      <c r="G2" s="218"/>
      <c r="H2" s="218"/>
      <c r="I2" s="218"/>
      <c r="J2" s="218"/>
      <c r="K2" s="218"/>
    </row>
    <row r="3" spans="1:11" x14ac:dyDescent="0.25">
      <c r="B3" s="8" t="s">
        <v>112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A6" t="s">
        <v>2</v>
      </c>
      <c r="B6" s="171" t="s">
        <v>49</v>
      </c>
    </row>
    <row r="7" spans="1:11" x14ac:dyDescent="0.25">
      <c r="B7" s="166" t="s">
        <v>50</v>
      </c>
      <c r="C7" s="13">
        <f>'Historical FS'!I76</f>
        <v>2149</v>
      </c>
      <c r="D7" s="13">
        <f>'Historical FS'!J76</f>
        <v>1764</v>
      </c>
      <c r="E7" s="13">
        <f>'Historical FS'!K76</f>
        <v>2515</v>
      </c>
      <c r="F7" s="13">
        <f>'Historical FS'!L76</f>
        <v>3659</v>
      </c>
      <c r="G7" s="48">
        <f>FORECAST(G3,$C$7:$F$7,$C$3:$F$3)</f>
        <v>3842</v>
      </c>
      <c r="H7" s="48">
        <f t="shared" ref="H7:K7" si="1">FORECAST(H3,$C$7:$F$7,$C$3:$F$3)</f>
        <v>4370.1000000000004</v>
      </c>
      <c r="I7" s="48">
        <f t="shared" si="1"/>
        <v>4898.2000000000007</v>
      </c>
      <c r="J7" s="48">
        <f t="shared" si="1"/>
        <v>5426.3</v>
      </c>
      <c r="K7" s="48">
        <f t="shared" si="1"/>
        <v>5954.4000000000005</v>
      </c>
    </row>
    <row r="8" spans="1:11" x14ac:dyDescent="0.25">
      <c r="B8" s="166" t="s">
        <v>42</v>
      </c>
      <c r="C8" s="13">
        <f>'Historical FS'!I77</f>
        <v>45</v>
      </c>
      <c r="D8" s="13">
        <f>'Historical FS'!J77</f>
        <v>-24</v>
      </c>
      <c r="E8" s="13">
        <f>'Historical FS'!K77</f>
        <v>-23</v>
      </c>
      <c r="F8" s="13">
        <f>'Historical FS'!L77</f>
        <v>5</v>
      </c>
      <c r="G8" s="48">
        <f>FORECAST(G3,$C$8:$F$8,$C$3:$F$3)</f>
        <v>-29</v>
      </c>
      <c r="H8" s="48">
        <f t="shared" ref="H8:K8" si="2">FORECAST(H3,$C$8:$F$8,$C$3:$F$3)</f>
        <v>-40.900000000000006</v>
      </c>
      <c r="I8" s="48">
        <f t="shared" si="2"/>
        <v>-52.8</v>
      </c>
      <c r="J8" s="48">
        <f t="shared" si="2"/>
        <v>-64.7</v>
      </c>
      <c r="K8" s="48">
        <f t="shared" si="2"/>
        <v>-76.600000000000009</v>
      </c>
    </row>
    <row r="9" spans="1:11" x14ac:dyDescent="0.25">
      <c r="B9" s="166" t="s">
        <v>43</v>
      </c>
      <c r="C9" s="13">
        <f>'Historical FS'!I78</f>
        <v>-339</v>
      </c>
      <c r="D9" s="13">
        <f>'Historical FS'!J78</f>
        <v>-301</v>
      </c>
      <c r="E9" s="13">
        <f>'Historical FS'!K78</f>
        <v>-494</v>
      </c>
      <c r="F9" s="13">
        <f>'Historical FS'!L78</f>
        <v>-501</v>
      </c>
      <c r="G9" s="48">
        <f>FORECAST(G3,$C$9:$F$9,$C$3:$F$3)</f>
        <v>-578.5</v>
      </c>
      <c r="H9" s="48">
        <f t="shared" ref="H9:K9" si="3">FORECAST(H3,$C$9:$F$9,$C$3:$F$3)</f>
        <v>-646.40000000000009</v>
      </c>
      <c r="I9" s="48">
        <f t="shared" si="3"/>
        <v>-714.30000000000007</v>
      </c>
      <c r="J9" s="48">
        <f t="shared" si="3"/>
        <v>-782.2</v>
      </c>
      <c r="K9" s="48">
        <f t="shared" si="3"/>
        <v>-850.1</v>
      </c>
    </row>
    <row r="10" spans="1:11" x14ac:dyDescent="0.25">
      <c r="B10" s="166" t="s">
        <v>51</v>
      </c>
      <c r="C10" s="13">
        <f>'Historical FS'!I79</f>
        <v>-30</v>
      </c>
      <c r="D10" s="13">
        <f>'Historical FS'!J79</f>
        <v>145</v>
      </c>
      <c r="E10" s="13">
        <f>'Historical FS'!K79</f>
        <v>11</v>
      </c>
      <c r="F10" s="13">
        <f>'Historical FS'!L79</f>
        <v>165</v>
      </c>
      <c r="G10" s="48">
        <f>FORECAST(G3,$C$10:$F$10,$C$3:$F$3)</f>
        <v>185.5</v>
      </c>
      <c r="H10" s="48">
        <f t="shared" ref="H10:K10" si="4">FORECAST(H3,$C$10:$F$10,$C$3:$F$3)</f>
        <v>230.60000000000002</v>
      </c>
      <c r="I10" s="48">
        <f t="shared" si="4"/>
        <v>275.7</v>
      </c>
      <c r="J10" s="48">
        <f t="shared" si="4"/>
        <v>320.8</v>
      </c>
      <c r="K10" s="48">
        <f t="shared" si="4"/>
        <v>365.90000000000003</v>
      </c>
    </row>
    <row r="11" spans="1:11" x14ac:dyDescent="0.25">
      <c r="B11" s="166" t="s">
        <v>52</v>
      </c>
      <c r="C11" s="13">
        <f>'Historical FS'!I80</f>
        <v>0</v>
      </c>
      <c r="D11" s="13">
        <f>'Historical FS'!J80</f>
        <v>0</v>
      </c>
      <c r="E11" s="13">
        <f>'Historical FS'!K80</f>
        <v>0</v>
      </c>
      <c r="F11" s="13">
        <f>'Historical FS'!L80</f>
        <v>0</v>
      </c>
      <c r="G11" s="48">
        <f>FORECAST(G3,$C$11:$F$11,$C$3:$F$3)</f>
        <v>0</v>
      </c>
      <c r="H11" s="48">
        <f t="shared" ref="H11:K11" si="5">FORECAST(H3,$C$11:$F$11,$C$3:$F$3)</f>
        <v>0</v>
      </c>
      <c r="I11" s="48">
        <f t="shared" si="5"/>
        <v>0</v>
      </c>
      <c r="J11" s="48">
        <f t="shared" si="5"/>
        <v>0</v>
      </c>
      <c r="K11" s="48">
        <f t="shared" si="5"/>
        <v>0</v>
      </c>
    </row>
    <row r="12" spans="1:11" x14ac:dyDescent="0.25">
      <c r="B12" s="166" t="s">
        <v>386</v>
      </c>
      <c r="C12" s="13">
        <f>'Historical FS'!I81</f>
        <v>2</v>
      </c>
      <c r="D12" s="13">
        <f>'Historical FS'!J81</f>
        <v>12</v>
      </c>
      <c r="E12" s="13">
        <f>'Historical FS'!K81</f>
        <v>-3</v>
      </c>
      <c r="F12" s="13">
        <f>'Historical FS'!L81</f>
        <v>0</v>
      </c>
      <c r="G12" s="48">
        <f>FORECAST(G3,$C$12:$F$12,$C$3:$F$3)</f>
        <v>-2.5</v>
      </c>
      <c r="H12" s="48">
        <f t="shared" ref="H12:K12" si="6">FORECAST(H3,$C$12:$F$12,$C$3:$F$3)</f>
        <v>-4.6000000000000014</v>
      </c>
      <c r="I12" s="48">
        <f t="shared" si="6"/>
        <v>-6.7000000000000011</v>
      </c>
      <c r="J12" s="48">
        <f t="shared" si="6"/>
        <v>-8.8000000000000007</v>
      </c>
      <c r="K12" s="48">
        <f t="shared" si="6"/>
        <v>-10.900000000000002</v>
      </c>
    </row>
    <row r="13" spans="1:11" x14ac:dyDescent="0.25">
      <c r="B13" s="166" t="s">
        <v>53</v>
      </c>
      <c r="C13" s="13">
        <f>'Historical FS'!I82</f>
        <v>-54</v>
      </c>
      <c r="D13" s="13">
        <f>'Historical FS'!J82</f>
        <v>41</v>
      </c>
      <c r="E13" s="13">
        <f>'Historical FS'!K82</f>
        <v>-73</v>
      </c>
      <c r="F13" s="13">
        <f>'Historical FS'!L82</f>
        <v>12</v>
      </c>
      <c r="G13" s="48">
        <f>FORECAST(G3,$C$13:$F$13,$C$3:$F$3)</f>
        <v>2.5</v>
      </c>
      <c r="H13" s="48">
        <f t="shared" ref="H13:K13" si="7">FORECAST(H3,$C$13:$F$13,$C$3:$F$3)</f>
        <v>10.900000000000006</v>
      </c>
      <c r="I13" s="48">
        <f t="shared" si="7"/>
        <v>19.300000000000004</v>
      </c>
      <c r="J13" s="48">
        <f t="shared" si="7"/>
        <v>27.700000000000003</v>
      </c>
      <c r="K13" s="48">
        <f t="shared" si="7"/>
        <v>36.100000000000009</v>
      </c>
    </row>
    <row r="14" spans="1:11" x14ac:dyDescent="0.25">
      <c r="B14" s="166" t="s">
        <v>54</v>
      </c>
      <c r="C14" s="13">
        <f>'Historical FS'!I83</f>
        <v>-492</v>
      </c>
      <c r="D14" s="13">
        <f>'Historical FS'!J83</f>
        <v>-262</v>
      </c>
      <c r="E14" s="13">
        <f>'Historical FS'!K83</f>
        <v>-560</v>
      </c>
      <c r="F14" s="13">
        <f>'Historical FS'!L83</f>
        <v>-709</v>
      </c>
      <c r="G14" s="48">
        <f t="shared" ref="G14:K14" si="8">FORECAST(G3,$C$14:$F$14,$C$3:$F$3)</f>
        <v>-743</v>
      </c>
      <c r="H14" s="48">
        <f t="shared" si="8"/>
        <v>-837.90000000000009</v>
      </c>
      <c r="I14" s="48">
        <f t="shared" si="8"/>
        <v>-932.80000000000007</v>
      </c>
      <c r="J14" s="48">
        <f t="shared" si="8"/>
        <v>-1027.7</v>
      </c>
      <c r="K14" s="48">
        <f t="shared" si="8"/>
        <v>-1122.5999999999999</v>
      </c>
    </row>
    <row r="15" spans="1:11" x14ac:dyDescent="0.25">
      <c r="B15" s="178" t="s">
        <v>55</v>
      </c>
      <c r="C15" s="62">
        <f t="shared" ref="C15:K15" si="9">SUM(C7:C14)</f>
        <v>1281</v>
      </c>
      <c r="D15" s="62">
        <f t="shared" si="9"/>
        <v>1375</v>
      </c>
      <c r="E15" s="62">
        <f t="shared" si="9"/>
        <v>1373</v>
      </c>
      <c r="F15" s="62">
        <f t="shared" si="9"/>
        <v>2631</v>
      </c>
      <c r="G15" s="63">
        <f t="shared" si="9"/>
        <v>2677</v>
      </c>
      <c r="H15" s="63">
        <f t="shared" si="9"/>
        <v>3081.8000000000006</v>
      </c>
      <c r="I15" s="63">
        <f t="shared" si="9"/>
        <v>3486.6000000000004</v>
      </c>
      <c r="J15" s="63">
        <f t="shared" si="9"/>
        <v>3891.4000000000005</v>
      </c>
      <c r="K15" s="63">
        <f t="shared" si="9"/>
        <v>4296.2000000000007</v>
      </c>
    </row>
    <row r="16" spans="1:11" x14ac:dyDescent="0.25">
      <c r="G16" s="49"/>
      <c r="H16" s="49"/>
      <c r="I16" s="49"/>
      <c r="J16" s="49"/>
      <c r="K16" s="49"/>
    </row>
    <row r="17" spans="1:11" x14ac:dyDescent="0.25">
      <c r="A17" t="s">
        <v>2</v>
      </c>
      <c r="B17" s="171" t="s">
        <v>56</v>
      </c>
      <c r="G17" s="49"/>
      <c r="H17" s="49"/>
      <c r="I17" s="49"/>
      <c r="J17" s="49"/>
      <c r="K17" s="49"/>
    </row>
    <row r="18" spans="1:11" x14ac:dyDescent="0.25">
      <c r="B18" s="166" t="s">
        <v>57</v>
      </c>
      <c r="C18" s="13">
        <f>'Historical FS'!I87</f>
        <v>-1712</v>
      </c>
      <c r="D18" s="13">
        <f>'Historical FS'!J87</f>
        <v>-2029</v>
      </c>
      <c r="E18" s="13">
        <f>'Historical FS'!K87</f>
        <v>-2410</v>
      </c>
      <c r="F18" s="13">
        <f>'Historical FS'!L87</f>
        <v>-2212</v>
      </c>
      <c r="G18" s="48">
        <f t="shared" ref="G18:K18" si="10">FORECAST(G3,$C$18:$F$18,$C$3:$F$3)</f>
        <v>-2561</v>
      </c>
      <c r="H18" s="48">
        <f t="shared" si="10"/>
        <v>-2749.1</v>
      </c>
      <c r="I18" s="48">
        <f t="shared" si="10"/>
        <v>-2937.2</v>
      </c>
      <c r="J18" s="48">
        <f t="shared" si="10"/>
        <v>-3125.3</v>
      </c>
      <c r="K18" s="48">
        <f t="shared" si="10"/>
        <v>-3313.3999999999996</v>
      </c>
    </row>
    <row r="19" spans="1:11" x14ac:dyDescent="0.25">
      <c r="B19" s="166" t="s">
        <v>58</v>
      </c>
      <c r="C19" s="13">
        <f>'Historical FS'!I88</f>
        <v>6</v>
      </c>
      <c r="D19" s="13">
        <f>'Historical FS'!J88</f>
        <v>2</v>
      </c>
      <c r="E19" s="13">
        <f>'Historical FS'!K88</f>
        <v>21</v>
      </c>
      <c r="F19" s="13">
        <f>'Historical FS'!L88</f>
        <v>5</v>
      </c>
      <c r="G19" s="48">
        <f t="shared" ref="G19:K19" si="11">FORECAST(G3,$C$19:$F$19,$C$3:$F$3)</f>
        <v>12.5</v>
      </c>
      <c r="H19" s="48">
        <f t="shared" si="11"/>
        <v>14.100000000000001</v>
      </c>
      <c r="I19" s="48">
        <f t="shared" si="11"/>
        <v>15.700000000000001</v>
      </c>
      <c r="J19" s="48">
        <f t="shared" si="11"/>
        <v>17.3</v>
      </c>
      <c r="K19" s="48">
        <f t="shared" si="11"/>
        <v>18.899999999999999</v>
      </c>
    </row>
    <row r="20" spans="1:11" x14ac:dyDescent="0.25">
      <c r="B20" s="166" t="s">
        <v>59</v>
      </c>
      <c r="C20" s="13">
        <f>'Historical FS'!I89</f>
        <v>0</v>
      </c>
      <c r="D20" s="13">
        <f>'Historical FS'!J89</f>
        <v>0</v>
      </c>
      <c r="E20" s="13">
        <f>'Historical FS'!K89</f>
        <v>0</v>
      </c>
      <c r="F20" s="13">
        <f>'Historical FS'!L89</f>
        <v>-193</v>
      </c>
      <c r="G20" s="48">
        <f t="shared" ref="G20:K20" si="12">FORECAST(G3,$C$20:$F$20,$C$3:$F$3)</f>
        <v>-193</v>
      </c>
      <c r="H20" s="48">
        <f t="shared" si="12"/>
        <v>-250.89999999999998</v>
      </c>
      <c r="I20" s="48">
        <f t="shared" si="12"/>
        <v>-308.8</v>
      </c>
      <c r="J20" s="48">
        <f t="shared" si="12"/>
        <v>-366.7</v>
      </c>
      <c r="K20" s="48">
        <f t="shared" si="12"/>
        <v>-424.6</v>
      </c>
    </row>
    <row r="21" spans="1:11" x14ac:dyDescent="0.25">
      <c r="B21" s="166" t="s">
        <v>60</v>
      </c>
      <c r="C21" s="13">
        <f>'Historical FS'!I90</f>
        <v>232</v>
      </c>
      <c r="D21" s="13">
        <f>'Historical FS'!J90</f>
        <v>3</v>
      </c>
      <c r="E21" s="13">
        <f>'Historical FS'!K90</f>
        <v>4</v>
      </c>
      <c r="F21" s="13">
        <f>'Historical FS'!L90</f>
        <v>6</v>
      </c>
      <c r="G21" s="48">
        <f t="shared" ref="G21:K21" si="13">FORECAST(G3,$C$21:$F$21,$C$3:$F$3)</f>
        <v>-108</v>
      </c>
      <c r="H21" s="48">
        <f t="shared" si="13"/>
        <v>-175.70000000000005</v>
      </c>
      <c r="I21" s="48">
        <f t="shared" si="13"/>
        <v>-243.40000000000003</v>
      </c>
      <c r="J21" s="48">
        <f t="shared" si="13"/>
        <v>-311.10000000000002</v>
      </c>
      <c r="K21" s="48">
        <f t="shared" si="13"/>
        <v>-378.80000000000007</v>
      </c>
    </row>
    <row r="22" spans="1:11" x14ac:dyDescent="0.25">
      <c r="B22" s="166" t="s">
        <v>61</v>
      </c>
      <c r="C22" s="13">
        <f>'Historical FS'!I91</f>
        <v>12</v>
      </c>
      <c r="D22" s="13">
        <f>'Historical FS'!J91</f>
        <v>129</v>
      </c>
      <c r="E22" s="13">
        <f>'Historical FS'!K91</f>
        <v>43</v>
      </c>
      <c r="F22" s="13">
        <f>'Historical FS'!L91</f>
        <v>39</v>
      </c>
      <c r="G22" s="48">
        <f t="shared" ref="G22:K22" si="14">FORECAST(G3,$C$22:$F$22,$C$3:$F$3)</f>
        <v>54.5</v>
      </c>
      <c r="H22" s="48">
        <f t="shared" si="14"/>
        <v>54</v>
      </c>
      <c r="I22" s="48">
        <f t="shared" si="14"/>
        <v>53.5</v>
      </c>
      <c r="J22" s="48">
        <f t="shared" si="14"/>
        <v>53</v>
      </c>
      <c r="K22" s="48">
        <f t="shared" si="14"/>
        <v>52.5</v>
      </c>
    </row>
    <row r="23" spans="1:11" x14ac:dyDescent="0.25">
      <c r="B23" s="166" t="s">
        <v>62</v>
      </c>
      <c r="C23" s="13">
        <f>'Historical FS'!I92</f>
        <v>0</v>
      </c>
      <c r="D23" s="13">
        <f>'Historical FS'!J92</f>
        <v>0</v>
      </c>
      <c r="E23" s="13">
        <f>'Historical FS'!K92</f>
        <v>0</v>
      </c>
      <c r="F23" s="13">
        <f>'Historical FS'!L92</f>
        <v>0</v>
      </c>
      <c r="G23" s="48">
        <f t="shared" ref="G23:K23" si="15">FORECAST(G3,$C$23:$F$23,$C$3:$F$3)</f>
        <v>0</v>
      </c>
      <c r="H23" s="48">
        <f t="shared" si="15"/>
        <v>0</v>
      </c>
      <c r="I23" s="48">
        <f t="shared" si="15"/>
        <v>0</v>
      </c>
      <c r="J23" s="48">
        <f t="shared" si="15"/>
        <v>0</v>
      </c>
      <c r="K23" s="48">
        <f t="shared" si="15"/>
        <v>0</v>
      </c>
    </row>
    <row r="24" spans="1:11" x14ac:dyDescent="0.25">
      <c r="B24" s="166" t="s">
        <v>385</v>
      </c>
      <c r="C24" s="13">
        <f>'Historical FS'!I93</f>
        <v>0</v>
      </c>
      <c r="D24" s="13">
        <f>'Historical FS'!J93</f>
        <v>0</v>
      </c>
      <c r="E24" s="13">
        <f>'Historical FS'!K93</f>
        <v>0</v>
      </c>
      <c r="F24" s="13">
        <f>'Historical FS'!L93</f>
        <v>0</v>
      </c>
      <c r="G24" s="48">
        <f t="shared" ref="G24:K24" si="16">FORECAST(G3,$C$24:$F$24,$C$3:$F$3)</f>
        <v>0</v>
      </c>
      <c r="H24" s="48">
        <f t="shared" si="16"/>
        <v>0</v>
      </c>
      <c r="I24" s="48">
        <f t="shared" si="16"/>
        <v>0</v>
      </c>
      <c r="J24" s="48">
        <f t="shared" si="16"/>
        <v>0</v>
      </c>
      <c r="K24" s="48">
        <f t="shared" si="16"/>
        <v>0</v>
      </c>
    </row>
    <row r="25" spans="1:11" x14ac:dyDescent="0.25">
      <c r="B25" s="166" t="s">
        <v>63</v>
      </c>
      <c r="C25" s="13">
        <f>'Historical FS'!I94</f>
        <v>0</v>
      </c>
      <c r="D25" s="13">
        <f>'Historical FS'!J94</f>
        <v>0</v>
      </c>
      <c r="E25" s="13">
        <f>'Historical FS'!K94</f>
        <v>0</v>
      </c>
      <c r="F25" s="13">
        <f>'Historical FS'!L94</f>
        <v>0</v>
      </c>
      <c r="G25" s="48">
        <f t="shared" ref="G25:K25" si="17">FORECAST(G3,$C$25:$F$25,$C$3:$F$3)</f>
        <v>0</v>
      </c>
      <c r="H25" s="48">
        <f t="shared" si="17"/>
        <v>0</v>
      </c>
      <c r="I25" s="48">
        <f t="shared" si="17"/>
        <v>0</v>
      </c>
      <c r="J25" s="48">
        <f t="shared" si="17"/>
        <v>0</v>
      </c>
      <c r="K25" s="48">
        <f t="shared" si="17"/>
        <v>0</v>
      </c>
    </row>
    <row r="26" spans="1:11" x14ac:dyDescent="0.25">
      <c r="B26" s="166" t="s">
        <v>64</v>
      </c>
      <c r="C26" s="13">
        <f>'Historical FS'!I95</f>
        <v>0</v>
      </c>
      <c r="D26" s="13">
        <f>'Historical FS'!J95</f>
        <v>0</v>
      </c>
      <c r="E26" s="13">
        <f>'Historical FS'!K95</f>
        <v>0</v>
      </c>
      <c r="F26" s="13">
        <f>'Historical FS'!L95</f>
        <v>0</v>
      </c>
      <c r="G26" s="48">
        <f t="shared" ref="G26:K26" si="18">FORECAST(G3,$C$26:$F$26,$C$3:$F$3)</f>
        <v>0</v>
      </c>
      <c r="H26" s="48">
        <f t="shared" si="18"/>
        <v>0</v>
      </c>
      <c r="I26" s="48">
        <f t="shared" si="18"/>
        <v>0</v>
      </c>
      <c r="J26" s="48">
        <f t="shared" si="18"/>
        <v>0</v>
      </c>
      <c r="K26" s="48">
        <f t="shared" si="18"/>
        <v>0</v>
      </c>
    </row>
    <row r="27" spans="1:11" x14ac:dyDescent="0.25">
      <c r="B27" s="166" t="s">
        <v>65</v>
      </c>
      <c r="C27" s="13">
        <f>'Historical FS'!I96</f>
        <v>0</v>
      </c>
      <c r="D27" s="13">
        <f>'Historical FS'!J96</f>
        <v>0</v>
      </c>
      <c r="E27" s="13">
        <f>'Historical FS'!K96</f>
        <v>0</v>
      </c>
      <c r="F27" s="13">
        <f>'Historical FS'!L96</f>
        <v>0</v>
      </c>
      <c r="G27" s="48">
        <f t="shared" ref="G27:K27" si="19">FORECAST(G3,$C$27:$F$27,$C$3:$F$3)</f>
        <v>0</v>
      </c>
      <c r="H27" s="48">
        <f t="shared" si="19"/>
        <v>0</v>
      </c>
      <c r="I27" s="48">
        <f t="shared" si="19"/>
        <v>0</v>
      </c>
      <c r="J27" s="48">
        <f t="shared" si="19"/>
        <v>0</v>
      </c>
      <c r="K27" s="48">
        <f t="shared" si="19"/>
        <v>0</v>
      </c>
    </row>
    <row r="28" spans="1:11" x14ac:dyDescent="0.25">
      <c r="B28" s="166" t="s">
        <v>66</v>
      </c>
      <c r="C28" s="13">
        <f>'Historical FS'!I97</f>
        <v>0</v>
      </c>
      <c r="D28" s="13">
        <f>'Historical FS'!J97</f>
        <v>0</v>
      </c>
      <c r="E28" s="13">
        <f>'Historical FS'!K97</f>
        <v>0</v>
      </c>
      <c r="F28" s="13">
        <f>'Historical FS'!L97</f>
        <v>0</v>
      </c>
      <c r="G28" s="48">
        <f t="shared" ref="G28:K28" si="20">FORECAST(G3,$C$28:$F$28,$C$3:$F$3)</f>
        <v>0</v>
      </c>
      <c r="H28" s="48">
        <f t="shared" si="20"/>
        <v>0</v>
      </c>
      <c r="I28" s="48">
        <f t="shared" si="20"/>
        <v>0</v>
      </c>
      <c r="J28" s="48">
        <f t="shared" si="20"/>
        <v>0</v>
      </c>
      <c r="K28" s="48">
        <f t="shared" si="20"/>
        <v>0</v>
      </c>
    </row>
    <row r="29" spans="1:11" x14ac:dyDescent="0.25">
      <c r="B29" s="166" t="s">
        <v>67</v>
      </c>
      <c r="C29" s="13">
        <f>'Historical FS'!I98</f>
        <v>-3194</v>
      </c>
      <c r="D29" s="13">
        <f>'Historical FS'!J98</f>
        <v>786</v>
      </c>
      <c r="E29" s="13">
        <f>'Historical FS'!K98</f>
        <v>1054</v>
      </c>
      <c r="F29" s="13">
        <f>'Historical FS'!L98</f>
        <v>42</v>
      </c>
      <c r="G29" s="48">
        <f t="shared" ref="G29:K29" si="21">FORECAST(G3,$C$29:$F$29,$C$3:$F$3)</f>
        <v>2166</v>
      </c>
      <c r="H29" s="48">
        <f t="shared" si="21"/>
        <v>3163.6000000000004</v>
      </c>
      <c r="I29" s="48">
        <f t="shared" si="21"/>
        <v>4161.2</v>
      </c>
      <c r="J29" s="48">
        <f t="shared" si="21"/>
        <v>5158.8</v>
      </c>
      <c r="K29" s="48">
        <f t="shared" si="21"/>
        <v>6156.4</v>
      </c>
    </row>
    <row r="30" spans="1:11" x14ac:dyDescent="0.25">
      <c r="B30" s="178" t="s">
        <v>68</v>
      </c>
      <c r="C30" s="62">
        <f>SUM(C18:C29)</f>
        <v>-4656</v>
      </c>
      <c r="D30" s="62">
        <f t="shared" ref="D30:F30" si="22">SUM(D18:D29)</f>
        <v>-1109</v>
      </c>
      <c r="E30" s="62">
        <f t="shared" si="22"/>
        <v>-1288</v>
      </c>
      <c r="F30" s="62">
        <f t="shared" si="22"/>
        <v>-2313</v>
      </c>
      <c r="G30" s="63">
        <f>SUM(G18:G29)</f>
        <v>-629</v>
      </c>
      <c r="H30" s="63">
        <f t="shared" ref="H30:K30" si="23">SUM(H18:H29)</f>
        <v>56</v>
      </c>
      <c r="I30" s="63">
        <f t="shared" si="23"/>
        <v>740.99999999999955</v>
      </c>
      <c r="J30" s="63">
        <f t="shared" si="23"/>
        <v>1426.0000000000005</v>
      </c>
      <c r="K30" s="63">
        <f t="shared" si="23"/>
        <v>2111</v>
      </c>
    </row>
    <row r="31" spans="1:11" x14ac:dyDescent="0.25">
      <c r="G31" s="49"/>
      <c r="H31" s="49"/>
      <c r="I31" s="49"/>
      <c r="J31" s="49"/>
      <c r="K31" s="49"/>
    </row>
    <row r="32" spans="1:11" x14ac:dyDescent="0.25">
      <c r="A32" t="s">
        <v>2</v>
      </c>
      <c r="B32" s="171" t="s">
        <v>69</v>
      </c>
      <c r="G32" s="49"/>
      <c r="H32" s="49"/>
      <c r="I32" s="49"/>
      <c r="J32" s="49"/>
      <c r="K32" s="49"/>
    </row>
    <row r="33" spans="1:11" x14ac:dyDescent="0.25">
      <c r="B33" s="166" t="s">
        <v>70</v>
      </c>
      <c r="C33" s="13">
        <f>'Historical FS'!I102</f>
        <v>110</v>
      </c>
      <c r="D33" s="13">
        <f>'Historical FS'!J102</f>
        <v>0</v>
      </c>
      <c r="E33" s="13">
        <f>'Historical FS'!K102</f>
        <v>0</v>
      </c>
      <c r="F33" s="13">
        <f>'Historical FS'!L102</f>
        <v>15</v>
      </c>
      <c r="G33" s="48">
        <f t="shared" ref="G33:K33" si="24">FORECAST(G3,$C$33:$F$33,$C$3:$F$3)</f>
        <v>-40</v>
      </c>
      <c r="H33" s="48">
        <f t="shared" si="24"/>
        <v>-68.5</v>
      </c>
      <c r="I33" s="48">
        <f t="shared" si="24"/>
        <v>-97</v>
      </c>
      <c r="J33" s="48">
        <f t="shared" si="24"/>
        <v>-125.5</v>
      </c>
      <c r="K33" s="48">
        <f t="shared" si="24"/>
        <v>-154</v>
      </c>
    </row>
    <row r="34" spans="1:11" x14ac:dyDescent="0.25">
      <c r="B34" s="166" t="s">
        <v>383</v>
      </c>
      <c r="C34" s="13">
        <f>'Historical FS'!I103</f>
        <v>300</v>
      </c>
      <c r="D34" s="13">
        <f>'Historical FS'!J103</f>
        <v>0</v>
      </c>
      <c r="E34" s="13">
        <f>'Historical FS'!K103</f>
        <v>0</v>
      </c>
      <c r="F34" s="13">
        <f>'Historical FS'!L103</f>
        <v>0</v>
      </c>
      <c r="G34" s="48">
        <f>FORECAST(G3,$C$34:$F$34,$C$3:$F$3)</f>
        <v>-150</v>
      </c>
      <c r="H34" s="48">
        <f t="shared" ref="H34:K34" si="25">FORECAST(H3,$C$34:$F$34,$C$3:$F$3)</f>
        <v>-240</v>
      </c>
      <c r="I34" s="48">
        <f t="shared" si="25"/>
        <v>-330</v>
      </c>
      <c r="J34" s="48">
        <f t="shared" si="25"/>
        <v>-420</v>
      </c>
      <c r="K34" s="48">
        <f t="shared" si="25"/>
        <v>-510</v>
      </c>
    </row>
    <row r="35" spans="1:11" x14ac:dyDescent="0.25">
      <c r="B35" s="166" t="s">
        <v>71</v>
      </c>
      <c r="C35" s="13">
        <f>'Historical FS'!I104</f>
        <v>-512</v>
      </c>
      <c r="D35" s="13">
        <f>'Historical FS'!J104</f>
        <v>-34</v>
      </c>
      <c r="E35" s="13">
        <f>'Historical FS'!K104</f>
        <v>0</v>
      </c>
      <c r="F35" s="13">
        <f>'Historical FS'!L104</f>
        <v>0</v>
      </c>
      <c r="G35" s="48">
        <f t="shared" ref="G35:K35" si="26">FORECAST(G3,$C$35:$F$35,$C$3:$F$3)</f>
        <v>256</v>
      </c>
      <c r="H35" s="48">
        <f t="shared" si="26"/>
        <v>413</v>
      </c>
      <c r="I35" s="48">
        <f t="shared" si="26"/>
        <v>570</v>
      </c>
      <c r="J35" s="48">
        <f t="shared" si="26"/>
        <v>727</v>
      </c>
      <c r="K35" s="48">
        <f t="shared" si="26"/>
        <v>884</v>
      </c>
    </row>
    <row r="36" spans="1:11" x14ac:dyDescent="0.25">
      <c r="B36" s="166" t="s">
        <v>72</v>
      </c>
      <c r="C36" s="13">
        <f>'Historical FS'!I105</f>
        <v>1100</v>
      </c>
      <c r="D36" s="13">
        <f>'Historical FS'!J105</f>
        <v>200</v>
      </c>
      <c r="E36" s="13">
        <f>'Historical FS'!K105</f>
        <v>248</v>
      </c>
      <c r="F36" s="13">
        <f>'Historical FS'!L105</f>
        <v>0</v>
      </c>
      <c r="G36" s="48">
        <f t="shared" ref="G36:K36" si="27">FORECAST(G3,$C$36:$F$36,$C$3:$F$3)</f>
        <v>-426</v>
      </c>
      <c r="H36" s="48">
        <f t="shared" si="27"/>
        <v>-751.19999999999982</v>
      </c>
      <c r="I36" s="48">
        <f t="shared" si="27"/>
        <v>-1076.4000000000001</v>
      </c>
      <c r="J36" s="48">
        <f t="shared" si="27"/>
        <v>-1401.6</v>
      </c>
      <c r="K36" s="48">
        <f t="shared" si="27"/>
        <v>-1726.7999999999997</v>
      </c>
    </row>
    <row r="37" spans="1:11" x14ac:dyDescent="0.25">
      <c r="B37" s="166" t="s">
        <v>73</v>
      </c>
      <c r="C37" s="13">
        <f>'Historical FS'!I106</f>
        <v>-1550</v>
      </c>
      <c r="D37" s="13">
        <f>'Historical FS'!J106</f>
        <v>-204</v>
      </c>
      <c r="E37" s="13">
        <f>'Historical FS'!K106</f>
        <v>-248</v>
      </c>
      <c r="F37" s="13">
        <f>'Historical FS'!L106</f>
        <v>0</v>
      </c>
      <c r="G37" s="48">
        <f t="shared" ref="G37:K37" si="28">FORECAST(G3,$C$37:$F$37,$C$3:$F$3)</f>
        <v>651</v>
      </c>
      <c r="H37" s="48">
        <f t="shared" si="28"/>
        <v>1111.6000000000004</v>
      </c>
      <c r="I37" s="48">
        <f t="shared" si="28"/>
        <v>1572.2000000000003</v>
      </c>
      <c r="J37" s="48">
        <f t="shared" si="28"/>
        <v>2032.8000000000002</v>
      </c>
      <c r="K37" s="48">
        <f t="shared" si="28"/>
        <v>2493.4000000000005</v>
      </c>
    </row>
    <row r="38" spans="1:11" x14ac:dyDescent="0.25">
      <c r="B38" s="166" t="s">
        <v>74</v>
      </c>
      <c r="C38" s="13">
        <f>'Historical FS'!I107</f>
        <v>-98</v>
      </c>
      <c r="D38" s="13">
        <f>'Historical FS'!J107</f>
        <v>-44</v>
      </c>
      <c r="E38" s="13">
        <f>'Historical FS'!K107</f>
        <v>-54</v>
      </c>
      <c r="F38" s="13">
        <f>'Historical FS'!L107</f>
        <v>-67</v>
      </c>
      <c r="G38" s="48">
        <f t="shared" ref="G38:K38" si="29">FORECAST(G3,$C$38:$F$38,$C$3:$F$3)</f>
        <v>-45</v>
      </c>
      <c r="H38" s="48">
        <f t="shared" si="29"/>
        <v>-36.699999999999996</v>
      </c>
      <c r="I38" s="48">
        <f t="shared" si="29"/>
        <v>-28.399999999999991</v>
      </c>
      <c r="J38" s="48">
        <f t="shared" si="29"/>
        <v>-20.099999999999994</v>
      </c>
      <c r="K38" s="48">
        <f t="shared" si="29"/>
        <v>-11.799999999999997</v>
      </c>
    </row>
    <row r="39" spans="1:11" x14ac:dyDescent="0.25">
      <c r="B39" s="166" t="s">
        <v>75</v>
      </c>
      <c r="C39" s="13">
        <f>'Historical FS'!I108</f>
        <v>-70</v>
      </c>
      <c r="D39" s="13">
        <f>'Historical FS'!J108</f>
        <v>-98</v>
      </c>
      <c r="E39" s="13">
        <f>'Historical FS'!K108</f>
        <v>-125</v>
      </c>
      <c r="F39" s="13">
        <f>'Historical FS'!L108</f>
        <v>-153</v>
      </c>
      <c r="G39" s="48">
        <f t="shared" ref="G39:K39" si="30">FORECAST(G3,$C$39:$F$39,$C$3:$F$3)</f>
        <v>-180.5</v>
      </c>
      <c r="H39" s="48">
        <f t="shared" si="30"/>
        <v>-208.10000000000002</v>
      </c>
      <c r="I39" s="48">
        <f t="shared" si="30"/>
        <v>-235.70000000000002</v>
      </c>
      <c r="J39" s="48">
        <f t="shared" si="30"/>
        <v>-263.3</v>
      </c>
      <c r="K39" s="48">
        <f t="shared" si="30"/>
        <v>-290.89999999999998</v>
      </c>
    </row>
    <row r="40" spans="1:11" x14ac:dyDescent="0.25">
      <c r="B40" s="166" t="s">
        <v>76</v>
      </c>
      <c r="C40" s="13">
        <f>'Historical FS'!I109</f>
        <v>0</v>
      </c>
      <c r="D40" s="13">
        <f>'Historical FS'!J109</f>
        <v>0</v>
      </c>
      <c r="E40" s="13">
        <f>'Historical FS'!K109</f>
        <v>0</v>
      </c>
      <c r="F40" s="13">
        <f>'Historical FS'!L109</f>
        <v>1</v>
      </c>
      <c r="G40" s="48">
        <f t="shared" ref="G40:K40" si="31">FORECAST(G3,$C$40:$F$40,$C$3:$F$3)</f>
        <v>1</v>
      </c>
      <c r="H40" s="48">
        <f t="shared" si="31"/>
        <v>1.2999999999999998</v>
      </c>
      <c r="I40" s="48">
        <f t="shared" si="31"/>
        <v>1.6</v>
      </c>
      <c r="J40" s="48">
        <f t="shared" si="31"/>
        <v>1.9</v>
      </c>
      <c r="K40" s="48">
        <f t="shared" si="31"/>
        <v>2.1999999999999997</v>
      </c>
    </row>
    <row r="41" spans="1:11" x14ac:dyDescent="0.25">
      <c r="B41" s="166" t="s">
        <v>77</v>
      </c>
      <c r="C41" s="13">
        <f>'Historical FS'!I110</f>
        <v>4077</v>
      </c>
      <c r="D41" s="13">
        <f>'Historical FS'!J110</f>
        <v>0</v>
      </c>
      <c r="E41" s="13">
        <f>'Historical FS'!K110</f>
        <v>0</v>
      </c>
      <c r="F41" s="13">
        <f>'Historical FS'!L110</f>
        <v>0</v>
      </c>
      <c r="G41" s="48">
        <f t="shared" ref="G41:K41" si="32">FORECAST(G3,$C$41:$F$41,$C$3:$F$3)</f>
        <v>-2038.5</v>
      </c>
      <c r="H41" s="48">
        <f t="shared" si="32"/>
        <v>-3261.5999999999995</v>
      </c>
      <c r="I41" s="48">
        <f t="shared" si="32"/>
        <v>-4484.6999999999989</v>
      </c>
      <c r="J41" s="48">
        <f t="shared" si="32"/>
        <v>-5707.7999999999993</v>
      </c>
      <c r="K41" s="48">
        <f t="shared" si="32"/>
        <v>-6930.9</v>
      </c>
    </row>
    <row r="42" spans="1:11" x14ac:dyDescent="0.25">
      <c r="B42" s="178" t="s">
        <v>78</v>
      </c>
      <c r="C42" s="62">
        <f>SUM(C33:C41)</f>
        <v>3357</v>
      </c>
      <c r="D42" s="62">
        <f t="shared" ref="D42:F42" si="33">SUM(D33:D41)</f>
        <v>-180</v>
      </c>
      <c r="E42" s="62">
        <f t="shared" si="33"/>
        <v>-179</v>
      </c>
      <c r="F42" s="62">
        <f t="shared" si="33"/>
        <v>-204</v>
      </c>
      <c r="G42" s="63">
        <f>SUM(G33:G41)</f>
        <v>-1972</v>
      </c>
      <c r="H42" s="63">
        <f t="shared" ref="H42:K42" si="34">SUM(H33:H41)</f>
        <v>-3040.1999999999989</v>
      </c>
      <c r="I42" s="63">
        <f t="shared" si="34"/>
        <v>-4108.3999999999987</v>
      </c>
      <c r="J42" s="63">
        <f t="shared" si="34"/>
        <v>-5176.5999999999995</v>
      </c>
      <c r="K42" s="63">
        <f t="shared" si="34"/>
        <v>-6244.7999999999984</v>
      </c>
    </row>
    <row r="43" spans="1:11" x14ac:dyDescent="0.25">
      <c r="G43" s="49"/>
      <c r="H43" s="49"/>
      <c r="I43" s="49"/>
      <c r="J43" s="49"/>
      <c r="K43" s="49"/>
    </row>
    <row r="44" spans="1:11" ht="15.75" thickBot="1" x14ac:dyDescent="0.3">
      <c r="A44" t="s">
        <v>2</v>
      </c>
      <c r="B44" s="176" t="s">
        <v>79</v>
      </c>
      <c r="C44" s="60">
        <f>SUM(C42,C30,C15)</f>
        <v>-18</v>
      </c>
      <c r="D44" s="60">
        <f t="shared" ref="D44:K44" si="35">SUM(D42,D30,D15)</f>
        <v>86</v>
      </c>
      <c r="E44" s="60">
        <f t="shared" si="35"/>
        <v>-94</v>
      </c>
      <c r="F44" s="60">
        <f t="shared" si="35"/>
        <v>114</v>
      </c>
      <c r="G44" s="61">
        <f t="shared" si="35"/>
        <v>76</v>
      </c>
      <c r="H44" s="61">
        <f t="shared" si="35"/>
        <v>97.600000000001728</v>
      </c>
      <c r="I44" s="61">
        <f t="shared" si="35"/>
        <v>119.20000000000118</v>
      </c>
      <c r="J44" s="61">
        <f t="shared" si="35"/>
        <v>140.80000000000155</v>
      </c>
      <c r="K44" s="61">
        <f t="shared" si="35"/>
        <v>162.40000000000236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162-78D0-4FB2-8EA2-B36A41335F60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ht="15" customHeight="1" x14ac:dyDescent="0.25">
      <c r="D5" s="216" t="str">
        <f>"DISCOUNTED CASH FLOWS FOR "&amp;'Data Sheet'!B1</f>
        <v>DISCOUNTED CASH FLOWS FOR AVENUE SUPERMARTS LTD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</row>
    <row r="6" spans="4:19" ht="15" customHeight="1" x14ac:dyDescent="0.25"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</row>
    <row r="7" spans="4:19" ht="15" customHeight="1" x14ac:dyDescent="0.25"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</row>
    <row r="8" spans="4:19" ht="15" customHeight="1" x14ac:dyDescent="0.25">
      <c r="D8" s="165"/>
      <c r="E8" s="165"/>
      <c r="F8" s="217" t="s">
        <v>369</v>
      </c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</row>
    <row r="9" spans="4:19" x14ac:dyDescent="0.25">
      <c r="D9" s="165"/>
      <c r="E9" s="165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</row>
  </sheetData>
  <mergeCells count="2">
    <mergeCell ref="D5:S7"/>
    <mergeCell ref="F8:Q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6C5-0839-4683-9674-84ED5CDE5854}">
  <dimension ref="B2:K39"/>
  <sheetViews>
    <sheetView showGridLines="0" topLeftCell="A32" zoomScaleNormal="100" workbookViewId="0">
      <selection activeCell="D49" sqref="D49"/>
    </sheetView>
  </sheetViews>
  <sheetFormatPr defaultRowHeight="15" x14ac:dyDescent="0.25"/>
  <cols>
    <col min="1" max="1" width="1.85546875" customWidth="1"/>
    <col min="2" max="2" width="29.85546875" customWidth="1"/>
    <col min="3" max="3" width="12.140625" bestFit="1" customWidth="1"/>
    <col min="4" max="4" width="13.5703125" customWidth="1"/>
    <col min="5" max="5" width="14.7109375" customWidth="1"/>
    <col min="6" max="6" width="18.140625" customWidth="1"/>
    <col min="7" max="7" width="17.28515625" customWidth="1"/>
    <col min="10" max="10" width="10" bestFit="1" customWidth="1"/>
    <col min="11" max="11" width="12.5703125" bestFit="1" customWidth="1"/>
  </cols>
  <sheetData>
    <row r="2" spans="2:11" x14ac:dyDescent="0.25">
      <c r="B2" s="65" t="str">
        <f>'Data Sheet'!B1&amp;" - "&amp;"WACC"</f>
        <v>AVENUE SUPERMARTS LTD - WACC</v>
      </c>
      <c r="C2" s="65"/>
      <c r="D2" s="65"/>
      <c r="E2" s="65"/>
      <c r="F2" s="65"/>
      <c r="G2" s="65"/>
      <c r="H2" s="65"/>
      <c r="I2" s="65"/>
      <c r="J2" s="65"/>
      <c r="K2" s="65"/>
    </row>
    <row r="4" spans="2:11" x14ac:dyDescent="0.25">
      <c r="B4" s="171" t="s">
        <v>120</v>
      </c>
    </row>
    <row r="5" spans="2:11" x14ac:dyDescent="0.25">
      <c r="B5" s="78"/>
      <c r="C5" s="78"/>
      <c r="D5" s="78"/>
      <c r="E5" s="78"/>
      <c r="F5" s="78"/>
      <c r="G5" s="78"/>
      <c r="H5" s="184" t="s">
        <v>121</v>
      </c>
      <c r="I5" s="184" t="s">
        <v>121</v>
      </c>
      <c r="J5" s="184" t="s">
        <v>122</v>
      </c>
      <c r="K5" s="184" t="s">
        <v>123</v>
      </c>
    </row>
    <row r="6" spans="2:11" ht="17.25" x14ac:dyDescent="0.25">
      <c r="B6" s="182" t="s">
        <v>124</v>
      </c>
      <c r="C6" s="182"/>
      <c r="D6" s="183" t="s">
        <v>125</v>
      </c>
      <c r="E6" s="183" t="s">
        <v>126</v>
      </c>
      <c r="F6" s="183" t="s">
        <v>127</v>
      </c>
      <c r="G6" s="183" t="s">
        <v>371</v>
      </c>
      <c r="H6" s="182" t="s">
        <v>128</v>
      </c>
      <c r="I6" s="182" t="s">
        <v>129</v>
      </c>
      <c r="J6" s="182" t="s">
        <v>372</v>
      </c>
      <c r="K6" s="182" t="s">
        <v>373</v>
      </c>
    </row>
    <row r="8" spans="2:11" x14ac:dyDescent="0.25">
      <c r="B8" s="166" t="str">
        <f>Peers!C5</f>
        <v>Avenue Super.</v>
      </c>
      <c r="D8" s="185" t="s">
        <v>130</v>
      </c>
      <c r="E8" s="95">
        <f>Peers!F5</f>
        <v>630.38</v>
      </c>
      <c r="F8" s="93">
        <f>Peers!E5</f>
        <v>239346.981</v>
      </c>
      <c r="G8" s="181">
        <v>0.3</v>
      </c>
      <c r="H8" s="80">
        <f>E8/F8</f>
        <v>2.6337495353659797E-3</v>
      </c>
      <c r="I8" s="80">
        <f>E8/(E8+F8)</f>
        <v>2.6268311201238688E-3</v>
      </c>
      <c r="J8" s="72">
        <f>'Beta - Regression'!K8</f>
        <v>0.53771704598872894</v>
      </c>
      <c r="K8" s="81">
        <f t="shared" ref="K8:K10" si="0">J8/(1+(1-G8)*H8)</f>
        <v>0.53672752188575956</v>
      </c>
    </row>
    <row r="9" spans="2:11" x14ac:dyDescent="0.25">
      <c r="B9" s="166" t="str">
        <f>Peers!C6</f>
        <v>Trent</v>
      </c>
      <c r="D9" s="185" t="s">
        <v>130</v>
      </c>
      <c r="E9" s="95">
        <f>Peers!F6</f>
        <v>4839.33</v>
      </c>
      <c r="F9" s="93">
        <f>Peers!E6</f>
        <v>141270.36749999999</v>
      </c>
      <c r="G9" s="181">
        <v>0.3</v>
      </c>
      <c r="H9" s="80">
        <f>E9/F9</f>
        <v>3.4255803857804787E-2</v>
      </c>
      <c r="I9" s="80">
        <f>E9/(E9+F9)</f>
        <v>3.3121210178400383E-2</v>
      </c>
      <c r="J9" s="72">
        <f>'Beta - Comps'!K8</f>
        <v>1.0141975492548077</v>
      </c>
      <c r="K9" s="81">
        <f t="shared" si="0"/>
        <v>0.99044754546068592</v>
      </c>
    </row>
    <row r="10" spans="2:11" x14ac:dyDescent="0.25">
      <c r="B10" s="166" t="str">
        <f>Peers!C7</f>
        <v>Vedant Fashions</v>
      </c>
      <c r="D10" s="185" t="s">
        <v>130</v>
      </c>
      <c r="E10" s="95">
        <f>Peers!F7</f>
        <v>365.02</v>
      </c>
      <c r="F10" s="93">
        <f>Peers!E7</f>
        <v>23850.243999999999</v>
      </c>
      <c r="G10" s="181">
        <v>0.3</v>
      </c>
      <c r="H10" s="80">
        <f>E10/F10</f>
        <v>1.5304665226905016E-2</v>
      </c>
      <c r="I10" s="80">
        <f>E10/(E10+F10)</f>
        <v>1.5073963265484118E-2</v>
      </c>
      <c r="J10" s="72">
        <f>'Beta - Comps'!X8</f>
        <v>0.59087967019358012</v>
      </c>
      <c r="K10" s="81">
        <f t="shared" si="0"/>
        <v>0.58461651812635029</v>
      </c>
    </row>
    <row r="12" spans="2:11" x14ac:dyDescent="0.25">
      <c r="F12" s="187" t="s">
        <v>131</v>
      </c>
      <c r="G12" s="83">
        <f>AVERAGE(G8:G10)</f>
        <v>0.3</v>
      </c>
      <c r="H12" s="83">
        <f>AVERAGE(H8:H10)</f>
        <v>1.7398072873358594E-2</v>
      </c>
      <c r="I12" s="83">
        <f>AVERAGE(I8:I10)</f>
        <v>1.6940668188002789E-2</v>
      </c>
      <c r="J12" s="85">
        <f>AVERAGE(J8:J10)</f>
        <v>0.71426475514570564</v>
      </c>
      <c r="K12" s="85">
        <f>AVERAGE(K8:K10)</f>
        <v>0.70393052849093196</v>
      </c>
    </row>
    <row r="13" spans="2:11" x14ac:dyDescent="0.25">
      <c r="F13" s="148" t="s">
        <v>82</v>
      </c>
      <c r="G13" s="84">
        <f>MEDIAN(G8:G10)</f>
        <v>0.3</v>
      </c>
      <c r="H13" s="84">
        <f>MEDIAN(H8:H10)</f>
        <v>1.5304665226905016E-2</v>
      </c>
      <c r="I13" s="84">
        <f>MEDIAN(I8:I10)</f>
        <v>1.5073963265484118E-2</v>
      </c>
      <c r="J13" s="86">
        <f>MEDIAN(J8:J10)</f>
        <v>0.59087967019358012</v>
      </c>
      <c r="K13" s="86">
        <f>MEDIAN(K8:K10)</f>
        <v>0.58461651812635029</v>
      </c>
    </row>
    <row r="16" spans="2:11" x14ac:dyDescent="0.25">
      <c r="B16" s="188" t="s">
        <v>132</v>
      </c>
      <c r="C16" s="88"/>
      <c r="D16" s="79"/>
      <c r="E16" s="79"/>
      <c r="G16" s="188" t="s">
        <v>133</v>
      </c>
      <c r="H16" s="79"/>
      <c r="I16" s="79"/>
      <c r="J16" s="79"/>
      <c r="K16" s="79"/>
    </row>
    <row r="18" spans="2:11" x14ac:dyDescent="0.25">
      <c r="G18" s="166" t="s">
        <v>134</v>
      </c>
      <c r="K18" s="180">
        <v>7.1139999999999995E-2</v>
      </c>
    </row>
    <row r="19" spans="2:11" x14ac:dyDescent="0.25">
      <c r="B19" s="166" t="s">
        <v>135</v>
      </c>
      <c r="E19" s="73">
        <f>Peers!J5</f>
        <v>1.3844891751544118E-2</v>
      </c>
      <c r="G19" s="166" t="s">
        <v>136</v>
      </c>
      <c r="K19" s="90">
        <f>Rm!F8-WACC!K18</f>
        <v>9.8851666666666657E-2</v>
      </c>
    </row>
    <row r="20" spans="2:11" ht="17.25" x14ac:dyDescent="0.25">
      <c r="B20" s="166" t="s">
        <v>137</v>
      </c>
      <c r="E20" s="181">
        <v>0.3</v>
      </c>
      <c r="G20" s="166" t="s">
        <v>374</v>
      </c>
      <c r="K20" s="72">
        <f>K30</f>
        <v>0.59166864193131374</v>
      </c>
    </row>
    <row r="21" spans="2:11" x14ac:dyDescent="0.25">
      <c r="B21" s="186" t="s">
        <v>138</v>
      </c>
      <c r="C21" s="87"/>
      <c r="D21" s="87"/>
      <c r="E21" s="91">
        <f>E19*(1-E20)</f>
        <v>9.691424226080882E-3</v>
      </c>
      <c r="G21" s="186" t="s">
        <v>133</v>
      </c>
      <c r="H21" s="87"/>
      <c r="I21" s="87"/>
      <c r="J21" s="87"/>
      <c r="K21" s="91">
        <f>K18+K19*K20</f>
        <v>0.12962743136931357</v>
      </c>
    </row>
    <row r="25" spans="2:11" x14ac:dyDescent="0.25">
      <c r="B25" s="188" t="s">
        <v>139</v>
      </c>
      <c r="C25" s="88"/>
      <c r="D25" s="79"/>
      <c r="E25" s="79"/>
      <c r="G25" s="188" t="s">
        <v>140</v>
      </c>
      <c r="H25" s="88"/>
      <c r="I25" s="79"/>
      <c r="J25" s="79"/>
      <c r="K25" s="79"/>
    </row>
    <row r="27" spans="2:11" x14ac:dyDescent="0.25">
      <c r="D27" s="70" t="s">
        <v>141</v>
      </c>
      <c r="E27" s="70" t="s">
        <v>142</v>
      </c>
      <c r="G27" s="166" t="s">
        <v>143</v>
      </c>
      <c r="K27" s="72">
        <f>K13</f>
        <v>0.58461651812635029</v>
      </c>
    </row>
    <row r="28" spans="2:11" x14ac:dyDescent="0.25">
      <c r="B28" s="166" t="s">
        <v>126</v>
      </c>
      <c r="C28" s="93">
        <f>E8</f>
        <v>630.38</v>
      </c>
      <c r="D28" s="73">
        <f>C28/$C$30</f>
        <v>2.6268311201238688E-3</v>
      </c>
      <c r="E28" s="73">
        <f>I12</f>
        <v>1.6940668188002789E-2</v>
      </c>
      <c r="G28" s="166" t="s">
        <v>144</v>
      </c>
      <c r="K28" s="73">
        <f>E32</f>
        <v>1.7232599945699478E-2</v>
      </c>
    </row>
    <row r="29" spans="2:11" x14ac:dyDescent="0.25">
      <c r="B29" s="166" t="s">
        <v>145</v>
      </c>
      <c r="C29" s="93">
        <f>F8</f>
        <v>239346.981</v>
      </c>
      <c r="D29" s="73">
        <f>C29/$C$30</f>
        <v>0.99737316887987615</v>
      </c>
      <c r="E29" s="73">
        <f>E30-E28</f>
        <v>0.98305933181199723</v>
      </c>
      <c r="G29" s="166" t="s">
        <v>137</v>
      </c>
      <c r="K29" s="73">
        <f>E20</f>
        <v>0.3</v>
      </c>
    </row>
    <row r="30" spans="2:11" x14ac:dyDescent="0.25">
      <c r="B30" s="186" t="s">
        <v>146</v>
      </c>
      <c r="C30" s="94">
        <f>SUM(C28:C29)</f>
        <v>239977.361</v>
      </c>
      <c r="D30" s="89">
        <f>C30/$C$30</f>
        <v>1</v>
      </c>
      <c r="E30" s="89">
        <f>D30</f>
        <v>1</v>
      </c>
      <c r="G30" s="186" t="s">
        <v>147</v>
      </c>
      <c r="H30" s="87"/>
      <c r="I30" s="87"/>
      <c r="J30" s="87"/>
      <c r="K30" s="92">
        <f>K27*(1+(1-K29)*K28)</f>
        <v>0.59166864193131374</v>
      </c>
    </row>
    <row r="31" spans="2:11" x14ac:dyDescent="0.25">
      <c r="B31" s="166"/>
    </row>
    <row r="32" spans="2:11" x14ac:dyDescent="0.25">
      <c r="B32" s="166" t="s">
        <v>148</v>
      </c>
      <c r="D32" s="80">
        <f>D28/D29</f>
        <v>2.6337495353659797E-3</v>
      </c>
      <c r="E32" s="80">
        <f>E28/E29</f>
        <v>1.7232599945699478E-2</v>
      </c>
      <c r="G32" s="188" t="s">
        <v>149</v>
      </c>
      <c r="H32" s="88"/>
      <c r="I32" s="79"/>
      <c r="J32" s="79"/>
      <c r="K32" s="79"/>
    </row>
    <row r="34" spans="2:11" x14ac:dyDescent="0.25">
      <c r="J34" s="148" t="s">
        <v>150</v>
      </c>
      <c r="K34" s="148" t="s">
        <v>151</v>
      </c>
    </row>
    <row r="35" spans="2:11" x14ac:dyDescent="0.25">
      <c r="B35" s="189" t="s">
        <v>152</v>
      </c>
      <c r="G35" s="166" t="s">
        <v>153</v>
      </c>
      <c r="J35" s="73">
        <f>E21</f>
        <v>9.691424226080882E-3</v>
      </c>
      <c r="K35" s="73">
        <f>E28</f>
        <v>1.6940668188002789E-2</v>
      </c>
    </row>
    <row r="36" spans="2:11" x14ac:dyDescent="0.25">
      <c r="B36" s="190" t="s">
        <v>154</v>
      </c>
      <c r="G36" s="166" t="s">
        <v>155</v>
      </c>
      <c r="J36" s="73">
        <f>K21</f>
        <v>0.12962743136931357</v>
      </c>
      <c r="K36" s="73">
        <f>E29</f>
        <v>0.98305933181199723</v>
      </c>
    </row>
    <row r="37" spans="2:11" x14ac:dyDescent="0.25">
      <c r="B37" s="190" t="s">
        <v>156</v>
      </c>
      <c r="G37" s="186" t="s">
        <v>157</v>
      </c>
      <c r="H37" s="87"/>
      <c r="I37" s="87"/>
      <c r="J37" s="87"/>
      <c r="K37" s="91">
        <f>SUMPRODUCT(J35:J36,K35:K36)</f>
        <v>0.12759563526850612</v>
      </c>
    </row>
    <row r="38" spans="2:11" x14ac:dyDescent="0.25">
      <c r="B38" s="190" t="s">
        <v>158</v>
      </c>
    </row>
    <row r="39" spans="2:11" x14ac:dyDescent="0.25">
      <c r="B39" s="190" t="s">
        <v>159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4FFD-6693-4AB1-9583-5A9980067C28}">
  <dimension ref="A2:K65"/>
  <sheetViews>
    <sheetView showGridLines="0" topLeftCell="A46" workbookViewId="0">
      <selection activeCell="H50" sqref="H50"/>
    </sheetView>
  </sheetViews>
  <sheetFormatPr defaultRowHeight="15" x14ac:dyDescent="0.25"/>
  <cols>
    <col min="1" max="1" width="1.85546875" customWidth="1"/>
    <col min="7" max="9" width="11.140625" bestFit="1" customWidth="1"/>
    <col min="10" max="10" width="15" customWidth="1"/>
    <col min="11" max="11" width="11.140625" bestFit="1" customWidth="1"/>
  </cols>
  <sheetData>
    <row r="2" spans="1:11" x14ac:dyDescent="0.25">
      <c r="B2" s="65" t="str">
        <f>'Data Sheet'!B1&amp; " - Intrinsic Growth"</f>
        <v>AVENUE SUPERMARTS LTD - Intrinsic Growth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285</v>
      </c>
      <c r="C4" s="8"/>
      <c r="D4" s="8"/>
      <c r="E4" s="8"/>
      <c r="F4" s="8"/>
      <c r="G4" s="9">
        <f>'Raw BS (Manual)'!J2</f>
        <v>43525</v>
      </c>
      <c r="H4" s="9">
        <f>'Raw BS (Manual)'!K2</f>
        <v>43891</v>
      </c>
      <c r="I4" s="9">
        <f>'Raw BS (Manual)'!L2</f>
        <v>44256</v>
      </c>
      <c r="J4" s="9">
        <f>'Raw BS (Manual)'!M2</f>
        <v>44621</v>
      </c>
      <c r="K4" s="9">
        <f>'Raw BS (Manual)'!N2</f>
        <v>44986</v>
      </c>
    </row>
    <row r="6" spans="1:11" x14ac:dyDescent="0.25">
      <c r="B6" s="11" t="s">
        <v>286</v>
      </c>
    </row>
    <row r="7" spans="1:11" x14ac:dyDescent="0.25">
      <c r="B7" s="115" t="str">
        <f>'Raw BS (Manual)'!B36</f>
        <v>Inventories</v>
      </c>
      <c r="C7" s="115"/>
      <c r="D7" s="115"/>
      <c r="E7" s="115"/>
      <c r="F7" s="115"/>
      <c r="G7" s="122">
        <f>'Raw BS (Manual)'!J36</f>
        <v>1301</v>
      </c>
      <c r="H7" s="122">
        <f>'Raw BS (Manual)'!K36</f>
        <v>1380</v>
      </c>
      <c r="I7" s="122">
        <f>'Raw BS (Manual)'!L36</f>
        <v>1734</v>
      </c>
      <c r="J7" s="122">
        <f>'Raw BS (Manual)'!M36</f>
        <v>1911</v>
      </c>
      <c r="K7" s="122">
        <f>'Raw BS (Manual)'!N36</f>
        <v>2024</v>
      </c>
    </row>
    <row r="8" spans="1:11" x14ac:dyDescent="0.25">
      <c r="B8" s="115" t="str">
        <f>'Raw BS (Manual)'!B37</f>
        <v>Trade receivables</v>
      </c>
      <c r="C8" s="115"/>
      <c r="D8" s="115"/>
      <c r="E8" s="115"/>
      <c r="F8" s="115"/>
      <c r="G8" s="122">
        <f>'Raw BS (Manual)'!J37</f>
        <v>834</v>
      </c>
      <c r="H8" s="122">
        <f>'Raw BS (Manual)'!K37</f>
        <v>814</v>
      </c>
      <c r="I8" s="122">
        <f>'Raw BS (Manual)'!L37</f>
        <v>562</v>
      </c>
      <c r="J8" s="122">
        <f>'Raw BS (Manual)'!M37</f>
        <v>646</v>
      </c>
      <c r="K8" s="122">
        <f>'Raw BS (Manual)'!N37</f>
        <v>849</v>
      </c>
    </row>
    <row r="9" spans="1:11" x14ac:dyDescent="0.25">
      <c r="B9" s="115" t="str">
        <f>'Raw BS (Manual)'!B39</f>
        <v>Short term loans</v>
      </c>
      <c r="C9" s="115"/>
      <c r="D9" s="115"/>
      <c r="E9" s="115"/>
      <c r="F9" s="115"/>
      <c r="G9" s="122">
        <f>'Raw BS (Manual)'!J39</f>
        <v>22</v>
      </c>
      <c r="H9" s="122">
        <f>'Raw BS (Manual)'!K39</f>
        <v>23</v>
      </c>
      <c r="I9" s="122">
        <f>'Raw BS (Manual)'!L39</f>
        <v>20</v>
      </c>
      <c r="J9" s="122">
        <f>'Raw BS (Manual)'!M39</f>
        <v>24</v>
      </c>
      <c r="K9" s="122">
        <f>'Raw BS (Manual)'!N39</f>
        <v>33</v>
      </c>
    </row>
    <row r="10" spans="1:11" x14ac:dyDescent="0.25">
      <c r="B10" t="str">
        <f>'Raw BS (Manual)'!B40</f>
        <v>Other asset items</v>
      </c>
      <c r="G10" s="123">
        <f>'Raw BS (Manual)'!J40</f>
        <v>561</v>
      </c>
      <c r="H10" s="123">
        <f>'Raw BS (Manual)'!K40</f>
        <v>1109</v>
      </c>
      <c r="I10" s="123">
        <f>'Raw BS (Manual)'!L40</f>
        <v>639</v>
      </c>
      <c r="J10" s="123">
        <f>'Raw BS (Manual)'!M40</f>
        <v>437</v>
      </c>
      <c r="K10" s="123">
        <f>'Raw BS (Manual)'!N40</f>
        <v>401</v>
      </c>
    </row>
    <row r="11" spans="1:11" x14ac:dyDescent="0.25">
      <c r="B11" s="82" t="s">
        <v>45</v>
      </c>
      <c r="C11" s="120"/>
      <c r="D11" s="120"/>
      <c r="E11" s="120"/>
      <c r="F11" s="120"/>
      <c r="G11" s="124">
        <f>SUM(G7:G10)</f>
        <v>2718</v>
      </c>
      <c r="H11" s="124">
        <f t="shared" ref="H11:K11" si="0">SUM(H7:H10)</f>
        <v>3326</v>
      </c>
      <c r="I11" s="124">
        <f t="shared" si="0"/>
        <v>2955</v>
      </c>
      <c r="J11" s="124">
        <f t="shared" si="0"/>
        <v>3018</v>
      </c>
      <c r="K11" s="124">
        <f t="shared" si="0"/>
        <v>3307</v>
      </c>
    </row>
    <row r="12" spans="1:11" x14ac:dyDescent="0.25">
      <c r="G12" s="123"/>
      <c r="H12" s="123"/>
      <c r="I12" s="123"/>
      <c r="J12" s="123"/>
      <c r="K12" s="123"/>
    </row>
    <row r="13" spans="1:11" x14ac:dyDescent="0.25">
      <c r="B13" s="11" t="s">
        <v>287</v>
      </c>
      <c r="G13" s="123"/>
      <c r="H13" s="123"/>
      <c r="I13" s="123"/>
      <c r="J13" s="123"/>
      <c r="K13" s="123"/>
    </row>
    <row r="14" spans="1:11" x14ac:dyDescent="0.25">
      <c r="B14" s="115" t="str">
        <f>'Raw BS (Manual)'!B13</f>
        <v>Trade Payables</v>
      </c>
      <c r="C14" s="115"/>
      <c r="D14" s="115"/>
      <c r="E14" s="115"/>
      <c r="F14" s="115"/>
      <c r="G14" s="122">
        <f>'Raw BS (Manual)'!J13</f>
        <v>1455</v>
      </c>
      <c r="H14" s="122">
        <f>'Raw BS (Manual)'!K13</f>
        <v>1482</v>
      </c>
      <c r="I14" s="122">
        <f>'Raw BS (Manual)'!L13</f>
        <v>1915</v>
      </c>
      <c r="J14" s="122">
        <f>'Raw BS (Manual)'!M13</f>
        <v>2018</v>
      </c>
      <c r="K14" s="122">
        <f>'Raw BS (Manual)'!N13</f>
        <v>2187</v>
      </c>
    </row>
    <row r="15" spans="1:11" x14ac:dyDescent="0.25">
      <c r="B15" s="115" t="str">
        <f>'Raw BS (Manual)'!B14</f>
        <v>Advance from Customers</v>
      </c>
      <c r="C15" s="115"/>
      <c r="D15" s="115"/>
      <c r="E15" s="115"/>
      <c r="F15" s="115"/>
      <c r="G15" s="122">
        <f>'Raw BS (Manual)'!J14</f>
        <v>28</v>
      </c>
      <c r="H15" s="122">
        <f>'Raw BS (Manual)'!K14</f>
        <v>30</v>
      </c>
      <c r="I15" s="122">
        <f>'Raw BS (Manual)'!L14</f>
        <v>43</v>
      </c>
      <c r="J15" s="122">
        <f>'Raw BS (Manual)'!M14</f>
        <v>37</v>
      </c>
      <c r="K15" s="122">
        <f>'Raw BS (Manual)'!N14</f>
        <v>9</v>
      </c>
    </row>
    <row r="16" spans="1:11" x14ac:dyDescent="0.25">
      <c r="B16" s="115" t="str">
        <f>'Raw BS (Manual)'!B15</f>
        <v>Other liability items</v>
      </c>
      <c r="C16" s="115"/>
      <c r="D16" s="115"/>
      <c r="E16" s="115"/>
      <c r="F16" s="115"/>
      <c r="G16" s="122">
        <f>'Raw BS (Manual)'!J15</f>
        <v>591</v>
      </c>
      <c r="H16" s="122">
        <f>'Raw BS (Manual)'!K15</f>
        <v>660</v>
      </c>
      <c r="I16" s="122">
        <f>'Raw BS (Manual)'!L15</f>
        <v>666</v>
      </c>
      <c r="J16" s="122">
        <f>'Raw BS (Manual)'!M15</f>
        <v>777</v>
      </c>
      <c r="K16" s="122">
        <f>'Raw BS (Manual)'!N15</f>
        <v>842</v>
      </c>
    </row>
    <row r="17" spans="1:11" x14ac:dyDescent="0.25">
      <c r="B17" s="82" t="s">
        <v>288</v>
      </c>
      <c r="C17" s="120"/>
      <c r="D17" s="120"/>
      <c r="E17" s="120"/>
      <c r="F17" s="120"/>
      <c r="G17" s="124">
        <f>SUM(G14:G16)</f>
        <v>2074</v>
      </c>
      <c r="H17" s="124">
        <f>SUM(H14:H16)</f>
        <v>2172</v>
      </c>
      <c r="I17" s="124">
        <f>SUM(I14:I16)</f>
        <v>2624</v>
      </c>
      <c r="J17" s="124">
        <f>SUM(J14:J16)</f>
        <v>2832</v>
      </c>
      <c r="K17" s="124">
        <f>SUM(K14:K16)</f>
        <v>3038</v>
      </c>
    </row>
    <row r="18" spans="1:11" x14ac:dyDescent="0.25">
      <c r="G18" s="123"/>
      <c r="H18" s="123"/>
      <c r="I18" s="123"/>
      <c r="J18" s="123"/>
      <c r="K18" s="123"/>
    </row>
    <row r="19" spans="1:11" ht="15.75" thickBot="1" x14ac:dyDescent="0.3">
      <c r="A19" t="s">
        <v>2</v>
      </c>
      <c r="B19" s="57" t="s">
        <v>289</v>
      </c>
      <c r="C19" s="57"/>
      <c r="D19" s="57"/>
      <c r="E19" s="57"/>
      <c r="F19" s="57"/>
      <c r="G19" s="125">
        <f>G11-G17</f>
        <v>644</v>
      </c>
      <c r="H19" s="125">
        <f t="shared" ref="H19:K19" si="1">H11-H17</f>
        <v>1154</v>
      </c>
      <c r="I19" s="125">
        <f t="shared" si="1"/>
        <v>331</v>
      </c>
      <c r="J19" s="125">
        <f t="shared" si="1"/>
        <v>186</v>
      </c>
      <c r="K19" s="125">
        <f t="shared" si="1"/>
        <v>269</v>
      </c>
    </row>
    <row r="20" spans="1:11" x14ac:dyDescent="0.25">
      <c r="G20" s="123"/>
      <c r="H20" s="123"/>
      <c r="I20" s="123"/>
      <c r="J20" s="123"/>
      <c r="K20" s="123"/>
    </row>
    <row r="21" spans="1:11" x14ac:dyDescent="0.25">
      <c r="B21" s="11" t="s">
        <v>290</v>
      </c>
      <c r="G21" s="123"/>
      <c r="H21" s="123"/>
      <c r="I21" s="123"/>
      <c r="J21" s="123"/>
      <c r="K21" s="123"/>
    </row>
    <row r="22" spans="1:11" x14ac:dyDescent="0.25">
      <c r="B22" s="115" t="str">
        <f>'Raw BS (Manual)'!B19</f>
        <v>Land</v>
      </c>
      <c r="C22" s="115"/>
      <c r="D22" s="115"/>
      <c r="E22" s="115"/>
      <c r="F22" s="115"/>
      <c r="G22" s="122">
        <f>'Raw BS (Manual)'!J19</f>
        <v>108</v>
      </c>
      <c r="H22" s="122">
        <f>'Raw BS (Manual)'!K19</f>
        <v>103</v>
      </c>
      <c r="I22" s="122">
        <f>'Raw BS (Manual)'!L19</f>
        <v>93</v>
      </c>
      <c r="J22" s="122">
        <f>'Raw BS (Manual)'!M19</f>
        <v>123</v>
      </c>
      <c r="K22" s="122">
        <f>'Raw BS (Manual)'!N19</f>
        <v>141</v>
      </c>
    </row>
    <row r="23" spans="1:11" x14ac:dyDescent="0.25">
      <c r="B23" s="115" t="str">
        <f>'Raw BS (Manual)'!B20</f>
        <v>Building</v>
      </c>
      <c r="C23" s="115"/>
      <c r="D23" s="115"/>
      <c r="E23" s="115"/>
      <c r="F23" s="115"/>
      <c r="G23" s="122">
        <f>'Raw BS (Manual)'!J20</f>
        <v>788</v>
      </c>
      <c r="H23" s="122">
        <f>'Raw BS (Manual)'!K20</f>
        <v>1054</v>
      </c>
      <c r="I23" s="122">
        <f>'Raw BS (Manual)'!L20</f>
        <v>1057</v>
      </c>
      <c r="J23" s="122">
        <f>'Raw BS (Manual)'!M20</f>
        <v>1144</v>
      </c>
      <c r="K23" s="122">
        <f>'Raw BS (Manual)'!N20</f>
        <v>1279</v>
      </c>
    </row>
    <row r="24" spans="1:11" x14ac:dyDescent="0.25">
      <c r="B24" s="115" t="str">
        <f>'Raw BS (Manual)'!B21</f>
        <v>Plant Machinery</v>
      </c>
      <c r="C24" s="115"/>
      <c r="D24" s="115"/>
      <c r="E24" s="115"/>
      <c r="F24" s="115"/>
      <c r="G24" s="122">
        <f>'Raw BS (Manual)'!J21</f>
        <v>1527</v>
      </c>
      <c r="H24" s="122">
        <f>'Raw BS (Manual)'!K21</f>
        <v>1719</v>
      </c>
      <c r="I24" s="122">
        <f>'Raw BS (Manual)'!L21</f>
        <v>1862</v>
      </c>
      <c r="J24" s="122">
        <f>'Raw BS (Manual)'!M21</f>
        <v>2074</v>
      </c>
      <c r="K24" s="122">
        <f>'Raw BS (Manual)'!N21</f>
        <v>2408</v>
      </c>
    </row>
    <row r="25" spans="1:11" x14ac:dyDescent="0.25">
      <c r="B25" s="115" t="str">
        <f>'Raw BS (Manual)'!B22</f>
        <v>Equipments</v>
      </c>
      <c r="C25" s="115"/>
      <c r="D25" s="115"/>
      <c r="E25" s="115"/>
      <c r="F25" s="115"/>
      <c r="G25" s="122">
        <f>'Raw BS (Manual)'!J22</f>
        <v>68</v>
      </c>
      <c r="H25" s="122">
        <f>'Raw BS (Manual)'!K22</f>
        <v>69</v>
      </c>
      <c r="I25" s="122">
        <f>'Raw BS (Manual)'!L22</f>
        <v>73</v>
      </c>
      <c r="J25" s="122">
        <f>'Raw BS (Manual)'!M22</f>
        <v>78</v>
      </c>
      <c r="K25" s="122">
        <f>'Raw BS (Manual)'!N22</f>
        <v>88</v>
      </c>
    </row>
    <row r="26" spans="1:11" x14ac:dyDescent="0.25">
      <c r="B26" s="115" t="str">
        <f>'Raw BS (Manual)'!B23</f>
        <v>Computers</v>
      </c>
      <c r="C26" s="115"/>
      <c r="D26" s="115"/>
      <c r="E26" s="115"/>
      <c r="F26" s="115"/>
      <c r="G26" s="122">
        <f>'Raw BS (Manual)'!J23</f>
        <v>0</v>
      </c>
      <c r="H26" s="122">
        <f>'Raw BS (Manual)'!K23</f>
        <v>0</v>
      </c>
      <c r="I26" s="122">
        <f>'Raw BS (Manual)'!L23</f>
        <v>0</v>
      </c>
      <c r="J26" s="122">
        <f>'Raw BS (Manual)'!M23</f>
        <v>0</v>
      </c>
      <c r="K26" s="122">
        <f>'Raw BS (Manual)'!N23</f>
        <v>0</v>
      </c>
    </row>
    <row r="27" spans="1:11" x14ac:dyDescent="0.25">
      <c r="B27" s="115" t="str">
        <f>'Raw BS (Manual)'!B24</f>
        <v>Furniture n fittings</v>
      </c>
      <c r="C27" s="115"/>
      <c r="D27" s="115"/>
      <c r="E27" s="115"/>
      <c r="F27" s="115"/>
      <c r="G27" s="122">
        <f>'Raw BS (Manual)'!J24</f>
        <v>113</v>
      </c>
      <c r="H27" s="122">
        <f>'Raw BS (Manual)'!K24</f>
        <v>126</v>
      </c>
      <c r="I27" s="122">
        <f>'Raw BS (Manual)'!L24</f>
        <v>129</v>
      </c>
      <c r="J27" s="122">
        <f>'Raw BS (Manual)'!M24</f>
        <v>134</v>
      </c>
      <c r="K27" s="122">
        <f>'Raw BS (Manual)'!N24</f>
        <v>148</v>
      </c>
    </row>
    <row r="28" spans="1:11" x14ac:dyDescent="0.25">
      <c r="B28" s="115" t="str">
        <f>'Raw BS (Manual)'!B25</f>
        <v>Vehicles</v>
      </c>
      <c r="C28" s="115"/>
      <c r="D28" s="115"/>
      <c r="E28" s="115"/>
      <c r="F28" s="115"/>
      <c r="G28" s="122">
        <f>'Raw BS (Manual)'!J25</f>
        <v>44</v>
      </c>
      <c r="H28" s="122">
        <f>'Raw BS (Manual)'!K25</f>
        <v>45</v>
      </c>
      <c r="I28" s="122">
        <f>'Raw BS (Manual)'!L25</f>
        <v>45</v>
      </c>
      <c r="J28" s="122">
        <f>'Raw BS (Manual)'!M25</f>
        <v>47</v>
      </c>
      <c r="K28" s="122">
        <f>'Raw BS (Manual)'!N25</f>
        <v>43</v>
      </c>
    </row>
    <row r="29" spans="1:11" x14ac:dyDescent="0.25">
      <c r="B29" s="115" t="str">
        <f>'Raw BS (Manual)'!B26</f>
        <v>Intangible Assets</v>
      </c>
      <c r="C29" s="115"/>
      <c r="D29" s="115"/>
      <c r="E29" s="115"/>
      <c r="F29" s="115"/>
      <c r="G29" s="122">
        <f>'Raw BS (Manual)'!J26</f>
        <v>367</v>
      </c>
      <c r="H29" s="122">
        <f>'Raw BS (Manual)'!K26</f>
        <v>374</v>
      </c>
      <c r="I29" s="122">
        <f>'Raw BS (Manual)'!L26</f>
        <v>375</v>
      </c>
      <c r="J29" s="122">
        <f>'Raw BS (Manual)'!M26</f>
        <v>291</v>
      </c>
      <c r="K29" s="122">
        <f>'Raw BS (Manual)'!N26</f>
        <v>1322</v>
      </c>
    </row>
    <row r="30" spans="1:11" x14ac:dyDescent="0.25">
      <c r="B30" s="115" t="str">
        <f>'Raw BS (Manual)'!B27</f>
        <v>Other fixed assets</v>
      </c>
      <c r="C30" s="115"/>
      <c r="D30" s="115"/>
      <c r="E30" s="115"/>
      <c r="F30" s="115"/>
      <c r="G30" s="122">
        <f>'Raw BS (Manual)'!J27</f>
        <v>125</v>
      </c>
      <c r="H30" s="122">
        <f>'Raw BS (Manual)'!K27</f>
        <v>139</v>
      </c>
      <c r="I30" s="122">
        <f>'Raw BS (Manual)'!L27</f>
        <v>146</v>
      </c>
      <c r="J30" s="122">
        <f>'Raw BS (Manual)'!M27</f>
        <v>149</v>
      </c>
      <c r="K30" s="122">
        <f>'Raw BS (Manual)'!N27</f>
        <v>154</v>
      </c>
    </row>
    <row r="31" spans="1:11" ht="8.25" customHeight="1" x14ac:dyDescent="0.25">
      <c r="B31" s="100"/>
      <c r="C31" s="100"/>
      <c r="D31" s="100"/>
      <c r="E31" s="100"/>
      <c r="F31" s="100"/>
      <c r="G31" s="126"/>
      <c r="H31" s="126"/>
      <c r="I31" s="126"/>
      <c r="J31" s="126"/>
      <c r="K31" s="126"/>
    </row>
    <row r="32" spans="1:11" x14ac:dyDescent="0.25">
      <c r="B32" s="82" t="s">
        <v>276</v>
      </c>
      <c r="C32" s="120"/>
      <c r="D32" s="120"/>
      <c r="E32" s="120"/>
      <c r="F32" s="120"/>
      <c r="G32" s="124">
        <f>SUM(G22:G30)</f>
        <v>3140</v>
      </c>
      <c r="H32" s="124">
        <f>SUM(H22:H30)</f>
        <v>3629</v>
      </c>
      <c r="I32" s="124">
        <f>SUM(I22:I30)</f>
        <v>3780</v>
      </c>
      <c r="J32" s="124">
        <f>SUM(J22:J30)</f>
        <v>4040</v>
      </c>
      <c r="K32" s="124">
        <f>SUM(K22:K30)</f>
        <v>5583</v>
      </c>
    </row>
    <row r="33" spans="1:11" x14ac:dyDescent="0.25">
      <c r="B33" t="s">
        <v>277</v>
      </c>
      <c r="G33" s="123">
        <f>-'Raw BS (Manual)'!J29</f>
        <v>-1170</v>
      </c>
      <c r="H33" s="123">
        <f>-'Raw BS (Manual)'!K29</f>
        <v>-1377</v>
      </c>
      <c r="I33" s="123">
        <f>-'Raw BS (Manual)'!L29</f>
        <v>-1536</v>
      </c>
      <c r="J33" s="123">
        <f>-'Raw BS (Manual)'!M29</f>
        <v>-1733</v>
      </c>
      <c r="K33" s="123">
        <f>-'Raw BS (Manual)'!N29</f>
        <v>-2004</v>
      </c>
    </row>
    <row r="34" spans="1:11" ht="15.75" thickBot="1" x14ac:dyDescent="0.3">
      <c r="A34" s="111" t="s">
        <v>2</v>
      </c>
      <c r="B34" s="57" t="s">
        <v>291</v>
      </c>
      <c r="C34" s="57"/>
      <c r="D34" s="57"/>
      <c r="E34" s="57"/>
      <c r="F34" s="57"/>
      <c r="G34" s="125">
        <f>SUM(G32:G33)</f>
        <v>1970</v>
      </c>
      <c r="H34" s="125">
        <f t="shared" ref="H34:K34" si="2">SUM(H32:H33)</f>
        <v>2252</v>
      </c>
      <c r="I34" s="125">
        <f t="shared" si="2"/>
        <v>2244</v>
      </c>
      <c r="J34" s="125">
        <f t="shared" si="2"/>
        <v>2307</v>
      </c>
      <c r="K34" s="125">
        <f t="shared" si="2"/>
        <v>3579</v>
      </c>
    </row>
    <row r="35" spans="1:11" x14ac:dyDescent="0.25">
      <c r="G35" s="123"/>
      <c r="H35" s="123"/>
      <c r="I35" s="123"/>
      <c r="J35" s="123"/>
      <c r="K35" s="123"/>
    </row>
    <row r="36" spans="1:11" x14ac:dyDescent="0.25">
      <c r="A36" t="s">
        <v>2</v>
      </c>
      <c r="B36" s="11" t="s">
        <v>292</v>
      </c>
      <c r="C36" s="11"/>
      <c r="D36" s="11"/>
      <c r="E36" s="11"/>
      <c r="F36" s="11"/>
      <c r="G36" s="127">
        <f>G34+G19</f>
        <v>2614</v>
      </c>
      <c r="H36" s="127">
        <f t="shared" ref="H36:K36" si="3">H34+H19</f>
        <v>3406</v>
      </c>
      <c r="I36" s="127">
        <f t="shared" si="3"/>
        <v>2575</v>
      </c>
      <c r="J36" s="127">
        <f t="shared" si="3"/>
        <v>2493</v>
      </c>
      <c r="K36" s="127">
        <f t="shared" si="3"/>
        <v>3848</v>
      </c>
    </row>
    <row r="37" spans="1:11" x14ac:dyDescent="0.25">
      <c r="B37" t="s">
        <v>114</v>
      </c>
      <c r="G37" s="123">
        <f>'Historical FS'!H18-'Historical FS'!H21</f>
        <v>1420.8200000000015</v>
      </c>
      <c r="H37" s="123">
        <f>'Historical FS'!I18-'Historical FS'!I21</f>
        <v>1753.9000000000003</v>
      </c>
      <c r="I37" s="123">
        <f>'Historical FS'!J18-'Historical FS'!J21</f>
        <v>1330.6699999999983</v>
      </c>
      <c r="J37" s="123">
        <f>'Historical FS'!K18-'Historical FS'!K21</f>
        <v>2004.2700000000013</v>
      </c>
      <c r="K37" s="123">
        <f>'Historical FS'!L18-'Historical FS'!L21</f>
        <v>2999.8999999999969</v>
      </c>
    </row>
    <row r="39" spans="1:11" ht="15.75" thickBot="1" x14ac:dyDescent="0.3">
      <c r="A39" t="s">
        <v>2</v>
      </c>
      <c r="B39" s="57" t="s">
        <v>293</v>
      </c>
      <c r="C39" s="57"/>
      <c r="D39" s="57"/>
      <c r="E39" s="57"/>
      <c r="F39" s="57"/>
      <c r="G39" s="121">
        <f>G37/G36</f>
        <v>0.54354246365723091</v>
      </c>
      <c r="H39" s="121">
        <f t="shared" ref="H39:K39" si="4">H37/H36</f>
        <v>0.51494421608925434</v>
      </c>
      <c r="I39" s="121">
        <f t="shared" si="4"/>
        <v>0.51676504854368865</v>
      </c>
      <c r="J39" s="121">
        <f t="shared" si="4"/>
        <v>0.80395908543923034</v>
      </c>
      <c r="K39" s="121">
        <f t="shared" si="4"/>
        <v>0.77959979209979124</v>
      </c>
    </row>
    <row r="41" spans="1:11" x14ac:dyDescent="0.25">
      <c r="A41" t="s">
        <v>2</v>
      </c>
      <c r="B41" s="65" t="s">
        <v>294</v>
      </c>
      <c r="C41" s="8"/>
      <c r="D41" s="8"/>
      <c r="E41" s="8"/>
      <c r="F41" s="8"/>
      <c r="G41" s="9">
        <f>'Intrinsic Growth'!G4</f>
        <v>43525</v>
      </c>
      <c r="H41" s="9">
        <f>'Intrinsic Growth'!H4</f>
        <v>43891</v>
      </c>
      <c r="I41" s="9">
        <f>'Intrinsic Growth'!I4</f>
        <v>44256</v>
      </c>
      <c r="J41" s="9">
        <f>'Intrinsic Growth'!J4</f>
        <v>44621</v>
      </c>
      <c r="K41" s="9">
        <f>'Intrinsic Growth'!K4</f>
        <v>44986</v>
      </c>
    </row>
    <row r="43" spans="1:11" x14ac:dyDescent="0.25">
      <c r="B43" s="115" t="s">
        <v>295</v>
      </c>
      <c r="C43" s="115"/>
      <c r="D43" s="115"/>
      <c r="E43" s="115"/>
      <c r="F43" s="115"/>
      <c r="G43" s="122">
        <f>-SUM('Cash Flow Data (Manual)'!J17:J18)</f>
        <v>1409</v>
      </c>
      <c r="H43" s="122">
        <f>-SUM('Cash Flow Data (Manual)'!K17:K18)</f>
        <v>1706</v>
      </c>
      <c r="I43" s="122">
        <f>-SUM('Cash Flow Data (Manual)'!L17:L18)</f>
        <v>2027</v>
      </c>
      <c r="J43" s="122">
        <f>-SUM('Cash Flow Data (Manual)'!M17:M18)</f>
        <v>2389</v>
      </c>
      <c r="K43" s="122">
        <f>-SUM('Cash Flow Data (Manual)'!N17:N18)</f>
        <v>2207</v>
      </c>
    </row>
    <row r="44" spans="1:11" x14ac:dyDescent="0.25">
      <c r="B44" s="115" t="s">
        <v>296</v>
      </c>
      <c r="C44" s="115"/>
      <c r="D44" s="115"/>
      <c r="E44" s="115"/>
      <c r="F44" s="115"/>
      <c r="G44" s="122"/>
      <c r="H44" s="122">
        <f>H19-G19</f>
        <v>510</v>
      </c>
      <c r="I44" s="122">
        <f t="shared" ref="I44:K44" si="5">I19-H19</f>
        <v>-823</v>
      </c>
      <c r="J44" s="122">
        <f t="shared" si="5"/>
        <v>-145</v>
      </c>
      <c r="K44" s="122">
        <f t="shared" si="5"/>
        <v>83</v>
      </c>
    </row>
    <row r="45" spans="1:11" x14ac:dyDescent="0.25">
      <c r="B45" s="115"/>
      <c r="C45" s="115"/>
      <c r="D45" s="115"/>
      <c r="E45" s="115"/>
      <c r="F45" s="115"/>
      <c r="G45" s="122"/>
      <c r="H45" s="122"/>
      <c r="I45" s="122"/>
      <c r="J45" s="122"/>
      <c r="K45" s="122"/>
    </row>
    <row r="46" spans="1:11" x14ac:dyDescent="0.25">
      <c r="B46" s="115" t="s">
        <v>114</v>
      </c>
      <c r="C46" s="115"/>
      <c r="D46" s="115"/>
      <c r="E46" s="115"/>
      <c r="F46" s="115"/>
      <c r="G46" s="122">
        <f>G37</f>
        <v>1420.8200000000015</v>
      </c>
      <c r="H46" s="122">
        <f t="shared" ref="H46:K46" si="6">H37</f>
        <v>1753.9000000000003</v>
      </c>
      <c r="I46" s="122">
        <f t="shared" si="6"/>
        <v>1330.6699999999983</v>
      </c>
      <c r="J46" s="122">
        <f t="shared" si="6"/>
        <v>2004.2700000000013</v>
      </c>
      <c r="K46" s="122">
        <f t="shared" si="6"/>
        <v>2999.8999999999969</v>
      </c>
    </row>
    <row r="47" spans="1:11" x14ac:dyDescent="0.25">
      <c r="B47" s="115" t="s">
        <v>297</v>
      </c>
      <c r="C47" s="115"/>
      <c r="D47" s="115"/>
      <c r="E47" s="115"/>
      <c r="F47" s="115"/>
      <c r="G47" s="128">
        <v>0.25</v>
      </c>
      <c r="H47" s="128">
        <v>0.25</v>
      </c>
      <c r="I47" s="128">
        <v>0.25</v>
      </c>
      <c r="J47" s="128">
        <v>0.25</v>
      </c>
      <c r="K47" s="128">
        <v>0.25</v>
      </c>
    </row>
    <row r="48" spans="1:11" x14ac:dyDescent="0.25">
      <c r="B48" s="115" t="s">
        <v>300</v>
      </c>
      <c r="C48" s="115"/>
      <c r="D48" s="115"/>
      <c r="E48" s="115"/>
      <c r="F48" s="115"/>
      <c r="G48" s="122">
        <f>G46*(1-G47)</f>
        <v>1065.6150000000011</v>
      </c>
      <c r="H48" s="122">
        <f t="shared" ref="H48:K48" si="7">H46*(1-H47)</f>
        <v>1315.4250000000002</v>
      </c>
      <c r="I48" s="122">
        <f t="shared" si="7"/>
        <v>998.00249999999869</v>
      </c>
      <c r="J48" s="122">
        <f t="shared" si="7"/>
        <v>1503.202500000001</v>
      </c>
      <c r="K48" s="122">
        <f t="shared" si="7"/>
        <v>2249.9249999999975</v>
      </c>
    </row>
    <row r="49" spans="1:11" x14ac:dyDescent="0.25">
      <c r="B49" s="115"/>
      <c r="C49" s="115"/>
      <c r="D49" s="115"/>
      <c r="E49" s="115"/>
      <c r="F49" s="115"/>
      <c r="G49" s="122"/>
      <c r="H49" s="122"/>
      <c r="I49" s="122"/>
      <c r="J49" s="122"/>
      <c r="K49" s="122"/>
    </row>
    <row r="50" spans="1:11" x14ac:dyDescent="0.25">
      <c r="B50" s="115" t="s">
        <v>298</v>
      </c>
      <c r="C50" s="115"/>
      <c r="D50" s="115"/>
      <c r="E50" s="115"/>
      <c r="F50" s="115"/>
      <c r="G50" s="122"/>
      <c r="H50" s="122">
        <f>SUM(H43:H44)</f>
        <v>2216</v>
      </c>
      <c r="I50" s="122">
        <f t="shared" ref="I50:K50" si="8">SUM(I43:I44)</f>
        <v>1204</v>
      </c>
      <c r="J50" s="122">
        <f t="shared" si="8"/>
        <v>2244</v>
      </c>
      <c r="K50" s="122">
        <f t="shared" si="8"/>
        <v>2290</v>
      </c>
    </row>
    <row r="51" spans="1:11" ht="4.5" customHeight="1" x14ac:dyDescent="0.25">
      <c r="H51" s="21"/>
      <c r="I51" s="21"/>
      <c r="J51" s="21"/>
      <c r="K51" s="21"/>
    </row>
    <row r="52" spans="1:11" ht="15.75" thickBot="1" x14ac:dyDescent="0.3">
      <c r="B52" s="57" t="s">
        <v>299</v>
      </c>
      <c r="C52" s="57"/>
      <c r="D52" s="57"/>
      <c r="E52" s="57"/>
      <c r="F52" s="57"/>
      <c r="G52" s="57"/>
      <c r="H52" s="121">
        <f>H50/H48</f>
        <v>1.6846266415797173</v>
      </c>
      <c r="I52" s="121">
        <f t="shared" ref="I52:K52" si="9">I50/I48</f>
        <v>1.206409803582658</v>
      </c>
      <c r="J52" s="121">
        <f t="shared" si="9"/>
        <v>1.4928128445768274</v>
      </c>
      <c r="K52" s="121">
        <f t="shared" si="9"/>
        <v>1.0178117048346067</v>
      </c>
    </row>
    <row r="53" spans="1:11" x14ac:dyDescent="0.25">
      <c r="H53" s="14"/>
      <c r="I53" s="14"/>
      <c r="J53" s="14"/>
      <c r="K53" s="14"/>
    </row>
    <row r="54" spans="1:11" x14ac:dyDescent="0.25">
      <c r="J54" s="74" t="s">
        <v>301</v>
      </c>
      <c r="K54" s="129">
        <f>AVERAGE(H52:K52)</f>
        <v>1.3504152486434524</v>
      </c>
    </row>
    <row r="55" spans="1:11" x14ac:dyDescent="0.25">
      <c r="J55" s="74" t="s">
        <v>302</v>
      </c>
      <c r="K55" s="129">
        <f>MEDIAN(H52:K52)</f>
        <v>1.3496113240797427</v>
      </c>
    </row>
    <row r="57" spans="1:11" x14ac:dyDescent="0.25">
      <c r="A57" t="s">
        <v>2</v>
      </c>
      <c r="B57" s="65" t="s">
        <v>303</v>
      </c>
      <c r="C57" s="8"/>
      <c r="D57" s="8"/>
      <c r="E57" s="8"/>
      <c r="F57" s="8"/>
      <c r="G57" s="9">
        <f>G41</f>
        <v>43525</v>
      </c>
      <c r="H57" s="9">
        <f t="shared" ref="H57:K57" si="10">H41</f>
        <v>43891</v>
      </c>
      <c r="I57" s="9">
        <f t="shared" si="10"/>
        <v>44256</v>
      </c>
      <c r="J57" s="9">
        <f t="shared" si="10"/>
        <v>44621</v>
      </c>
      <c r="K57" s="9">
        <f t="shared" si="10"/>
        <v>44986</v>
      </c>
    </row>
    <row r="59" spans="1:11" x14ac:dyDescent="0.25">
      <c r="B59" s="115" t="s">
        <v>299</v>
      </c>
      <c r="C59" s="115"/>
      <c r="D59" s="115"/>
      <c r="E59" s="115"/>
      <c r="F59" s="115"/>
      <c r="G59" s="115"/>
      <c r="H59" s="128">
        <f>H52</f>
        <v>1.6846266415797173</v>
      </c>
      <c r="I59" s="128">
        <f t="shared" ref="I59:K59" si="11">I52</f>
        <v>1.206409803582658</v>
      </c>
      <c r="J59" s="128">
        <f t="shared" si="11"/>
        <v>1.4928128445768274</v>
      </c>
      <c r="K59" s="128">
        <f t="shared" si="11"/>
        <v>1.0178117048346067</v>
      </c>
    </row>
    <row r="60" spans="1:11" x14ac:dyDescent="0.25">
      <c r="B60" s="115" t="s">
        <v>293</v>
      </c>
      <c r="C60" s="115"/>
      <c r="D60" s="115"/>
      <c r="E60" s="115"/>
      <c r="F60" s="115"/>
      <c r="G60" s="115"/>
      <c r="H60" s="128">
        <f>H39</f>
        <v>0.51494421608925434</v>
      </c>
      <c r="I60" s="128">
        <f t="shared" ref="I60:K60" si="12">I39</f>
        <v>0.51676504854368865</v>
      </c>
      <c r="J60" s="128">
        <f t="shared" si="12"/>
        <v>0.80395908543923034</v>
      </c>
      <c r="K60" s="128">
        <f t="shared" si="12"/>
        <v>0.77959979209979124</v>
      </c>
    </row>
    <row r="61" spans="1:11" ht="6" customHeight="1" x14ac:dyDescent="0.25"/>
    <row r="62" spans="1:11" ht="15.75" thickBot="1" x14ac:dyDescent="0.3">
      <c r="B62" s="57" t="s">
        <v>304</v>
      </c>
      <c r="C62" s="57"/>
      <c r="D62" s="57"/>
      <c r="E62" s="57"/>
      <c r="F62" s="57"/>
      <c r="G62" s="57"/>
      <c r="H62" s="130">
        <f>H59*H60</f>
        <v>0.8674887453513408</v>
      </c>
      <c r="I62" s="130">
        <f t="shared" ref="I62:K62" si="13">I59*I60</f>
        <v>0.62343042071197419</v>
      </c>
      <c r="J62" s="130">
        <f t="shared" si="13"/>
        <v>1.2001604492579221</v>
      </c>
      <c r="K62" s="130">
        <f t="shared" si="13"/>
        <v>0.79348579348579351</v>
      </c>
    </row>
    <row r="64" spans="1:11" x14ac:dyDescent="0.25">
      <c r="J64" s="74" t="s">
        <v>301</v>
      </c>
      <c r="K64" s="129">
        <f>AVERAGE(H62:K62)</f>
        <v>0.87114135220175759</v>
      </c>
    </row>
    <row r="65" spans="10:11" x14ac:dyDescent="0.25">
      <c r="J65" s="74" t="s">
        <v>302</v>
      </c>
      <c r="K65" s="129">
        <f>MEDIAN(H62:K62)</f>
        <v>0.83048726941856721</v>
      </c>
    </row>
  </sheetData>
  <pageMargins left="0.7" right="0.7" top="0.75" bottom="0.75" header="0.3" footer="0.3"/>
  <pageSetup orientation="portrait" r:id="rId1"/>
  <ignoredErrors>
    <ignoredError sqref="G43:K4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FC14-F1B6-43CA-ABEE-C8B98359EF16}">
  <dimension ref="A2:K43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  <col min="2" max="2" width="27.5703125" bestFit="1" customWidth="1"/>
    <col min="4" max="4" width="11.140625" bestFit="1" customWidth="1"/>
    <col min="6" max="6" width="10" bestFit="1" customWidth="1"/>
    <col min="7" max="7" width="12.7109375" bestFit="1" customWidth="1"/>
    <col min="8" max="11" width="10.7109375" bestFit="1" customWidth="1"/>
  </cols>
  <sheetData>
    <row r="2" spans="1:11" x14ac:dyDescent="0.25">
      <c r="B2" s="65" t="str">
        <f>"Discounted Cash Flows Valuation - "&amp;'Data Sheet'!B1</f>
        <v>Discounted Cash Flows Valuation - AVENUE SUPERMARTS LTD</v>
      </c>
      <c r="C2" s="77"/>
      <c r="D2" s="77"/>
      <c r="E2" s="77"/>
      <c r="F2" s="77"/>
      <c r="G2" s="77"/>
      <c r="H2" s="77"/>
      <c r="I2" s="77"/>
      <c r="J2" s="77"/>
      <c r="K2" s="77"/>
    </row>
    <row r="4" spans="1:11" x14ac:dyDescent="0.25">
      <c r="A4" t="s">
        <v>2</v>
      </c>
      <c r="B4" s="65" t="s">
        <v>305</v>
      </c>
      <c r="C4" s="77"/>
      <c r="D4" s="77"/>
      <c r="E4" s="77"/>
      <c r="F4" s="132">
        <f>'Intrinsic Growth'!K4</f>
        <v>44986</v>
      </c>
      <c r="G4" s="131">
        <f>F4+366</f>
        <v>45352</v>
      </c>
      <c r="H4" s="131">
        <f t="shared" ref="H4:K4" si="0">G4+366</f>
        <v>45718</v>
      </c>
      <c r="I4" s="131">
        <f t="shared" si="0"/>
        <v>46084</v>
      </c>
      <c r="J4" s="131">
        <f t="shared" si="0"/>
        <v>46450</v>
      </c>
      <c r="K4" s="131">
        <f t="shared" si="0"/>
        <v>46816</v>
      </c>
    </row>
    <row r="6" spans="1:11" x14ac:dyDescent="0.25">
      <c r="B6" s="115" t="s">
        <v>114</v>
      </c>
      <c r="C6" s="115"/>
      <c r="D6" s="115"/>
      <c r="E6" s="115"/>
      <c r="F6" s="136">
        <f>'Data Sheet'!K33-'Data Sheet'!K26</f>
        <v>3127.5</v>
      </c>
      <c r="G6" s="115">
        <f>F6*(1+$D$16)</f>
        <v>3539.0789999999997</v>
      </c>
      <c r="H6" s="115">
        <f>G6*(1+$D$16)</f>
        <v>4004.8217963999996</v>
      </c>
      <c r="I6" s="115">
        <f>H6*(1+$D$16)</f>
        <v>4531.8563448062396</v>
      </c>
      <c r="J6" s="115">
        <f>I6*(1+$D$16)</f>
        <v>5128.2486397827406</v>
      </c>
      <c r="K6" s="115">
        <f>J6*(1+$D$16)</f>
        <v>5803.1261607781489</v>
      </c>
    </row>
    <row r="7" spans="1:11" x14ac:dyDescent="0.25">
      <c r="B7" s="115" t="s">
        <v>137</v>
      </c>
      <c r="C7" s="115"/>
      <c r="D7" s="115"/>
      <c r="E7" s="115"/>
      <c r="F7" s="137">
        <v>0.3</v>
      </c>
      <c r="G7" s="128">
        <f>F7</f>
        <v>0.3</v>
      </c>
      <c r="H7" s="128">
        <f t="shared" ref="H7:K7" si="1">G7</f>
        <v>0.3</v>
      </c>
      <c r="I7" s="128">
        <f t="shared" si="1"/>
        <v>0.3</v>
      </c>
      <c r="J7" s="128">
        <f t="shared" si="1"/>
        <v>0.3</v>
      </c>
      <c r="K7" s="128">
        <f t="shared" si="1"/>
        <v>0.3</v>
      </c>
    </row>
    <row r="8" spans="1:11" x14ac:dyDescent="0.25">
      <c r="B8" s="115" t="s">
        <v>300</v>
      </c>
      <c r="C8" s="115"/>
      <c r="D8" s="115"/>
      <c r="E8" s="115"/>
      <c r="F8" s="138">
        <f t="shared" ref="F8:K8" si="2">F6*(1-F7)</f>
        <v>2189.25</v>
      </c>
      <c r="G8" s="115">
        <f t="shared" si="2"/>
        <v>2477.3552999999997</v>
      </c>
      <c r="H8" s="115">
        <f t="shared" si="2"/>
        <v>2803.3752574799996</v>
      </c>
      <c r="I8" s="115">
        <f t="shared" si="2"/>
        <v>3172.2994413643673</v>
      </c>
      <c r="J8" s="115">
        <f t="shared" si="2"/>
        <v>3589.7740478479182</v>
      </c>
      <c r="K8" s="115">
        <f t="shared" si="2"/>
        <v>4062.1883125447039</v>
      </c>
    </row>
    <row r="9" spans="1:11" x14ac:dyDescent="0.25">
      <c r="B9" s="115" t="s">
        <v>306</v>
      </c>
      <c r="C9" s="115"/>
      <c r="D9" s="115"/>
      <c r="E9" s="115"/>
      <c r="F9" s="137">
        <f>'Intrinsic Growth'!K55</f>
        <v>1.3496113240797427</v>
      </c>
      <c r="G9" s="135">
        <f>F9+(($K$9-$F$9)/5)</f>
        <v>1.1878290592637941</v>
      </c>
      <c r="H9" s="135">
        <f t="shared" ref="H9:J9" si="3">G9+(($K$9-$F$9)/4)</f>
        <v>0.98560122824385843</v>
      </c>
      <c r="I9" s="135">
        <f t="shared" si="3"/>
        <v>0.78337339722392274</v>
      </c>
      <c r="J9" s="135">
        <f t="shared" si="3"/>
        <v>0.58114556620398705</v>
      </c>
      <c r="K9" s="128">
        <v>0.54069999999999996</v>
      </c>
    </row>
    <row r="10" spans="1:11" x14ac:dyDescent="0.25">
      <c r="B10" s="115" t="s">
        <v>307</v>
      </c>
      <c r="C10" s="115"/>
      <c r="D10" s="115"/>
      <c r="E10" s="115"/>
      <c r="F10" s="138">
        <f t="shared" ref="F10:K10" si="4">F8*(1-F9)</f>
        <v>-765.38659124157675</v>
      </c>
      <c r="G10" s="115">
        <f t="shared" si="4"/>
        <v>-465.31931546117443</v>
      </c>
      <c r="H10" s="115">
        <f t="shared" si="4"/>
        <v>40.365160479269122</v>
      </c>
      <c r="I10" s="115">
        <f t="shared" si="4"/>
        <v>687.20445097121058</v>
      </c>
      <c r="J10" s="115">
        <f t="shared" si="4"/>
        <v>1503.5927762669612</v>
      </c>
      <c r="K10" s="115">
        <f t="shared" si="4"/>
        <v>1865.7630919517826</v>
      </c>
    </row>
    <row r="11" spans="1:11" x14ac:dyDescent="0.25">
      <c r="B11" s="115" t="s">
        <v>308</v>
      </c>
      <c r="C11" s="115"/>
      <c r="D11" s="115"/>
      <c r="E11" s="115"/>
      <c r="F11" s="138"/>
      <c r="G11" s="115">
        <v>0.5</v>
      </c>
      <c r="H11" s="115">
        <f>G11+1</f>
        <v>1.5</v>
      </c>
      <c r="I11" s="115">
        <f t="shared" ref="I11:K11" si="5">H11+1</f>
        <v>2.5</v>
      </c>
      <c r="J11" s="115">
        <f t="shared" si="5"/>
        <v>3.5</v>
      </c>
      <c r="K11" s="115">
        <f t="shared" si="5"/>
        <v>4.5</v>
      </c>
    </row>
    <row r="12" spans="1:11" x14ac:dyDescent="0.25">
      <c r="B12" s="115" t="s">
        <v>309</v>
      </c>
      <c r="C12" s="115"/>
      <c r="D12" s="115"/>
      <c r="E12" s="115"/>
      <c r="F12" s="138"/>
      <c r="G12" s="140">
        <f>1/(1+$D$18)^G11</f>
        <v>0.9417232807584982</v>
      </c>
      <c r="H12" s="140">
        <f t="shared" ref="H12:K12" si="6">1/(1+$D$18)^H11</f>
        <v>0.83516045229658287</v>
      </c>
      <c r="I12" s="140">
        <f t="shared" si="6"/>
        <v>0.74065598178527192</v>
      </c>
      <c r="J12" s="140">
        <f t="shared" si="6"/>
        <v>0.6568453784489019</v>
      </c>
      <c r="K12" s="140">
        <f t="shared" si="6"/>
        <v>0.58251855355265902</v>
      </c>
    </row>
    <row r="13" spans="1:11" ht="8.1" customHeight="1" x14ac:dyDescent="0.25">
      <c r="F13" s="139"/>
    </row>
    <row r="14" spans="1:11" ht="15.75" thickBot="1" x14ac:dyDescent="0.3">
      <c r="B14" s="57" t="s">
        <v>310</v>
      </c>
      <c r="C14" s="57"/>
      <c r="D14" s="57"/>
      <c r="E14" s="57"/>
      <c r="F14" s="141"/>
      <c r="G14" s="57">
        <f>G12*G10</f>
        <v>-438.20203235639576</v>
      </c>
      <c r="H14" s="57">
        <f t="shared" ref="H14:K14" si="7">H12*H10</f>
        <v>33.711385682890551</v>
      </c>
      <c r="I14" s="57">
        <f t="shared" si="7"/>
        <v>508.98208732129075</v>
      </c>
      <c r="J14" s="57">
        <f t="shared" si="7"/>
        <v>987.62796616010723</v>
      </c>
      <c r="K14" s="57">
        <f t="shared" si="7"/>
        <v>1086.8416175956891</v>
      </c>
    </row>
    <row r="16" spans="1:11" x14ac:dyDescent="0.25">
      <c r="B16" s="36" t="s">
        <v>311</v>
      </c>
      <c r="C16" s="36"/>
      <c r="D16" s="133">
        <v>0.13159999999999999</v>
      </c>
    </row>
    <row r="17" spans="1:11" x14ac:dyDescent="0.25">
      <c r="B17" s="36" t="s">
        <v>312</v>
      </c>
      <c r="C17" s="36"/>
      <c r="D17" s="134">
        <v>7.0000000000000007E-2</v>
      </c>
    </row>
    <row r="18" spans="1:11" x14ac:dyDescent="0.25">
      <c r="B18" s="36" t="s">
        <v>157</v>
      </c>
      <c r="C18" s="36"/>
      <c r="D18" s="133">
        <f>WACC!K37</f>
        <v>0.12759563526850612</v>
      </c>
    </row>
    <row r="21" spans="1:11" x14ac:dyDescent="0.25">
      <c r="A21" t="s">
        <v>2</v>
      </c>
      <c r="B21" s="65" t="s">
        <v>313</v>
      </c>
      <c r="C21" s="77"/>
      <c r="D21" s="77"/>
      <c r="F21" s="65" t="s">
        <v>365</v>
      </c>
      <c r="G21" s="77"/>
      <c r="H21" s="77"/>
      <c r="I21" s="77"/>
      <c r="J21" s="77"/>
      <c r="K21" s="77"/>
    </row>
    <row r="22" spans="1:11" x14ac:dyDescent="0.25">
      <c r="F22" s="161">
        <f>D33</f>
        <v>23532.488400874547</v>
      </c>
      <c r="G22" s="162">
        <v>0.1024</v>
      </c>
      <c r="H22" s="103">
        <v>0.1148</v>
      </c>
      <c r="I22" s="103">
        <v>0.12759999999999999</v>
      </c>
      <c r="J22" s="103">
        <v>0.1424</v>
      </c>
      <c r="K22" s="103">
        <v>0.1532</v>
      </c>
    </row>
    <row r="23" spans="1:11" x14ac:dyDescent="0.25">
      <c r="B23" t="s">
        <v>314</v>
      </c>
      <c r="D23">
        <f>K10*(1+D16)</f>
        <v>2111.2975148526371</v>
      </c>
      <c r="F23" s="163">
        <v>0.05</v>
      </c>
      <c r="G23" s="117">
        <f t="dataTable" ref="G23:K27" dt2D="1" dtr="1" r1="D24" r2="D25"/>
        <v>25649.762063931859</v>
      </c>
      <c r="H23" s="117">
        <v>21158.435939083858</v>
      </c>
      <c r="I23" s="117">
        <v>18027.800901610823</v>
      </c>
      <c r="J23" s="117">
        <v>15489.242133400137</v>
      </c>
      <c r="K23" s="117">
        <v>14096.305738272593</v>
      </c>
    </row>
    <row r="24" spans="1:11" x14ac:dyDescent="0.25">
      <c r="B24" t="s">
        <v>157</v>
      </c>
      <c r="D24" s="73">
        <f>D18</f>
        <v>0.12759563526850612</v>
      </c>
      <c r="F24" s="163">
        <v>0.06</v>
      </c>
      <c r="G24" s="117">
        <v>31185.328346839469</v>
      </c>
      <c r="H24" s="117">
        <v>24621.843770229891</v>
      </c>
      <c r="I24" s="117">
        <v>20372.303842026096</v>
      </c>
      <c r="J24" s="117">
        <v>17104.567510705543</v>
      </c>
      <c r="K24" s="117">
        <v>15374.99079340875</v>
      </c>
    </row>
    <row r="25" spans="1:11" x14ac:dyDescent="0.25">
      <c r="B25" t="s">
        <v>315</v>
      </c>
      <c r="D25" s="90">
        <f>D17</f>
        <v>7.0000000000000007E-2</v>
      </c>
      <c r="F25" s="163">
        <v>7.0000000000000007E-2</v>
      </c>
      <c r="G25" s="117">
        <v>40137.91085376413</v>
      </c>
      <c r="H25" s="117">
        <v>29631.415811708983</v>
      </c>
      <c r="I25" s="164">
        <v>23530.870303418898</v>
      </c>
      <c r="J25" s="117">
        <v>19166.115367929575</v>
      </c>
      <c r="K25" s="117">
        <v>16961.052063721872</v>
      </c>
    </row>
    <row r="26" spans="1:11" x14ac:dyDescent="0.25">
      <c r="F26" s="163">
        <v>0.08</v>
      </c>
      <c r="G26" s="117">
        <v>57083.870599014364</v>
      </c>
      <c r="H26" s="117">
        <v>37520.052244842715</v>
      </c>
      <c r="I26" s="117">
        <v>28016.565530102784</v>
      </c>
      <c r="J26" s="117">
        <v>21888.415743494639</v>
      </c>
      <c r="K26" s="117">
        <v>18980.463407891039</v>
      </c>
    </row>
    <row r="27" spans="1:11" ht="15.75" thickBot="1" x14ac:dyDescent="0.3">
      <c r="B27" s="57" t="s">
        <v>316</v>
      </c>
      <c r="C27" s="57"/>
      <c r="D27" s="57">
        <f>D23/(D24-D25)</f>
        <v>36657.248505202551</v>
      </c>
      <c r="F27" s="163">
        <v>0.09</v>
      </c>
      <c r="G27" s="117">
        <v>101362.02348176496</v>
      </c>
      <c r="H27" s="117">
        <v>51770.492253084289</v>
      </c>
      <c r="I27" s="117">
        <v>34888.268856086615</v>
      </c>
      <c r="J27" s="117">
        <v>25649.762063931859</v>
      </c>
      <c r="K27" s="117">
        <v>21638.928974898547</v>
      </c>
    </row>
    <row r="29" spans="1:11" x14ac:dyDescent="0.25">
      <c r="A29" t="s">
        <v>2</v>
      </c>
      <c r="B29" s="65" t="s">
        <v>321</v>
      </c>
      <c r="C29" s="77"/>
      <c r="D29" s="77"/>
      <c r="F29" s="65" t="s">
        <v>366</v>
      </c>
      <c r="G29" s="77"/>
      <c r="H29" s="77"/>
      <c r="I29" s="77"/>
      <c r="J29" s="77"/>
      <c r="K29" s="77"/>
    </row>
    <row r="30" spans="1:11" x14ac:dyDescent="0.25">
      <c r="F30" s="161">
        <f>D40</f>
        <v>367.92060279912937</v>
      </c>
      <c r="G30" s="162">
        <v>0.1024</v>
      </c>
      <c r="H30" s="103">
        <v>0.1148</v>
      </c>
      <c r="I30" s="103">
        <v>0.12759999999999999</v>
      </c>
      <c r="J30" s="103">
        <v>0.1424</v>
      </c>
      <c r="K30" s="103">
        <v>0.1532</v>
      </c>
    </row>
    <row r="31" spans="1:11" x14ac:dyDescent="0.25">
      <c r="B31" t="s">
        <v>310</v>
      </c>
      <c r="D31">
        <f>SUM(G14:K14)</f>
        <v>2178.9610244035821</v>
      </c>
      <c r="F31" s="163">
        <v>0.05</v>
      </c>
      <c r="G31" s="117">
        <f t="dataTable" ref="G31:K35" dt2D="1" dtr="1" r1="D24" r2="D25" ca="1"/>
        <v>400.45733786910682</v>
      </c>
      <c r="H31" s="117">
        <v>331.43787629131822</v>
      </c>
      <c r="I31" s="117">
        <v>283.3285342670265</v>
      </c>
      <c r="J31" s="117">
        <v>244.3177934534977</v>
      </c>
      <c r="K31" s="117">
        <v>222.91215125977646</v>
      </c>
    </row>
    <row r="32" spans="1:11" x14ac:dyDescent="0.25">
      <c r="B32" t="s">
        <v>317</v>
      </c>
      <c r="D32" s="72">
        <f>D27*K12</f>
        <v>21353.527376470964</v>
      </c>
      <c r="F32" s="163">
        <v>0.06</v>
      </c>
      <c r="G32" s="117">
        <v>485.5239292842146</v>
      </c>
      <c r="H32" s="117">
        <v>384.66103067494385</v>
      </c>
      <c r="I32" s="117">
        <v>319.35716503595796</v>
      </c>
      <c r="J32" s="117">
        <v>269.1409491797657</v>
      </c>
      <c r="K32" s="117">
        <v>242.56206123732218</v>
      </c>
    </row>
    <row r="33" spans="2:11" x14ac:dyDescent="0.25">
      <c r="B33" s="11" t="s">
        <v>318</v>
      </c>
      <c r="C33" s="11"/>
      <c r="D33" s="142">
        <f>SUM(D31:D32)</f>
        <v>23532.488400874547</v>
      </c>
      <c r="F33" s="163">
        <v>7.0000000000000007E-2</v>
      </c>
      <c r="G33" s="117">
        <v>623.10076231358664</v>
      </c>
      <c r="H33" s="117">
        <v>461.64452183697381</v>
      </c>
      <c r="I33" s="164">
        <v>367.89573704410185</v>
      </c>
      <c r="J33" s="117">
        <v>300.82133024478179</v>
      </c>
      <c r="K33" s="117">
        <v>266.93550726716268</v>
      </c>
    </row>
    <row r="34" spans="2:11" x14ac:dyDescent="0.25">
      <c r="D34" s="90"/>
      <c r="F34" s="163">
        <v>0.08</v>
      </c>
      <c r="G34" s="117">
        <v>883.51405340489748</v>
      </c>
      <c r="H34" s="117">
        <v>582.87139872430828</v>
      </c>
      <c r="I34" s="117">
        <v>436.8286670388606</v>
      </c>
      <c r="J34" s="117">
        <v>342.65567959986703</v>
      </c>
      <c r="K34" s="117">
        <v>297.96836478056611</v>
      </c>
    </row>
    <row r="35" spans="2:11" x14ac:dyDescent="0.25">
      <c r="B35" t="s">
        <v>319</v>
      </c>
      <c r="D35" s="72">
        <f>'Data Sheet'!K69</f>
        <v>1408.33</v>
      </c>
      <c r="F35" s="163">
        <v>0.09</v>
      </c>
      <c r="G35" s="117">
        <v>1563.948781740258</v>
      </c>
      <c r="H35" s="117">
        <v>801.86188600465425</v>
      </c>
      <c r="I35" s="117">
        <v>542.42804915849126</v>
      </c>
      <c r="J35" s="117">
        <v>400.45733786910682</v>
      </c>
      <c r="K35" s="117">
        <v>338.82174682352752</v>
      </c>
    </row>
    <row r="36" spans="2:11" x14ac:dyDescent="0.25">
      <c r="B36" t="s">
        <v>320</v>
      </c>
      <c r="D36">
        <f>SUM('Raw BS (Manual)'!N7:N8)</f>
        <v>999</v>
      </c>
    </row>
    <row r="37" spans="2:11" x14ac:dyDescent="0.25">
      <c r="B37" s="11" t="s">
        <v>322</v>
      </c>
      <c r="C37" s="11"/>
      <c r="D37" s="142">
        <f>D33+D35-D36</f>
        <v>23941.818400874545</v>
      </c>
    </row>
    <row r="38" spans="2:11" x14ac:dyDescent="0.25">
      <c r="B38" s="11" t="s">
        <v>323</v>
      </c>
      <c r="C38" s="11"/>
      <c r="D38" s="142">
        <f>'Data Sheet'!B6</f>
        <v>65.073328915874455</v>
      </c>
    </row>
    <row r="39" spans="2:11" ht="8.1" customHeight="1" x14ac:dyDescent="0.25"/>
    <row r="40" spans="2:11" ht="15.75" thickBot="1" x14ac:dyDescent="0.3">
      <c r="B40" s="57" t="s">
        <v>324</v>
      </c>
      <c r="C40" s="57"/>
      <c r="D40" s="57">
        <f>D37/D38</f>
        <v>367.92060279912937</v>
      </c>
    </row>
    <row r="42" spans="2:11" x14ac:dyDescent="0.25">
      <c r="B42" s="143" t="s">
        <v>325</v>
      </c>
      <c r="D42">
        <f>'Data Sheet'!B8</f>
        <v>3697.45</v>
      </c>
    </row>
    <row r="43" spans="2:11" x14ac:dyDescent="0.25">
      <c r="B43" t="s">
        <v>326</v>
      </c>
      <c r="D43" s="144">
        <f>D42/D40</f>
        <v>10.049586709387587</v>
      </c>
    </row>
  </sheetData>
  <pageMargins left="0.7" right="0.7" top="0.75" bottom="0.75" header="0.3" footer="0.3"/>
  <pageSetup orientation="portrait" r:id="rId1"/>
  <ignoredErrors>
    <ignoredError sqref="D36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901E-5487-4483-AA5A-60B60041BE25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16" t="str">
        <f>"COMPARABLE VALUATION FOR "&amp;'Data Sheet'!B1</f>
        <v>COMPARABLE VALUATION FOR AVENUE SUPERMARTS LTD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</row>
    <row r="6" spans="4:19" x14ac:dyDescent="0.25"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</row>
    <row r="7" spans="4:19" x14ac:dyDescent="0.25"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</row>
    <row r="8" spans="4:19" x14ac:dyDescent="0.25">
      <c r="D8" s="165"/>
      <c r="E8" s="165"/>
      <c r="F8" s="217" t="s">
        <v>370</v>
      </c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</row>
    <row r="9" spans="4:19" x14ac:dyDescent="0.25">
      <c r="D9" s="165"/>
      <c r="E9" s="165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</row>
  </sheetData>
  <mergeCells count="2">
    <mergeCell ref="D5:S7"/>
    <mergeCell ref="F8:Q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BEB-FFE8-406B-BEC7-9CD19FD823E7}">
  <dimension ref="B2:R30"/>
  <sheetViews>
    <sheetView showGridLines="0" topLeftCell="A22" zoomScaleNormal="100" workbookViewId="0">
      <selection activeCell="P44" sqref="P44"/>
    </sheetView>
  </sheetViews>
  <sheetFormatPr defaultRowHeight="15" x14ac:dyDescent="0.25"/>
  <cols>
    <col min="1" max="1" width="1.85546875" customWidth="1"/>
    <col min="2" max="2" width="21" customWidth="1"/>
    <col min="4" max="4" width="10" bestFit="1" customWidth="1"/>
    <col min="5" max="5" width="12.5703125" customWidth="1"/>
    <col min="6" max="6" width="11.5703125" bestFit="1" customWidth="1"/>
    <col min="7" max="7" width="10" bestFit="1" customWidth="1"/>
    <col min="8" max="8" width="11.5703125" bestFit="1" customWidth="1"/>
    <col min="9" max="9" width="5.28515625" customWidth="1"/>
    <col min="10" max="10" width="1.85546875" customWidth="1"/>
    <col min="11" max="11" width="11.5703125" bestFit="1" customWidth="1"/>
    <col min="12" max="12" width="10" bestFit="1" customWidth="1"/>
    <col min="13" max="13" width="11.42578125" bestFit="1" customWidth="1"/>
    <col min="14" max="14" width="1.85546875" customWidth="1"/>
    <col min="15" max="16" width="12.5703125" bestFit="1" customWidth="1"/>
    <col min="17" max="17" width="11.5703125" bestFit="1" customWidth="1"/>
  </cols>
  <sheetData>
    <row r="2" spans="2:18" x14ac:dyDescent="0.25">
      <c r="B2" s="65" t="str">
        <f>"Peer Pricing - "&amp;'Data Sheet'!B1</f>
        <v>Peer Pricing - AVENUE SUPERMARTS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8" x14ac:dyDescent="0.25">
      <c r="B4" s="148" t="s">
        <v>327</v>
      </c>
      <c r="C4" s="145"/>
      <c r="D4" s="145"/>
      <c r="E4" s="145"/>
      <c r="F4" s="145"/>
      <c r="G4" s="145"/>
      <c r="H4" s="145"/>
      <c r="I4" s="145"/>
      <c r="J4" s="145"/>
      <c r="K4" s="145"/>
    </row>
    <row r="5" spans="2:18" ht="6" customHeight="1" x14ac:dyDescent="0.25"/>
    <row r="6" spans="2:18" x14ac:dyDescent="0.25">
      <c r="B6" s="8"/>
      <c r="C6" s="8"/>
      <c r="D6" s="219" t="s">
        <v>335</v>
      </c>
      <c r="E6" s="219"/>
      <c r="F6" s="219"/>
      <c r="G6" s="219"/>
      <c r="H6" s="219"/>
      <c r="I6" s="8"/>
      <c r="J6" s="8"/>
      <c r="K6" s="219" t="s">
        <v>339</v>
      </c>
      <c r="L6" s="219"/>
      <c r="M6" s="219"/>
      <c r="N6" s="147"/>
      <c r="O6" s="219" t="s">
        <v>338</v>
      </c>
      <c r="P6" s="219"/>
      <c r="Q6" s="219"/>
      <c r="R6" s="150"/>
    </row>
    <row r="7" spans="2:18" ht="30" x14ac:dyDescent="0.25">
      <c r="B7" s="146" t="s">
        <v>328</v>
      </c>
      <c r="C7" s="149" t="s">
        <v>329</v>
      </c>
      <c r="D7" s="149" t="s">
        <v>330</v>
      </c>
      <c r="E7" s="149" t="s">
        <v>331</v>
      </c>
      <c r="F7" s="149" t="s">
        <v>332</v>
      </c>
      <c r="G7" s="149" t="s">
        <v>333</v>
      </c>
      <c r="H7" s="149" t="s">
        <v>334</v>
      </c>
      <c r="I7" s="10"/>
      <c r="J7" s="10"/>
      <c r="K7" s="10" t="s">
        <v>336</v>
      </c>
      <c r="L7" s="10" t="s">
        <v>13</v>
      </c>
      <c r="M7" s="10" t="s">
        <v>337</v>
      </c>
      <c r="N7" s="10"/>
      <c r="O7" s="149" t="s">
        <v>348</v>
      </c>
      <c r="P7" s="149" t="s">
        <v>349</v>
      </c>
      <c r="Q7" s="149" t="s">
        <v>350</v>
      </c>
      <c r="R7" s="151"/>
    </row>
    <row r="9" spans="2:18" x14ac:dyDescent="0.25">
      <c r="B9" s="152" t="str">
        <f>Peers!C17</f>
        <v>Avenue Super.</v>
      </c>
      <c r="C9" s="152"/>
      <c r="D9" s="156">
        <f>Peers!D17</f>
        <v>3678.3</v>
      </c>
      <c r="E9" s="156">
        <f>Peers!E17</f>
        <v>65.069999999999993</v>
      </c>
      <c r="F9" s="156">
        <f>E9*D9</f>
        <v>239346.981</v>
      </c>
      <c r="G9" s="156">
        <f>Peers!Q17</f>
        <v>-777.94999999999993</v>
      </c>
      <c r="H9" s="156">
        <f t="shared" ref="H9:H11" si="0">F9+G9</f>
        <v>238569.03099999999</v>
      </c>
      <c r="I9" s="156"/>
      <c r="J9" s="156"/>
      <c r="K9" s="156">
        <f>Peers!K17</f>
        <v>48656.39</v>
      </c>
      <c r="L9" s="156">
        <f>Peers!N17</f>
        <v>4072.9727427597954</v>
      </c>
      <c r="M9" s="156">
        <f>Peers!L17</f>
        <v>2432.5700000000002</v>
      </c>
      <c r="N9" s="152"/>
      <c r="O9" s="153">
        <f>$H9/K9</f>
        <v>4.9031387449829298</v>
      </c>
      <c r="P9" s="153">
        <f t="shared" ref="P9:P11" si="1">$H9/L9</f>
        <v>58.573687099695292</v>
      </c>
      <c r="Q9" s="153">
        <f>F9/M9</f>
        <v>98.392638649658579</v>
      </c>
    </row>
    <row r="10" spans="2:18" x14ac:dyDescent="0.25">
      <c r="B10" s="115" t="str">
        <f>Peers!C18</f>
        <v>Trent</v>
      </c>
      <c r="C10" s="115"/>
      <c r="D10" s="116">
        <f>Peers!D18</f>
        <v>3973.85</v>
      </c>
      <c r="E10" s="116">
        <f>Peers!E18</f>
        <v>35.549999999999997</v>
      </c>
      <c r="F10" s="116">
        <f t="shared" ref="F10:F11" si="2">E10*D10</f>
        <v>141270.36749999999</v>
      </c>
      <c r="G10" s="116">
        <f>Peers!Q18</f>
        <v>4753.03</v>
      </c>
      <c r="H10" s="116">
        <f t="shared" si="0"/>
        <v>146023.39749999999</v>
      </c>
      <c r="I10" s="116"/>
      <c r="J10" s="116"/>
      <c r="K10" s="116">
        <f>Peers!K18</f>
        <v>11260.16</v>
      </c>
      <c r="L10" s="116">
        <f>Peers!N18</f>
        <v>2041.5898727094702</v>
      </c>
      <c r="M10" s="116">
        <f>Peers!L18</f>
        <v>810.32</v>
      </c>
      <c r="N10" s="115"/>
      <c r="O10" s="154">
        <f t="shared" ref="O10:O11" si="3">$H10/K10</f>
        <v>12.96814587892179</v>
      </c>
      <c r="P10" s="154">
        <f t="shared" si="1"/>
        <v>71.524354353407375</v>
      </c>
      <c r="Q10" s="154">
        <f t="shared" ref="Q10:Q11" si="4">F10/M10</f>
        <v>174.3389864497976</v>
      </c>
    </row>
    <row r="11" spans="2:18" x14ac:dyDescent="0.25">
      <c r="B11" s="115" t="str">
        <f>Peers!C19</f>
        <v>Vedant Fashions</v>
      </c>
      <c r="C11" s="115"/>
      <c r="D11" s="116">
        <f>Peers!D19</f>
        <v>982.3</v>
      </c>
      <c r="E11" s="116">
        <f>Peers!E19</f>
        <v>24.28</v>
      </c>
      <c r="F11" s="116">
        <f t="shared" si="2"/>
        <v>23850.243999999999</v>
      </c>
      <c r="G11" s="116">
        <f>Peers!Q19</f>
        <v>355.01</v>
      </c>
      <c r="H11" s="116">
        <f t="shared" si="0"/>
        <v>24205.253999999997</v>
      </c>
      <c r="I11" s="116"/>
      <c r="J11" s="116"/>
      <c r="K11" s="116">
        <f>Peers!K19</f>
        <v>1346.01</v>
      </c>
      <c r="L11" s="116">
        <f>Peers!N19</f>
        <v>709.99970674486804</v>
      </c>
      <c r="M11" s="116">
        <f>Peers!L19</f>
        <v>407.25</v>
      </c>
      <c r="N11" s="115"/>
      <c r="O11" s="154">
        <f t="shared" si="3"/>
        <v>17.982967437091848</v>
      </c>
      <c r="P11" s="154">
        <f t="shared" si="1"/>
        <v>34.091921123423695</v>
      </c>
      <c r="Q11" s="154">
        <f t="shared" si="4"/>
        <v>58.564135052179246</v>
      </c>
    </row>
    <row r="12" spans="2:18" x14ac:dyDescent="0.25">
      <c r="B12" s="115"/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5"/>
      <c r="O12" s="154"/>
      <c r="P12" s="154"/>
      <c r="Q12" s="154"/>
    </row>
    <row r="13" spans="2:18" ht="6" customHeight="1" x14ac:dyDescent="0.25"/>
    <row r="14" spans="2:18" x14ac:dyDescent="0.25">
      <c r="B14" s="152" t="s">
        <v>351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3">
        <f>MAX(O9:O12)</f>
        <v>17.982967437091848</v>
      </c>
      <c r="P14" s="153">
        <f>MAX(P9:P12)</f>
        <v>71.524354353407375</v>
      </c>
      <c r="Q14" s="153">
        <f>MAX(Q9:Q12)</f>
        <v>174.3389864497976</v>
      </c>
    </row>
    <row r="15" spans="2:18" x14ac:dyDescent="0.25">
      <c r="B15" s="152" t="s">
        <v>352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3">
        <f>QUARTILE(O9:O12,3)</f>
        <v>15.47555665800682</v>
      </c>
      <c r="P15" s="153">
        <f>QUARTILE(P9:P12,3)</f>
        <v>65.049020726551333</v>
      </c>
      <c r="Q15" s="153">
        <f>QUARTILE(Q9:Q12,3)</f>
        <v>136.3658125497281</v>
      </c>
    </row>
    <row r="16" spans="2:18" x14ac:dyDescent="0.25">
      <c r="B16" s="159" t="s">
        <v>131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>
        <f>AVERAGE(O9:O12)</f>
        <v>11.951417353665525</v>
      </c>
      <c r="P16" s="160">
        <f>AVERAGE(P9:P12)</f>
        <v>54.72998752550879</v>
      </c>
      <c r="Q16" s="160">
        <f>AVERAGE(Q9:Q12)</f>
        <v>110.43192005054516</v>
      </c>
    </row>
    <row r="17" spans="2:17" x14ac:dyDescent="0.25">
      <c r="B17" s="159" t="s">
        <v>82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60">
        <f>MEDIAN(O9:O12)</f>
        <v>12.96814587892179</v>
      </c>
      <c r="P17" s="160">
        <f>MEDIAN(P9:P12)</f>
        <v>58.573687099695292</v>
      </c>
      <c r="Q17" s="160">
        <f>MEDIAN(Q9:Q12)</f>
        <v>98.392638649658579</v>
      </c>
    </row>
    <row r="18" spans="2:17" x14ac:dyDescent="0.25">
      <c r="B18" s="152" t="s">
        <v>353</v>
      </c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3">
        <f>QUARTILE(O9:O12,1)</f>
        <v>8.9356423119523605</v>
      </c>
      <c r="P18" s="153">
        <f>QUARTILE(P9:P12,1)</f>
        <v>46.332804111559497</v>
      </c>
      <c r="Q18" s="153">
        <f>QUARTILE(Q9:Q12,1)</f>
        <v>78.478386850918909</v>
      </c>
    </row>
    <row r="19" spans="2:17" x14ac:dyDescent="0.25">
      <c r="B19" s="152" t="s">
        <v>354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3">
        <f>MIN(O9:O12)</f>
        <v>4.9031387449829298</v>
      </c>
      <c r="P19" s="153">
        <f>MIN(P9:P12)</f>
        <v>34.091921123423695</v>
      </c>
      <c r="Q19" s="153">
        <f>MIN(Q9:Q12)</f>
        <v>58.564135052179246</v>
      </c>
    </row>
    <row r="21" spans="2:17" x14ac:dyDescent="0.25">
      <c r="B21" s="155" t="str">
        <f>'Data Sheet'!B1&amp; " Comparable Valuation"</f>
        <v>AVENUE SUPERMARTS LTD Comparable Valuation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49" t="s">
        <v>348</v>
      </c>
      <c r="P21" s="149" t="s">
        <v>349</v>
      </c>
      <c r="Q21" s="149" t="s">
        <v>350</v>
      </c>
    </row>
    <row r="22" spans="2:17" ht="4.5" customHeight="1" x14ac:dyDescent="0.25"/>
    <row r="23" spans="2:17" x14ac:dyDescent="0.25">
      <c r="B23" s="115" t="s">
        <v>355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6">
        <f>O$17*K9</f>
        <v>630983.16346171137</v>
      </c>
      <c r="P23" s="116">
        <f>P$17*L9</f>
        <v>238569.03099999999</v>
      </c>
      <c r="Q23" s="116">
        <f>Q24+Q25</f>
        <v>238569.03099999999</v>
      </c>
    </row>
    <row r="24" spans="2:17" x14ac:dyDescent="0.25">
      <c r="B24" s="115" t="s">
        <v>333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6">
        <f>$G$9</f>
        <v>-777.94999999999993</v>
      </c>
      <c r="P24" s="116">
        <f t="shared" ref="P24:Q24" si="5">$G$9</f>
        <v>-777.94999999999993</v>
      </c>
      <c r="Q24" s="116">
        <f t="shared" si="5"/>
        <v>-777.94999999999993</v>
      </c>
    </row>
    <row r="25" spans="2:17" x14ac:dyDescent="0.25">
      <c r="B25" s="115" t="s">
        <v>356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6">
        <f>O23-O24</f>
        <v>631761.11346171133</v>
      </c>
      <c r="P25" s="116">
        <f t="shared" ref="P25" si="6">P23-P24</f>
        <v>239346.981</v>
      </c>
      <c r="Q25" s="116">
        <f>Q17*M9</f>
        <v>239346.981</v>
      </c>
    </row>
    <row r="26" spans="2:17" x14ac:dyDescent="0.25">
      <c r="B26" s="115" t="s">
        <v>331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>
        <f>$E$9</f>
        <v>65.069999999999993</v>
      </c>
      <c r="P26" s="116">
        <f t="shared" ref="P26:Q26" si="7">$E$9</f>
        <v>65.069999999999993</v>
      </c>
      <c r="Q26" s="116">
        <f t="shared" si="7"/>
        <v>65.069999999999993</v>
      </c>
    </row>
    <row r="27" spans="2:17" ht="6" customHeight="1" x14ac:dyDescent="0.25">
      <c r="O27" s="117"/>
      <c r="P27" s="117"/>
      <c r="Q27" s="117"/>
    </row>
    <row r="28" spans="2:17" x14ac:dyDescent="0.25">
      <c r="B28" s="157" t="s">
        <v>357</v>
      </c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8">
        <f>O25/O26</f>
        <v>9708.9459576104418</v>
      </c>
      <c r="P28" s="158">
        <f t="shared" ref="P28:Q28" si="8">P25/P26</f>
        <v>3678.3</v>
      </c>
      <c r="Q28" s="158">
        <f t="shared" si="8"/>
        <v>3678.3</v>
      </c>
    </row>
    <row r="30" spans="2:17" x14ac:dyDescent="0.25">
      <c r="O30" t="str">
        <f>IF(O28&gt;$D$9,"Undervalued","Overvalued")</f>
        <v>Undervalued</v>
      </c>
      <c r="P30" t="str">
        <f t="shared" ref="P30:Q30" si="9">IF(P28&gt;$D$9,"Undervalued","Overvalued")</f>
        <v>Overvalued</v>
      </c>
      <c r="Q30" t="str">
        <f t="shared" si="9"/>
        <v>Overvalued</v>
      </c>
    </row>
  </sheetData>
  <mergeCells count="3">
    <mergeCell ref="D6:H6"/>
    <mergeCell ref="K6:M6"/>
    <mergeCell ref="O6:Q6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6EA-6C8D-465F-8401-48FC1C71DE23}">
  <dimension ref="B2:Q10"/>
  <sheetViews>
    <sheetView showGridLines="0" workbookViewId="0">
      <selection activeCell="N9" sqref="N9"/>
    </sheetView>
  </sheetViews>
  <sheetFormatPr defaultRowHeight="15" x14ac:dyDescent="0.25"/>
  <cols>
    <col min="1" max="1" width="1.85546875" customWidth="1"/>
  </cols>
  <sheetData>
    <row r="2" spans="2:17" x14ac:dyDescent="0.25">
      <c r="B2" s="65" t="str">
        <f>"Football Field Analysis - "&amp;'Data Sheet'!B1</f>
        <v>Football Field Analysis - AVENUE SUPERMARTS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2:17" x14ac:dyDescent="0.25">
      <c r="L4" s="65" t="s">
        <v>367</v>
      </c>
      <c r="M4" s="77"/>
      <c r="N4" s="77"/>
      <c r="O4" s="77"/>
      <c r="P4" s="77"/>
      <c r="Q4" s="77"/>
    </row>
    <row r="5" spans="2:17" x14ac:dyDescent="0.25">
      <c r="N5" t="s">
        <v>363</v>
      </c>
      <c r="O5" t="s">
        <v>354</v>
      </c>
      <c r="P5" t="s">
        <v>364</v>
      </c>
      <c r="Q5" t="s">
        <v>351</v>
      </c>
    </row>
    <row r="6" spans="2:17" x14ac:dyDescent="0.25">
      <c r="L6" t="s">
        <v>358</v>
      </c>
      <c r="N6">
        <v>352</v>
      </c>
      <c r="O6">
        <v>352</v>
      </c>
      <c r="P6">
        <v>2459</v>
      </c>
      <c r="Q6">
        <v>2459</v>
      </c>
    </row>
    <row r="7" spans="2:17" x14ac:dyDescent="0.25">
      <c r="L7" t="s">
        <v>359</v>
      </c>
      <c r="N7">
        <v>605</v>
      </c>
      <c r="O7">
        <v>605</v>
      </c>
      <c r="P7">
        <v>1528</v>
      </c>
      <c r="Q7">
        <v>1528</v>
      </c>
    </row>
    <row r="8" spans="2:17" x14ac:dyDescent="0.25">
      <c r="L8" t="s">
        <v>360</v>
      </c>
      <c r="N8">
        <v>918</v>
      </c>
      <c r="O8">
        <v>918</v>
      </c>
      <c r="P8">
        <v>1250</v>
      </c>
      <c r="Q8">
        <v>1250</v>
      </c>
    </row>
    <row r="9" spans="2:17" x14ac:dyDescent="0.25">
      <c r="L9" t="s">
        <v>361</v>
      </c>
      <c r="N9">
        <v>1632</v>
      </c>
      <c r="O9">
        <v>1632</v>
      </c>
      <c r="P9">
        <v>2840</v>
      </c>
      <c r="Q9">
        <v>2840</v>
      </c>
    </row>
    <row r="10" spans="2:17" x14ac:dyDescent="0.25">
      <c r="L10" t="s">
        <v>362</v>
      </c>
      <c r="N10">
        <v>400</v>
      </c>
      <c r="O10">
        <v>400</v>
      </c>
      <c r="P10">
        <v>950</v>
      </c>
      <c r="Q10">
        <v>950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8CB5-5DEA-4E6F-B920-C2E611CE4A87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16" t="str">
        <f>"DATA SOURCE FOR "&amp;'Data Sheet'!B1</f>
        <v>DATA SOURCE FOR AVENUE SUPERMARTS LTD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</row>
    <row r="6" spans="4:19" x14ac:dyDescent="0.25"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</row>
    <row r="7" spans="4:19" x14ac:dyDescent="0.25"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</row>
    <row r="8" spans="4:19" x14ac:dyDescent="0.25">
      <c r="D8" s="165"/>
      <c r="E8" s="165"/>
      <c r="F8" s="217" t="s">
        <v>375</v>
      </c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</row>
    <row r="9" spans="4:19" x14ac:dyDescent="0.25">
      <c r="D9" s="165"/>
      <c r="E9" s="165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</row>
  </sheetData>
  <mergeCells count="2">
    <mergeCell ref="D5:S7"/>
    <mergeCell ref="F8:Q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2" activePane="bottomRight" state="frozen"/>
      <selection pane="topRight" activeCell="C4" sqref="C4"/>
      <selection pane="bottomLeft" activeCell="C4" sqref="C4"/>
      <selection pane="bottomRight" activeCell="B25" sqref="B25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160</v>
      </c>
      <c r="B1" s="1" t="s">
        <v>161</v>
      </c>
      <c r="E1" s="220" t="str">
        <f>IF(B2&lt;&gt;B3, "A NEW VERSION OF THE WORKSHEET IS AVAILABLE", "")</f>
        <v/>
      </c>
      <c r="F1" s="220"/>
      <c r="G1" s="220"/>
      <c r="H1" s="220"/>
      <c r="I1" s="220"/>
      <c r="J1" s="220"/>
      <c r="K1" s="220"/>
    </row>
    <row r="2" spans="1:11" x14ac:dyDescent="0.25">
      <c r="A2" s="1" t="s">
        <v>162</v>
      </c>
      <c r="B2" s="2">
        <v>2.1</v>
      </c>
      <c r="E2" s="221" t="s">
        <v>163</v>
      </c>
      <c r="F2" s="221"/>
      <c r="G2" s="221"/>
      <c r="H2" s="221"/>
      <c r="I2" s="221"/>
      <c r="J2" s="221"/>
      <c r="K2" s="221"/>
    </row>
    <row r="3" spans="1:11" x14ac:dyDescent="0.25">
      <c r="A3" s="1" t="s">
        <v>164</v>
      </c>
      <c r="B3" s="2">
        <v>2.1</v>
      </c>
    </row>
    <row r="4" spans="1:11" x14ac:dyDescent="0.25">
      <c r="A4" s="1"/>
    </row>
    <row r="5" spans="1:11" x14ac:dyDescent="0.25">
      <c r="A5" s="1" t="s">
        <v>165</v>
      </c>
    </row>
    <row r="6" spans="1:11" x14ac:dyDescent="0.25">
      <c r="A6" s="2" t="s">
        <v>166</v>
      </c>
      <c r="B6" s="2">
        <f>IF(B9&gt;0, B9/B8, 0)</f>
        <v>65.073328915874455</v>
      </c>
    </row>
    <row r="7" spans="1:11" x14ac:dyDescent="0.25">
      <c r="A7" s="2" t="s">
        <v>167</v>
      </c>
      <c r="B7">
        <v>10</v>
      </c>
    </row>
    <row r="8" spans="1:11" x14ac:dyDescent="0.25">
      <c r="A8" s="2" t="s">
        <v>168</v>
      </c>
      <c r="B8">
        <v>3697.45</v>
      </c>
    </row>
    <row r="9" spans="1:11" x14ac:dyDescent="0.25">
      <c r="A9" s="2" t="s">
        <v>169</v>
      </c>
      <c r="B9">
        <v>240605.38</v>
      </c>
    </row>
    <row r="15" spans="1:11" x14ac:dyDescent="0.25">
      <c r="A15" s="1" t="s">
        <v>170</v>
      </c>
    </row>
    <row r="16" spans="1:11" s="6" customFormat="1" x14ac:dyDescent="0.25">
      <c r="A16" s="5" t="s">
        <v>171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3" customFormat="1" x14ac:dyDescent="0.25">
      <c r="A17" s="3" t="s">
        <v>4</v>
      </c>
      <c r="B17">
        <v>4686.4799999999996</v>
      </c>
      <c r="C17">
        <v>6439.43</v>
      </c>
      <c r="D17">
        <v>8583.76</v>
      </c>
      <c r="E17">
        <v>11897.7</v>
      </c>
      <c r="F17">
        <v>15033.2</v>
      </c>
      <c r="G17">
        <v>20004.52</v>
      </c>
      <c r="H17">
        <v>24870.2</v>
      </c>
      <c r="I17">
        <v>24143.06</v>
      </c>
      <c r="J17">
        <v>30976.27</v>
      </c>
      <c r="K17">
        <v>42839.56</v>
      </c>
    </row>
    <row r="18" spans="1:11" s="3" customFormat="1" x14ac:dyDescent="0.25">
      <c r="A18" s="2" t="s">
        <v>172</v>
      </c>
      <c r="B18">
        <v>4086.53</v>
      </c>
      <c r="C18">
        <v>5648.47</v>
      </c>
      <c r="D18">
        <v>7435.62</v>
      </c>
      <c r="E18">
        <v>10357.25</v>
      </c>
      <c r="F18">
        <v>12846.95</v>
      </c>
      <c r="G18">
        <v>17445.490000000002</v>
      </c>
      <c r="H18">
        <v>21441.68</v>
      </c>
      <c r="I18">
        <v>20855.560000000001</v>
      </c>
      <c r="J18">
        <v>26891.77</v>
      </c>
      <c r="K18">
        <v>36884.769999999997</v>
      </c>
    </row>
    <row r="19" spans="1:11" s="3" customFormat="1" x14ac:dyDescent="0.25">
      <c r="A19" s="2" t="s">
        <v>173</v>
      </c>
      <c r="B19">
        <v>102.1</v>
      </c>
      <c r="C19">
        <v>161.28</v>
      </c>
      <c r="D19">
        <v>132.08000000000001</v>
      </c>
      <c r="E19">
        <v>276.22000000000003</v>
      </c>
      <c r="F19">
        <v>211.31</v>
      </c>
      <c r="G19">
        <v>444.65</v>
      </c>
      <c r="H19">
        <v>338.75</v>
      </c>
      <c r="I19">
        <v>300.88</v>
      </c>
      <c r="J19">
        <v>494.38</v>
      </c>
      <c r="K19">
        <v>500.82</v>
      </c>
    </row>
    <row r="20" spans="1:11" s="3" customFormat="1" x14ac:dyDescent="0.25">
      <c r="A20" s="2" t="s">
        <v>174</v>
      </c>
      <c r="B20">
        <v>45.31</v>
      </c>
      <c r="C20">
        <v>59.33</v>
      </c>
      <c r="D20">
        <v>79.239999999999995</v>
      </c>
      <c r="E20">
        <v>99.41</v>
      </c>
      <c r="F20">
        <v>121.26</v>
      </c>
      <c r="G20">
        <v>152.80000000000001</v>
      </c>
      <c r="H20">
        <v>188.24</v>
      </c>
      <c r="I20">
        <v>174.2</v>
      </c>
      <c r="J20">
        <v>207.86</v>
      </c>
      <c r="K20">
        <v>314.62</v>
      </c>
    </row>
    <row r="21" spans="1:11" s="3" customFormat="1" x14ac:dyDescent="0.25">
      <c r="A21" s="2" t="s">
        <v>175</v>
      </c>
      <c r="B21">
        <v>123.53</v>
      </c>
      <c r="C21">
        <v>155.35</v>
      </c>
      <c r="D21">
        <v>241.36</v>
      </c>
      <c r="E21">
        <v>332.9</v>
      </c>
      <c r="F21">
        <v>373.72</v>
      </c>
      <c r="G21">
        <v>499.72</v>
      </c>
      <c r="H21">
        <v>645.96</v>
      </c>
      <c r="I21">
        <v>746.43</v>
      </c>
      <c r="J21">
        <v>805.85</v>
      </c>
      <c r="K21">
        <v>1116.56</v>
      </c>
    </row>
    <row r="22" spans="1:11" s="3" customFormat="1" x14ac:dyDescent="0.25">
      <c r="A22" s="2" t="s">
        <v>176</v>
      </c>
      <c r="B22">
        <v>87.34</v>
      </c>
      <c r="C22">
        <v>134.06</v>
      </c>
      <c r="D22">
        <v>149.04</v>
      </c>
      <c r="E22">
        <v>192.67</v>
      </c>
      <c r="F22">
        <v>283.14</v>
      </c>
      <c r="G22">
        <v>356.17</v>
      </c>
      <c r="H22">
        <v>457.14</v>
      </c>
      <c r="I22">
        <v>537.58000000000004</v>
      </c>
      <c r="J22">
        <v>617.36</v>
      </c>
      <c r="K22">
        <v>748.16</v>
      </c>
    </row>
    <row r="23" spans="1:11" s="3" customFormat="1" x14ac:dyDescent="0.25">
      <c r="A23" s="2" t="s">
        <v>177</v>
      </c>
      <c r="B23">
        <v>420.11</v>
      </c>
      <c r="C23">
        <v>582.79999999999995</v>
      </c>
      <c r="D23">
        <v>647.37</v>
      </c>
      <c r="E23">
        <v>71.239999999999995</v>
      </c>
      <c r="F23">
        <v>96</v>
      </c>
      <c r="G23">
        <v>135.84</v>
      </c>
      <c r="H23">
        <v>119.23</v>
      </c>
      <c r="I23">
        <v>108.69</v>
      </c>
      <c r="J23">
        <v>143.41</v>
      </c>
      <c r="K23">
        <v>212.04</v>
      </c>
    </row>
    <row r="24" spans="1:11" s="3" customFormat="1" x14ac:dyDescent="0.25">
      <c r="A24" s="2" t="s">
        <v>178</v>
      </c>
      <c r="B24">
        <v>-315.52</v>
      </c>
      <c r="C24">
        <v>-435.56</v>
      </c>
      <c r="D24">
        <v>-501.25</v>
      </c>
      <c r="E24">
        <v>151.27000000000001</v>
      </c>
      <c r="F24">
        <v>170.58</v>
      </c>
      <c r="G24">
        <v>225.84</v>
      </c>
      <c r="H24">
        <v>228.39</v>
      </c>
      <c r="I24">
        <v>276.64999999999998</v>
      </c>
      <c r="J24">
        <v>302.05</v>
      </c>
      <c r="K24">
        <v>425.46</v>
      </c>
    </row>
    <row r="25" spans="1:11" s="3" customFormat="1" x14ac:dyDescent="0.25">
      <c r="A25" s="3" t="s">
        <v>179</v>
      </c>
      <c r="B25">
        <v>16.27</v>
      </c>
      <c r="C25">
        <v>20.27</v>
      </c>
      <c r="D25">
        <v>17.02</v>
      </c>
      <c r="E25">
        <v>27.7</v>
      </c>
      <c r="F25">
        <v>87.75</v>
      </c>
      <c r="G25">
        <v>48.33</v>
      </c>
      <c r="H25">
        <v>59.99</v>
      </c>
      <c r="I25">
        <v>194.43</v>
      </c>
      <c r="J25">
        <v>113.64</v>
      </c>
      <c r="K25">
        <v>127.6</v>
      </c>
    </row>
    <row r="26" spans="1:11" s="3" customFormat="1" x14ac:dyDescent="0.25">
      <c r="A26" s="3" t="s">
        <v>17</v>
      </c>
      <c r="B26">
        <v>57.01</v>
      </c>
      <c r="C26">
        <v>81.540000000000006</v>
      </c>
      <c r="D26">
        <v>98.43</v>
      </c>
      <c r="E26">
        <v>127.82</v>
      </c>
      <c r="F26">
        <v>159</v>
      </c>
      <c r="G26">
        <v>212.49</v>
      </c>
      <c r="H26">
        <v>374.41</v>
      </c>
      <c r="I26">
        <v>414.16</v>
      </c>
      <c r="J26">
        <v>498.08</v>
      </c>
      <c r="K26">
        <v>638.87</v>
      </c>
    </row>
    <row r="27" spans="1:11" s="3" customFormat="1" x14ac:dyDescent="0.25">
      <c r="A27" s="3" t="s">
        <v>15</v>
      </c>
      <c r="B27">
        <v>55.68</v>
      </c>
      <c r="C27">
        <v>72.36</v>
      </c>
      <c r="D27">
        <v>91.34</v>
      </c>
      <c r="E27">
        <v>121.98</v>
      </c>
      <c r="F27">
        <v>59.54</v>
      </c>
      <c r="G27">
        <v>47.21</v>
      </c>
      <c r="H27">
        <v>69.12</v>
      </c>
      <c r="I27">
        <v>41.65</v>
      </c>
      <c r="J27">
        <v>53.79</v>
      </c>
      <c r="K27">
        <v>67.41</v>
      </c>
    </row>
    <row r="28" spans="1:11" s="3" customFormat="1" x14ac:dyDescent="0.25">
      <c r="A28" s="3" t="s">
        <v>180</v>
      </c>
      <c r="B28">
        <v>244.86</v>
      </c>
      <c r="C28">
        <v>322.63</v>
      </c>
      <c r="D28">
        <v>491.71</v>
      </c>
      <c r="E28">
        <v>747.08</v>
      </c>
      <c r="F28">
        <v>1222.07</v>
      </c>
      <c r="G28">
        <v>1421.94</v>
      </c>
      <c r="H28">
        <v>1744.77</v>
      </c>
      <c r="I28">
        <v>1483.45</v>
      </c>
      <c r="J28">
        <v>2064.12</v>
      </c>
      <c r="K28">
        <v>3060.09</v>
      </c>
    </row>
    <row r="29" spans="1:11" s="3" customFormat="1" x14ac:dyDescent="0.25">
      <c r="A29" s="3" t="s">
        <v>21</v>
      </c>
      <c r="B29">
        <v>83.48</v>
      </c>
      <c r="C29">
        <v>110.92</v>
      </c>
      <c r="D29">
        <v>171.47</v>
      </c>
      <c r="E29">
        <v>268.27999999999997</v>
      </c>
      <c r="F29">
        <v>415.79</v>
      </c>
      <c r="G29">
        <v>519.48</v>
      </c>
      <c r="H29">
        <v>443.79</v>
      </c>
      <c r="I29">
        <v>384.02</v>
      </c>
      <c r="J29">
        <v>571.72</v>
      </c>
      <c r="K29">
        <v>681.75</v>
      </c>
    </row>
    <row r="30" spans="1:11" s="3" customFormat="1" x14ac:dyDescent="0.25">
      <c r="A30" s="3" t="s">
        <v>181</v>
      </c>
      <c r="B30">
        <v>161.37</v>
      </c>
      <c r="C30">
        <v>211.67</v>
      </c>
      <c r="D30">
        <v>320.24</v>
      </c>
      <c r="E30">
        <v>478.75</v>
      </c>
      <c r="F30">
        <v>806.26</v>
      </c>
      <c r="G30">
        <v>902.54</v>
      </c>
      <c r="H30">
        <v>1301.08</v>
      </c>
      <c r="I30">
        <v>1099.49</v>
      </c>
      <c r="J30">
        <v>1492.55</v>
      </c>
      <c r="K30">
        <v>2378.5100000000002</v>
      </c>
    </row>
    <row r="31" spans="1:11" s="3" customFormat="1" x14ac:dyDescent="0.25">
      <c r="A31" s="3" t="s">
        <v>182</v>
      </c>
      <c r="B31"/>
      <c r="C31"/>
      <c r="D31"/>
      <c r="E31"/>
      <c r="F31"/>
      <c r="G31"/>
      <c r="H31"/>
      <c r="I31"/>
      <c r="J31"/>
      <c r="K31"/>
    </row>
    <row r="32" spans="1:11" s="3" customFormat="1" x14ac:dyDescent="0.25"/>
    <row r="33" spans="1:11" x14ac:dyDescent="0.25">
      <c r="A33" s="2" t="s">
        <v>13</v>
      </c>
      <c r="B33" s="2">
        <f>SUM(B26:B28)</f>
        <v>357.55</v>
      </c>
      <c r="C33" s="2">
        <f t="shared" ref="C33:K33" si="0">SUM(C26:C28)</f>
        <v>476.53</v>
      </c>
      <c r="D33" s="2">
        <f t="shared" si="0"/>
        <v>681.48</v>
      </c>
      <c r="E33" s="2">
        <f t="shared" si="0"/>
        <v>996.88000000000011</v>
      </c>
      <c r="F33" s="2">
        <f t="shared" si="0"/>
        <v>1440.61</v>
      </c>
      <c r="G33" s="2">
        <f t="shared" si="0"/>
        <v>1681.64</v>
      </c>
      <c r="H33" s="2">
        <f t="shared" si="0"/>
        <v>2188.3000000000002</v>
      </c>
      <c r="I33" s="2">
        <f t="shared" si="0"/>
        <v>1939.26</v>
      </c>
      <c r="J33" s="2">
        <f t="shared" si="0"/>
        <v>2615.9899999999998</v>
      </c>
      <c r="K33" s="2">
        <f t="shared" si="0"/>
        <v>3766.37</v>
      </c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183</v>
      </c>
    </row>
    <row r="41" spans="1:11" s="6" customFormat="1" x14ac:dyDescent="0.25">
      <c r="A41" s="5" t="s">
        <v>171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s="3" customFormat="1" x14ac:dyDescent="0.25">
      <c r="A42" s="3" t="s">
        <v>4</v>
      </c>
      <c r="B42">
        <v>7788.94</v>
      </c>
      <c r="C42">
        <v>9217.76</v>
      </c>
      <c r="D42">
        <v>8786.4500000000007</v>
      </c>
      <c r="E42">
        <v>10038.07</v>
      </c>
      <c r="F42">
        <v>10638.33</v>
      </c>
      <c r="G42">
        <v>11569.05</v>
      </c>
      <c r="H42">
        <v>10594.11</v>
      </c>
      <c r="I42">
        <v>11865.44</v>
      </c>
      <c r="J42">
        <v>12624.37</v>
      </c>
      <c r="K42">
        <v>13572.47</v>
      </c>
    </row>
    <row r="43" spans="1:11" s="3" customFormat="1" x14ac:dyDescent="0.25">
      <c r="A43" s="3" t="s">
        <v>184</v>
      </c>
      <c r="B43">
        <v>7120.36</v>
      </c>
      <c r="C43">
        <v>8351.2999999999993</v>
      </c>
      <c r="D43">
        <v>8047.17</v>
      </c>
      <c r="E43">
        <v>9029.83</v>
      </c>
      <c r="F43">
        <v>9746.31</v>
      </c>
      <c r="G43">
        <v>10603.79</v>
      </c>
      <c r="H43">
        <v>9822.6</v>
      </c>
      <c r="I43">
        <v>10830.17</v>
      </c>
      <c r="J43">
        <v>11619.4</v>
      </c>
      <c r="K43">
        <v>12452.58</v>
      </c>
    </row>
    <row r="44" spans="1:11" s="3" customFormat="1" x14ac:dyDescent="0.25">
      <c r="A44" s="3" t="s">
        <v>179</v>
      </c>
      <c r="B44">
        <v>27.5</v>
      </c>
      <c r="C44">
        <v>25.96</v>
      </c>
      <c r="D44">
        <v>32.57</v>
      </c>
      <c r="E44">
        <v>29.14</v>
      </c>
      <c r="F44">
        <v>35.57</v>
      </c>
      <c r="G44">
        <v>31.56</v>
      </c>
      <c r="H44">
        <v>33.07</v>
      </c>
      <c r="I44">
        <v>38.74</v>
      </c>
      <c r="J44">
        <v>36.92</v>
      </c>
      <c r="K44">
        <v>32.92</v>
      </c>
    </row>
    <row r="45" spans="1:11" s="3" customFormat="1" x14ac:dyDescent="0.25">
      <c r="A45" s="3" t="s">
        <v>17</v>
      </c>
      <c r="B45">
        <v>116.01</v>
      </c>
      <c r="C45">
        <v>128.30000000000001</v>
      </c>
      <c r="D45">
        <v>146.33000000000001</v>
      </c>
      <c r="E45">
        <v>144.74</v>
      </c>
      <c r="F45">
        <v>161.96</v>
      </c>
      <c r="G45">
        <v>168.09</v>
      </c>
      <c r="H45">
        <v>164.08</v>
      </c>
      <c r="I45">
        <v>162.18</v>
      </c>
      <c r="J45">
        <v>174.36</v>
      </c>
      <c r="K45">
        <v>189.33</v>
      </c>
    </row>
    <row r="46" spans="1:11" s="3" customFormat="1" x14ac:dyDescent="0.25">
      <c r="A46" s="3" t="s">
        <v>15</v>
      </c>
      <c r="B46">
        <v>12.37</v>
      </c>
      <c r="C46">
        <v>13.95</v>
      </c>
      <c r="D46">
        <v>16.63</v>
      </c>
      <c r="E46">
        <v>17.22</v>
      </c>
      <c r="F46">
        <v>17.68</v>
      </c>
      <c r="G46">
        <v>16.98</v>
      </c>
      <c r="H46">
        <v>15.53</v>
      </c>
      <c r="I46">
        <v>14.57</v>
      </c>
      <c r="J46">
        <v>15.59</v>
      </c>
      <c r="K46">
        <v>14.55</v>
      </c>
    </row>
    <row r="47" spans="1:11" s="3" customFormat="1" x14ac:dyDescent="0.25">
      <c r="A47" s="3" t="s">
        <v>180</v>
      </c>
      <c r="B47">
        <v>567.70000000000005</v>
      </c>
      <c r="C47">
        <v>750.17</v>
      </c>
      <c r="D47">
        <v>608.89</v>
      </c>
      <c r="E47">
        <v>875.42</v>
      </c>
      <c r="F47">
        <v>747.95</v>
      </c>
      <c r="G47">
        <v>811.75</v>
      </c>
      <c r="H47">
        <v>624.97</v>
      </c>
      <c r="I47">
        <v>897.26</v>
      </c>
      <c r="J47">
        <v>851.94</v>
      </c>
      <c r="K47">
        <v>948.93</v>
      </c>
    </row>
    <row r="48" spans="1:11" s="3" customFormat="1" x14ac:dyDescent="0.25">
      <c r="A48" s="3" t="s">
        <v>21</v>
      </c>
      <c r="B48">
        <v>149.94</v>
      </c>
      <c r="C48">
        <v>197.64</v>
      </c>
      <c r="D48">
        <v>182.14</v>
      </c>
      <c r="E48">
        <v>232.53</v>
      </c>
      <c r="F48">
        <v>62.24</v>
      </c>
      <c r="G48">
        <v>222.11</v>
      </c>
      <c r="H48">
        <v>164.87</v>
      </c>
      <c r="I48">
        <v>238.55</v>
      </c>
      <c r="J48">
        <v>228.59</v>
      </c>
      <c r="K48">
        <v>258.52</v>
      </c>
    </row>
    <row r="49" spans="1:11" s="3" customFormat="1" x14ac:dyDescent="0.25">
      <c r="A49" s="3" t="s">
        <v>181</v>
      </c>
      <c r="B49">
        <v>417.79</v>
      </c>
      <c r="C49">
        <v>552.55999999999995</v>
      </c>
      <c r="D49">
        <v>426.83</v>
      </c>
      <c r="E49">
        <v>642.92999999999995</v>
      </c>
      <c r="F49">
        <v>685.77</v>
      </c>
      <c r="G49">
        <v>589.67999999999995</v>
      </c>
      <c r="H49">
        <v>460.13</v>
      </c>
      <c r="I49">
        <v>658.75</v>
      </c>
      <c r="J49">
        <v>623.55999999999995</v>
      </c>
      <c r="K49">
        <v>690.61</v>
      </c>
    </row>
    <row r="50" spans="1:11" x14ac:dyDescent="0.25">
      <c r="A50" s="3" t="s">
        <v>185</v>
      </c>
      <c r="B50">
        <v>668.58</v>
      </c>
      <c r="C50">
        <v>866.46</v>
      </c>
      <c r="D50">
        <v>739.28</v>
      </c>
      <c r="E50">
        <v>1008.24</v>
      </c>
      <c r="F50">
        <v>892.02</v>
      </c>
      <c r="G50">
        <v>965.26</v>
      </c>
      <c r="H50">
        <v>771.51</v>
      </c>
      <c r="I50">
        <v>1035.27</v>
      </c>
      <c r="J50">
        <v>1004.97</v>
      </c>
      <c r="K50">
        <v>1119.8900000000001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186</v>
      </c>
    </row>
    <row r="56" spans="1:11" s="6" customFormat="1" x14ac:dyDescent="0.25">
      <c r="A56" s="5" t="s">
        <v>171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32</v>
      </c>
      <c r="B57">
        <v>546.75</v>
      </c>
      <c r="C57">
        <v>561.54</v>
      </c>
      <c r="D57">
        <v>561.54</v>
      </c>
      <c r="E57">
        <v>624.08000000000004</v>
      </c>
      <c r="F57">
        <v>624.08000000000004</v>
      </c>
      <c r="G57">
        <v>624.08000000000004</v>
      </c>
      <c r="H57">
        <v>647.77</v>
      </c>
      <c r="I57">
        <v>647.77</v>
      </c>
      <c r="J57">
        <v>647.77</v>
      </c>
      <c r="K57">
        <v>648.26</v>
      </c>
    </row>
    <row r="58" spans="1:11" x14ac:dyDescent="0.25">
      <c r="A58" s="3" t="s">
        <v>33</v>
      </c>
      <c r="B58">
        <v>408.82</v>
      </c>
      <c r="C58">
        <v>637.65</v>
      </c>
      <c r="D58">
        <v>958.9</v>
      </c>
      <c r="E58">
        <v>3217.7</v>
      </c>
      <c r="F58">
        <v>4044.97</v>
      </c>
      <c r="G58">
        <v>4963.37</v>
      </c>
      <c r="H58">
        <v>10431.969999999999</v>
      </c>
      <c r="I58">
        <v>11535.94</v>
      </c>
      <c r="J58">
        <v>13029.87</v>
      </c>
      <c r="K58">
        <v>15430.44</v>
      </c>
    </row>
    <row r="59" spans="1:11" x14ac:dyDescent="0.25">
      <c r="A59" s="3" t="s">
        <v>34</v>
      </c>
      <c r="B59">
        <v>640.82000000000005</v>
      </c>
      <c r="C59">
        <v>904.26</v>
      </c>
      <c r="D59">
        <v>1192.3399999999999</v>
      </c>
      <c r="E59">
        <v>1497.32</v>
      </c>
      <c r="F59">
        <v>439.25</v>
      </c>
      <c r="G59">
        <v>700.15</v>
      </c>
      <c r="H59">
        <v>333.19</v>
      </c>
      <c r="I59">
        <v>392.71</v>
      </c>
      <c r="J59">
        <v>646.94000000000005</v>
      </c>
      <c r="K59">
        <v>642.98</v>
      </c>
    </row>
    <row r="60" spans="1:11" x14ac:dyDescent="0.25">
      <c r="A60" s="3" t="s">
        <v>35</v>
      </c>
      <c r="B60">
        <v>211.26</v>
      </c>
      <c r="C60">
        <v>251.36</v>
      </c>
      <c r="D60">
        <v>388.78</v>
      </c>
      <c r="E60">
        <v>480.18</v>
      </c>
      <c r="F60">
        <v>539.91999999999996</v>
      </c>
      <c r="G60">
        <v>717.9</v>
      </c>
      <c r="H60">
        <v>663.23</v>
      </c>
      <c r="I60">
        <v>1078.6300000000001</v>
      </c>
      <c r="J60">
        <v>1146.4000000000001</v>
      </c>
      <c r="K60">
        <v>1382.84</v>
      </c>
    </row>
    <row r="61" spans="1:11" s="1" customFormat="1" x14ac:dyDescent="0.25">
      <c r="A61" s="1" t="s">
        <v>187</v>
      </c>
      <c r="B61">
        <v>1807.65</v>
      </c>
      <c r="C61">
        <v>2354.81</v>
      </c>
      <c r="D61">
        <v>3101.56</v>
      </c>
      <c r="E61">
        <v>5819.28</v>
      </c>
      <c r="F61">
        <v>5648.22</v>
      </c>
      <c r="G61">
        <v>7005.5</v>
      </c>
      <c r="H61">
        <v>12076.16</v>
      </c>
      <c r="I61">
        <v>13655.05</v>
      </c>
      <c r="J61">
        <v>15470.98</v>
      </c>
      <c r="K61">
        <v>18104.52</v>
      </c>
    </row>
    <row r="62" spans="1:11" x14ac:dyDescent="0.25">
      <c r="A62" s="3" t="s">
        <v>188</v>
      </c>
      <c r="B62">
        <v>1171.69</v>
      </c>
      <c r="C62">
        <v>1528.08</v>
      </c>
      <c r="D62">
        <v>2093.52</v>
      </c>
      <c r="E62">
        <v>2577.75</v>
      </c>
      <c r="F62">
        <v>3399.97</v>
      </c>
      <c r="G62">
        <v>4400.37</v>
      </c>
      <c r="H62">
        <v>5948.03</v>
      </c>
      <c r="I62">
        <v>7008.8</v>
      </c>
      <c r="J62">
        <v>9260.02</v>
      </c>
      <c r="K62">
        <v>11340.48</v>
      </c>
    </row>
    <row r="63" spans="1:11" x14ac:dyDescent="0.25">
      <c r="A63" s="3" t="s">
        <v>38</v>
      </c>
      <c r="B63">
        <v>88.78</v>
      </c>
      <c r="C63">
        <v>98.12</v>
      </c>
      <c r="D63">
        <v>81.69</v>
      </c>
      <c r="E63">
        <v>152.88999999999999</v>
      </c>
      <c r="F63">
        <v>147.07</v>
      </c>
      <c r="G63">
        <v>376.84</v>
      </c>
      <c r="H63">
        <v>364.4</v>
      </c>
      <c r="I63">
        <v>1019.59</v>
      </c>
      <c r="J63">
        <v>1129.3399999999999</v>
      </c>
      <c r="K63">
        <v>829.16</v>
      </c>
    </row>
    <row r="64" spans="1:11" x14ac:dyDescent="0.25">
      <c r="A64" s="3" t="s">
        <v>39</v>
      </c>
      <c r="B64">
        <v>15.54</v>
      </c>
      <c r="C64">
        <v>15.23</v>
      </c>
      <c r="D64">
        <v>29.33</v>
      </c>
      <c r="E64">
        <v>25.69</v>
      </c>
      <c r="F64">
        <v>68.180000000000007</v>
      </c>
      <c r="G64">
        <v>16.53</v>
      </c>
      <c r="H64">
        <v>14.68</v>
      </c>
      <c r="I64">
        <v>2.95</v>
      </c>
      <c r="J64">
        <v>5.94</v>
      </c>
      <c r="K64">
        <v>202.2</v>
      </c>
    </row>
    <row r="65" spans="1:11" x14ac:dyDescent="0.25">
      <c r="A65" s="3" t="s">
        <v>40</v>
      </c>
      <c r="B65">
        <v>531.64</v>
      </c>
      <c r="C65">
        <v>713.38</v>
      </c>
      <c r="D65">
        <v>897.02</v>
      </c>
      <c r="E65">
        <v>3062.95</v>
      </c>
      <c r="F65">
        <v>2033</v>
      </c>
      <c r="G65">
        <v>2211.7600000000002</v>
      </c>
      <c r="H65">
        <v>5749.05</v>
      </c>
      <c r="I65">
        <v>5623.71</v>
      </c>
      <c r="J65">
        <v>5075.68</v>
      </c>
      <c r="K65">
        <v>5732.68</v>
      </c>
    </row>
    <row r="66" spans="1:11" s="1" customFormat="1" x14ac:dyDescent="0.25">
      <c r="A66" s="1" t="s">
        <v>187</v>
      </c>
      <c r="B66">
        <v>1807.65</v>
      </c>
      <c r="C66">
        <v>2354.81</v>
      </c>
      <c r="D66">
        <v>3101.56</v>
      </c>
      <c r="E66">
        <v>5819.28</v>
      </c>
      <c r="F66">
        <v>5648.22</v>
      </c>
      <c r="G66">
        <v>7005.5</v>
      </c>
      <c r="H66">
        <v>12076.16</v>
      </c>
      <c r="I66">
        <v>13655.05</v>
      </c>
      <c r="J66">
        <v>15470.98</v>
      </c>
      <c r="K66">
        <v>18104.52</v>
      </c>
    </row>
    <row r="67" spans="1:11" s="3" customFormat="1" x14ac:dyDescent="0.25">
      <c r="A67" s="3" t="s">
        <v>42</v>
      </c>
      <c r="B67">
        <v>9.5399999999999991</v>
      </c>
      <c r="C67">
        <v>7.07</v>
      </c>
      <c r="D67">
        <v>8.42</v>
      </c>
      <c r="E67">
        <v>21</v>
      </c>
      <c r="F67">
        <v>33.520000000000003</v>
      </c>
      <c r="G67">
        <v>64.37</v>
      </c>
      <c r="H67">
        <v>19.55</v>
      </c>
      <c r="I67">
        <v>43.58</v>
      </c>
      <c r="J67">
        <v>66.89</v>
      </c>
      <c r="K67">
        <v>62.16</v>
      </c>
    </row>
    <row r="68" spans="1:11" x14ac:dyDescent="0.25">
      <c r="A68" s="3" t="s">
        <v>43</v>
      </c>
      <c r="B68">
        <v>378.33</v>
      </c>
      <c r="C68">
        <v>539.61</v>
      </c>
      <c r="D68">
        <v>671.69</v>
      </c>
      <c r="E68">
        <v>947.9</v>
      </c>
      <c r="F68">
        <v>1163.45</v>
      </c>
      <c r="G68">
        <v>1608.65</v>
      </c>
      <c r="H68">
        <v>1947.4</v>
      </c>
      <c r="I68">
        <v>2248.2800000000002</v>
      </c>
      <c r="J68">
        <v>2742.66</v>
      </c>
      <c r="K68">
        <v>3243.48</v>
      </c>
    </row>
    <row r="69" spans="1:11" x14ac:dyDescent="0.25">
      <c r="A69" s="2" t="s">
        <v>44</v>
      </c>
      <c r="B69">
        <v>55.41</v>
      </c>
      <c r="C69">
        <v>38.04</v>
      </c>
      <c r="D69">
        <v>35.1</v>
      </c>
      <c r="E69">
        <v>1884.29</v>
      </c>
      <c r="F69">
        <v>560.17999999999995</v>
      </c>
      <c r="G69">
        <v>219.07</v>
      </c>
      <c r="H69">
        <v>107.88</v>
      </c>
      <c r="I69">
        <v>1445.58</v>
      </c>
      <c r="J69">
        <v>298.58</v>
      </c>
      <c r="K69">
        <v>1408.33</v>
      </c>
    </row>
    <row r="70" spans="1:11" x14ac:dyDescent="0.25">
      <c r="A70" s="2" t="s">
        <v>189</v>
      </c>
      <c r="B70">
        <v>546752880</v>
      </c>
      <c r="C70">
        <v>561542680</v>
      </c>
      <c r="D70">
        <v>561542680</v>
      </c>
      <c r="E70">
        <v>624084486</v>
      </c>
      <c r="F70">
        <v>624084486</v>
      </c>
      <c r="G70">
        <v>624084486</v>
      </c>
      <c r="H70">
        <v>647774691</v>
      </c>
      <c r="I70">
        <v>647774691</v>
      </c>
      <c r="J70">
        <v>647774691</v>
      </c>
      <c r="K70">
        <v>648263978</v>
      </c>
    </row>
    <row r="71" spans="1:11" x14ac:dyDescent="0.25">
      <c r="A71" s="2" t="s">
        <v>190</v>
      </c>
    </row>
    <row r="72" spans="1:11" x14ac:dyDescent="0.25">
      <c r="A72" s="2" t="s">
        <v>191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25">
      <c r="A74" s="2" t="s">
        <v>254</v>
      </c>
      <c r="B74" s="2">
        <f>B65-SUM(B67:B69)</f>
        <v>88.360000000000014</v>
      </c>
      <c r="C74" s="2">
        <f t="shared" ref="C74:K74" si="1">C65-SUM(C67:C69)</f>
        <v>128.65999999999997</v>
      </c>
      <c r="D74" s="2">
        <f t="shared" si="1"/>
        <v>181.80999999999995</v>
      </c>
      <c r="E74" s="2">
        <f t="shared" si="1"/>
        <v>209.75999999999976</v>
      </c>
      <c r="F74" s="2">
        <f t="shared" si="1"/>
        <v>275.84999999999991</v>
      </c>
      <c r="G74" s="2">
        <f t="shared" si="1"/>
        <v>319.6700000000003</v>
      </c>
      <c r="H74" s="2">
        <f t="shared" si="1"/>
        <v>3674.2200000000003</v>
      </c>
      <c r="I74" s="2">
        <f t="shared" si="1"/>
        <v>1886.27</v>
      </c>
      <c r="J74" s="2">
        <f t="shared" si="1"/>
        <v>1967.5500000000006</v>
      </c>
      <c r="K74" s="2">
        <f t="shared" si="1"/>
        <v>1018.7100000000009</v>
      </c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192</v>
      </c>
    </row>
    <row r="81" spans="1:11" s="6" customFormat="1" x14ac:dyDescent="0.25">
      <c r="A81" s="5" t="s">
        <v>171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5">
      <c r="A82" s="3" t="s">
        <v>193</v>
      </c>
      <c r="B82">
        <v>198.14</v>
      </c>
      <c r="C82">
        <v>222.02</v>
      </c>
      <c r="D82">
        <v>433.47</v>
      </c>
      <c r="E82">
        <v>455.28</v>
      </c>
      <c r="F82">
        <v>729.99</v>
      </c>
      <c r="G82">
        <v>806.84</v>
      </c>
      <c r="H82">
        <v>1280.1400000000001</v>
      </c>
      <c r="I82">
        <v>1375.14</v>
      </c>
      <c r="J82">
        <v>1372.35</v>
      </c>
      <c r="K82">
        <v>2630.27</v>
      </c>
    </row>
    <row r="83" spans="1:11" s="3" customFormat="1" x14ac:dyDescent="0.25">
      <c r="A83" s="3" t="s">
        <v>194</v>
      </c>
      <c r="B83">
        <v>-270.17</v>
      </c>
      <c r="C83">
        <v>-473.88</v>
      </c>
      <c r="D83">
        <v>-632.89</v>
      </c>
      <c r="E83">
        <v>-2481.61</v>
      </c>
      <c r="F83">
        <v>463.55</v>
      </c>
      <c r="G83">
        <v>-958.37</v>
      </c>
      <c r="H83">
        <v>-4656.5600000000004</v>
      </c>
      <c r="I83">
        <v>-1110</v>
      </c>
      <c r="J83">
        <v>-1289.49</v>
      </c>
      <c r="K83">
        <v>-2313.1</v>
      </c>
    </row>
    <row r="84" spans="1:11" s="3" customFormat="1" x14ac:dyDescent="0.25">
      <c r="A84" s="3" t="s">
        <v>195</v>
      </c>
      <c r="B84">
        <v>65.23</v>
      </c>
      <c r="C84">
        <v>234.45</v>
      </c>
      <c r="D84">
        <v>196.44</v>
      </c>
      <c r="E84">
        <v>2025.26</v>
      </c>
      <c r="F84">
        <v>-1159.06</v>
      </c>
      <c r="G84">
        <v>208.98</v>
      </c>
      <c r="H84">
        <v>3357.42</v>
      </c>
      <c r="I84">
        <v>-179.5</v>
      </c>
      <c r="J84">
        <v>-179.24</v>
      </c>
      <c r="K84">
        <v>-205.14</v>
      </c>
    </row>
    <row r="85" spans="1:11" s="1" customFormat="1" x14ac:dyDescent="0.25">
      <c r="A85" s="3" t="s">
        <v>79</v>
      </c>
      <c r="B85">
        <v>-6.8</v>
      </c>
      <c r="C85">
        <v>-17.41</v>
      </c>
      <c r="D85">
        <v>-2.98</v>
      </c>
      <c r="E85">
        <v>-1.07</v>
      </c>
      <c r="F85">
        <v>34.479999999999997</v>
      </c>
      <c r="G85">
        <v>57.45</v>
      </c>
      <c r="H85">
        <v>-19</v>
      </c>
      <c r="I85">
        <v>85.64</v>
      </c>
      <c r="J85">
        <v>-96.38</v>
      </c>
      <c r="K85">
        <v>112.03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196</v>
      </c>
      <c r="B90"/>
      <c r="C90"/>
      <c r="D90"/>
      <c r="E90">
        <v>637.85</v>
      </c>
      <c r="F90">
        <v>1324.8</v>
      </c>
      <c r="G90">
        <v>1471.1</v>
      </c>
      <c r="H90">
        <v>2187.5</v>
      </c>
      <c r="I90">
        <v>2859.05</v>
      </c>
      <c r="J90">
        <v>4003.35</v>
      </c>
      <c r="K90">
        <v>3401.05</v>
      </c>
    </row>
    <row r="92" spans="1:11" s="1" customFormat="1" x14ac:dyDescent="0.25">
      <c r="A92" s="1" t="s">
        <v>197</v>
      </c>
    </row>
    <row r="93" spans="1:11" x14ac:dyDescent="0.25">
      <c r="A93" s="2" t="s">
        <v>198</v>
      </c>
      <c r="B93" s="7">
        <v>54.68</v>
      </c>
      <c r="C93" s="7">
        <v>56.15</v>
      </c>
      <c r="D93" s="7">
        <v>56.15</v>
      </c>
      <c r="E93" s="7">
        <v>62.41</v>
      </c>
      <c r="F93" s="7">
        <v>62.41</v>
      </c>
      <c r="G93" s="7">
        <v>62.41</v>
      </c>
      <c r="H93" s="7">
        <v>64.78</v>
      </c>
      <c r="I93" s="7">
        <v>64.78</v>
      </c>
      <c r="J93" s="7">
        <v>64.78</v>
      </c>
      <c r="K93" s="7">
        <v>64.83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  <ignoredErrors>
    <ignoredError sqref="B33:K33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508-B5DB-46BD-8576-6AE0E2180EF5}">
  <dimension ref="B2:N76"/>
  <sheetViews>
    <sheetView showGridLines="0" workbookViewId="0">
      <selection activeCell="B1" sqref="B1"/>
    </sheetView>
  </sheetViews>
  <sheetFormatPr defaultRowHeight="15" x14ac:dyDescent="0.25"/>
  <cols>
    <col min="1" max="1" width="1.85546875" customWidth="1"/>
    <col min="2" max="2" width="28" bestFit="1" customWidth="1"/>
    <col min="3" max="14" width="9.85546875" bestFit="1" customWidth="1"/>
  </cols>
  <sheetData>
    <row r="2" spans="2:14" x14ac:dyDescent="0.25">
      <c r="B2" s="65" t="str">
        <f>"Cash Flows from Screener - "&amp;'Data Sheet'!B1</f>
        <v>Cash Flows from Screener - AVENUE SUPERMARTS LTD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4" spans="2:14" x14ac:dyDescent="0.25">
      <c r="B4" s="171" t="s">
        <v>253</v>
      </c>
      <c r="C4" s="191">
        <v>40969</v>
      </c>
      <c r="D4" s="191">
        <v>41334</v>
      </c>
      <c r="E4" s="191">
        <v>41699</v>
      </c>
      <c r="F4" s="191">
        <v>42064</v>
      </c>
      <c r="G4" s="191">
        <v>42430</v>
      </c>
      <c r="H4" s="191">
        <v>42795</v>
      </c>
      <c r="I4" s="191">
        <v>43160</v>
      </c>
      <c r="J4" s="191">
        <v>43525</v>
      </c>
      <c r="K4" s="191">
        <v>43891</v>
      </c>
      <c r="L4" s="191">
        <v>44256</v>
      </c>
      <c r="M4" s="191">
        <v>44621</v>
      </c>
      <c r="N4" s="191">
        <v>44986</v>
      </c>
    </row>
    <row r="5" spans="2:14" x14ac:dyDescent="0.25">
      <c r="B5" s="166" t="s">
        <v>199</v>
      </c>
      <c r="C5" s="192">
        <v>65</v>
      </c>
      <c r="D5" s="192">
        <v>127</v>
      </c>
      <c r="E5" s="192">
        <v>198</v>
      </c>
      <c r="F5" s="192">
        <v>222</v>
      </c>
      <c r="G5" s="192">
        <v>433</v>
      </c>
      <c r="H5" s="192">
        <v>455</v>
      </c>
      <c r="I5" s="192">
        <v>730</v>
      </c>
      <c r="J5" s="192">
        <v>807</v>
      </c>
      <c r="K5" s="192">
        <v>1280</v>
      </c>
      <c r="L5" s="192">
        <v>1375</v>
      </c>
      <c r="M5" s="192">
        <v>1372</v>
      </c>
      <c r="N5" s="192">
        <v>2630</v>
      </c>
    </row>
    <row r="6" spans="2:14" x14ac:dyDescent="0.25">
      <c r="B6" s="166" t="s">
        <v>50</v>
      </c>
      <c r="C6" s="192">
        <v>152</v>
      </c>
      <c r="D6" s="192">
        <v>229</v>
      </c>
      <c r="E6" s="192">
        <v>356</v>
      </c>
      <c r="F6" s="192">
        <v>474</v>
      </c>
      <c r="G6" s="192">
        <v>666</v>
      </c>
      <c r="H6" s="192">
        <v>984</v>
      </c>
      <c r="I6" s="192">
        <v>1375</v>
      </c>
      <c r="J6" s="192">
        <v>1659</v>
      </c>
      <c r="K6" s="192">
        <v>2149</v>
      </c>
      <c r="L6" s="192">
        <v>1764</v>
      </c>
      <c r="M6" s="192">
        <v>2515</v>
      </c>
      <c r="N6" s="192">
        <v>3659</v>
      </c>
    </row>
    <row r="7" spans="2:14" x14ac:dyDescent="0.25">
      <c r="B7" s="166" t="s">
        <v>42</v>
      </c>
      <c r="C7" s="192">
        <v>-3</v>
      </c>
      <c r="D7" s="192">
        <v>-8</v>
      </c>
      <c r="E7" s="192">
        <v>4</v>
      </c>
      <c r="F7" s="192">
        <v>2</v>
      </c>
      <c r="G7" s="192">
        <v>-1</v>
      </c>
      <c r="H7" s="192">
        <v>54</v>
      </c>
      <c r="I7" s="192">
        <v>-13</v>
      </c>
      <c r="J7" s="192">
        <v>-31</v>
      </c>
      <c r="K7" s="192">
        <v>45</v>
      </c>
      <c r="L7" s="192">
        <v>-24</v>
      </c>
      <c r="M7" s="192">
        <v>-23</v>
      </c>
      <c r="N7" s="192">
        <v>5</v>
      </c>
    </row>
    <row r="8" spans="2:14" x14ac:dyDescent="0.25">
      <c r="B8" s="166" t="s">
        <v>43</v>
      </c>
      <c r="C8" s="192">
        <v>-73</v>
      </c>
      <c r="D8" s="192">
        <v>-80</v>
      </c>
      <c r="E8" s="192">
        <v>-102</v>
      </c>
      <c r="F8" s="192">
        <v>-161</v>
      </c>
      <c r="G8" s="192">
        <v>-132</v>
      </c>
      <c r="H8" s="192">
        <v>-276</v>
      </c>
      <c r="I8" s="192">
        <v>-212</v>
      </c>
      <c r="J8" s="192">
        <v>-445</v>
      </c>
      <c r="K8" s="192">
        <v>-339</v>
      </c>
      <c r="L8" s="192">
        <v>-301</v>
      </c>
      <c r="M8" s="192">
        <v>-494</v>
      </c>
      <c r="N8" s="192">
        <v>-501</v>
      </c>
    </row>
    <row r="9" spans="2:14" x14ac:dyDescent="0.25">
      <c r="B9" s="166" t="s">
        <v>51</v>
      </c>
      <c r="C9" s="192">
        <v>20</v>
      </c>
      <c r="D9" s="192">
        <v>30</v>
      </c>
      <c r="E9" s="192">
        <v>28</v>
      </c>
      <c r="F9" s="192">
        <v>-4</v>
      </c>
      <c r="G9" s="192">
        <v>72</v>
      </c>
      <c r="H9" s="192">
        <v>0</v>
      </c>
      <c r="I9" s="192">
        <v>55</v>
      </c>
      <c r="J9" s="192">
        <v>146</v>
      </c>
      <c r="K9" s="192">
        <v>-30</v>
      </c>
      <c r="L9" s="192">
        <v>145</v>
      </c>
      <c r="M9" s="192">
        <v>11</v>
      </c>
      <c r="N9" s="192">
        <v>165</v>
      </c>
    </row>
    <row r="10" spans="2:14" x14ac:dyDescent="0.25">
      <c r="B10" s="166" t="s">
        <v>52</v>
      </c>
      <c r="C10" s="192">
        <v>-1</v>
      </c>
      <c r="D10" s="192">
        <v>-13</v>
      </c>
      <c r="E10" s="192">
        <v>-18</v>
      </c>
      <c r="F10" s="192">
        <v>-5</v>
      </c>
      <c r="G10" s="192">
        <v>0</v>
      </c>
      <c r="H10" s="192">
        <v>0</v>
      </c>
      <c r="I10" s="192">
        <v>0</v>
      </c>
      <c r="J10" s="192">
        <v>0</v>
      </c>
      <c r="K10" s="192">
        <v>0</v>
      </c>
      <c r="L10" s="192">
        <v>0</v>
      </c>
      <c r="M10" s="192">
        <v>0</v>
      </c>
      <c r="N10" s="192">
        <v>0</v>
      </c>
    </row>
    <row r="11" spans="2:14" x14ac:dyDescent="0.25">
      <c r="B11" s="166" t="s">
        <v>382</v>
      </c>
      <c r="C11" s="192">
        <v>0</v>
      </c>
      <c r="D11" s="192">
        <v>0</v>
      </c>
      <c r="E11" s="192">
        <v>0</v>
      </c>
      <c r="F11" s="192">
        <v>0</v>
      </c>
      <c r="G11" s="192">
        <v>0</v>
      </c>
      <c r="H11" s="192">
        <v>-2</v>
      </c>
      <c r="I11" s="192">
        <v>-62</v>
      </c>
      <c r="J11" s="192">
        <v>52</v>
      </c>
      <c r="K11" s="192">
        <v>2</v>
      </c>
      <c r="L11" s="192">
        <v>12</v>
      </c>
      <c r="M11" s="192">
        <v>-3</v>
      </c>
      <c r="N11" s="192">
        <v>0</v>
      </c>
    </row>
    <row r="12" spans="2:14" x14ac:dyDescent="0.25">
      <c r="B12" s="166" t="s">
        <v>53</v>
      </c>
      <c r="C12" s="192">
        <v>-1</v>
      </c>
      <c r="D12" s="192">
        <v>6</v>
      </c>
      <c r="E12" s="192">
        <v>6</v>
      </c>
      <c r="F12" s="192">
        <v>16</v>
      </c>
      <c r="G12" s="192">
        <v>-7</v>
      </c>
      <c r="H12" s="192">
        <v>-46</v>
      </c>
      <c r="I12" s="192">
        <v>-11</v>
      </c>
      <c r="J12" s="192">
        <v>-72</v>
      </c>
      <c r="K12" s="192">
        <v>-54</v>
      </c>
      <c r="L12" s="192">
        <v>41</v>
      </c>
      <c r="M12" s="192">
        <v>-73</v>
      </c>
      <c r="N12" s="192">
        <v>12</v>
      </c>
    </row>
    <row r="13" spans="2:14" x14ac:dyDescent="0.25">
      <c r="B13" s="166" t="s">
        <v>200</v>
      </c>
      <c r="C13" s="192">
        <v>-58</v>
      </c>
      <c r="D13" s="192">
        <v>-65</v>
      </c>
      <c r="E13" s="192">
        <v>-83</v>
      </c>
      <c r="F13" s="192">
        <v>-152</v>
      </c>
      <c r="G13" s="192">
        <v>-69</v>
      </c>
      <c r="H13" s="192">
        <v>-270</v>
      </c>
      <c r="I13" s="192">
        <v>-243</v>
      </c>
      <c r="J13" s="192">
        <v>-351</v>
      </c>
      <c r="K13" s="192">
        <v>-376</v>
      </c>
      <c r="L13" s="192">
        <v>-127</v>
      </c>
      <c r="M13" s="192">
        <v>-582</v>
      </c>
      <c r="N13" s="192">
        <v>-320</v>
      </c>
    </row>
    <row r="14" spans="2:14" x14ac:dyDescent="0.25">
      <c r="B14" s="166" t="s">
        <v>54</v>
      </c>
      <c r="C14" s="192">
        <v>-28</v>
      </c>
      <c r="D14" s="192">
        <v>-37</v>
      </c>
      <c r="E14" s="192">
        <v>-75</v>
      </c>
      <c r="F14" s="192">
        <v>-100</v>
      </c>
      <c r="G14" s="192">
        <v>-164</v>
      </c>
      <c r="H14" s="192">
        <v>-258</v>
      </c>
      <c r="I14" s="192">
        <v>-403</v>
      </c>
      <c r="J14" s="192">
        <v>-502</v>
      </c>
      <c r="K14" s="192">
        <v>-492</v>
      </c>
      <c r="L14" s="192">
        <v>-262</v>
      </c>
      <c r="M14" s="192">
        <v>-560</v>
      </c>
      <c r="N14" s="192">
        <v>-709</v>
      </c>
    </row>
    <row r="15" spans="2:14" x14ac:dyDescent="0.25">
      <c r="B15" s="166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</row>
    <row r="16" spans="2:14" x14ac:dyDescent="0.25">
      <c r="B16" s="166" t="s">
        <v>201</v>
      </c>
      <c r="C16" s="192">
        <v>-129</v>
      </c>
      <c r="D16" s="192">
        <v>-231</v>
      </c>
      <c r="E16" s="192">
        <v>-270</v>
      </c>
      <c r="F16" s="192">
        <v>-474</v>
      </c>
      <c r="G16" s="192">
        <v>-633</v>
      </c>
      <c r="H16" s="192">
        <v>-2482</v>
      </c>
      <c r="I16" s="192">
        <v>464</v>
      </c>
      <c r="J16" s="192">
        <v>-958</v>
      </c>
      <c r="K16" s="192">
        <v>-4657</v>
      </c>
      <c r="L16" s="192">
        <v>-1110</v>
      </c>
      <c r="M16" s="192">
        <v>-1289</v>
      </c>
      <c r="N16" s="192">
        <v>-2313</v>
      </c>
    </row>
    <row r="17" spans="2:14" x14ac:dyDescent="0.25">
      <c r="B17" s="166" t="s">
        <v>57</v>
      </c>
      <c r="C17" s="192">
        <v>-183</v>
      </c>
      <c r="D17" s="192">
        <v>-239</v>
      </c>
      <c r="E17" s="192">
        <v>-272</v>
      </c>
      <c r="F17" s="192">
        <v>-477</v>
      </c>
      <c r="G17" s="192">
        <v>0</v>
      </c>
      <c r="H17" s="192">
        <v>-645</v>
      </c>
      <c r="I17" s="192">
        <v>-916</v>
      </c>
      <c r="J17" s="192">
        <v>-1417</v>
      </c>
      <c r="K17" s="192">
        <v>-1712</v>
      </c>
      <c r="L17" s="192">
        <v>-2029</v>
      </c>
      <c r="M17" s="192">
        <v>-2410</v>
      </c>
      <c r="N17" s="192">
        <v>-2212</v>
      </c>
    </row>
    <row r="18" spans="2:14" x14ac:dyDescent="0.25">
      <c r="B18" s="166" t="s">
        <v>58</v>
      </c>
      <c r="C18" s="192">
        <v>0</v>
      </c>
      <c r="D18" s="192">
        <v>2</v>
      </c>
      <c r="E18" s="192">
        <v>1</v>
      </c>
      <c r="F18" s="192">
        <v>0</v>
      </c>
      <c r="G18" s="192">
        <v>2</v>
      </c>
      <c r="H18" s="192">
        <v>10</v>
      </c>
      <c r="I18" s="192">
        <v>7</v>
      </c>
      <c r="J18" s="192">
        <v>8</v>
      </c>
      <c r="K18" s="192">
        <v>6</v>
      </c>
      <c r="L18" s="192">
        <v>2</v>
      </c>
      <c r="M18" s="192">
        <v>21</v>
      </c>
      <c r="N18" s="192">
        <v>5</v>
      </c>
    </row>
    <row r="19" spans="2:14" x14ac:dyDescent="0.25">
      <c r="B19" s="166" t="s">
        <v>59</v>
      </c>
      <c r="C19" s="192">
        <v>-86</v>
      </c>
      <c r="D19" s="192">
        <v>-187</v>
      </c>
      <c r="E19" s="192">
        <v>-644</v>
      </c>
      <c r="F19" s="192">
        <v>-2901</v>
      </c>
      <c r="G19" s="192">
        <v>-638</v>
      </c>
      <c r="H19" s="192">
        <v>0</v>
      </c>
      <c r="I19" s="192">
        <v>0</v>
      </c>
      <c r="J19" s="192">
        <v>0</v>
      </c>
      <c r="K19" s="192">
        <v>0</v>
      </c>
      <c r="L19" s="192">
        <v>0</v>
      </c>
      <c r="M19" s="192">
        <v>0</v>
      </c>
      <c r="N19" s="192">
        <v>-193</v>
      </c>
    </row>
    <row r="20" spans="2:14" x14ac:dyDescent="0.25">
      <c r="B20" s="166" t="s">
        <v>60</v>
      </c>
      <c r="C20" s="192">
        <v>140</v>
      </c>
      <c r="D20" s="192">
        <v>194</v>
      </c>
      <c r="E20" s="192">
        <v>645</v>
      </c>
      <c r="F20" s="192">
        <v>2904</v>
      </c>
      <c r="G20" s="192">
        <v>0</v>
      </c>
      <c r="H20" s="192">
        <v>0</v>
      </c>
      <c r="I20" s="192">
        <v>1376</v>
      </c>
      <c r="J20" s="192">
        <v>410</v>
      </c>
      <c r="K20" s="192">
        <v>232</v>
      </c>
      <c r="L20" s="192">
        <v>3</v>
      </c>
      <c r="M20" s="192">
        <v>4</v>
      </c>
      <c r="N20" s="192">
        <v>6</v>
      </c>
    </row>
    <row r="21" spans="2:14" x14ac:dyDescent="0.25">
      <c r="B21" s="166" t="s">
        <v>61</v>
      </c>
      <c r="C21" s="192">
        <v>0</v>
      </c>
      <c r="D21" s="192">
        <v>0</v>
      </c>
      <c r="E21" s="192">
        <v>0</v>
      </c>
      <c r="F21" s="192">
        <v>0</v>
      </c>
      <c r="G21" s="192">
        <v>1</v>
      </c>
      <c r="H21" s="192">
        <v>1</v>
      </c>
      <c r="I21" s="192">
        <v>31</v>
      </c>
      <c r="J21" s="192">
        <v>36</v>
      </c>
      <c r="K21" s="192">
        <v>12</v>
      </c>
      <c r="L21" s="192">
        <v>129</v>
      </c>
      <c r="M21" s="192">
        <v>43</v>
      </c>
      <c r="N21" s="192">
        <v>39</v>
      </c>
    </row>
    <row r="22" spans="2:14" x14ac:dyDescent="0.25">
      <c r="B22" s="166" t="s">
        <v>62</v>
      </c>
      <c r="C22" s="192">
        <v>0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  <c r="I22" s="192">
        <v>0</v>
      </c>
      <c r="J22" s="192">
        <v>0</v>
      </c>
      <c r="K22" s="192">
        <v>0</v>
      </c>
      <c r="L22" s="192">
        <v>0</v>
      </c>
      <c r="M22" s="192">
        <v>0</v>
      </c>
      <c r="N22" s="192">
        <v>0</v>
      </c>
    </row>
    <row r="23" spans="2:14" x14ac:dyDescent="0.25">
      <c r="B23" s="166" t="s">
        <v>385</v>
      </c>
      <c r="C23" s="192">
        <v>0</v>
      </c>
      <c r="D23" s="192">
        <v>0</v>
      </c>
      <c r="E23" s="192">
        <v>0</v>
      </c>
      <c r="F23" s="192">
        <v>0</v>
      </c>
      <c r="G23" s="192">
        <v>3</v>
      </c>
      <c r="H23" s="192">
        <v>8</v>
      </c>
      <c r="I23" s="192">
        <v>0</v>
      </c>
      <c r="J23" s="192">
        <v>0</v>
      </c>
      <c r="K23" s="192">
        <v>0</v>
      </c>
      <c r="L23" s="192">
        <v>0</v>
      </c>
      <c r="M23" s="192">
        <v>0</v>
      </c>
      <c r="N23" s="192">
        <v>0</v>
      </c>
    </row>
    <row r="24" spans="2:14" x14ac:dyDescent="0.25">
      <c r="B24" s="166" t="s">
        <v>63</v>
      </c>
      <c r="C24" s="192">
        <v>0</v>
      </c>
      <c r="D24" s="192">
        <v>0</v>
      </c>
      <c r="E24" s="192">
        <v>0</v>
      </c>
      <c r="F24" s="192">
        <v>0</v>
      </c>
      <c r="G24" s="192">
        <v>-14</v>
      </c>
      <c r="H24" s="192">
        <v>-21</v>
      </c>
      <c r="I24" s="192">
        <v>-49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</row>
    <row r="25" spans="2:14" x14ac:dyDescent="0.25">
      <c r="B25" s="166" t="s">
        <v>64</v>
      </c>
      <c r="C25" s="192">
        <v>0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8</v>
      </c>
      <c r="J25" s="192">
        <v>0</v>
      </c>
      <c r="K25" s="192">
        <v>0</v>
      </c>
      <c r="L25" s="192">
        <v>0</v>
      </c>
      <c r="M25" s="192">
        <v>0</v>
      </c>
      <c r="N25" s="192">
        <v>0</v>
      </c>
    </row>
    <row r="26" spans="2:14" x14ac:dyDescent="0.25">
      <c r="B26" s="166" t="s">
        <v>65</v>
      </c>
      <c r="C26" s="192">
        <v>0</v>
      </c>
      <c r="D26" s="192">
        <v>0</v>
      </c>
      <c r="E26" s="192">
        <v>0</v>
      </c>
      <c r="F26" s="192">
        <v>0</v>
      </c>
      <c r="G26" s="192">
        <v>0</v>
      </c>
      <c r="H26" s="192">
        <v>0</v>
      </c>
      <c r="I26" s="192">
        <v>0</v>
      </c>
      <c r="J26" s="192">
        <v>0</v>
      </c>
      <c r="K26" s="192">
        <v>0</v>
      </c>
      <c r="L26" s="192">
        <v>0</v>
      </c>
      <c r="M26" s="192">
        <v>0</v>
      </c>
      <c r="N26" s="192">
        <v>0</v>
      </c>
    </row>
    <row r="27" spans="2:14" x14ac:dyDescent="0.25">
      <c r="B27" s="166" t="s">
        <v>66</v>
      </c>
      <c r="C27" s="192">
        <v>0</v>
      </c>
      <c r="D27" s="192">
        <v>0</v>
      </c>
      <c r="E27" s="192">
        <v>0</v>
      </c>
      <c r="F27" s="192">
        <v>0</v>
      </c>
      <c r="G27" s="192">
        <v>0</v>
      </c>
      <c r="H27" s="192">
        <v>0</v>
      </c>
      <c r="I27" s="192">
        <v>0</v>
      </c>
      <c r="J27" s="192">
        <v>0</v>
      </c>
      <c r="K27" s="192">
        <v>0</v>
      </c>
      <c r="L27" s="192">
        <v>0</v>
      </c>
      <c r="M27" s="192">
        <v>0</v>
      </c>
      <c r="N27" s="192">
        <v>0</v>
      </c>
    </row>
    <row r="28" spans="2:14" x14ac:dyDescent="0.25">
      <c r="B28" s="166" t="s">
        <v>67</v>
      </c>
      <c r="C28" s="192">
        <v>0</v>
      </c>
      <c r="D28" s="192">
        <v>0</v>
      </c>
      <c r="E28" s="192">
        <v>0</v>
      </c>
      <c r="F28" s="192">
        <v>0</v>
      </c>
      <c r="G28" s="192">
        <v>14</v>
      </c>
      <c r="H28" s="192">
        <v>-1835</v>
      </c>
      <c r="I28" s="192">
        <v>7</v>
      </c>
      <c r="J28" s="192">
        <v>3</v>
      </c>
      <c r="K28" s="192">
        <v>-3194</v>
      </c>
      <c r="L28" s="192">
        <v>786</v>
      </c>
      <c r="M28" s="192">
        <v>1054</v>
      </c>
      <c r="N28" s="192">
        <v>42</v>
      </c>
    </row>
    <row r="29" spans="2:14" x14ac:dyDescent="0.25">
      <c r="B29" s="166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</row>
    <row r="30" spans="2:14" x14ac:dyDescent="0.25">
      <c r="B30" s="166" t="s">
        <v>202</v>
      </c>
      <c r="C30" s="192">
        <v>93</v>
      </c>
      <c r="D30" s="192">
        <v>118</v>
      </c>
      <c r="E30" s="192">
        <v>65</v>
      </c>
      <c r="F30" s="192">
        <v>234</v>
      </c>
      <c r="G30" s="192">
        <v>196</v>
      </c>
      <c r="H30" s="192">
        <v>2025</v>
      </c>
      <c r="I30" s="192">
        <v>-1159</v>
      </c>
      <c r="J30" s="192">
        <v>209</v>
      </c>
      <c r="K30" s="192">
        <v>3357</v>
      </c>
      <c r="L30" s="192">
        <v>-180</v>
      </c>
      <c r="M30" s="192">
        <v>-179</v>
      </c>
      <c r="N30" s="192">
        <v>-205</v>
      </c>
    </row>
    <row r="31" spans="2:14" x14ac:dyDescent="0.25">
      <c r="B31" s="166" t="s">
        <v>70</v>
      </c>
      <c r="C31" s="192">
        <v>36</v>
      </c>
      <c r="D31" s="192">
        <v>14</v>
      </c>
      <c r="E31" s="192">
        <v>5</v>
      </c>
      <c r="F31" s="192">
        <v>33</v>
      </c>
      <c r="G31" s="192">
        <v>0</v>
      </c>
      <c r="H31" s="192">
        <v>1841</v>
      </c>
      <c r="I31" s="192">
        <v>0</v>
      </c>
      <c r="J31" s="192">
        <v>0</v>
      </c>
      <c r="K31" s="192">
        <v>110</v>
      </c>
      <c r="L31" s="192">
        <v>0</v>
      </c>
      <c r="M31" s="192">
        <v>0</v>
      </c>
      <c r="N31" s="192">
        <v>15</v>
      </c>
    </row>
    <row r="32" spans="2:14" x14ac:dyDescent="0.25">
      <c r="B32" s="166" t="s">
        <v>383</v>
      </c>
      <c r="C32" s="192">
        <v>0</v>
      </c>
      <c r="D32" s="192">
        <v>0</v>
      </c>
      <c r="E32" s="192">
        <v>0</v>
      </c>
      <c r="F32" s="192">
        <v>200</v>
      </c>
      <c r="G32" s="192">
        <v>350</v>
      </c>
      <c r="H32" s="192">
        <v>250</v>
      </c>
      <c r="I32" s="192">
        <v>0</v>
      </c>
      <c r="J32" s="192">
        <v>0</v>
      </c>
      <c r="K32" s="192">
        <v>300</v>
      </c>
      <c r="L32" s="192">
        <v>0</v>
      </c>
      <c r="M32" s="192">
        <v>0</v>
      </c>
      <c r="N32" s="192">
        <v>0</v>
      </c>
    </row>
    <row r="33" spans="2:14" x14ac:dyDescent="0.25">
      <c r="B33" s="166" t="s">
        <v>71</v>
      </c>
      <c r="C33" s="192">
        <v>0</v>
      </c>
      <c r="D33" s="192">
        <v>0</v>
      </c>
      <c r="E33" s="192">
        <v>0</v>
      </c>
      <c r="F33" s="192">
        <v>0</v>
      </c>
      <c r="G33" s="192">
        <v>0</v>
      </c>
      <c r="H33" s="192">
        <v>0</v>
      </c>
      <c r="I33" s="192">
        <v>-384</v>
      </c>
      <c r="J33" s="192">
        <v>-170</v>
      </c>
      <c r="K33" s="192">
        <v>-512</v>
      </c>
      <c r="L33" s="192">
        <v>-34</v>
      </c>
      <c r="M33" s="192">
        <v>0</v>
      </c>
      <c r="N33" s="192">
        <v>0</v>
      </c>
    </row>
    <row r="34" spans="2:14" x14ac:dyDescent="0.25">
      <c r="B34" s="166" t="s">
        <v>72</v>
      </c>
      <c r="C34" s="192">
        <v>129</v>
      </c>
      <c r="D34" s="192">
        <v>219</v>
      </c>
      <c r="E34" s="192">
        <v>245</v>
      </c>
      <c r="F34" s="192">
        <v>295</v>
      </c>
      <c r="G34" s="192">
        <v>-60</v>
      </c>
      <c r="H34" s="192">
        <v>260</v>
      </c>
      <c r="I34" s="192">
        <v>0</v>
      </c>
      <c r="J34" s="192">
        <v>992</v>
      </c>
      <c r="K34" s="192">
        <v>1100</v>
      </c>
      <c r="L34" s="192">
        <v>200</v>
      </c>
      <c r="M34" s="192">
        <v>248</v>
      </c>
      <c r="N34" s="192">
        <v>0</v>
      </c>
    </row>
    <row r="35" spans="2:14" x14ac:dyDescent="0.25">
      <c r="B35" s="166" t="s">
        <v>73</v>
      </c>
      <c r="C35" s="192">
        <v>-47</v>
      </c>
      <c r="D35" s="192">
        <v>-73</v>
      </c>
      <c r="E35" s="192">
        <v>-130</v>
      </c>
      <c r="F35" s="192">
        <v>-232</v>
      </c>
      <c r="G35" s="192">
        <v>0</v>
      </c>
      <c r="H35" s="192">
        <v>-155</v>
      </c>
      <c r="I35" s="192">
        <v>-695</v>
      </c>
      <c r="J35" s="192">
        <v>-562</v>
      </c>
      <c r="K35" s="192">
        <v>-1550</v>
      </c>
      <c r="L35" s="192">
        <v>-204</v>
      </c>
      <c r="M35" s="192">
        <v>-248</v>
      </c>
      <c r="N35" s="192">
        <v>0</v>
      </c>
    </row>
    <row r="36" spans="2:14" x14ac:dyDescent="0.25">
      <c r="B36" s="166" t="s">
        <v>74</v>
      </c>
      <c r="C36" s="192">
        <v>-24</v>
      </c>
      <c r="D36" s="192">
        <v>-42</v>
      </c>
      <c r="E36" s="192">
        <v>-54</v>
      </c>
      <c r="F36" s="192">
        <v>-62</v>
      </c>
      <c r="G36" s="192">
        <v>-93</v>
      </c>
      <c r="H36" s="192">
        <v>-120</v>
      </c>
      <c r="I36" s="192">
        <v>-80</v>
      </c>
      <c r="J36" s="192">
        <v>-51</v>
      </c>
      <c r="K36" s="192">
        <v>-98</v>
      </c>
      <c r="L36" s="192">
        <v>-44</v>
      </c>
      <c r="M36" s="192">
        <v>-54</v>
      </c>
      <c r="N36" s="192">
        <v>-67</v>
      </c>
    </row>
    <row r="37" spans="2:14" x14ac:dyDescent="0.25">
      <c r="B37" s="166" t="s">
        <v>76</v>
      </c>
      <c r="C37" s="192">
        <v>0</v>
      </c>
      <c r="D37" s="192">
        <v>0</v>
      </c>
      <c r="E37" s="192">
        <v>0</v>
      </c>
      <c r="F37" s="192">
        <v>0</v>
      </c>
      <c r="G37" s="192">
        <v>0</v>
      </c>
      <c r="H37" s="192">
        <v>0</v>
      </c>
      <c r="I37" s="192">
        <v>0</v>
      </c>
      <c r="J37" s="192">
        <v>0</v>
      </c>
      <c r="K37" s="192">
        <v>-70</v>
      </c>
      <c r="L37" s="192">
        <v>-98</v>
      </c>
      <c r="M37" s="192">
        <v>-125</v>
      </c>
      <c r="N37" s="192">
        <v>-153</v>
      </c>
    </row>
    <row r="38" spans="2:14" x14ac:dyDescent="0.25">
      <c r="B38" s="166" t="s">
        <v>384</v>
      </c>
      <c r="C38" s="192">
        <v>0</v>
      </c>
      <c r="D38" s="192">
        <v>0</v>
      </c>
      <c r="E38" s="192">
        <v>0</v>
      </c>
      <c r="F38" s="192">
        <v>0</v>
      </c>
      <c r="G38" s="192">
        <v>0</v>
      </c>
      <c r="H38" s="192">
        <v>0</v>
      </c>
      <c r="I38" s="192">
        <v>0</v>
      </c>
      <c r="J38" s="192">
        <v>0</v>
      </c>
      <c r="K38" s="192">
        <v>0</v>
      </c>
      <c r="L38" s="192">
        <v>0</v>
      </c>
      <c r="M38" s="192">
        <v>0</v>
      </c>
      <c r="N38" s="192">
        <v>1</v>
      </c>
    </row>
    <row r="39" spans="2:14" x14ac:dyDescent="0.25">
      <c r="B39" s="166" t="s">
        <v>77</v>
      </c>
      <c r="C39" s="192">
        <v>0</v>
      </c>
      <c r="D39" s="192">
        <v>0</v>
      </c>
      <c r="E39" s="192">
        <v>0</v>
      </c>
      <c r="F39" s="192">
        <v>0</v>
      </c>
      <c r="G39" s="192">
        <v>0</v>
      </c>
      <c r="H39" s="192">
        <v>-50</v>
      </c>
      <c r="I39" s="192">
        <v>0</v>
      </c>
      <c r="J39" s="192">
        <v>0</v>
      </c>
      <c r="K39" s="192">
        <v>4077</v>
      </c>
      <c r="L39" s="192">
        <v>0</v>
      </c>
      <c r="M39" s="192">
        <v>0</v>
      </c>
      <c r="N39" s="192">
        <v>0</v>
      </c>
    </row>
    <row r="40" spans="2:14" x14ac:dyDescent="0.25">
      <c r="B40" s="166" t="s">
        <v>79</v>
      </c>
      <c r="C40" s="166">
        <v>30</v>
      </c>
      <c r="D40" s="166">
        <v>14</v>
      </c>
      <c r="E40" s="166">
        <v>-7</v>
      </c>
      <c r="F40" s="166">
        <v>-17</v>
      </c>
      <c r="G40" s="166">
        <v>-3</v>
      </c>
      <c r="H40" s="166">
        <v>-1</v>
      </c>
      <c r="I40" s="166">
        <v>34</v>
      </c>
      <c r="J40" s="166">
        <v>57</v>
      </c>
      <c r="K40" s="166">
        <v>-19</v>
      </c>
      <c r="L40" s="166">
        <v>86</v>
      </c>
      <c r="M40" s="166">
        <v>-96</v>
      </c>
      <c r="N40" s="166">
        <v>112</v>
      </c>
    </row>
    <row r="43" spans="2:14" x14ac:dyDescent="0.25"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</row>
    <row r="44" spans="2:14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2:14" x14ac:dyDescent="0.25"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</row>
    <row r="46" spans="2:14" x14ac:dyDescent="0.25">
      <c r="K46" s="21"/>
      <c r="L46" s="21"/>
      <c r="M46" s="21"/>
      <c r="N46" s="21"/>
    </row>
    <row r="47" spans="2:14" x14ac:dyDescent="0.25">
      <c r="I47" s="21"/>
      <c r="J47" s="21"/>
      <c r="K47" s="21"/>
      <c r="L47" s="21"/>
      <c r="M47" s="21"/>
      <c r="N47" s="21"/>
    </row>
    <row r="52" spans="3:14" x14ac:dyDescent="0.25">
      <c r="L52" s="21"/>
      <c r="M52" s="21"/>
    </row>
    <row r="55" spans="3:14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3:14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3:14" x14ac:dyDescent="0.25">
      <c r="J57" s="21"/>
      <c r="K57" s="21"/>
      <c r="L57" s="21"/>
      <c r="M57" s="21"/>
      <c r="N57" s="21"/>
    </row>
    <row r="59" spans="3:14" x14ac:dyDescent="0.25">
      <c r="F59" s="21"/>
    </row>
    <row r="60" spans="3:14" x14ac:dyDescent="0.25">
      <c r="F60" s="21"/>
      <c r="I60" s="21"/>
      <c r="J60" s="21"/>
      <c r="K60" s="21"/>
      <c r="N60" s="21"/>
    </row>
    <row r="65" spans="8:13" x14ac:dyDescent="0.25">
      <c r="J65" s="21"/>
    </row>
    <row r="66" spans="8:13" x14ac:dyDescent="0.25">
      <c r="H66" s="21"/>
      <c r="K66" s="21"/>
      <c r="M66" s="21"/>
    </row>
    <row r="67" spans="8:13" x14ac:dyDescent="0.25">
      <c r="H67" s="21"/>
      <c r="I67" s="21"/>
      <c r="K67" s="21"/>
    </row>
    <row r="68" spans="8:13" x14ac:dyDescent="0.25">
      <c r="H68" s="21"/>
    </row>
    <row r="71" spans="8:13" x14ac:dyDescent="0.25">
      <c r="K71" s="21"/>
    </row>
    <row r="72" spans="8:13" x14ac:dyDescent="0.25">
      <c r="K72" s="21"/>
    </row>
    <row r="76" spans="8:13" x14ac:dyDescent="0.25">
      <c r="K76" s="2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2A3-2779-4D26-B149-11DFBC4437BC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x14ac:dyDescent="0.25">
      <c r="D5" s="216" t="str">
        <f>"DATA ROOM CREATED FOR "&amp;'Data Sheet'!B1</f>
        <v>DATA ROOM CREATED FOR AVENUE SUPERMARTS LTD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</row>
    <row r="6" spans="4:19" x14ac:dyDescent="0.25"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</row>
    <row r="7" spans="4:19" x14ac:dyDescent="0.25"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</row>
    <row r="8" spans="4:19" ht="15" customHeight="1" x14ac:dyDescent="0.25">
      <c r="D8" s="165"/>
      <c r="E8" s="165"/>
      <c r="F8" s="217" t="s">
        <v>376</v>
      </c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</row>
    <row r="9" spans="4:19" x14ac:dyDescent="0.25">
      <c r="D9" s="165"/>
      <c r="E9" s="165"/>
      <c r="F9" s="217" t="s">
        <v>377</v>
      </c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</row>
  </sheetData>
  <mergeCells count="3">
    <mergeCell ref="D5:S7"/>
    <mergeCell ref="F8:Q8"/>
    <mergeCell ref="F9:Q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B6B-5664-44E1-BC16-C902C063B532}">
  <dimension ref="A2:O78"/>
  <sheetViews>
    <sheetView showGridLines="0" workbookViewId="0">
      <pane ySplit="2" topLeftCell="A32" activePane="bottomLeft" state="frozen"/>
      <selection pane="bottomLeft" activeCell="B51" sqref="B51"/>
    </sheetView>
  </sheetViews>
  <sheetFormatPr defaultRowHeight="15" x14ac:dyDescent="0.25"/>
  <cols>
    <col min="1" max="1" width="1.85546875" customWidth="1"/>
    <col min="2" max="2" width="24.85546875" bestFit="1" customWidth="1"/>
    <col min="3" max="14" width="10.28515625" customWidth="1"/>
  </cols>
  <sheetData>
    <row r="2" spans="2:14" x14ac:dyDescent="0.25">
      <c r="B2" s="65" t="s">
        <v>253</v>
      </c>
      <c r="C2" s="110">
        <v>40969</v>
      </c>
      <c r="D2" s="110">
        <v>41334</v>
      </c>
      <c r="E2" s="110">
        <v>41699</v>
      </c>
      <c r="F2" s="110">
        <v>42064</v>
      </c>
      <c r="G2" s="110">
        <v>42430</v>
      </c>
      <c r="H2" s="110">
        <v>42795</v>
      </c>
      <c r="I2" s="110">
        <v>43160</v>
      </c>
      <c r="J2" s="110">
        <v>43525</v>
      </c>
      <c r="K2" s="110">
        <v>43891</v>
      </c>
      <c r="L2" s="110">
        <v>44256</v>
      </c>
      <c r="M2" s="110">
        <v>44621</v>
      </c>
      <c r="N2" s="110">
        <v>44986</v>
      </c>
    </row>
    <row r="3" spans="2:14" s="114" customFormat="1" x14ac:dyDescent="0.25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2:14" x14ac:dyDescent="0.25">
      <c r="B4" s="171" t="s">
        <v>255</v>
      </c>
      <c r="C4" s="193">
        <v>174</v>
      </c>
      <c r="D4" s="193">
        <v>174</v>
      </c>
      <c r="E4" s="193">
        <v>174</v>
      </c>
      <c r="F4" s="193">
        <v>176</v>
      </c>
      <c r="G4" s="193">
        <v>176</v>
      </c>
      <c r="H4" s="193">
        <v>176</v>
      </c>
      <c r="I4" s="193">
        <v>176</v>
      </c>
      <c r="J4" s="193">
        <v>177</v>
      </c>
      <c r="K4" s="193">
        <v>177</v>
      </c>
      <c r="L4" s="193">
        <v>177</v>
      </c>
      <c r="M4" s="193">
        <v>177</v>
      </c>
      <c r="N4" s="193">
        <v>177</v>
      </c>
    </row>
    <row r="5" spans="2:14" x14ac:dyDescent="0.25">
      <c r="B5" s="171" t="s">
        <v>33</v>
      </c>
      <c r="C5" s="193">
        <v>1543</v>
      </c>
      <c r="D5" s="193">
        <v>1921</v>
      </c>
      <c r="E5" s="193">
        <v>2482</v>
      </c>
      <c r="F5" s="193">
        <v>3178</v>
      </c>
      <c r="G5" s="193">
        <v>3995</v>
      </c>
      <c r="H5" s="193">
        <v>4671</v>
      </c>
      <c r="I5" s="193">
        <v>5530</v>
      </c>
      <c r="J5" s="193">
        <v>5455</v>
      </c>
      <c r="K5" s="193">
        <v>6429</v>
      </c>
      <c r="L5" s="193">
        <v>7487</v>
      </c>
      <c r="M5" s="193">
        <v>8205</v>
      </c>
      <c r="N5" s="193">
        <v>8796</v>
      </c>
    </row>
    <row r="6" spans="2:14" x14ac:dyDescent="0.25">
      <c r="B6" s="171" t="s">
        <v>256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2:14" x14ac:dyDescent="0.25">
      <c r="B7" s="166" t="s">
        <v>257</v>
      </c>
      <c r="C7" s="193">
        <v>727</v>
      </c>
      <c r="D7" s="193">
        <v>540</v>
      </c>
      <c r="E7" s="193">
        <v>260</v>
      </c>
      <c r="F7" s="193">
        <v>211</v>
      </c>
      <c r="G7" s="193">
        <v>342</v>
      </c>
      <c r="H7" s="193">
        <v>470</v>
      </c>
      <c r="I7" s="193">
        <v>364</v>
      </c>
      <c r="J7" s="193">
        <v>26</v>
      </c>
      <c r="K7" s="193">
        <v>163</v>
      </c>
      <c r="L7" s="193">
        <v>1</v>
      </c>
      <c r="M7" s="193">
        <v>250</v>
      </c>
      <c r="N7" s="193">
        <v>299</v>
      </c>
    </row>
    <row r="8" spans="2:14" x14ac:dyDescent="0.25">
      <c r="B8" s="166" t="s">
        <v>258</v>
      </c>
      <c r="C8" s="193">
        <v>341</v>
      </c>
      <c r="D8" s="193">
        <v>611</v>
      </c>
      <c r="E8" s="193">
        <v>448</v>
      </c>
      <c r="F8" s="193">
        <v>523</v>
      </c>
      <c r="G8" s="193">
        <v>450</v>
      </c>
      <c r="H8" s="193">
        <v>440</v>
      </c>
      <c r="I8" s="193">
        <v>464</v>
      </c>
      <c r="J8" s="193">
        <v>498</v>
      </c>
      <c r="K8" s="193">
        <v>304</v>
      </c>
      <c r="L8" s="193">
        <v>349</v>
      </c>
      <c r="M8" s="193">
        <v>617</v>
      </c>
      <c r="N8" s="193">
        <v>700</v>
      </c>
    </row>
    <row r="9" spans="2:14" x14ac:dyDescent="0.25">
      <c r="B9" s="166" t="s">
        <v>259</v>
      </c>
      <c r="C9" s="193">
        <v>0</v>
      </c>
      <c r="D9" s="193">
        <v>0</v>
      </c>
      <c r="E9" s="193">
        <v>0</v>
      </c>
      <c r="F9" s="193">
        <v>0</v>
      </c>
      <c r="G9" s="193">
        <v>0</v>
      </c>
      <c r="H9" s="193">
        <v>0</v>
      </c>
      <c r="I9" s="193">
        <v>0</v>
      </c>
      <c r="J9" s="193">
        <v>0</v>
      </c>
      <c r="K9" s="193">
        <v>0</v>
      </c>
      <c r="L9" s="193">
        <v>159</v>
      </c>
      <c r="M9" s="193">
        <v>162</v>
      </c>
      <c r="N9" s="193">
        <v>175</v>
      </c>
    </row>
    <row r="10" spans="2:14" x14ac:dyDescent="0.25">
      <c r="B10" s="166" t="s">
        <v>260</v>
      </c>
      <c r="C10" s="193">
        <v>0</v>
      </c>
      <c r="D10" s="193">
        <v>0</v>
      </c>
      <c r="E10" s="193">
        <v>0</v>
      </c>
      <c r="F10" s="193">
        <v>0</v>
      </c>
      <c r="G10" s="193">
        <v>13</v>
      </c>
      <c r="H10" s="193">
        <v>64</v>
      </c>
      <c r="I10" s="193">
        <v>109</v>
      </c>
      <c r="J10" s="193">
        <v>175</v>
      </c>
      <c r="K10" s="193">
        <v>55</v>
      </c>
      <c r="L10" s="193">
        <v>0</v>
      </c>
      <c r="M10" s="193">
        <v>0</v>
      </c>
      <c r="N10" s="193">
        <v>0</v>
      </c>
    </row>
    <row r="11" spans="2:14" x14ac:dyDescent="0.25">
      <c r="B11" s="171" t="s">
        <v>261</v>
      </c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</row>
    <row r="12" spans="2:14" x14ac:dyDescent="0.25">
      <c r="B12" s="166" t="s">
        <v>262</v>
      </c>
      <c r="C12" s="193">
        <v>3</v>
      </c>
      <c r="D12" s="193">
        <v>12</v>
      </c>
      <c r="E12" s="193">
        <v>16</v>
      </c>
      <c r="F12" s="193">
        <v>18</v>
      </c>
      <c r="G12" s="193">
        <v>22</v>
      </c>
      <c r="H12" s="193">
        <v>25</v>
      </c>
      <c r="I12" s="193">
        <v>27</v>
      </c>
      <c r="J12" s="193">
        <v>31</v>
      </c>
      <c r="K12" s="193">
        <v>36</v>
      </c>
      <c r="L12" s="193">
        <v>37</v>
      </c>
      <c r="M12" s="193">
        <v>41</v>
      </c>
      <c r="N12" s="193">
        <v>468</v>
      </c>
    </row>
    <row r="13" spans="2:14" x14ac:dyDescent="0.25">
      <c r="B13" s="166" t="s">
        <v>263</v>
      </c>
      <c r="C13" s="193">
        <v>477</v>
      </c>
      <c r="D13" s="193">
        <v>717</v>
      </c>
      <c r="E13" s="193">
        <v>1097</v>
      </c>
      <c r="F13" s="193">
        <v>1096</v>
      </c>
      <c r="G13" s="193">
        <v>1330</v>
      </c>
      <c r="H13" s="193">
        <v>1310</v>
      </c>
      <c r="I13" s="193">
        <v>1410</v>
      </c>
      <c r="J13" s="193">
        <v>1455</v>
      </c>
      <c r="K13" s="193">
        <v>1482</v>
      </c>
      <c r="L13" s="193">
        <v>1915</v>
      </c>
      <c r="M13" s="193">
        <v>2018</v>
      </c>
      <c r="N13" s="193">
        <v>2187</v>
      </c>
    </row>
    <row r="14" spans="2:14" x14ac:dyDescent="0.25">
      <c r="B14" s="166" t="s">
        <v>264</v>
      </c>
      <c r="C14" s="193">
        <v>13</v>
      </c>
      <c r="D14" s="193">
        <v>13</v>
      </c>
      <c r="E14" s="193">
        <v>11</v>
      </c>
      <c r="F14" s="193">
        <v>42</v>
      </c>
      <c r="G14" s="193">
        <v>35</v>
      </c>
      <c r="H14" s="193">
        <v>18</v>
      </c>
      <c r="I14" s="193">
        <v>25</v>
      </c>
      <c r="J14" s="193">
        <v>28</v>
      </c>
      <c r="K14" s="193">
        <v>30</v>
      </c>
      <c r="L14" s="193">
        <v>43</v>
      </c>
      <c r="M14" s="193">
        <v>37</v>
      </c>
      <c r="N14" s="193">
        <v>9</v>
      </c>
    </row>
    <row r="15" spans="2:14" x14ac:dyDescent="0.25">
      <c r="B15" s="166" t="s">
        <v>265</v>
      </c>
      <c r="C15" s="197">
        <v>922</v>
      </c>
      <c r="D15" s="197">
        <v>720</v>
      </c>
      <c r="E15" s="197">
        <v>824</v>
      </c>
      <c r="F15" s="197">
        <v>863</v>
      </c>
      <c r="G15" s="197">
        <v>569</v>
      </c>
      <c r="H15" s="197">
        <v>557</v>
      </c>
      <c r="I15" s="197">
        <v>596</v>
      </c>
      <c r="J15" s="197">
        <v>591</v>
      </c>
      <c r="K15" s="197">
        <v>660</v>
      </c>
      <c r="L15" s="197">
        <v>666</v>
      </c>
      <c r="M15" s="197">
        <v>777</v>
      </c>
      <c r="N15" s="197">
        <v>842</v>
      </c>
    </row>
    <row r="16" spans="2:14" x14ac:dyDescent="0.25">
      <c r="B16" s="175" t="s">
        <v>36</v>
      </c>
      <c r="C16" s="198">
        <v>4200</v>
      </c>
      <c r="D16" s="198">
        <v>4709</v>
      </c>
      <c r="E16" s="198">
        <v>5312</v>
      </c>
      <c r="F16" s="198">
        <v>6106</v>
      </c>
      <c r="G16" s="198">
        <v>6932</v>
      </c>
      <c r="H16" s="198">
        <v>7732</v>
      </c>
      <c r="I16" s="198">
        <v>8702</v>
      </c>
      <c r="J16" s="198">
        <v>8437</v>
      </c>
      <c r="K16" s="198">
        <v>9337</v>
      </c>
      <c r="L16" s="198">
        <v>10833</v>
      </c>
      <c r="M16" s="198">
        <v>12284</v>
      </c>
      <c r="N16" s="198">
        <v>13652</v>
      </c>
    </row>
    <row r="17" spans="2:14" x14ac:dyDescent="0.25">
      <c r="B17" s="166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</row>
    <row r="18" spans="2:14" s="111" customFormat="1" x14ac:dyDescent="0.25">
      <c r="B18" s="171" t="s">
        <v>266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</row>
    <row r="19" spans="2:14" x14ac:dyDescent="0.25">
      <c r="B19" s="166" t="s">
        <v>267</v>
      </c>
      <c r="C19" s="193">
        <v>74</v>
      </c>
      <c r="D19" s="193">
        <v>76</v>
      </c>
      <c r="E19" s="193">
        <v>85</v>
      </c>
      <c r="F19" s="193">
        <v>92</v>
      </c>
      <c r="G19" s="193">
        <v>80</v>
      </c>
      <c r="H19" s="193">
        <v>98</v>
      </c>
      <c r="I19" s="193">
        <v>108</v>
      </c>
      <c r="J19" s="193">
        <v>108</v>
      </c>
      <c r="K19" s="193">
        <v>103</v>
      </c>
      <c r="L19" s="193">
        <v>93</v>
      </c>
      <c r="M19" s="193">
        <v>123</v>
      </c>
      <c r="N19" s="193">
        <v>141</v>
      </c>
    </row>
    <row r="20" spans="2:14" x14ac:dyDescent="0.25">
      <c r="B20" s="166" t="s">
        <v>268</v>
      </c>
      <c r="C20" s="193">
        <v>473</v>
      </c>
      <c r="D20" s="193">
        <v>513</v>
      </c>
      <c r="E20" s="193">
        <v>605</v>
      </c>
      <c r="F20" s="193">
        <v>622</v>
      </c>
      <c r="G20" s="193">
        <v>629</v>
      </c>
      <c r="H20" s="193">
        <v>714</v>
      </c>
      <c r="I20" s="193">
        <v>763</v>
      </c>
      <c r="J20" s="193">
        <v>788</v>
      </c>
      <c r="K20" s="193">
        <v>1054</v>
      </c>
      <c r="L20" s="193">
        <v>1057</v>
      </c>
      <c r="M20" s="193">
        <v>1144</v>
      </c>
      <c r="N20" s="193">
        <v>1279</v>
      </c>
    </row>
    <row r="21" spans="2:14" x14ac:dyDescent="0.25">
      <c r="B21" s="166" t="s">
        <v>269</v>
      </c>
      <c r="C21" s="193">
        <v>653</v>
      </c>
      <c r="D21" s="193">
        <v>748</v>
      </c>
      <c r="E21" s="193">
        <v>900</v>
      </c>
      <c r="F21" s="193">
        <v>985</v>
      </c>
      <c r="G21" s="193">
        <v>1122</v>
      </c>
      <c r="H21" s="193">
        <v>1303</v>
      </c>
      <c r="I21" s="193">
        <v>1431</v>
      </c>
      <c r="J21" s="193">
        <v>1527</v>
      </c>
      <c r="K21" s="193">
        <v>1719</v>
      </c>
      <c r="L21" s="193">
        <v>1862</v>
      </c>
      <c r="M21" s="193">
        <v>2074</v>
      </c>
      <c r="N21" s="193">
        <v>2408</v>
      </c>
    </row>
    <row r="22" spans="2:14" x14ac:dyDescent="0.25">
      <c r="B22" s="166" t="s">
        <v>270</v>
      </c>
      <c r="C22" s="193">
        <v>44</v>
      </c>
      <c r="D22" s="193">
        <v>46</v>
      </c>
      <c r="E22" s="193">
        <v>48</v>
      </c>
      <c r="F22" s="193">
        <v>53</v>
      </c>
      <c r="G22" s="193">
        <v>58</v>
      </c>
      <c r="H22" s="193">
        <v>62</v>
      </c>
      <c r="I22" s="193">
        <v>59</v>
      </c>
      <c r="J22" s="193">
        <v>68</v>
      </c>
      <c r="K22" s="193">
        <v>69</v>
      </c>
      <c r="L22" s="193">
        <v>73</v>
      </c>
      <c r="M22" s="193">
        <v>78</v>
      </c>
      <c r="N22" s="193">
        <v>88</v>
      </c>
    </row>
    <row r="23" spans="2:14" x14ac:dyDescent="0.25">
      <c r="B23" s="166" t="s">
        <v>271</v>
      </c>
      <c r="C23" s="193">
        <v>0</v>
      </c>
      <c r="D23" s="193">
        <v>0</v>
      </c>
      <c r="E23" s="193">
        <v>0</v>
      </c>
      <c r="F23" s="193">
        <v>0</v>
      </c>
      <c r="G23" s="193">
        <v>0</v>
      </c>
      <c r="H23" s="193">
        <v>0</v>
      </c>
      <c r="I23" s="193">
        <v>0</v>
      </c>
      <c r="J23" s="193">
        <v>0</v>
      </c>
      <c r="K23" s="193">
        <v>0</v>
      </c>
      <c r="L23" s="193">
        <v>0</v>
      </c>
      <c r="M23" s="193">
        <v>0</v>
      </c>
      <c r="N23" s="193">
        <v>0</v>
      </c>
    </row>
    <row r="24" spans="2:14" x14ac:dyDescent="0.25">
      <c r="B24" s="166" t="s">
        <v>272</v>
      </c>
      <c r="C24" s="193">
        <v>55</v>
      </c>
      <c r="D24" s="193">
        <v>60</v>
      </c>
      <c r="E24" s="193">
        <v>79</v>
      </c>
      <c r="F24" s="193">
        <v>81</v>
      </c>
      <c r="G24" s="193">
        <v>89</v>
      </c>
      <c r="H24" s="193">
        <v>94</v>
      </c>
      <c r="I24" s="193">
        <v>104</v>
      </c>
      <c r="J24" s="193">
        <v>113</v>
      </c>
      <c r="K24" s="193">
        <v>126</v>
      </c>
      <c r="L24" s="193">
        <v>129</v>
      </c>
      <c r="M24" s="193">
        <v>134</v>
      </c>
      <c r="N24" s="193">
        <v>148</v>
      </c>
    </row>
    <row r="25" spans="2:14" x14ac:dyDescent="0.25">
      <c r="B25" s="166" t="s">
        <v>273</v>
      </c>
      <c r="C25" s="193">
        <v>23</v>
      </c>
      <c r="D25" s="193">
        <v>24</v>
      </c>
      <c r="E25" s="193">
        <v>27</v>
      </c>
      <c r="F25" s="193">
        <v>31</v>
      </c>
      <c r="G25" s="193">
        <v>35</v>
      </c>
      <c r="H25" s="193">
        <v>35</v>
      </c>
      <c r="I25" s="193">
        <v>42</v>
      </c>
      <c r="J25" s="193">
        <v>44</v>
      </c>
      <c r="K25" s="193">
        <v>45</v>
      </c>
      <c r="L25" s="193">
        <v>45</v>
      </c>
      <c r="M25" s="193">
        <v>47</v>
      </c>
      <c r="N25" s="193">
        <v>43</v>
      </c>
    </row>
    <row r="26" spans="2:14" x14ac:dyDescent="0.25">
      <c r="B26" s="166" t="s">
        <v>274</v>
      </c>
      <c r="C26" s="193">
        <v>802</v>
      </c>
      <c r="D26" s="193">
        <v>637</v>
      </c>
      <c r="E26" s="193">
        <v>636</v>
      </c>
      <c r="F26" s="193">
        <v>634</v>
      </c>
      <c r="G26" s="193">
        <v>425</v>
      </c>
      <c r="H26" s="193">
        <v>425</v>
      </c>
      <c r="I26" s="193">
        <v>426</v>
      </c>
      <c r="J26" s="193">
        <v>367</v>
      </c>
      <c r="K26" s="193">
        <v>374</v>
      </c>
      <c r="L26" s="193">
        <v>375</v>
      </c>
      <c r="M26" s="193">
        <v>291</v>
      </c>
      <c r="N26" s="193">
        <v>1322</v>
      </c>
    </row>
    <row r="27" spans="2:14" x14ac:dyDescent="0.25">
      <c r="B27" s="166" t="s">
        <v>275</v>
      </c>
      <c r="C27" s="194">
        <v>21</v>
      </c>
      <c r="D27" s="194">
        <v>29</v>
      </c>
      <c r="E27" s="194">
        <v>31</v>
      </c>
      <c r="F27" s="194">
        <v>43</v>
      </c>
      <c r="G27" s="194">
        <v>46</v>
      </c>
      <c r="H27" s="194">
        <v>112</v>
      </c>
      <c r="I27" s="194">
        <v>113</v>
      </c>
      <c r="J27" s="194">
        <v>125</v>
      </c>
      <c r="K27" s="194">
        <v>139</v>
      </c>
      <c r="L27" s="194">
        <v>146</v>
      </c>
      <c r="M27" s="194">
        <v>149</v>
      </c>
      <c r="N27" s="194">
        <v>154</v>
      </c>
    </row>
    <row r="28" spans="2:14" x14ac:dyDescent="0.25">
      <c r="B28" s="171" t="s">
        <v>276</v>
      </c>
      <c r="C28" s="199">
        <v>2145</v>
      </c>
      <c r="D28" s="199">
        <v>2133</v>
      </c>
      <c r="E28" s="199">
        <v>2413</v>
      </c>
      <c r="F28" s="199">
        <v>2541</v>
      </c>
      <c r="G28" s="199">
        <v>2484</v>
      </c>
      <c r="H28" s="199">
        <v>2843</v>
      </c>
      <c r="I28" s="199">
        <v>3046</v>
      </c>
      <c r="J28" s="199">
        <v>3139</v>
      </c>
      <c r="K28" s="199">
        <v>3629</v>
      </c>
      <c r="L28" s="199">
        <v>3779</v>
      </c>
      <c r="M28" s="199">
        <v>4041</v>
      </c>
      <c r="N28" s="199">
        <v>5583</v>
      </c>
    </row>
    <row r="29" spans="2:14" x14ac:dyDescent="0.25">
      <c r="B29" s="171" t="s">
        <v>277</v>
      </c>
      <c r="C29" s="194">
        <v>503</v>
      </c>
      <c r="D29" s="194">
        <v>551</v>
      </c>
      <c r="E29" s="194">
        <v>646</v>
      </c>
      <c r="F29" s="194">
        <v>664</v>
      </c>
      <c r="G29" s="194">
        <v>816</v>
      </c>
      <c r="H29" s="194">
        <v>884</v>
      </c>
      <c r="I29" s="194">
        <v>1018</v>
      </c>
      <c r="J29" s="194">
        <v>1170</v>
      </c>
      <c r="K29" s="194">
        <v>1377</v>
      </c>
      <c r="L29" s="194">
        <v>1536</v>
      </c>
      <c r="M29" s="194">
        <v>1733</v>
      </c>
      <c r="N29" s="194">
        <v>2004</v>
      </c>
    </row>
    <row r="30" spans="2:14" x14ac:dyDescent="0.25">
      <c r="B30" s="82" t="s">
        <v>188</v>
      </c>
      <c r="C30" s="119">
        <f>C28-C29</f>
        <v>1642</v>
      </c>
      <c r="D30" s="119">
        <f t="shared" ref="D30:N30" si="0">D28-D29</f>
        <v>1582</v>
      </c>
      <c r="E30" s="119">
        <f t="shared" si="0"/>
        <v>1767</v>
      </c>
      <c r="F30" s="119">
        <f t="shared" si="0"/>
        <v>1877</v>
      </c>
      <c r="G30" s="119">
        <f t="shared" si="0"/>
        <v>1668</v>
      </c>
      <c r="H30" s="119">
        <f t="shared" si="0"/>
        <v>1959</v>
      </c>
      <c r="I30" s="119">
        <f t="shared" si="0"/>
        <v>2028</v>
      </c>
      <c r="J30" s="119">
        <f t="shared" si="0"/>
        <v>1969</v>
      </c>
      <c r="K30" s="119">
        <f t="shared" si="0"/>
        <v>2252</v>
      </c>
      <c r="L30" s="119">
        <f t="shared" si="0"/>
        <v>2243</v>
      </c>
      <c r="M30" s="119">
        <f t="shared" si="0"/>
        <v>2308</v>
      </c>
      <c r="N30" s="119">
        <f t="shared" si="0"/>
        <v>3579</v>
      </c>
    </row>
    <row r="31" spans="2:14" x14ac:dyDescent="0.25">
      <c r="B31" s="11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</row>
    <row r="32" spans="2:14" x14ac:dyDescent="0.25">
      <c r="B32" s="171" t="s">
        <v>278</v>
      </c>
      <c r="C32" s="193">
        <v>27</v>
      </c>
      <c r="D32" s="193">
        <v>93</v>
      </c>
      <c r="E32" s="193">
        <v>22</v>
      </c>
      <c r="F32" s="193">
        <v>50</v>
      </c>
      <c r="G32" s="193">
        <v>45</v>
      </c>
      <c r="H32" s="193">
        <v>42</v>
      </c>
      <c r="I32" s="193">
        <v>42</v>
      </c>
      <c r="J32" s="193">
        <v>64</v>
      </c>
      <c r="K32" s="193">
        <v>147</v>
      </c>
      <c r="L32" s="193">
        <v>147</v>
      </c>
      <c r="M32" s="193">
        <v>168</v>
      </c>
      <c r="N32" s="193">
        <v>175</v>
      </c>
    </row>
    <row r="33" spans="1:15" x14ac:dyDescent="0.25">
      <c r="B33" s="171" t="s">
        <v>39</v>
      </c>
      <c r="C33" s="193">
        <v>483</v>
      </c>
      <c r="D33" s="193">
        <v>929</v>
      </c>
      <c r="E33" s="193">
        <v>1076</v>
      </c>
      <c r="F33" s="193">
        <v>1813</v>
      </c>
      <c r="G33" s="193">
        <v>2691</v>
      </c>
      <c r="H33" s="193">
        <v>3240</v>
      </c>
      <c r="I33" s="193">
        <v>3805</v>
      </c>
      <c r="J33" s="193">
        <v>3359</v>
      </c>
      <c r="K33" s="193">
        <v>2800</v>
      </c>
      <c r="L33" s="193">
        <v>4160</v>
      </c>
      <c r="M33" s="193">
        <v>6220</v>
      </c>
      <c r="N33" s="193">
        <v>6265</v>
      </c>
    </row>
    <row r="34" spans="1:15" x14ac:dyDescent="0.25">
      <c r="B34" s="171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</row>
    <row r="35" spans="1:15" s="100" customFormat="1" x14ac:dyDescent="0.25">
      <c r="A35"/>
      <c r="B35" s="171" t="s">
        <v>279</v>
      </c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</row>
    <row r="36" spans="1:15" x14ac:dyDescent="0.25">
      <c r="B36" s="166" t="s">
        <v>280</v>
      </c>
      <c r="C36" s="193">
        <v>824</v>
      </c>
      <c r="D36" s="193">
        <v>844</v>
      </c>
      <c r="E36" s="193">
        <v>973</v>
      </c>
      <c r="F36" s="193">
        <v>973</v>
      </c>
      <c r="G36" s="193">
        <v>1096</v>
      </c>
      <c r="H36" s="193">
        <v>1107</v>
      </c>
      <c r="I36" s="193">
        <v>1256</v>
      </c>
      <c r="J36" s="193">
        <v>1301</v>
      </c>
      <c r="K36" s="193">
        <v>1380</v>
      </c>
      <c r="L36" s="193">
        <v>1734</v>
      </c>
      <c r="M36" s="193">
        <v>1911</v>
      </c>
      <c r="N36" s="193">
        <v>2024</v>
      </c>
    </row>
    <row r="37" spans="1:15" x14ac:dyDescent="0.25">
      <c r="B37" s="166" t="s">
        <v>281</v>
      </c>
      <c r="C37" s="193">
        <v>462</v>
      </c>
      <c r="D37" s="193">
        <v>484</v>
      </c>
      <c r="E37" s="193">
        <v>675</v>
      </c>
      <c r="F37" s="193">
        <v>711</v>
      </c>
      <c r="G37" s="193">
        <v>809</v>
      </c>
      <c r="H37" s="193">
        <v>650</v>
      </c>
      <c r="I37" s="193">
        <v>706</v>
      </c>
      <c r="J37" s="193">
        <v>834</v>
      </c>
      <c r="K37" s="193">
        <v>814</v>
      </c>
      <c r="L37" s="193">
        <v>562</v>
      </c>
      <c r="M37" s="193">
        <v>646</v>
      </c>
      <c r="N37" s="193">
        <v>849</v>
      </c>
    </row>
    <row r="38" spans="1:15" x14ac:dyDescent="0.25">
      <c r="B38" s="166" t="s">
        <v>282</v>
      </c>
      <c r="C38" s="193">
        <v>418</v>
      </c>
      <c r="D38" s="193">
        <v>362</v>
      </c>
      <c r="E38" s="193">
        <v>519</v>
      </c>
      <c r="F38" s="193">
        <v>276</v>
      </c>
      <c r="G38" s="193">
        <v>220</v>
      </c>
      <c r="H38" s="193">
        <v>305</v>
      </c>
      <c r="I38" s="193">
        <v>306</v>
      </c>
      <c r="J38" s="193">
        <v>328</v>
      </c>
      <c r="K38" s="193">
        <v>811</v>
      </c>
      <c r="L38" s="193">
        <v>1329</v>
      </c>
      <c r="M38" s="193">
        <v>570</v>
      </c>
      <c r="N38" s="193">
        <v>326</v>
      </c>
    </row>
    <row r="39" spans="1:15" x14ac:dyDescent="0.25">
      <c r="B39" s="166" t="s">
        <v>283</v>
      </c>
      <c r="C39" s="193">
        <v>5</v>
      </c>
      <c r="D39" s="193">
        <v>7</v>
      </c>
      <c r="E39" s="193">
        <v>47</v>
      </c>
      <c r="F39" s="193">
        <v>63</v>
      </c>
      <c r="G39" s="193">
        <v>19</v>
      </c>
      <c r="H39" s="193">
        <v>14</v>
      </c>
      <c r="I39" s="193">
        <v>17</v>
      </c>
      <c r="J39" s="193">
        <v>22</v>
      </c>
      <c r="K39" s="193">
        <v>23</v>
      </c>
      <c r="L39" s="193">
        <v>20</v>
      </c>
      <c r="M39" s="193">
        <v>24</v>
      </c>
      <c r="N39" s="193">
        <v>33</v>
      </c>
    </row>
    <row r="40" spans="1:15" x14ac:dyDescent="0.25">
      <c r="B40" s="166" t="s">
        <v>284</v>
      </c>
      <c r="C40" s="193">
        <v>341</v>
      </c>
      <c r="D40" s="193">
        <v>408</v>
      </c>
      <c r="E40" s="193">
        <v>233</v>
      </c>
      <c r="F40" s="193">
        <v>343</v>
      </c>
      <c r="G40" s="193">
        <v>385</v>
      </c>
      <c r="H40" s="193">
        <v>416</v>
      </c>
      <c r="I40" s="193">
        <v>542</v>
      </c>
      <c r="J40" s="193">
        <v>561</v>
      </c>
      <c r="K40" s="193">
        <v>1109</v>
      </c>
      <c r="L40" s="193">
        <v>639</v>
      </c>
      <c r="M40" s="193">
        <v>437</v>
      </c>
      <c r="N40" s="193">
        <v>401</v>
      </c>
    </row>
    <row r="41" spans="1:15" x14ac:dyDescent="0.25">
      <c r="B41" s="175" t="s">
        <v>46</v>
      </c>
      <c r="C41" s="196">
        <v>4200</v>
      </c>
      <c r="D41" s="196">
        <v>4709</v>
      </c>
      <c r="E41" s="196">
        <v>5312</v>
      </c>
      <c r="F41" s="196">
        <v>6106</v>
      </c>
      <c r="G41" s="196">
        <v>6932</v>
      </c>
      <c r="H41" s="196">
        <v>7732</v>
      </c>
      <c r="I41" s="196">
        <v>8702</v>
      </c>
      <c r="J41" s="196">
        <v>8437</v>
      </c>
      <c r="K41" s="196">
        <v>9337</v>
      </c>
      <c r="L41" s="196">
        <v>10833</v>
      </c>
      <c r="M41" s="196">
        <v>12284</v>
      </c>
      <c r="N41" s="196">
        <v>13652</v>
      </c>
    </row>
    <row r="45" spans="1:15" x14ac:dyDescent="0.25"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</row>
    <row r="47" spans="1:15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25">
      <c r="C48" s="21"/>
      <c r="D48" s="21"/>
      <c r="M48" s="21"/>
      <c r="N48" s="21"/>
      <c r="O48" s="21"/>
    </row>
    <row r="53" spans="3:15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5" spans="3:15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8" spans="3:15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3:15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1" spans="3:15" x14ac:dyDescent="0.25">
      <c r="K61" s="21"/>
      <c r="L61" s="21"/>
      <c r="M61" s="21"/>
      <c r="N61" s="21"/>
    </row>
    <row r="62" spans="3:15" x14ac:dyDescent="0.25">
      <c r="G62" s="21"/>
      <c r="H62" s="21"/>
      <c r="I62" s="21"/>
      <c r="J62" s="21"/>
      <c r="K62" s="21"/>
      <c r="L62" s="21"/>
      <c r="M62" s="21"/>
      <c r="N62" s="21"/>
    </row>
    <row r="66" spans="3:15" x14ac:dyDescent="0.25">
      <c r="N66" s="21"/>
      <c r="O66" s="21"/>
    </row>
    <row r="68" spans="3:15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3:15" x14ac:dyDescent="0.25">
      <c r="I69" s="21"/>
      <c r="J69" s="21"/>
      <c r="K69" s="21"/>
      <c r="L69" s="21"/>
      <c r="M69" s="21"/>
      <c r="N69" s="21"/>
    </row>
    <row r="71" spans="3:15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3:1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3:15" x14ac:dyDescent="0.25">
      <c r="G73" s="21"/>
      <c r="H73" s="21"/>
      <c r="I73" s="21"/>
      <c r="J73" s="21"/>
      <c r="K73" s="21"/>
      <c r="L73" s="21"/>
      <c r="M73" s="21"/>
      <c r="N73" s="21"/>
      <c r="O73" s="21"/>
    </row>
    <row r="74" spans="3:15" x14ac:dyDescent="0.25">
      <c r="O74" s="21"/>
    </row>
    <row r="75" spans="3:15" x14ac:dyDescent="0.25">
      <c r="L75" s="21"/>
    </row>
    <row r="77" spans="3:15" x14ac:dyDescent="0.25">
      <c r="K77" s="21"/>
    </row>
    <row r="78" spans="3:1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ED2-DEC3-4CB8-A8AB-C3C7B5A2DCE1}">
  <dimension ref="A2:AF68"/>
  <sheetViews>
    <sheetView showGridLines="0" workbookViewId="0">
      <selection activeCell="L20" sqref="L20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" bestFit="1" customWidth="1"/>
    <col min="6" max="6" width="2.7109375" customWidth="1"/>
    <col min="7" max="7" width="12.28515625" bestFit="1" customWidth="1"/>
    <col min="9" max="9" width="2.7109375" customWidth="1"/>
    <col min="10" max="10" width="16.85546875" bestFit="1" customWidth="1"/>
    <col min="14" max="14" width="18" bestFit="1" customWidth="1"/>
  </cols>
  <sheetData>
    <row r="2" spans="1:25" x14ac:dyDescent="0.25">
      <c r="B2" s="218" t="s">
        <v>203</v>
      </c>
      <c r="C2" s="218"/>
      <c r="D2" s="218"/>
      <c r="E2" s="218"/>
      <c r="F2" s="218"/>
      <c r="G2" s="218"/>
      <c r="H2" s="218"/>
      <c r="I2" s="218"/>
      <c r="J2" s="218"/>
      <c r="K2" s="218"/>
    </row>
    <row r="3" spans="1:25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25" x14ac:dyDescent="0.25">
      <c r="B4" s="223" t="s">
        <v>204</v>
      </c>
      <c r="C4" s="223"/>
      <c r="D4" s="223"/>
      <c r="E4" s="223"/>
      <c r="F4" s="67"/>
      <c r="G4" s="67"/>
      <c r="H4" s="67"/>
      <c r="I4" s="67"/>
      <c r="J4" s="67"/>
      <c r="K4" s="67"/>
    </row>
    <row r="6" spans="1:25" x14ac:dyDescent="0.25">
      <c r="B6" s="65" t="s">
        <v>205</v>
      </c>
      <c r="C6" s="68"/>
      <c r="D6" s="218" t="s">
        <v>206</v>
      </c>
      <c r="E6" s="218"/>
      <c r="F6" s="67"/>
      <c r="G6" s="222" t="str">
        <f>'Data Sheet'!B1</f>
        <v>AVENUE SUPERMARTS LTD</v>
      </c>
      <c r="H6" s="218"/>
      <c r="J6" s="218" t="s">
        <v>207</v>
      </c>
      <c r="K6" s="218"/>
    </row>
    <row r="8" spans="1:25" x14ac:dyDescent="0.25">
      <c r="B8" s="148" t="s">
        <v>208</v>
      </c>
      <c r="C8" s="11"/>
      <c r="D8" s="148" t="s">
        <v>209</v>
      </c>
      <c r="E8" s="201" t="s">
        <v>210</v>
      </c>
      <c r="F8" s="71"/>
      <c r="G8" s="201" t="s">
        <v>209</v>
      </c>
      <c r="H8" s="201" t="s">
        <v>210</v>
      </c>
      <c r="J8" s="203" t="s">
        <v>211</v>
      </c>
      <c r="K8" s="72">
        <f>O27</f>
        <v>0.53771704598872894</v>
      </c>
      <c r="N8" s="212"/>
      <c r="O8" s="212"/>
      <c r="P8" s="212"/>
      <c r="Q8" s="212"/>
      <c r="R8" s="212"/>
      <c r="S8" s="212"/>
      <c r="T8" s="212"/>
      <c r="U8" s="212"/>
      <c r="V8" s="212"/>
    </row>
    <row r="9" spans="1:25" x14ac:dyDescent="0.25">
      <c r="B9" s="202">
        <v>43525</v>
      </c>
      <c r="C9" s="66"/>
      <c r="D9" s="200">
        <v>11623.900390999999</v>
      </c>
      <c r="G9" s="200">
        <v>1471.099976</v>
      </c>
      <c r="J9" s="166" t="s">
        <v>213</v>
      </c>
      <c r="K9" s="181">
        <v>0.75</v>
      </c>
      <c r="N9" s="212"/>
      <c r="O9" s="212"/>
      <c r="P9" s="212"/>
      <c r="Q9" s="212"/>
      <c r="R9" s="212"/>
      <c r="S9" s="212"/>
      <c r="T9" s="212"/>
      <c r="U9" s="212"/>
      <c r="V9" s="212"/>
    </row>
    <row r="10" spans="1:25" s="100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1295.5</v>
      </c>
      <c r="H10" s="64">
        <f>G10/G9-1</f>
        <v>-0.11936644610481595</v>
      </c>
      <c r="I10"/>
      <c r="J10" s="166"/>
      <c r="K10"/>
      <c r="L10"/>
      <c r="M10"/>
      <c r="N10" t="s">
        <v>212</v>
      </c>
      <c r="O10"/>
      <c r="P10"/>
      <c r="Q10"/>
      <c r="R10"/>
      <c r="S10"/>
      <c r="T10"/>
      <c r="U10"/>
      <c r="V10"/>
      <c r="W10"/>
    </row>
    <row r="11" spans="1:25" s="100" customFormat="1" ht="15.75" thickBot="1" x14ac:dyDescent="0.3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1323.099976</v>
      </c>
      <c r="H11" s="64">
        <f t="shared" ref="H11:H68" si="1">G11/G10-1</f>
        <v>2.1304497105364639E-2</v>
      </c>
      <c r="I11"/>
      <c r="J11" s="166" t="s">
        <v>215</v>
      </c>
      <c r="K11" s="166">
        <v>1</v>
      </c>
      <c r="L11"/>
      <c r="M11"/>
      <c r="N11"/>
      <c r="O11"/>
      <c r="P11"/>
      <c r="Q11"/>
      <c r="R11"/>
      <c r="S11"/>
      <c r="T11"/>
      <c r="U11"/>
      <c r="V11"/>
      <c r="W11"/>
    </row>
    <row r="12" spans="1:25" s="100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1397.900024</v>
      </c>
      <c r="H12" s="64">
        <f t="shared" si="1"/>
        <v>5.6533934968494126E-2</v>
      </c>
      <c r="I12"/>
      <c r="J12" s="166" t="s">
        <v>217</v>
      </c>
      <c r="K12" s="181">
        <v>0.25</v>
      </c>
      <c r="L12"/>
      <c r="M12"/>
      <c r="N12" s="99" t="s">
        <v>214</v>
      </c>
      <c r="O12" s="99"/>
      <c r="P12"/>
      <c r="Q12"/>
      <c r="R12"/>
      <c r="S12"/>
      <c r="T12"/>
      <c r="U12"/>
      <c r="V12"/>
      <c r="W12"/>
      <c r="X12" s="101"/>
      <c r="Y12" s="101"/>
    </row>
    <row r="13" spans="1:25" s="100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1482.6999510000001</v>
      </c>
      <c r="H13" s="64">
        <f t="shared" si="1"/>
        <v>6.0662368942058231E-2</v>
      </c>
      <c r="I13"/>
      <c r="J13"/>
      <c r="K13"/>
      <c r="L13"/>
      <c r="M13"/>
      <c r="N13" s="96" t="s">
        <v>216</v>
      </c>
      <c r="O13" s="96">
        <v>0.35186268476932037</v>
      </c>
      <c r="P13"/>
      <c r="Q13"/>
      <c r="R13"/>
      <c r="S13"/>
      <c r="T13"/>
      <c r="U13"/>
      <c r="V13"/>
      <c r="W13"/>
      <c r="X13" s="96"/>
      <c r="Y13" s="96"/>
    </row>
    <row r="14" spans="1:25" s="100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1571.150024</v>
      </c>
      <c r="H14" s="64">
        <f t="shared" si="1"/>
        <v>5.965473522835496E-2</v>
      </c>
      <c r="I14"/>
      <c r="J14" s="204" t="s">
        <v>220</v>
      </c>
      <c r="K14" s="75">
        <f>(K8*K9)+(K11*K12)</f>
        <v>0.65328778449154667</v>
      </c>
      <c r="L14"/>
      <c r="M14"/>
      <c r="N14" s="96" t="s">
        <v>218</v>
      </c>
      <c r="O14" s="96">
        <v>0.1238073489330741</v>
      </c>
      <c r="P14"/>
      <c r="Q14"/>
      <c r="R14"/>
      <c r="S14"/>
      <c r="T14"/>
      <c r="U14"/>
      <c r="V14"/>
      <c r="W14"/>
      <c r="X14" s="96"/>
      <c r="Y14" s="96"/>
    </row>
    <row r="15" spans="1:25" s="100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1860.599976</v>
      </c>
      <c r="H15" s="64">
        <f t="shared" si="1"/>
        <v>0.18422807980048117</v>
      </c>
      <c r="I15"/>
      <c r="J15"/>
      <c r="K15"/>
      <c r="L15"/>
      <c r="M15"/>
      <c r="N15" s="96" t="s">
        <v>219</v>
      </c>
      <c r="O15" s="96">
        <v>0.10843554803716313</v>
      </c>
      <c r="P15"/>
      <c r="Q15"/>
      <c r="R15"/>
      <c r="S15"/>
      <c r="T15"/>
      <c r="U15"/>
      <c r="V15"/>
      <c r="W15"/>
      <c r="X15" s="96"/>
      <c r="Y15" s="96"/>
    </row>
    <row r="16" spans="1:25" s="100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1994.650024</v>
      </c>
      <c r="H16" s="64">
        <f t="shared" si="1"/>
        <v>7.2046678345222048E-2</v>
      </c>
      <c r="I16"/>
      <c r="J16"/>
      <c r="K16"/>
      <c r="L16"/>
      <c r="M16"/>
      <c r="N16" s="96" t="s">
        <v>221</v>
      </c>
      <c r="O16" s="96">
        <v>7.8154057182708001E-2</v>
      </c>
      <c r="P16"/>
      <c r="Q16"/>
      <c r="R16"/>
      <c r="S16"/>
      <c r="T16"/>
      <c r="U16"/>
      <c r="V16"/>
      <c r="W16"/>
      <c r="X16" s="96"/>
      <c r="Y16" s="96"/>
    </row>
    <row r="17" spans="1:32" s="100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1822.5</v>
      </c>
      <c r="H17" s="64">
        <f t="shared" si="1"/>
        <v>-8.6305879191165835E-2</v>
      </c>
      <c r="I17"/>
      <c r="J17"/>
      <c r="K17"/>
      <c r="L17"/>
      <c r="M17"/>
      <c r="N17" s="97" t="s">
        <v>222</v>
      </c>
      <c r="O17" s="97">
        <v>59</v>
      </c>
      <c r="P17"/>
      <c r="Q17"/>
      <c r="R17"/>
      <c r="S17"/>
      <c r="T17"/>
      <c r="U17"/>
      <c r="V17"/>
      <c r="W17"/>
      <c r="X17" s="96"/>
      <c r="Y17" s="96"/>
    </row>
    <row r="18" spans="1:32" s="100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1838.349976</v>
      </c>
      <c r="H18" s="64">
        <f t="shared" si="1"/>
        <v>8.6968318244169396E-3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2" s="100" customFormat="1" ht="15.75" thickBot="1" x14ac:dyDescent="0.3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2133.9499510000001</v>
      </c>
      <c r="H19" s="64">
        <f t="shared" si="1"/>
        <v>0.16079635480681742</v>
      </c>
      <c r="I19"/>
      <c r="J19"/>
      <c r="K19"/>
      <c r="L19"/>
      <c r="M19"/>
      <c r="N19" t="s">
        <v>223</v>
      </c>
      <c r="O19"/>
      <c r="P19"/>
      <c r="Q19"/>
      <c r="R19"/>
      <c r="S19"/>
      <c r="T19"/>
      <c r="U19"/>
      <c r="V19"/>
      <c r="W19"/>
    </row>
    <row r="20" spans="1:32" s="100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2323.9499510000001</v>
      </c>
      <c r="H20" s="64">
        <f t="shared" si="1"/>
        <v>8.9036764855222161E-2</v>
      </c>
      <c r="I20"/>
      <c r="J20"/>
      <c r="K20"/>
      <c r="L20"/>
      <c r="M20"/>
      <c r="N20" s="98"/>
      <c r="O20" s="98" t="s">
        <v>224</v>
      </c>
      <c r="P20" s="98" t="s">
        <v>225</v>
      </c>
      <c r="Q20" s="98" t="s">
        <v>226</v>
      </c>
      <c r="R20" s="98" t="s">
        <v>227</v>
      </c>
      <c r="S20" s="98" t="s">
        <v>228</v>
      </c>
      <c r="T20"/>
      <c r="U20"/>
      <c r="V20"/>
      <c r="W20"/>
      <c r="X20" s="102"/>
      <c r="Y20" s="102"/>
      <c r="Z20" s="102"/>
      <c r="AA20" s="102"/>
      <c r="AB20" s="102"/>
      <c r="AC20" s="102"/>
    </row>
    <row r="21" spans="1:32" s="100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2187.5</v>
      </c>
      <c r="H21" s="64">
        <f t="shared" si="1"/>
        <v>-5.8714668507075851E-2</v>
      </c>
      <c r="I21"/>
      <c r="J21"/>
      <c r="K21"/>
      <c r="L21"/>
      <c r="M21"/>
      <c r="N21" s="96" t="s">
        <v>229</v>
      </c>
      <c r="O21" s="96">
        <v>1</v>
      </c>
      <c r="P21" s="96">
        <v>4.9195426521594643E-2</v>
      </c>
      <c r="Q21" s="96">
        <v>4.9195426521594643E-2</v>
      </c>
      <c r="R21" s="96">
        <v>8.054186348849198</v>
      </c>
      <c r="S21" s="96">
        <v>6.2784884176905163E-3</v>
      </c>
      <c r="T21"/>
      <c r="U21"/>
      <c r="V21"/>
      <c r="W21"/>
      <c r="X21" s="96"/>
      <c r="Y21" s="96"/>
      <c r="Z21" s="96"/>
      <c r="AA21" s="96"/>
      <c r="AB21" s="96"/>
      <c r="AC21" s="96"/>
    </row>
    <row r="22" spans="1:32" s="100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2383.6499020000001</v>
      </c>
      <c r="H22" s="64">
        <f t="shared" si="1"/>
        <v>8.9668526628571499E-2</v>
      </c>
      <c r="I22"/>
      <c r="J22"/>
      <c r="K22"/>
      <c r="L22"/>
      <c r="M22"/>
      <c r="N22" s="96" t="s">
        <v>230</v>
      </c>
      <c r="O22" s="96">
        <v>57</v>
      </c>
      <c r="P22" s="96">
        <v>0.34815922928472554</v>
      </c>
      <c r="Q22" s="96">
        <v>6.1080566541179921E-3</v>
      </c>
      <c r="R22" s="96"/>
      <c r="S22" s="96"/>
      <c r="T22"/>
      <c r="U22"/>
      <c r="V22"/>
      <c r="W22"/>
      <c r="X22" s="96"/>
      <c r="Y22" s="96"/>
      <c r="Z22" s="96"/>
      <c r="AA22" s="96"/>
      <c r="AB22" s="96"/>
      <c r="AC22" s="96"/>
    </row>
    <row r="23" spans="1:32" s="100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2269.3500979999999</v>
      </c>
      <c r="H23" s="64">
        <f t="shared" si="1"/>
        <v>-4.7951590501649211E-2</v>
      </c>
      <c r="I23"/>
      <c r="J23"/>
      <c r="K23"/>
      <c r="L23"/>
      <c r="M23"/>
      <c r="N23" s="97" t="s">
        <v>187</v>
      </c>
      <c r="O23" s="97">
        <v>58</v>
      </c>
      <c r="P23" s="97">
        <v>0.39735465580632018</v>
      </c>
      <c r="Q23" s="97"/>
      <c r="R23" s="97"/>
      <c r="S23" s="97"/>
      <c r="T23"/>
      <c r="U23"/>
      <c r="V23"/>
      <c r="W23"/>
      <c r="X23" s="96"/>
      <c r="Y23" s="96"/>
      <c r="Z23" s="96"/>
      <c r="AA23" s="96"/>
      <c r="AB23" s="96"/>
      <c r="AC23" s="96"/>
    </row>
    <row r="24" spans="1:32" s="100" customFormat="1" ht="15.75" thickBot="1" x14ac:dyDescent="0.3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2317.1499020000001</v>
      </c>
      <c r="H24" s="64">
        <f t="shared" si="1"/>
        <v>2.1063212785954244E-2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2" s="100" customFormat="1" x14ac:dyDescent="0.25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2063.4499510000001</v>
      </c>
      <c r="H25" s="64">
        <f t="shared" si="1"/>
        <v>-0.1094879320414377</v>
      </c>
      <c r="I25"/>
      <c r="J25"/>
      <c r="K25"/>
      <c r="L25"/>
      <c r="M25"/>
      <c r="N25" s="98"/>
      <c r="O25" s="98" t="s">
        <v>231</v>
      </c>
      <c r="P25" s="98" t="s">
        <v>221</v>
      </c>
      <c r="Q25" s="98" t="s">
        <v>232</v>
      </c>
      <c r="R25" s="98" t="s">
        <v>233</v>
      </c>
      <c r="S25" s="98" t="s">
        <v>234</v>
      </c>
      <c r="T25" s="98" t="s">
        <v>235</v>
      </c>
      <c r="U25" s="98" t="s">
        <v>236</v>
      </c>
      <c r="V25" s="98" t="s">
        <v>237</v>
      </c>
      <c r="W25"/>
      <c r="X25" s="102"/>
      <c r="Y25" s="102"/>
      <c r="Z25" s="102"/>
      <c r="AA25" s="102"/>
      <c r="AB25" s="102"/>
      <c r="AC25" s="102"/>
      <c r="AD25" s="102"/>
      <c r="AE25" s="102"/>
      <c r="AF25" s="102"/>
    </row>
    <row r="26" spans="1:32" s="100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2251.25</v>
      </c>
      <c r="H26" s="64">
        <f t="shared" si="1"/>
        <v>9.101265039599693E-2</v>
      </c>
      <c r="I26"/>
      <c r="J26"/>
      <c r="K26"/>
      <c r="L26"/>
      <c r="M26"/>
      <c r="N26" s="96" t="s">
        <v>238</v>
      </c>
      <c r="O26" s="96">
        <v>1.2300231731306146E-2</v>
      </c>
      <c r="P26" s="96">
        <v>1.0439136756516865E-2</v>
      </c>
      <c r="Q26" s="96">
        <v>1.1782805435159618</v>
      </c>
      <c r="R26" s="96">
        <v>0.24358053605376964</v>
      </c>
      <c r="S26" s="96">
        <v>-8.6037790484340265E-3</v>
      </c>
      <c r="T26" s="96">
        <v>3.3204242511046318E-2</v>
      </c>
      <c r="U26" s="96">
        <v>-8.6037790484340265E-3</v>
      </c>
      <c r="V26" s="96">
        <v>3.3204242511046318E-2</v>
      </c>
      <c r="W26"/>
      <c r="X26" s="96"/>
      <c r="Y26" s="96"/>
      <c r="Z26" s="96"/>
      <c r="AA26" s="96"/>
      <c r="AB26" s="96"/>
      <c r="AC26" s="96"/>
      <c r="AD26" s="96"/>
      <c r="AE26" s="96"/>
      <c r="AF26" s="96"/>
    </row>
    <row r="27" spans="1:32" s="100" customFormat="1" ht="15.75" thickBot="1" x14ac:dyDescent="0.3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2203.1499020000001</v>
      </c>
      <c r="H27" s="64">
        <f t="shared" si="1"/>
        <v>-2.1365951360355351E-2</v>
      </c>
      <c r="I27"/>
      <c r="J27"/>
      <c r="K27"/>
      <c r="L27"/>
      <c r="M27"/>
      <c r="N27" s="97" t="s">
        <v>239</v>
      </c>
      <c r="O27" s="97">
        <v>0.53771704598872894</v>
      </c>
      <c r="P27" s="97">
        <v>0.18947109600095949</v>
      </c>
      <c r="Q27" s="97">
        <v>2.8379898429785086</v>
      </c>
      <c r="R27" s="97">
        <v>6.2784884176905961E-3</v>
      </c>
      <c r="S27" s="97">
        <v>0.1583077207127972</v>
      </c>
      <c r="T27" s="97">
        <v>0.91712637126466068</v>
      </c>
      <c r="U27" s="97">
        <v>0.1583077207127972</v>
      </c>
      <c r="V27" s="97">
        <v>0.91712637126466068</v>
      </c>
      <c r="W27"/>
      <c r="X27" s="96"/>
      <c r="Y27" s="96"/>
      <c r="Z27" s="96"/>
      <c r="AA27" s="96"/>
      <c r="AB27" s="96"/>
      <c r="AC27" s="96"/>
      <c r="AD27" s="96"/>
      <c r="AE27" s="96"/>
      <c r="AF27" s="96"/>
    </row>
    <row r="28" spans="1:32" x14ac:dyDescent="0.25"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2239.8999020000001</v>
      </c>
      <c r="H28" s="64">
        <f t="shared" si="1"/>
        <v>1.6680662521709744E-2</v>
      </c>
    </row>
    <row r="29" spans="1:32" x14ac:dyDescent="0.25"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2289.1999510000001</v>
      </c>
      <c r="H29" s="64">
        <f t="shared" si="1"/>
        <v>2.200993399570228E-2</v>
      </c>
    </row>
    <row r="30" spans="1:32" x14ac:dyDescent="0.25"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2763.6000979999999</v>
      </c>
      <c r="H30" s="64">
        <f t="shared" si="1"/>
        <v>0.20723403684888497</v>
      </c>
    </row>
    <row r="31" spans="1:32" x14ac:dyDescent="0.25"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2651.5</v>
      </c>
      <c r="H31" s="64">
        <f t="shared" si="1"/>
        <v>-4.0563067746714143E-2</v>
      </c>
    </row>
    <row r="32" spans="1:32" x14ac:dyDescent="0.25"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2994.1999510000001</v>
      </c>
      <c r="H32" s="64">
        <f t="shared" si="1"/>
        <v>0.12924757722044133</v>
      </c>
    </row>
    <row r="33" spans="2:8" x14ac:dyDescent="0.25"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2859.0500489999999</v>
      </c>
      <c r="H33" s="64">
        <f t="shared" si="1"/>
        <v>-4.5137233388459208E-2</v>
      </c>
    </row>
    <row r="34" spans="2:8" x14ac:dyDescent="0.25"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2852.8999020000001</v>
      </c>
      <c r="H34" s="64">
        <f t="shared" si="1"/>
        <v>-2.1511155434830176E-3</v>
      </c>
    </row>
    <row r="35" spans="2:8" x14ac:dyDescent="0.25"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3069.3999020000001</v>
      </c>
      <c r="H35" s="64">
        <f t="shared" si="1"/>
        <v>7.5887695831257318E-2</v>
      </c>
    </row>
    <row r="36" spans="2:8" x14ac:dyDescent="0.25"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3344.1000979999999</v>
      </c>
      <c r="H36" s="64">
        <f t="shared" si="1"/>
        <v>8.9496385212303853E-2</v>
      </c>
    </row>
    <row r="37" spans="2:8" x14ac:dyDescent="0.25"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3500.8000489999999</v>
      </c>
      <c r="H37" s="64">
        <f t="shared" si="1"/>
        <v>4.6858630545693725E-2</v>
      </c>
    </row>
    <row r="38" spans="2:8" x14ac:dyDescent="0.25"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3954.8000489999999</v>
      </c>
      <c r="H38" s="64">
        <f t="shared" si="1"/>
        <v>0.12968464169488469</v>
      </c>
    </row>
    <row r="39" spans="2:8" x14ac:dyDescent="0.25"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4250.2001950000003</v>
      </c>
      <c r="H39" s="64">
        <f t="shared" si="1"/>
        <v>7.4694078674014008E-2</v>
      </c>
    </row>
    <row r="40" spans="2:8" x14ac:dyDescent="0.25"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4635.4501950000003</v>
      </c>
      <c r="H40" s="64">
        <f t="shared" si="1"/>
        <v>9.0642789121607503E-2</v>
      </c>
    </row>
    <row r="41" spans="2:8" x14ac:dyDescent="0.25"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4710.8999020000001</v>
      </c>
      <c r="H41" s="64">
        <f t="shared" si="1"/>
        <v>1.6276672993139396E-2</v>
      </c>
    </row>
    <row r="42" spans="2:8" x14ac:dyDescent="0.25"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4671.4501950000003</v>
      </c>
      <c r="H42" s="64">
        <f t="shared" si="1"/>
        <v>-8.3741339915228696E-3</v>
      </c>
    </row>
    <row r="43" spans="2:8" x14ac:dyDescent="0.25"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4114.3500979999999</v>
      </c>
      <c r="H43" s="64">
        <f t="shared" si="1"/>
        <v>-0.11925634947286434</v>
      </c>
    </row>
    <row r="44" spans="2:8" x14ac:dyDescent="0.25"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4340.3500979999999</v>
      </c>
      <c r="H44" s="64">
        <f t="shared" si="1"/>
        <v>5.4929695970661108E-2</v>
      </c>
    </row>
    <row r="45" spans="2:8" x14ac:dyDescent="0.25"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4003.3500979999999</v>
      </c>
      <c r="H45" s="64">
        <f t="shared" si="1"/>
        <v>-7.7643506258927575E-2</v>
      </c>
    </row>
    <row r="46" spans="2:8" x14ac:dyDescent="0.25"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3944.25</v>
      </c>
      <c r="H46" s="64">
        <f t="shared" si="1"/>
        <v>-1.4762660410221229E-2</v>
      </c>
    </row>
    <row r="47" spans="2:8" x14ac:dyDescent="0.25"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3972.8000489999999</v>
      </c>
      <c r="H47" s="64">
        <f t="shared" si="1"/>
        <v>7.2383974139569318E-3</v>
      </c>
    </row>
    <row r="48" spans="2:8" x14ac:dyDescent="0.25"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3406.1000979999999</v>
      </c>
      <c r="H48" s="64">
        <f t="shared" si="1"/>
        <v>-0.14264497181091329</v>
      </c>
    </row>
    <row r="49" spans="2:8" x14ac:dyDescent="0.25"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4243.8500979999999</v>
      </c>
      <c r="H49" s="64">
        <f t="shared" si="1"/>
        <v>0.24595577813227254</v>
      </c>
    </row>
    <row r="50" spans="2:8" x14ac:dyDescent="0.25"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4531.3500979999999</v>
      </c>
      <c r="H50" s="64">
        <f t="shared" si="1"/>
        <v>6.7745088389311814E-2</v>
      </c>
    </row>
    <row r="51" spans="2:8" x14ac:dyDescent="0.25"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4386.5498049999997</v>
      </c>
      <c r="H51" s="64">
        <f t="shared" si="1"/>
        <v>-3.1955220821253794E-2</v>
      </c>
    </row>
    <row r="52" spans="2:8" x14ac:dyDescent="0.25"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4320.8999020000001</v>
      </c>
      <c r="H52" s="64">
        <f t="shared" si="1"/>
        <v>-1.4966182060709432E-2</v>
      </c>
    </row>
    <row r="53" spans="2:8" x14ac:dyDescent="0.25"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4025.5</v>
      </c>
      <c r="H53" s="64">
        <f t="shared" si="1"/>
        <v>-6.8365365710802317E-2</v>
      </c>
    </row>
    <row r="54" spans="2:8" x14ac:dyDescent="0.25"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4068.75</v>
      </c>
      <c r="H54" s="64">
        <f t="shared" si="1"/>
        <v>1.0744006955657692E-2</v>
      </c>
    </row>
    <row r="55" spans="2:8" x14ac:dyDescent="0.25"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3502.3000489999999</v>
      </c>
      <c r="H55" s="64">
        <f t="shared" si="1"/>
        <v>-0.13921965001536096</v>
      </c>
    </row>
    <row r="56" spans="2:8" x14ac:dyDescent="0.25"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3416.9499510000001</v>
      </c>
      <c r="H56" s="64">
        <f t="shared" si="1"/>
        <v>-2.4369727552146614E-2</v>
      </c>
    </row>
    <row r="57" spans="2:8" x14ac:dyDescent="0.25"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3401.0500489999999</v>
      </c>
      <c r="H57" s="64">
        <f t="shared" si="1"/>
        <v>-4.6532440416187093E-3</v>
      </c>
    </row>
    <row r="58" spans="2:8" x14ac:dyDescent="0.25"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3511.9499510000001</v>
      </c>
      <c r="H58" s="64">
        <f t="shared" si="1"/>
        <v>3.2607547787368629E-2</v>
      </c>
    </row>
    <row r="59" spans="2:8" x14ac:dyDescent="0.25"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3471.25</v>
      </c>
      <c r="H59" s="64">
        <f t="shared" si="1"/>
        <v>-1.1588989469628164E-2</v>
      </c>
    </row>
    <row r="60" spans="2:8" x14ac:dyDescent="0.25"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3889.1999510000001</v>
      </c>
      <c r="H60" s="64">
        <f t="shared" si="1"/>
        <v>0.12040329881166723</v>
      </c>
    </row>
    <row r="61" spans="2:8" x14ac:dyDescent="0.25"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3752.8000489999999</v>
      </c>
      <c r="H61" s="64">
        <f t="shared" si="1"/>
        <v>-3.5071455239766847E-2</v>
      </c>
    </row>
    <row r="62" spans="2:8" x14ac:dyDescent="0.25"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3720.3999020000001</v>
      </c>
      <c r="H62" s="64">
        <f t="shared" si="1"/>
        <v>-8.6335926713264621E-3</v>
      </c>
    </row>
    <row r="63" spans="2:8" x14ac:dyDescent="0.25"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3675.6000979999999</v>
      </c>
      <c r="H63" s="64">
        <f t="shared" si="1"/>
        <v>-1.204166357920744E-2</v>
      </c>
    </row>
    <row r="64" spans="2:8" x14ac:dyDescent="0.25"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3633.3999020000001</v>
      </c>
      <c r="H64" s="64">
        <f t="shared" si="1"/>
        <v>-1.1481171747427577E-2</v>
      </c>
    </row>
    <row r="65" spans="2:8" x14ac:dyDescent="0.25"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3949.75</v>
      </c>
      <c r="H65" s="64">
        <f t="shared" si="1"/>
        <v>8.7067239096325633E-2</v>
      </c>
    </row>
    <row r="66" spans="2:8" x14ac:dyDescent="0.25"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4082.6499020000001</v>
      </c>
      <c r="H66" s="64">
        <f t="shared" si="1"/>
        <v>3.3647674409772899E-2</v>
      </c>
    </row>
    <row r="67" spans="2:8" x14ac:dyDescent="0.25"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3792.6999510000001</v>
      </c>
      <c r="H67" s="64">
        <f t="shared" si="1"/>
        <v>-7.1020037955730642E-2</v>
      </c>
    </row>
    <row r="68" spans="2:8" x14ac:dyDescent="0.25"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3678.6000979999999</v>
      </c>
      <c r="H68" s="64">
        <f t="shared" si="1"/>
        <v>-3.0084070576138267E-2</v>
      </c>
    </row>
  </sheetData>
  <mergeCells count="5">
    <mergeCell ref="G6:H6"/>
    <mergeCell ref="D6:E6"/>
    <mergeCell ref="J6:K6"/>
    <mergeCell ref="B2:K2"/>
    <mergeCell ref="B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FF56-D4C2-433D-97CA-64FA06B7CFE3}">
  <dimension ref="A1:AE68"/>
  <sheetViews>
    <sheetView showGridLines="0" topLeftCell="K8" workbookViewId="0">
      <selection activeCell="W16" sqref="W16:AE36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.28515625" bestFit="1" customWidth="1"/>
    <col min="6" max="6" width="2.7109375" customWidth="1"/>
    <col min="7" max="7" width="12.28515625" bestFit="1" customWidth="1"/>
    <col min="9" max="9" width="2.7109375" customWidth="1"/>
    <col min="10" max="10" width="18.85546875" bestFit="1" customWidth="1"/>
    <col min="11" max="14" width="9.28515625" bestFit="1" customWidth="1"/>
    <col min="15" max="15" width="12" bestFit="1" customWidth="1"/>
    <col min="20" max="20" width="12.5703125" bestFit="1" customWidth="1"/>
    <col min="23" max="23" width="18.85546875" bestFit="1" customWidth="1"/>
    <col min="24" max="25" width="9.28515625" bestFit="1" customWidth="1"/>
    <col min="26" max="26" width="12.5703125" bestFit="1" customWidth="1"/>
    <col min="27" max="27" width="9" bestFit="1" customWidth="1"/>
    <col min="28" max="28" width="12" bestFit="1" customWidth="1"/>
    <col min="31" max="31" width="12.5703125" bestFit="1" customWidth="1"/>
    <col min="32" max="16384" width="9.140625" style="100"/>
  </cols>
  <sheetData>
    <row r="1" spans="1:31" customFormat="1" x14ac:dyDescent="0.25"/>
    <row r="2" spans="1:31" customFormat="1" x14ac:dyDescent="0.25">
      <c r="B2" s="77"/>
      <c r="C2" s="65"/>
      <c r="D2" s="65"/>
      <c r="E2" s="65"/>
      <c r="F2" s="65"/>
      <c r="G2" s="65"/>
      <c r="H2" s="65"/>
      <c r="I2" s="65"/>
      <c r="J2" s="65" t="s">
        <v>203</v>
      </c>
      <c r="K2" s="65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31" customFormat="1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31" customFormat="1" x14ac:dyDescent="0.25">
      <c r="B4" s="224" t="s">
        <v>204</v>
      </c>
      <c r="C4" s="224"/>
      <c r="D4" s="224"/>
      <c r="E4" s="224"/>
      <c r="F4" s="67"/>
      <c r="G4" s="67"/>
      <c r="H4" s="67"/>
      <c r="I4" s="67"/>
      <c r="J4" s="67"/>
      <c r="K4" s="67"/>
    </row>
    <row r="5" spans="1:31" customFormat="1" x14ac:dyDescent="0.25"/>
    <row r="6" spans="1:31" s="213" customFormat="1" x14ac:dyDescent="0.25">
      <c r="A6"/>
      <c r="B6" s="65" t="s">
        <v>205</v>
      </c>
      <c r="C6" s="68"/>
      <c r="D6" s="218" t="s">
        <v>206</v>
      </c>
      <c r="E6" s="218"/>
      <c r="F6" s="67"/>
      <c r="G6" s="218" t="str">
        <f>Peers!C6</f>
        <v>Trent</v>
      </c>
      <c r="H6" s="218"/>
      <c r="I6"/>
      <c r="J6" s="218" t="s">
        <v>207</v>
      </c>
      <c r="K6" s="218"/>
      <c r="L6"/>
      <c r="M6"/>
      <c r="N6"/>
      <c r="O6"/>
      <c r="P6"/>
      <c r="Q6"/>
      <c r="R6"/>
      <c r="S6"/>
      <c r="T6" s="218" t="str">
        <f>Peers!C7</f>
        <v>Vedant Fashions</v>
      </c>
      <c r="U6" s="218"/>
      <c r="V6"/>
      <c r="W6" s="218" t="s">
        <v>207</v>
      </c>
      <c r="X6" s="218"/>
      <c r="Y6"/>
      <c r="Z6"/>
      <c r="AA6"/>
      <c r="AB6"/>
      <c r="AC6"/>
      <c r="AD6"/>
      <c r="AE6"/>
    </row>
    <row r="7" spans="1:31" s="213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213" customFormat="1" x14ac:dyDescent="0.25">
      <c r="A8"/>
      <c r="B8" s="148" t="s">
        <v>208</v>
      </c>
      <c r="C8" s="11"/>
      <c r="D8" s="148" t="s">
        <v>209</v>
      </c>
      <c r="E8" s="201" t="s">
        <v>210</v>
      </c>
      <c r="F8" s="71"/>
      <c r="G8" s="201" t="s">
        <v>209</v>
      </c>
      <c r="H8" s="201" t="s">
        <v>210</v>
      </c>
      <c r="I8"/>
      <c r="J8" s="203" t="s">
        <v>211</v>
      </c>
      <c r="K8" s="72">
        <f>K33</f>
        <v>1.0141975492548077</v>
      </c>
      <c r="L8"/>
      <c r="M8"/>
      <c r="N8"/>
      <c r="O8"/>
      <c r="P8"/>
      <c r="Q8"/>
      <c r="R8"/>
      <c r="S8"/>
      <c r="T8" s="201" t="s">
        <v>209</v>
      </c>
      <c r="U8" s="201" t="s">
        <v>210</v>
      </c>
      <c r="V8"/>
      <c r="W8" s="203" t="s">
        <v>211</v>
      </c>
      <c r="X8" s="72">
        <f>X33</f>
        <v>0.59087967019358012</v>
      </c>
      <c r="Y8"/>
      <c r="Z8"/>
      <c r="AA8"/>
      <c r="AB8"/>
      <c r="AC8"/>
      <c r="AD8"/>
      <c r="AE8"/>
    </row>
    <row r="9" spans="1:31" s="213" customFormat="1" x14ac:dyDescent="0.25">
      <c r="A9"/>
      <c r="B9" s="202">
        <v>43525</v>
      </c>
      <c r="C9" s="66"/>
      <c r="D9" s="200">
        <v>11623.900390999999</v>
      </c>
      <c r="E9"/>
      <c r="F9"/>
      <c r="G9" s="200">
        <v>358.88989299999997</v>
      </c>
      <c r="H9"/>
      <c r="I9"/>
      <c r="J9" s="166" t="s">
        <v>213</v>
      </c>
      <c r="K9" s="181">
        <v>0.75</v>
      </c>
      <c r="L9"/>
      <c r="M9"/>
      <c r="N9"/>
      <c r="O9"/>
      <c r="P9"/>
      <c r="Q9"/>
      <c r="R9"/>
      <c r="S9"/>
      <c r="T9" s="205"/>
      <c r="U9"/>
      <c r="V9"/>
      <c r="W9" s="166" t="s">
        <v>213</v>
      </c>
      <c r="X9" s="181">
        <v>0.75</v>
      </c>
      <c r="Y9"/>
      <c r="Z9"/>
      <c r="AA9"/>
      <c r="AB9"/>
      <c r="AC9"/>
      <c r="AD9"/>
      <c r="AE9"/>
    </row>
    <row r="10" spans="1:31" s="213" customFormat="1" x14ac:dyDescent="0.25">
      <c r="A10"/>
      <c r="B10" s="202">
        <v>43556</v>
      </c>
      <c r="C10" s="66"/>
      <c r="D10" s="200">
        <v>11748.150390999999</v>
      </c>
      <c r="E10" s="64">
        <f>D10/D9-1</f>
        <v>1.0689183133073099E-2</v>
      </c>
      <c r="F10" s="64"/>
      <c r="G10" s="200">
        <v>352.74151599999999</v>
      </c>
      <c r="H10" s="64">
        <f>G10/G9-1</f>
        <v>-1.7131652687694898E-2</v>
      </c>
      <c r="I10"/>
      <c r="J10"/>
      <c r="K10"/>
      <c r="L10"/>
      <c r="M10"/>
      <c r="N10"/>
      <c r="O10"/>
      <c r="P10"/>
      <c r="Q10"/>
      <c r="R10"/>
      <c r="S10"/>
      <c r="T10" s="205"/>
      <c r="U10" s="64"/>
      <c r="V10"/>
      <c r="W10"/>
      <c r="X10"/>
      <c r="Y10"/>
      <c r="Z10"/>
      <c r="AA10"/>
      <c r="AB10"/>
      <c r="AC10"/>
      <c r="AD10"/>
      <c r="AE10"/>
    </row>
    <row r="11" spans="1:31" s="213" customFormat="1" x14ac:dyDescent="0.25">
      <c r="A11"/>
      <c r="B11" s="202">
        <v>43586</v>
      </c>
      <c r="C11" s="66"/>
      <c r="D11" s="200">
        <v>11922.799805000001</v>
      </c>
      <c r="E11" s="64">
        <f t="shared" ref="E11:E68" si="0">D11/D10-1</f>
        <v>1.4866120043355524E-2</v>
      </c>
      <c r="F11" s="64"/>
      <c r="G11" s="200">
        <v>388.83874500000002</v>
      </c>
      <c r="H11" s="64">
        <f t="shared" ref="H11:H68" si="1">G11/G10-1</f>
        <v>0.10233337263312103</v>
      </c>
      <c r="I11"/>
      <c r="J11" s="166" t="s">
        <v>215</v>
      </c>
      <c r="K11" s="166">
        <v>1</v>
      </c>
      <c r="L11"/>
      <c r="M11"/>
      <c r="N11"/>
      <c r="O11"/>
      <c r="P11"/>
      <c r="Q11"/>
      <c r="R11"/>
      <c r="S11"/>
      <c r="T11" s="205"/>
      <c r="U11" s="64"/>
      <c r="V11"/>
      <c r="W11" s="166" t="s">
        <v>215</v>
      </c>
      <c r="X11" s="166">
        <v>1</v>
      </c>
      <c r="Y11"/>
      <c r="Z11"/>
      <c r="AA11"/>
      <c r="AB11"/>
      <c r="AC11"/>
      <c r="AD11"/>
      <c r="AE11"/>
    </row>
    <row r="12" spans="1:31" s="213" customFormat="1" x14ac:dyDescent="0.25">
      <c r="A12"/>
      <c r="B12" s="202">
        <v>43617</v>
      </c>
      <c r="C12" s="66"/>
      <c r="D12" s="200">
        <v>11788.849609000001</v>
      </c>
      <c r="E12" s="64">
        <f t="shared" si="0"/>
        <v>-1.1234793688628897E-2</v>
      </c>
      <c r="F12" s="64"/>
      <c r="G12" s="200">
        <v>437.28244000000001</v>
      </c>
      <c r="H12" s="64">
        <f t="shared" si="1"/>
        <v>0.12458556566938817</v>
      </c>
      <c r="I12"/>
      <c r="J12" s="166" t="s">
        <v>217</v>
      </c>
      <c r="K12" s="181">
        <v>0.25</v>
      </c>
      <c r="L12"/>
      <c r="M12"/>
      <c r="N12"/>
      <c r="O12"/>
      <c r="P12"/>
      <c r="Q12"/>
      <c r="R12"/>
      <c r="S12"/>
      <c r="T12" s="205"/>
      <c r="U12" s="64"/>
      <c r="V12"/>
      <c r="W12" s="166" t="s">
        <v>217</v>
      </c>
      <c r="X12" s="181">
        <v>0.25</v>
      </c>
      <c r="Y12"/>
      <c r="Z12"/>
      <c r="AA12"/>
      <c r="AB12"/>
      <c r="AC12"/>
      <c r="AD12"/>
      <c r="AE12"/>
    </row>
    <row r="13" spans="1:31" s="213" customFormat="1" x14ac:dyDescent="0.25">
      <c r="A13"/>
      <c r="B13" s="202">
        <v>43647</v>
      </c>
      <c r="C13" s="66"/>
      <c r="D13" s="200">
        <v>11118</v>
      </c>
      <c r="E13" s="64">
        <f t="shared" si="0"/>
        <v>-5.6905434478343953E-2</v>
      </c>
      <c r="F13" s="64"/>
      <c r="G13" s="200">
        <v>394.34258999999997</v>
      </c>
      <c r="H13" s="64">
        <f t="shared" si="1"/>
        <v>-9.8197060005428161E-2</v>
      </c>
      <c r="I13"/>
      <c r="J13"/>
      <c r="K13"/>
      <c r="L13"/>
      <c r="M13"/>
      <c r="N13"/>
      <c r="O13"/>
      <c r="P13"/>
      <c r="Q13"/>
      <c r="R13"/>
      <c r="S13"/>
      <c r="T13" s="205"/>
      <c r="U13" s="64"/>
      <c r="V13"/>
      <c r="W13"/>
      <c r="X13"/>
      <c r="Y13"/>
      <c r="Z13"/>
      <c r="AA13"/>
      <c r="AB13"/>
      <c r="AC13"/>
      <c r="AD13"/>
      <c r="AE13"/>
    </row>
    <row r="14" spans="1:31" s="213" customFormat="1" x14ac:dyDescent="0.25">
      <c r="A14"/>
      <c r="B14" s="202">
        <v>43678</v>
      </c>
      <c r="C14" s="66"/>
      <c r="D14" s="200">
        <v>11023.25</v>
      </c>
      <c r="E14" s="64">
        <f t="shared" si="0"/>
        <v>-8.5222162259399603E-3</v>
      </c>
      <c r="F14" s="64"/>
      <c r="G14" s="200">
        <v>466.69512900000001</v>
      </c>
      <c r="H14" s="64">
        <f t="shared" si="1"/>
        <v>0.18347634984088335</v>
      </c>
      <c r="I14"/>
      <c r="J14" s="204" t="s">
        <v>220</v>
      </c>
      <c r="K14" s="75">
        <f>(K8*K9)+(K11*K12)</f>
        <v>1.0106481619411056</v>
      </c>
      <c r="L14"/>
      <c r="M14"/>
      <c r="N14"/>
      <c r="O14"/>
      <c r="P14"/>
      <c r="Q14"/>
      <c r="R14"/>
      <c r="S14"/>
      <c r="T14" s="205"/>
      <c r="U14" s="64"/>
      <c r="V14"/>
      <c r="W14" s="204" t="s">
        <v>220</v>
      </c>
      <c r="X14" s="75">
        <f>(X8*X9)+(X11*X12)</f>
        <v>0.69315975264518515</v>
      </c>
      <c r="Y14"/>
      <c r="Z14"/>
      <c r="AA14"/>
      <c r="AB14"/>
      <c r="AC14"/>
      <c r="AD14"/>
      <c r="AE14"/>
    </row>
    <row r="15" spans="1:31" s="213" customFormat="1" x14ac:dyDescent="0.25">
      <c r="A15"/>
      <c r="B15" s="202">
        <v>43709</v>
      </c>
      <c r="C15" s="66"/>
      <c r="D15" s="200">
        <v>11474.450194999999</v>
      </c>
      <c r="E15" s="64">
        <f t="shared" si="0"/>
        <v>4.0931684847935079E-2</v>
      </c>
      <c r="F15" s="64"/>
      <c r="G15" s="200">
        <v>481.26535000000001</v>
      </c>
      <c r="H15" s="64">
        <f t="shared" si="1"/>
        <v>3.1219998012878447E-2</v>
      </c>
      <c r="I15"/>
      <c r="J15"/>
      <c r="K15"/>
      <c r="L15"/>
      <c r="M15"/>
      <c r="N15"/>
      <c r="O15"/>
      <c r="P15"/>
      <c r="Q15"/>
      <c r="R15"/>
      <c r="S15"/>
      <c r="T15" s="205"/>
      <c r="U15" s="64"/>
      <c r="V15"/>
      <c r="W15"/>
      <c r="X15"/>
      <c r="Y15"/>
      <c r="Z15"/>
      <c r="AA15"/>
      <c r="AB15"/>
      <c r="AC15"/>
      <c r="AD15"/>
      <c r="AE15"/>
    </row>
    <row r="16" spans="1:31" s="213" customFormat="1" x14ac:dyDescent="0.25">
      <c r="A16"/>
      <c r="B16" s="202">
        <v>43739</v>
      </c>
      <c r="C16" s="66"/>
      <c r="D16" s="200">
        <v>11877.450194999999</v>
      </c>
      <c r="E16" s="64">
        <f t="shared" si="0"/>
        <v>3.5121508495074449E-2</v>
      </c>
      <c r="F16" s="64"/>
      <c r="G16" s="200">
        <v>538.70092799999998</v>
      </c>
      <c r="H16" s="64">
        <f t="shared" si="1"/>
        <v>0.11934284901250414</v>
      </c>
      <c r="I16"/>
      <c r="J16" t="s">
        <v>212</v>
      </c>
      <c r="K16"/>
      <c r="L16"/>
      <c r="M16"/>
      <c r="N16"/>
      <c r="O16"/>
      <c r="P16"/>
      <c r="Q16"/>
      <c r="R16"/>
      <c r="S16"/>
      <c r="T16" s="205"/>
      <c r="U16" s="64"/>
      <c r="V16"/>
      <c r="W16" t="s">
        <v>212</v>
      </c>
      <c r="X16"/>
      <c r="Y16"/>
      <c r="Z16"/>
      <c r="AA16"/>
      <c r="AB16"/>
      <c r="AC16"/>
      <c r="AD16"/>
      <c r="AE16"/>
    </row>
    <row r="17" spans="1:31" s="213" customFormat="1" ht="15.75" thickBot="1" x14ac:dyDescent="0.3">
      <c r="A17"/>
      <c r="B17" s="202">
        <v>43770</v>
      </c>
      <c r="C17" s="66"/>
      <c r="D17" s="200">
        <v>12056.049805000001</v>
      </c>
      <c r="E17" s="64">
        <f t="shared" si="0"/>
        <v>1.5036864568389152E-2</v>
      </c>
      <c r="F17" s="64"/>
      <c r="G17" s="200">
        <v>517.76550299999997</v>
      </c>
      <c r="H17" s="64">
        <f t="shared" si="1"/>
        <v>-3.8862797355344481E-2</v>
      </c>
      <c r="I17"/>
      <c r="J17"/>
      <c r="K17"/>
      <c r="L17"/>
      <c r="M17"/>
      <c r="N17"/>
      <c r="O17"/>
      <c r="P17"/>
      <c r="Q17"/>
      <c r="R17"/>
      <c r="S17"/>
      <c r="T17" s="205"/>
      <c r="U17" s="64"/>
      <c r="V17"/>
      <c r="W17"/>
      <c r="X17"/>
      <c r="Y17"/>
      <c r="Z17"/>
      <c r="AA17"/>
      <c r="AB17"/>
      <c r="AC17"/>
      <c r="AD17"/>
      <c r="AE17"/>
    </row>
    <row r="18" spans="1:31" s="213" customFormat="1" x14ac:dyDescent="0.25">
      <c r="A18"/>
      <c r="B18" s="202">
        <v>43800</v>
      </c>
      <c r="C18" s="66"/>
      <c r="D18" s="200">
        <v>12168.450194999999</v>
      </c>
      <c r="E18" s="64">
        <f t="shared" si="0"/>
        <v>9.3231524270398491E-3</v>
      </c>
      <c r="F18" s="64"/>
      <c r="G18" s="200">
        <v>524.27990699999998</v>
      </c>
      <c r="H18" s="64">
        <f t="shared" si="1"/>
        <v>1.2581765224324082E-2</v>
      </c>
      <c r="I18"/>
      <c r="J18" s="99" t="s">
        <v>214</v>
      </c>
      <c r="K18" s="99"/>
      <c r="L18"/>
      <c r="M18"/>
      <c r="N18"/>
      <c r="O18"/>
      <c r="P18"/>
      <c r="Q18"/>
      <c r="R18"/>
      <c r="S18"/>
      <c r="T18" s="205"/>
      <c r="U18" s="64"/>
      <c r="V18"/>
      <c r="W18" s="99" t="s">
        <v>214</v>
      </c>
      <c r="X18" s="99"/>
      <c r="Y18"/>
      <c r="Z18"/>
      <c r="AA18"/>
      <c r="AB18"/>
      <c r="AC18"/>
      <c r="AD18"/>
      <c r="AE18"/>
    </row>
    <row r="19" spans="1:31" s="213" customFormat="1" x14ac:dyDescent="0.25">
      <c r="A19"/>
      <c r="B19" s="202">
        <v>43831</v>
      </c>
      <c r="C19" s="66"/>
      <c r="D19" s="200">
        <v>11962.099609000001</v>
      </c>
      <c r="E19" s="64">
        <f t="shared" si="0"/>
        <v>-1.6957836264538284E-2</v>
      </c>
      <c r="F19" s="64"/>
      <c r="G19" s="200">
        <v>587.58331299999998</v>
      </c>
      <c r="H19" s="64">
        <f t="shared" si="1"/>
        <v>0.12074352870441007</v>
      </c>
      <c r="I19"/>
      <c r="J19" s="96" t="s">
        <v>216</v>
      </c>
      <c r="K19" s="96">
        <v>0.47087658082454298</v>
      </c>
      <c r="L19"/>
      <c r="M19"/>
      <c r="N19"/>
      <c r="O19"/>
      <c r="P19"/>
      <c r="Q19"/>
      <c r="R19"/>
      <c r="S19"/>
      <c r="T19" s="205"/>
      <c r="U19" s="64"/>
      <c r="V19"/>
      <c r="W19" s="96" t="s">
        <v>216</v>
      </c>
      <c r="X19" s="96">
        <v>0.25598239845161608</v>
      </c>
      <c r="Y19"/>
      <c r="Z19"/>
      <c r="AA19"/>
      <c r="AB19"/>
      <c r="AC19"/>
      <c r="AD19"/>
      <c r="AE19"/>
    </row>
    <row r="20" spans="1:31" s="213" customFormat="1" x14ac:dyDescent="0.25">
      <c r="A20"/>
      <c r="B20" s="202">
        <v>43862</v>
      </c>
      <c r="C20" s="66"/>
      <c r="D20" s="200">
        <v>11201.75</v>
      </c>
      <c r="E20" s="64">
        <f t="shared" si="0"/>
        <v>-6.35632233348008E-2</v>
      </c>
      <c r="F20" s="64"/>
      <c r="G20" s="200">
        <v>733.18615699999998</v>
      </c>
      <c r="H20" s="64">
        <f t="shared" si="1"/>
        <v>0.24779948779791172</v>
      </c>
      <c r="I20"/>
      <c r="J20" s="96" t="s">
        <v>218</v>
      </c>
      <c r="K20" s="96">
        <v>0.22172475436901237</v>
      </c>
      <c r="L20"/>
      <c r="M20"/>
      <c r="N20"/>
      <c r="O20"/>
      <c r="P20"/>
      <c r="Q20"/>
      <c r="R20"/>
      <c r="S20"/>
      <c r="T20" s="205"/>
      <c r="U20" s="64"/>
      <c r="V20"/>
      <c r="W20" s="96" t="s">
        <v>218</v>
      </c>
      <c r="X20" s="96">
        <v>6.5526988317041943E-2</v>
      </c>
      <c r="Y20"/>
      <c r="Z20"/>
      <c r="AA20"/>
      <c r="AB20"/>
      <c r="AC20"/>
      <c r="AD20"/>
      <c r="AE20"/>
    </row>
    <row r="21" spans="1:31" s="213" customFormat="1" x14ac:dyDescent="0.25">
      <c r="A21"/>
      <c r="B21" s="202">
        <v>43891</v>
      </c>
      <c r="C21" s="66"/>
      <c r="D21" s="200">
        <v>8597.75</v>
      </c>
      <c r="E21" s="64">
        <f t="shared" si="0"/>
        <v>-0.23246367755038277</v>
      </c>
      <c r="F21" s="64"/>
      <c r="G21" s="200">
        <v>481.71289100000001</v>
      </c>
      <c r="H21" s="64">
        <f t="shared" si="1"/>
        <v>-0.3429869257610656</v>
      </c>
      <c r="I21"/>
      <c r="J21" s="96" t="s">
        <v>219</v>
      </c>
      <c r="K21" s="96">
        <v>0.20807080269127576</v>
      </c>
      <c r="L21"/>
      <c r="M21"/>
      <c r="N21"/>
      <c r="O21"/>
      <c r="P21"/>
      <c r="Q21"/>
      <c r="R21"/>
      <c r="S21"/>
      <c r="T21" s="205"/>
      <c r="U21" s="64"/>
      <c r="V21"/>
      <c r="W21" s="96" t="s">
        <v>219</v>
      </c>
      <c r="X21" s="96">
        <v>2.1028273474996324E-2</v>
      </c>
      <c r="Y21"/>
      <c r="Z21"/>
      <c r="AA21"/>
      <c r="AB21"/>
      <c r="AC21"/>
      <c r="AD21"/>
      <c r="AE21"/>
    </row>
    <row r="22" spans="1:31" s="213" customFormat="1" x14ac:dyDescent="0.25">
      <c r="A22"/>
      <c r="B22" s="202">
        <v>43922</v>
      </c>
      <c r="C22" s="66"/>
      <c r="D22" s="200">
        <v>9859.9003909999992</v>
      </c>
      <c r="E22" s="64">
        <f t="shared" si="0"/>
        <v>0.14680008036986414</v>
      </c>
      <c r="F22" s="64"/>
      <c r="G22" s="200">
        <v>502.25045799999998</v>
      </c>
      <c r="H22" s="64">
        <f t="shared" si="1"/>
        <v>4.2634455883805655E-2</v>
      </c>
      <c r="I22"/>
      <c r="J22" s="96" t="s">
        <v>221</v>
      </c>
      <c r="K22" s="96">
        <v>0.1038133503788127</v>
      </c>
      <c r="L22"/>
      <c r="M22"/>
      <c r="N22"/>
      <c r="O22"/>
      <c r="P22"/>
      <c r="Q22"/>
      <c r="R22"/>
      <c r="S22"/>
      <c r="T22" s="205"/>
      <c r="U22" s="64"/>
      <c r="V22"/>
      <c r="W22" s="96" t="s">
        <v>221</v>
      </c>
      <c r="X22" s="96">
        <v>8.9643808344861242E-2</v>
      </c>
      <c r="Y22"/>
      <c r="Z22"/>
      <c r="AA22"/>
      <c r="AB22"/>
      <c r="AC22"/>
      <c r="AD22"/>
      <c r="AE22"/>
    </row>
    <row r="23" spans="1:31" s="213" customFormat="1" ht="15.75" thickBot="1" x14ac:dyDescent="0.3">
      <c r="A23"/>
      <c r="B23" s="202">
        <v>43952</v>
      </c>
      <c r="C23" s="66"/>
      <c r="D23" s="200">
        <v>9580.2998050000006</v>
      </c>
      <c r="E23" s="64">
        <f t="shared" si="0"/>
        <v>-2.8357343878972152E-2</v>
      </c>
      <c r="F23" s="64"/>
      <c r="G23" s="200">
        <v>466.297302</v>
      </c>
      <c r="H23" s="64">
        <f t="shared" si="1"/>
        <v>-7.1584117898405131E-2</v>
      </c>
      <c r="I23"/>
      <c r="J23" s="97" t="s">
        <v>222</v>
      </c>
      <c r="K23" s="97">
        <v>59</v>
      </c>
      <c r="L23"/>
      <c r="M23"/>
      <c r="N23"/>
      <c r="O23"/>
      <c r="P23"/>
      <c r="Q23"/>
      <c r="R23"/>
      <c r="S23"/>
      <c r="T23" s="205"/>
      <c r="U23" s="64"/>
      <c r="V23"/>
      <c r="W23" s="97" t="s">
        <v>222</v>
      </c>
      <c r="X23" s="97">
        <v>23</v>
      </c>
      <c r="Y23"/>
      <c r="Z23"/>
      <c r="AA23"/>
      <c r="AB23"/>
      <c r="AC23"/>
      <c r="AD23"/>
      <c r="AE23"/>
    </row>
    <row r="24" spans="1:31" s="213" customFormat="1" x14ac:dyDescent="0.25">
      <c r="A24"/>
      <c r="B24" s="202">
        <v>43983</v>
      </c>
      <c r="C24" s="66"/>
      <c r="D24" s="200">
        <v>10302.099609000001</v>
      </c>
      <c r="E24" s="64">
        <f t="shared" si="0"/>
        <v>7.5342089359592856E-2</v>
      </c>
      <c r="F24" s="64"/>
      <c r="G24" s="200">
        <v>611.94995100000006</v>
      </c>
      <c r="H24" s="64">
        <f t="shared" si="1"/>
        <v>0.31236005092733743</v>
      </c>
      <c r="I24"/>
      <c r="J24"/>
      <c r="K24"/>
      <c r="L24"/>
      <c r="M24"/>
      <c r="N24"/>
      <c r="O24"/>
      <c r="P24"/>
      <c r="Q24"/>
      <c r="R24"/>
      <c r="S24"/>
      <c r="T24" s="205"/>
      <c r="U24" s="64"/>
      <c r="V24"/>
      <c r="W24"/>
      <c r="X24"/>
      <c r="Y24"/>
      <c r="Z24"/>
      <c r="AA24"/>
      <c r="AB24"/>
      <c r="AC24"/>
      <c r="AD24"/>
      <c r="AE24"/>
    </row>
    <row r="25" spans="1:31" s="213" customFormat="1" ht="15.75" thickBot="1" x14ac:dyDescent="0.3">
      <c r="A25"/>
      <c r="B25" s="202">
        <v>44013</v>
      </c>
      <c r="C25" s="66"/>
      <c r="D25" s="200">
        <v>11073.450194999999</v>
      </c>
      <c r="E25" s="64">
        <f t="shared" si="0"/>
        <v>7.4873143851777568E-2</v>
      </c>
      <c r="F25" s="64"/>
      <c r="G25" s="200">
        <v>555.06133999999997</v>
      </c>
      <c r="H25" s="64">
        <f t="shared" si="1"/>
        <v>-9.2962849179148099E-2</v>
      </c>
      <c r="I25"/>
      <c r="J25" t="s">
        <v>223</v>
      </c>
      <c r="K25"/>
      <c r="L25"/>
      <c r="M25"/>
      <c r="N25"/>
      <c r="O25"/>
      <c r="P25"/>
      <c r="Q25"/>
      <c r="R25"/>
      <c r="S25"/>
      <c r="T25" s="205"/>
      <c r="U25" s="64"/>
      <c r="V25"/>
      <c r="W25" t="s">
        <v>223</v>
      </c>
      <c r="X25"/>
      <c r="Y25"/>
      <c r="Z25"/>
      <c r="AA25"/>
      <c r="AB25"/>
      <c r="AC25"/>
      <c r="AD25"/>
      <c r="AE25"/>
    </row>
    <row r="26" spans="1:31" s="213" customFormat="1" x14ac:dyDescent="0.25">
      <c r="A26"/>
      <c r="B26" s="202">
        <v>44044</v>
      </c>
      <c r="C26" s="66"/>
      <c r="D26" s="200">
        <v>11387.5</v>
      </c>
      <c r="E26" s="64">
        <f t="shared" si="0"/>
        <v>2.8360610240682149E-2</v>
      </c>
      <c r="F26" s="64"/>
      <c r="G26" s="200">
        <v>636.79992700000003</v>
      </c>
      <c r="H26" s="64">
        <f t="shared" si="1"/>
        <v>0.14726045773607654</v>
      </c>
      <c r="I26"/>
      <c r="J26" s="98"/>
      <c r="K26" s="98" t="s">
        <v>224</v>
      </c>
      <c r="L26" s="98" t="s">
        <v>225</v>
      </c>
      <c r="M26" s="98" t="s">
        <v>226</v>
      </c>
      <c r="N26" s="98" t="s">
        <v>227</v>
      </c>
      <c r="O26" s="98" t="s">
        <v>228</v>
      </c>
      <c r="P26"/>
      <c r="Q26"/>
      <c r="R26"/>
      <c r="S26"/>
      <c r="T26" s="205"/>
      <c r="U26" s="64"/>
      <c r="V26"/>
      <c r="W26" s="98"/>
      <c r="X26" s="98" t="s">
        <v>224</v>
      </c>
      <c r="Y26" s="98" t="s">
        <v>225</v>
      </c>
      <c r="Z26" s="98" t="s">
        <v>226</v>
      </c>
      <c r="AA26" s="98" t="s">
        <v>227</v>
      </c>
      <c r="AB26" s="98" t="s">
        <v>228</v>
      </c>
      <c r="AC26"/>
      <c r="AD26"/>
      <c r="AE26"/>
    </row>
    <row r="27" spans="1:31" s="213" customFormat="1" x14ac:dyDescent="0.25">
      <c r="A27"/>
      <c r="B27" s="202">
        <v>44075</v>
      </c>
      <c r="C27" s="66"/>
      <c r="D27" s="200">
        <v>11247.549805000001</v>
      </c>
      <c r="E27" s="64">
        <f t="shared" si="0"/>
        <v>-1.2289808562019666E-2</v>
      </c>
      <c r="F27" s="64"/>
      <c r="G27" s="200">
        <v>669.37707499999999</v>
      </c>
      <c r="H27" s="64">
        <f t="shared" si="1"/>
        <v>5.1157587522776105E-2</v>
      </c>
      <c r="I27"/>
      <c r="J27" s="96" t="s">
        <v>229</v>
      </c>
      <c r="K27" s="96">
        <v>1</v>
      </c>
      <c r="L27" s="96">
        <v>0.17500974641671441</v>
      </c>
      <c r="M27" s="96">
        <v>0.17500974641671441</v>
      </c>
      <c r="N27" s="96">
        <v>16.238870592353454</v>
      </c>
      <c r="O27" s="96">
        <v>1.6734014600869822E-4</v>
      </c>
      <c r="P27"/>
      <c r="Q27"/>
      <c r="R27"/>
      <c r="S27"/>
      <c r="T27" s="205"/>
      <c r="U27" s="64"/>
      <c r="V27"/>
      <c r="W27" s="96" t="s">
        <v>229</v>
      </c>
      <c r="X27" s="96">
        <v>1</v>
      </c>
      <c r="Y27" s="96">
        <v>1.1833503301235115E-2</v>
      </c>
      <c r="Z27" s="96">
        <v>1.1833503301235115E-2</v>
      </c>
      <c r="AA27" s="96">
        <v>1.4725591188338607</v>
      </c>
      <c r="AB27" s="96">
        <v>0.23841510579313538</v>
      </c>
      <c r="AC27"/>
      <c r="AD27"/>
      <c r="AE27"/>
    </row>
    <row r="28" spans="1:31" s="213" customFormat="1" x14ac:dyDescent="0.25">
      <c r="A28"/>
      <c r="B28" s="202">
        <v>44105</v>
      </c>
      <c r="C28" s="66"/>
      <c r="D28" s="200">
        <v>11642.400390999999</v>
      </c>
      <c r="E28" s="64">
        <f t="shared" si="0"/>
        <v>3.5105475667640107E-2</v>
      </c>
      <c r="F28" s="64"/>
      <c r="G28" s="200">
        <v>657.07342500000004</v>
      </c>
      <c r="H28" s="64">
        <f t="shared" si="1"/>
        <v>-1.8380746009265314E-2</v>
      </c>
      <c r="I28"/>
      <c r="J28" s="96" t="s">
        <v>230</v>
      </c>
      <c r="K28" s="96">
        <v>57</v>
      </c>
      <c r="L28" s="96">
        <v>0.61430106786182548</v>
      </c>
      <c r="M28" s="96">
        <v>1.0777211716874131E-2</v>
      </c>
      <c r="N28" s="96"/>
      <c r="O28" s="96"/>
      <c r="P28"/>
      <c r="Q28"/>
      <c r="R28"/>
      <c r="S28"/>
      <c r="T28" s="205"/>
      <c r="U28" s="64"/>
      <c r="V28"/>
      <c r="W28" s="96" t="s">
        <v>230</v>
      </c>
      <c r="X28" s="96">
        <v>21</v>
      </c>
      <c r="Y28" s="96">
        <v>0.16875625986597451</v>
      </c>
      <c r="Z28" s="96">
        <v>8.0360123745702138E-3</v>
      </c>
      <c r="AA28" s="96"/>
      <c r="AB28" s="96"/>
      <c r="AC28"/>
      <c r="AD28"/>
      <c r="AE28"/>
    </row>
    <row r="29" spans="1:31" s="213" customFormat="1" ht="15.75" thickBot="1" x14ac:dyDescent="0.3">
      <c r="A29"/>
      <c r="B29" s="202">
        <v>44136</v>
      </c>
      <c r="C29" s="66"/>
      <c r="D29" s="200">
        <v>12968.950194999999</v>
      </c>
      <c r="E29" s="64">
        <f t="shared" si="0"/>
        <v>0.1139412629225045</v>
      </c>
      <c r="F29" s="64"/>
      <c r="G29" s="200">
        <v>717.59533699999997</v>
      </c>
      <c r="H29" s="64">
        <f t="shared" si="1"/>
        <v>9.2108293681181674E-2</v>
      </c>
      <c r="I29"/>
      <c r="J29" s="97" t="s">
        <v>187</v>
      </c>
      <c r="K29" s="97">
        <v>58</v>
      </c>
      <c r="L29" s="97">
        <v>0.78931081427853989</v>
      </c>
      <c r="M29" s="97"/>
      <c r="N29" s="97"/>
      <c r="O29" s="97"/>
      <c r="P29"/>
      <c r="Q29"/>
      <c r="R29"/>
      <c r="S29"/>
      <c r="T29" s="205"/>
      <c r="U29" s="64"/>
      <c r="V29"/>
      <c r="W29" s="97" t="s">
        <v>187</v>
      </c>
      <c r="X29" s="97">
        <v>22</v>
      </c>
      <c r="Y29" s="97">
        <v>0.18058976316720962</v>
      </c>
      <c r="Z29" s="97"/>
      <c r="AA29" s="97"/>
      <c r="AB29" s="97"/>
      <c r="AC29"/>
      <c r="AD29"/>
      <c r="AE29"/>
    </row>
    <row r="30" spans="1:31" s="213" customFormat="1" ht="15.75" thickBot="1" x14ac:dyDescent="0.3">
      <c r="A30"/>
      <c r="B30" s="202">
        <v>44166</v>
      </c>
      <c r="C30" s="66"/>
      <c r="D30" s="200">
        <v>13981.75</v>
      </c>
      <c r="E30" s="64">
        <f t="shared" si="0"/>
        <v>7.8094201132060226E-2</v>
      </c>
      <c r="F30" s="64"/>
      <c r="G30" s="200">
        <v>685.01806599999998</v>
      </c>
      <c r="H30" s="64">
        <f t="shared" si="1"/>
        <v>-4.5397829835675196E-2</v>
      </c>
      <c r="I30"/>
      <c r="J30"/>
      <c r="K30"/>
      <c r="L30"/>
      <c r="M30"/>
      <c r="N30"/>
      <c r="O30"/>
      <c r="P30"/>
      <c r="Q30"/>
      <c r="R30"/>
      <c r="S30"/>
      <c r="T30" s="205"/>
      <c r="U30" s="64"/>
      <c r="V30"/>
      <c r="W30"/>
      <c r="X30"/>
      <c r="Y30"/>
      <c r="Z30"/>
      <c r="AA30"/>
      <c r="AB30"/>
      <c r="AC30"/>
      <c r="AD30"/>
      <c r="AE30"/>
    </row>
    <row r="31" spans="1:31" s="213" customFormat="1" x14ac:dyDescent="0.25">
      <c r="A31"/>
      <c r="B31" s="202">
        <v>44197</v>
      </c>
      <c r="C31" s="66"/>
      <c r="D31" s="200">
        <v>13634.599609000001</v>
      </c>
      <c r="E31" s="64">
        <f t="shared" si="0"/>
        <v>-2.4828822643803483E-2</v>
      </c>
      <c r="F31" s="64"/>
      <c r="G31" s="200">
        <v>619.21612500000003</v>
      </c>
      <c r="H31" s="64">
        <f t="shared" si="1"/>
        <v>-9.6058694311866422E-2</v>
      </c>
      <c r="I31"/>
      <c r="J31" s="98"/>
      <c r="K31" s="98" t="s">
        <v>231</v>
      </c>
      <c r="L31" s="98" t="s">
        <v>221</v>
      </c>
      <c r="M31" s="98" t="s">
        <v>232</v>
      </c>
      <c r="N31" s="98" t="s">
        <v>233</v>
      </c>
      <c r="O31" s="98" t="s">
        <v>234</v>
      </c>
      <c r="P31" s="98" t="s">
        <v>235</v>
      </c>
      <c r="Q31" s="98" t="s">
        <v>236</v>
      </c>
      <c r="R31" s="98" t="s">
        <v>237</v>
      </c>
      <c r="S31"/>
      <c r="T31" s="205"/>
      <c r="U31" s="64"/>
      <c r="V31"/>
      <c r="W31" s="98"/>
      <c r="X31" s="98" t="s">
        <v>231</v>
      </c>
      <c r="Y31" s="98" t="s">
        <v>221</v>
      </c>
      <c r="Z31" s="98" t="s">
        <v>232</v>
      </c>
      <c r="AA31" s="98" t="s">
        <v>233</v>
      </c>
      <c r="AB31" s="98" t="s">
        <v>234</v>
      </c>
      <c r="AC31" s="98" t="s">
        <v>235</v>
      </c>
      <c r="AD31" s="98" t="s">
        <v>236</v>
      </c>
      <c r="AE31" s="98" t="s">
        <v>237</v>
      </c>
    </row>
    <row r="32" spans="1:31" s="213" customFormat="1" x14ac:dyDescent="0.25">
      <c r="A32"/>
      <c r="B32" s="202">
        <v>44228</v>
      </c>
      <c r="C32" s="66"/>
      <c r="D32" s="200">
        <v>14529.150390999999</v>
      </c>
      <c r="E32" s="64">
        <f t="shared" si="0"/>
        <v>6.5608877976109925E-2</v>
      </c>
      <c r="F32" s="64"/>
      <c r="G32" s="200">
        <v>805.61364700000001</v>
      </c>
      <c r="H32" s="64">
        <f t="shared" si="1"/>
        <v>0.30102175068519088</v>
      </c>
      <c r="I32"/>
      <c r="J32" s="96" t="s">
        <v>238</v>
      </c>
      <c r="K32" s="96">
        <v>3.5586209206132868E-2</v>
      </c>
      <c r="L32" s="96">
        <v>1.3866481163263356E-2</v>
      </c>
      <c r="M32" s="96">
        <v>2.5663474956005321</v>
      </c>
      <c r="N32" s="96">
        <v>1.2929798783018918E-2</v>
      </c>
      <c r="O32" s="96">
        <v>7.8190596347886207E-3</v>
      </c>
      <c r="P32" s="96">
        <v>6.3353358777477109E-2</v>
      </c>
      <c r="Q32" s="96">
        <v>7.8190596347886207E-3</v>
      </c>
      <c r="R32" s="96">
        <v>6.3353358777477109E-2</v>
      </c>
      <c r="S32"/>
      <c r="T32" s="205"/>
      <c r="U32" s="64"/>
      <c r="V32"/>
      <c r="W32" s="96" t="s">
        <v>238</v>
      </c>
      <c r="X32" s="96">
        <v>-2.1181446833188197E-3</v>
      </c>
      <c r="Y32" s="96">
        <v>1.9401138793303283E-2</v>
      </c>
      <c r="Z32" s="96">
        <v>-0.10917630691090889</v>
      </c>
      <c r="AA32" s="96">
        <v>0.91409918203782969</v>
      </c>
      <c r="AB32" s="96">
        <v>-4.2465021521355603E-2</v>
      </c>
      <c r="AC32" s="96">
        <v>3.8228732154717962E-2</v>
      </c>
      <c r="AD32" s="96">
        <v>-4.2465021521355603E-2</v>
      </c>
      <c r="AE32" s="96">
        <v>3.8228732154717962E-2</v>
      </c>
    </row>
    <row r="33" spans="1:31" s="213" customFormat="1" ht="15.75" thickBot="1" x14ac:dyDescent="0.3">
      <c r="A33"/>
      <c r="B33" s="202">
        <v>44256</v>
      </c>
      <c r="C33" s="66"/>
      <c r="D33" s="200">
        <v>14690.700194999999</v>
      </c>
      <c r="E33" s="64">
        <f t="shared" si="0"/>
        <v>1.1119012444118725E-2</v>
      </c>
      <c r="F33" s="64"/>
      <c r="G33" s="200">
        <v>748.22985800000004</v>
      </c>
      <c r="H33" s="64">
        <f t="shared" si="1"/>
        <v>-7.1229911774322252E-2</v>
      </c>
      <c r="I33"/>
      <c r="J33" s="97" t="s">
        <v>239</v>
      </c>
      <c r="K33" s="97">
        <v>1.0141975492548077</v>
      </c>
      <c r="L33" s="97">
        <v>0.25167764777485252</v>
      </c>
      <c r="M33" s="97">
        <v>4.0297482045846813</v>
      </c>
      <c r="N33" s="97">
        <v>1.673401460086973E-4</v>
      </c>
      <c r="O33" s="97">
        <v>0.51022175271005743</v>
      </c>
      <c r="P33" s="97">
        <v>1.5181733457995579</v>
      </c>
      <c r="Q33" s="97">
        <v>0.51022175271005743</v>
      </c>
      <c r="R33" s="97">
        <v>1.5181733457995579</v>
      </c>
      <c r="S33"/>
      <c r="T33" s="205"/>
      <c r="U33" s="64"/>
      <c r="V33"/>
      <c r="W33" s="97" t="s">
        <v>239</v>
      </c>
      <c r="X33" s="97">
        <v>0.59087967019358012</v>
      </c>
      <c r="Y33" s="97">
        <v>0.4869256786039689</v>
      </c>
      <c r="Z33" s="97">
        <v>1.213490469197785</v>
      </c>
      <c r="AA33" s="97">
        <v>0.23841510579313532</v>
      </c>
      <c r="AB33" s="97">
        <v>-0.42173771238465418</v>
      </c>
      <c r="AC33" s="97">
        <v>1.6034970527718144</v>
      </c>
      <c r="AD33" s="97">
        <v>-0.42173771238465418</v>
      </c>
      <c r="AE33" s="97">
        <v>1.6034970527718144</v>
      </c>
    </row>
    <row r="34" spans="1:31" s="213" customFormat="1" x14ac:dyDescent="0.25">
      <c r="A34"/>
      <c r="B34" s="202">
        <v>44287</v>
      </c>
      <c r="C34" s="66"/>
      <c r="D34" s="200">
        <v>14631.099609000001</v>
      </c>
      <c r="E34" s="64">
        <f t="shared" si="0"/>
        <v>-4.057028270189833E-3</v>
      </c>
      <c r="F34" s="64"/>
      <c r="G34" s="200">
        <v>773.78350799999998</v>
      </c>
      <c r="H34" s="64">
        <f t="shared" si="1"/>
        <v>3.4152138847150848E-2</v>
      </c>
      <c r="I34"/>
      <c r="J34"/>
      <c r="K34"/>
      <c r="L34"/>
      <c r="M34"/>
      <c r="N34"/>
      <c r="O34"/>
      <c r="P34"/>
      <c r="Q34"/>
      <c r="R34"/>
      <c r="S34"/>
      <c r="T34" s="205"/>
      <c r="U34" s="64"/>
      <c r="V34"/>
      <c r="W34"/>
      <c r="X34"/>
      <c r="Y34"/>
      <c r="Z34"/>
      <c r="AA34"/>
      <c r="AB34"/>
      <c r="AC34"/>
      <c r="AD34"/>
      <c r="AE34"/>
    </row>
    <row r="35" spans="1:31" s="213" customFormat="1" x14ac:dyDescent="0.25">
      <c r="A35"/>
      <c r="B35" s="202">
        <v>44317</v>
      </c>
      <c r="C35" s="66"/>
      <c r="D35" s="200">
        <v>15582.799805000001</v>
      </c>
      <c r="E35" s="64">
        <f t="shared" si="0"/>
        <v>6.504638895456516E-2</v>
      </c>
      <c r="F35" s="64"/>
      <c r="G35" s="200">
        <v>848.45208700000001</v>
      </c>
      <c r="H35" s="64">
        <f t="shared" si="1"/>
        <v>9.6498023320497062E-2</v>
      </c>
      <c r="I35"/>
      <c r="J35"/>
      <c r="K35"/>
      <c r="L35"/>
      <c r="M35"/>
      <c r="N35"/>
      <c r="O35"/>
      <c r="P35"/>
      <c r="Q35"/>
      <c r="R35"/>
      <c r="S35"/>
      <c r="T35" s="205"/>
      <c r="U35" s="64"/>
      <c r="V35"/>
      <c r="W35"/>
      <c r="X35"/>
      <c r="Y35"/>
      <c r="Z35"/>
      <c r="AA35"/>
      <c r="AB35"/>
      <c r="AC35"/>
      <c r="AD35"/>
      <c r="AE35"/>
    </row>
    <row r="36" spans="1:31" s="213" customFormat="1" x14ac:dyDescent="0.25">
      <c r="A36"/>
      <c r="B36" s="202">
        <v>44348</v>
      </c>
      <c r="C36" s="66"/>
      <c r="D36" s="200">
        <v>15721.5</v>
      </c>
      <c r="E36" s="64">
        <f t="shared" si="0"/>
        <v>8.9008520121971468E-3</v>
      </c>
      <c r="F36" s="64"/>
      <c r="G36" s="200">
        <v>846.65881300000001</v>
      </c>
      <c r="H36" s="64">
        <f t="shared" si="1"/>
        <v>-2.1135831091425583E-3</v>
      </c>
      <c r="I36"/>
      <c r="J36"/>
      <c r="K36"/>
      <c r="L36"/>
      <c r="M36"/>
      <c r="N36"/>
      <c r="O36"/>
      <c r="P36"/>
      <c r="Q36"/>
      <c r="R36"/>
      <c r="S36"/>
      <c r="T36" s="205"/>
      <c r="U36" s="64"/>
      <c r="V36"/>
      <c r="W36"/>
      <c r="X36"/>
      <c r="Y36"/>
      <c r="Z36"/>
      <c r="AA36"/>
      <c r="AB36"/>
      <c r="AC36"/>
      <c r="AD36"/>
      <c r="AE36"/>
    </row>
    <row r="37" spans="1:31" s="213" customFormat="1" x14ac:dyDescent="0.25">
      <c r="A37"/>
      <c r="B37" s="202">
        <v>44378</v>
      </c>
      <c r="C37" s="66"/>
      <c r="D37" s="200">
        <v>15763.049805000001</v>
      </c>
      <c r="E37" s="64">
        <f t="shared" si="0"/>
        <v>2.6428651846197582E-3</v>
      </c>
      <c r="F37" s="64"/>
      <c r="G37" s="200">
        <v>919.43457000000001</v>
      </c>
      <c r="H37" s="64">
        <f t="shared" si="1"/>
        <v>8.5956415834296696E-2</v>
      </c>
      <c r="I37"/>
      <c r="J37" s="101"/>
      <c r="K37" s="101"/>
      <c r="L37" s="100"/>
      <c r="M37" s="100"/>
      <c r="N37" s="100"/>
      <c r="O37" s="100"/>
      <c r="P37" s="100"/>
      <c r="Q37" s="100"/>
      <c r="R37" s="100"/>
      <c r="S37"/>
      <c r="T37" s="205"/>
      <c r="U37" s="64"/>
      <c r="V37"/>
      <c r="W37"/>
      <c r="X37"/>
      <c r="Y37"/>
      <c r="Z37"/>
      <c r="AA37"/>
      <c r="AB37"/>
      <c r="AC37"/>
      <c r="AD37"/>
      <c r="AE37"/>
    </row>
    <row r="38" spans="1:31" s="213" customFormat="1" x14ac:dyDescent="0.25">
      <c r="A38"/>
      <c r="B38" s="202">
        <v>44409</v>
      </c>
      <c r="C38" s="66"/>
      <c r="D38" s="200">
        <v>17132.199218999998</v>
      </c>
      <c r="E38" s="64">
        <f t="shared" si="0"/>
        <v>8.6858154414110045E-2</v>
      </c>
      <c r="F38" s="64"/>
      <c r="G38" s="200">
        <v>1003.772827</v>
      </c>
      <c r="H38" s="64">
        <f t="shared" si="1"/>
        <v>9.1728394550141923E-2</v>
      </c>
      <c r="I38"/>
      <c r="J38" s="96"/>
      <c r="K38" s="96"/>
      <c r="L38" s="100"/>
      <c r="M38" s="100"/>
      <c r="N38" s="100"/>
      <c r="O38" s="100"/>
      <c r="P38" s="100"/>
      <c r="Q38" s="100"/>
      <c r="R38" s="100"/>
      <c r="S38"/>
      <c r="T38" s="205"/>
      <c r="U38" s="64"/>
      <c r="V38"/>
      <c r="W38"/>
      <c r="X38"/>
      <c r="Y38"/>
      <c r="Z38"/>
      <c r="AA38"/>
      <c r="AB38"/>
      <c r="AC38"/>
      <c r="AD38"/>
      <c r="AE38"/>
    </row>
    <row r="39" spans="1:31" s="213" customFormat="1" x14ac:dyDescent="0.25">
      <c r="A39"/>
      <c r="B39" s="202">
        <v>44440</v>
      </c>
      <c r="C39" s="66"/>
      <c r="D39" s="200">
        <v>17618.150390999999</v>
      </c>
      <c r="E39" s="64">
        <f t="shared" si="0"/>
        <v>2.8364786434485811E-2</v>
      </c>
      <c r="F39" s="64"/>
      <c r="G39" s="200">
        <v>1022.664001</v>
      </c>
      <c r="H39" s="64">
        <f t="shared" si="1"/>
        <v>1.8820168759160927E-2</v>
      </c>
      <c r="I39"/>
      <c r="J39" s="96"/>
      <c r="K39" s="96"/>
      <c r="L39" s="100"/>
      <c r="M39" s="100"/>
      <c r="N39" s="100"/>
      <c r="O39" s="100"/>
      <c r="P39" s="100"/>
      <c r="Q39" s="100"/>
      <c r="R39" s="100"/>
      <c r="S39"/>
      <c r="T39" s="205"/>
      <c r="U39" s="64"/>
      <c r="V39"/>
      <c r="W39"/>
      <c r="X39"/>
      <c r="Y39"/>
      <c r="Z39"/>
      <c r="AA39"/>
      <c r="AB39"/>
      <c r="AC39"/>
      <c r="AD39"/>
      <c r="AE39"/>
    </row>
    <row r="40" spans="1:31" s="213" customFormat="1" x14ac:dyDescent="0.25">
      <c r="A40"/>
      <c r="B40" s="202">
        <v>44470</v>
      </c>
      <c r="C40" s="66"/>
      <c r="D40" s="200">
        <v>17671.650390999999</v>
      </c>
      <c r="E40" s="64">
        <f t="shared" si="0"/>
        <v>3.0366411236522062E-3</v>
      </c>
      <c r="F40" s="64"/>
      <c r="G40" s="200">
        <v>1000.034546</v>
      </c>
      <c r="H40" s="64">
        <f t="shared" si="1"/>
        <v>-2.2127947182918439E-2</v>
      </c>
      <c r="I40"/>
      <c r="J40" s="96"/>
      <c r="K40" s="96"/>
      <c r="L40" s="100"/>
      <c r="M40" s="100"/>
      <c r="N40" s="100"/>
      <c r="O40" s="100"/>
      <c r="P40" s="100"/>
      <c r="Q40" s="100"/>
      <c r="R40" s="100"/>
      <c r="S40"/>
      <c r="T40" s="205"/>
      <c r="U40" s="64"/>
      <c r="V40"/>
      <c r="W40"/>
      <c r="X40"/>
      <c r="Y40"/>
      <c r="Z40"/>
      <c r="AA40"/>
      <c r="AB40"/>
      <c r="AC40"/>
      <c r="AD40"/>
      <c r="AE40"/>
    </row>
    <row r="41" spans="1:31" s="213" customFormat="1" x14ac:dyDescent="0.25">
      <c r="A41"/>
      <c r="B41" s="202">
        <v>44501</v>
      </c>
      <c r="C41" s="66"/>
      <c r="D41" s="200">
        <v>16983.199218999998</v>
      </c>
      <c r="E41" s="64">
        <f t="shared" si="0"/>
        <v>-3.8957944321409976E-2</v>
      </c>
      <c r="F41" s="64"/>
      <c r="G41" s="200">
        <v>1011.2495730000001</v>
      </c>
      <c r="H41" s="64">
        <f t="shared" si="1"/>
        <v>1.1214639579061103E-2</v>
      </c>
      <c r="I41"/>
      <c r="J41" s="96"/>
      <c r="K41" s="96"/>
      <c r="L41" s="100"/>
      <c r="M41" s="100"/>
      <c r="N41" s="100"/>
      <c r="O41" s="100"/>
      <c r="P41" s="100"/>
      <c r="Q41" s="100"/>
      <c r="R41" s="100"/>
      <c r="S41"/>
      <c r="T41" s="205"/>
      <c r="U41" s="64"/>
      <c r="V41"/>
      <c r="W41"/>
      <c r="X41"/>
      <c r="Y41"/>
      <c r="Z41"/>
      <c r="AA41"/>
      <c r="AB41"/>
      <c r="AC41"/>
      <c r="AD41"/>
      <c r="AE41"/>
    </row>
    <row r="42" spans="1:31" s="213" customFormat="1" x14ac:dyDescent="0.25">
      <c r="A42"/>
      <c r="B42" s="202">
        <v>44531</v>
      </c>
      <c r="C42" s="66"/>
      <c r="D42" s="200">
        <v>17354.050781000002</v>
      </c>
      <c r="E42" s="64">
        <f t="shared" si="0"/>
        <v>2.1836378247575006E-2</v>
      </c>
      <c r="F42" s="64"/>
      <c r="G42" s="200">
        <v>1061.692505</v>
      </c>
      <c r="H42" s="64">
        <f t="shared" si="1"/>
        <v>4.9881783238092892E-2</v>
      </c>
      <c r="I42"/>
      <c r="J42" s="96"/>
      <c r="K42" s="96"/>
      <c r="L42" s="100"/>
      <c r="M42" s="100"/>
      <c r="N42" s="100"/>
      <c r="O42" s="100"/>
      <c r="P42" s="100"/>
      <c r="Q42" s="100"/>
      <c r="R42" s="100"/>
      <c r="S42"/>
      <c r="T42" s="205"/>
      <c r="U42" s="64"/>
      <c r="V42"/>
      <c r="W42"/>
      <c r="X42"/>
      <c r="Y42"/>
      <c r="Z42"/>
      <c r="AA42"/>
      <c r="AB42"/>
      <c r="AC42"/>
      <c r="AD42"/>
      <c r="AE42"/>
    </row>
    <row r="43" spans="1:31" s="213" customFormat="1" x14ac:dyDescent="0.25">
      <c r="A43"/>
      <c r="B43" s="202">
        <v>44562</v>
      </c>
      <c r="C43" s="66"/>
      <c r="D43" s="200">
        <v>17339.849609000001</v>
      </c>
      <c r="E43" s="64">
        <f t="shared" si="0"/>
        <v>-8.183202976188575E-4</v>
      </c>
      <c r="F43" s="64"/>
      <c r="G43" s="200">
        <v>1028.346436</v>
      </c>
      <c r="H43" s="64">
        <f t="shared" si="1"/>
        <v>-3.1408405769992598E-2</v>
      </c>
      <c r="I43"/>
      <c r="J43" s="100"/>
      <c r="K43" s="100"/>
      <c r="L43" s="100"/>
      <c r="M43" s="100"/>
      <c r="N43" s="100"/>
      <c r="O43" s="100"/>
      <c r="P43" s="100"/>
      <c r="Q43" s="100"/>
      <c r="R43" s="100"/>
      <c r="S43"/>
      <c r="T43" s="205"/>
      <c r="U43" s="64"/>
      <c r="V43"/>
      <c r="W43"/>
      <c r="X43"/>
      <c r="Y43"/>
      <c r="Z43"/>
      <c r="AA43"/>
      <c r="AB43"/>
      <c r="AC43"/>
      <c r="AD43"/>
      <c r="AE43"/>
    </row>
    <row r="44" spans="1:31" s="213" customFormat="1" x14ac:dyDescent="0.25">
      <c r="A44"/>
      <c r="B44" s="202">
        <v>44593</v>
      </c>
      <c r="C44" s="66"/>
      <c r="D44" s="200">
        <v>16793.900390999999</v>
      </c>
      <c r="E44" s="64">
        <f t="shared" si="0"/>
        <v>-3.1485233742548413E-2</v>
      </c>
      <c r="F44" s="64"/>
      <c r="G44" s="200">
        <v>1104.6585689999999</v>
      </c>
      <c r="H44" s="64">
        <f t="shared" si="1"/>
        <v>7.4208584119602961E-2</v>
      </c>
      <c r="I44"/>
      <c r="J44" s="100"/>
      <c r="K44" s="100"/>
      <c r="L44" s="100"/>
      <c r="M44" s="100"/>
      <c r="N44" s="100"/>
      <c r="O44" s="100"/>
      <c r="P44" s="100"/>
      <c r="Q44" s="100"/>
      <c r="R44" s="100"/>
      <c r="S44"/>
      <c r="T44" s="205"/>
      <c r="U44" s="64"/>
      <c r="V44"/>
      <c r="W44"/>
      <c r="X44"/>
      <c r="Y44"/>
      <c r="Z44"/>
      <c r="AA44"/>
      <c r="AB44"/>
      <c r="AC44"/>
      <c r="AD44"/>
      <c r="AE44"/>
    </row>
    <row r="45" spans="1:31" s="213" customFormat="1" x14ac:dyDescent="0.25">
      <c r="A45"/>
      <c r="B45" s="202">
        <v>44621</v>
      </c>
      <c r="C45" s="66"/>
      <c r="D45" s="200">
        <v>17464.75</v>
      </c>
      <c r="E45" s="64">
        <f t="shared" si="0"/>
        <v>3.9946027627954406E-2</v>
      </c>
      <c r="F45" s="64"/>
      <c r="G45" s="200">
        <v>1272.276001</v>
      </c>
      <c r="H45" s="64">
        <f t="shared" si="1"/>
        <v>0.15173686848030954</v>
      </c>
      <c r="I45"/>
      <c r="J45" s="102"/>
      <c r="K45" s="102"/>
      <c r="L45" s="102"/>
      <c r="M45" s="102"/>
      <c r="N45" s="102"/>
      <c r="O45" s="102"/>
      <c r="P45" s="100"/>
      <c r="Q45" s="100"/>
      <c r="R45" s="100"/>
      <c r="S45"/>
      <c r="T45" s="205">
        <v>956.25585899999999</v>
      </c>
      <c r="U45" s="64"/>
      <c r="V45"/>
      <c r="W45"/>
      <c r="X45"/>
      <c r="Y45"/>
      <c r="Z45"/>
      <c r="AA45"/>
      <c r="AB45"/>
      <c r="AC45"/>
      <c r="AD45"/>
      <c r="AE45"/>
    </row>
    <row r="46" spans="1:31" s="213" customFormat="1" x14ac:dyDescent="0.25">
      <c r="A46"/>
      <c r="B46" s="202">
        <v>44652</v>
      </c>
      <c r="C46" s="66"/>
      <c r="D46" s="200">
        <v>17102.550781000002</v>
      </c>
      <c r="E46" s="64">
        <f t="shared" si="0"/>
        <v>-2.0738872242660134E-2</v>
      </c>
      <c r="F46" s="64"/>
      <c r="G46" s="200">
        <v>1225.295044</v>
      </c>
      <c r="H46" s="64">
        <f t="shared" si="1"/>
        <v>-3.6926702195964833E-2</v>
      </c>
      <c r="I46"/>
      <c r="J46" s="96"/>
      <c r="K46" s="96"/>
      <c r="L46" s="96"/>
      <c r="M46" s="96"/>
      <c r="N46" s="96"/>
      <c r="O46" s="96"/>
      <c r="P46" s="100"/>
      <c r="Q46" s="100"/>
      <c r="R46" s="100"/>
      <c r="S46"/>
      <c r="T46" s="205">
        <v>1079.477905</v>
      </c>
      <c r="U46" s="64">
        <f t="shared" ref="U46:U68" si="2">T46/T45-1</f>
        <v>0.12885886642185795</v>
      </c>
      <c r="V46"/>
      <c r="W46"/>
      <c r="X46"/>
      <c r="Y46"/>
      <c r="Z46"/>
      <c r="AA46"/>
      <c r="AB46"/>
      <c r="AC46"/>
      <c r="AD46"/>
      <c r="AE46"/>
    </row>
    <row r="47" spans="1:31" s="213" customFormat="1" x14ac:dyDescent="0.25">
      <c r="A47"/>
      <c r="B47" s="202">
        <v>44682</v>
      </c>
      <c r="C47" s="66"/>
      <c r="D47" s="200">
        <v>16584.550781000002</v>
      </c>
      <c r="E47" s="64">
        <f t="shared" si="0"/>
        <v>-3.0287879663861039E-2</v>
      </c>
      <c r="F47" s="64"/>
      <c r="G47" s="200">
        <v>1121.208862</v>
      </c>
      <c r="H47" s="64">
        <f t="shared" si="1"/>
        <v>-8.4947851955891829E-2</v>
      </c>
      <c r="I47"/>
      <c r="J47" s="96"/>
      <c r="K47" s="96"/>
      <c r="L47" s="96"/>
      <c r="M47" s="96"/>
      <c r="N47" s="96"/>
      <c r="O47" s="96"/>
      <c r="P47" s="100"/>
      <c r="Q47" s="100"/>
      <c r="R47" s="100"/>
      <c r="S47"/>
      <c r="T47" s="205">
        <v>995.26959199999999</v>
      </c>
      <c r="U47" s="64">
        <f t="shared" si="2"/>
        <v>-7.8008371093060913E-2</v>
      </c>
      <c r="V47"/>
      <c r="W47"/>
      <c r="X47"/>
      <c r="Y47"/>
      <c r="Z47"/>
      <c r="AA47"/>
      <c r="AB47"/>
      <c r="AC47"/>
      <c r="AD47"/>
      <c r="AE47"/>
    </row>
    <row r="48" spans="1:31" s="213" customFormat="1" x14ac:dyDescent="0.25">
      <c r="A48"/>
      <c r="B48" s="202">
        <v>44713</v>
      </c>
      <c r="C48" s="66"/>
      <c r="D48" s="200">
        <v>15780.25</v>
      </c>
      <c r="E48" s="64">
        <f t="shared" si="0"/>
        <v>-4.8496989253483114E-2</v>
      </c>
      <c r="F48" s="64"/>
      <c r="G48" s="200">
        <v>1072.5729980000001</v>
      </c>
      <c r="H48" s="64">
        <f t="shared" si="1"/>
        <v>-4.3378058850911838E-2</v>
      </c>
      <c r="I48"/>
      <c r="J48" s="96"/>
      <c r="K48" s="96"/>
      <c r="L48" s="96"/>
      <c r="M48" s="96"/>
      <c r="N48" s="96"/>
      <c r="O48" s="96"/>
      <c r="P48" s="100"/>
      <c r="Q48" s="100"/>
      <c r="R48" s="100"/>
      <c r="S48"/>
      <c r="T48" s="205">
        <v>955.21746800000005</v>
      </c>
      <c r="U48" s="64">
        <f t="shared" si="2"/>
        <v>-4.0242487384262393E-2</v>
      </c>
      <c r="V48"/>
      <c r="W48"/>
      <c r="X48"/>
      <c r="Y48"/>
      <c r="Z48"/>
      <c r="AA48"/>
      <c r="AB48"/>
      <c r="AC48"/>
      <c r="AD48"/>
      <c r="AE48"/>
    </row>
    <row r="49" spans="1:31" s="213" customFormat="1" x14ac:dyDescent="0.25">
      <c r="A49"/>
      <c r="B49" s="202">
        <v>44743</v>
      </c>
      <c r="C49" s="66"/>
      <c r="D49" s="200">
        <v>17158.25</v>
      </c>
      <c r="E49" s="64">
        <f t="shared" si="0"/>
        <v>8.7324345305048956E-2</v>
      </c>
      <c r="F49" s="64"/>
      <c r="G49" s="200">
        <v>1266.7375489999999</v>
      </c>
      <c r="H49" s="64">
        <f t="shared" si="1"/>
        <v>0.18102688708559111</v>
      </c>
      <c r="I49"/>
      <c r="J49" s="100"/>
      <c r="K49" s="100"/>
      <c r="L49" s="100"/>
      <c r="M49" s="100"/>
      <c r="N49" s="100"/>
      <c r="O49" s="100"/>
      <c r="P49" s="100"/>
      <c r="Q49" s="100"/>
      <c r="R49" s="100"/>
      <c r="S49"/>
      <c r="T49" s="205">
        <v>1065.385376</v>
      </c>
      <c r="U49" s="64">
        <f t="shared" si="2"/>
        <v>0.115332802938231</v>
      </c>
      <c r="V49"/>
      <c r="W49"/>
      <c r="X49"/>
      <c r="Y49"/>
      <c r="Z49"/>
      <c r="AA49"/>
      <c r="AB49"/>
      <c r="AC49"/>
      <c r="AD49"/>
      <c r="AE49"/>
    </row>
    <row r="50" spans="1:31" s="213" customFormat="1" x14ac:dyDescent="0.25">
      <c r="A50"/>
      <c r="B50" s="202">
        <v>44774</v>
      </c>
      <c r="C50" s="66"/>
      <c r="D50" s="200">
        <v>17759.300781000002</v>
      </c>
      <c r="E50" s="64">
        <f t="shared" si="0"/>
        <v>3.5029841679658613E-2</v>
      </c>
      <c r="F50" s="64"/>
      <c r="G50" s="200">
        <v>1405.1839600000001</v>
      </c>
      <c r="H50" s="64">
        <f t="shared" si="1"/>
        <v>0.10929368211220525</v>
      </c>
      <c r="I50"/>
      <c r="J50" s="102"/>
      <c r="K50" s="102"/>
      <c r="L50" s="102"/>
      <c r="M50" s="102"/>
      <c r="N50" s="102"/>
      <c r="O50" s="102"/>
      <c r="P50" s="102"/>
      <c r="Q50" s="102"/>
      <c r="R50" s="102"/>
      <c r="S50"/>
      <c r="T50" s="205">
        <v>1273.211182</v>
      </c>
      <c r="U50" s="64">
        <f t="shared" si="2"/>
        <v>0.19507101437818131</v>
      </c>
      <c r="V50"/>
      <c r="W50"/>
      <c r="X50"/>
      <c r="Y50"/>
      <c r="Z50"/>
      <c r="AA50"/>
      <c r="AB50"/>
      <c r="AC50"/>
      <c r="AD50"/>
      <c r="AE50"/>
    </row>
    <row r="51" spans="1:31" s="213" customFormat="1" x14ac:dyDescent="0.25">
      <c r="A51"/>
      <c r="B51" s="202">
        <v>44805</v>
      </c>
      <c r="C51" s="66"/>
      <c r="D51" s="200">
        <v>17094.349609000001</v>
      </c>
      <c r="E51" s="64">
        <f t="shared" si="0"/>
        <v>-3.7442418493829788E-2</v>
      </c>
      <c r="F51" s="64"/>
      <c r="G51" s="200">
        <v>1417.915283</v>
      </c>
      <c r="H51" s="64">
        <f t="shared" si="1"/>
        <v>9.06025357704765E-3</v>
      </c>
      <c r="I51"/>
      <c r="J51" s="96"/>
      <c r="K51" s="96"/>
      <c r="L51" s="96"/>
      <c r="M51" s="96"/>
      <c r="N51" s="96"/>
      <c r="O51" s="96"/>
      <c r="P51" s="96"/>
      <c r="Q51" s="96"/>
      <c r="R51" s="96"/>
      <c r="S51"/>
      <c r="T51" s="205">
        <v>1398.728394</v>
      </c>
      <c r="U51" s="64">
        <f t="shared" si="2"/>
        <v>9.8583183822524623E-2</v>
      </c>
      <c r="V51"/>
      <c r="W51"/>
      <c r="X51"/>
      <c r="Y51"/>
      <c r="Z51"/>
      <c r="AA51"/>
      <c r="AB51"/>
      <c r="AC51"/>
      <c r="AD51"/>
      <c r="AE51"/>
    </row>
    <row r="52" spans="1:31" s="213" customFormat="1" x14ac:dyDescent="0.25">
      <c r="A52"/>
      <c r="B52" s="202">
        <v>44835</v>
      </c>
      <c r="C52" s="66"/>
      <c r="D52" s="200">
        <v>18012.199218999998</v>
      </c>
      <c r="E52" s="64">
        <f t="shared" si="0"/>
        <v>5.3693157738903263E-2</v>
      </c>
      <c r="F52" s="64"/>
      <c r="G52" s="200">
        <v>1525.6568600000001</v>
      </c>
      <c r="H52" s="64">
        <f t="shared" si="1"/>
        <v>7.5985905710842072E-2</v>
      </c>
      <c r="I52"/>
      <c r="J52" s="96"/>
      <c r="K52" s="96"/>
      <c r="L52" s="96"/>
      <c r="M52" s="96"/>
      <c r="N52" s="96"/>
      <c r="O52" s="96"/>
      <c r="P52" s="96"/>
      <c r="Q52" s="96"/>
      <c r="R52" s="96"/>
      <c r="S52"/>
      <c r="T52" s="205">
        <v>1438.6906739999999</v>
      </c>
      <c r="U52" s="64">
        <f t="shared" si="2"/>
        <v>2.8570435955559859E-2</v>
      </c>
      <c r="V52"/>
      <c r="W52"/>
      <c r="X52"/>
      <c r="Y52"/>
      <c r="Z52"/>
      <c r="AA52"/>
      <c r="AB52"/>
      <c r="AC52"/>
      <c r="AD52"/>
      <c r="AE52"/>
    </row>
    <row r="53" spans="1:31" s="213" customFormat="1" x14ac:dyDescent="0.25">
      <c r="A53"/>
      <c r="B53" s="202">
        <v>44866</v>
      </c>
      <c r="C53" s="66"/>
      <c r="D53" s="200">
        <v>18758.349609000001</v>
      </c>
      <c r="E53" s="64">
        <f t="shared" si="0"/>
        <v>4.1424724484111497E-2</v>
      </c>
      <c r="F53" s="64"/>
      <c r="G53" s="200">
        <v>1469.4895019999999</v>
      </c>
      <c r="H53" s="64">
        <f t="shared" si="1"/>
        <v>-3.6815197094843599E-2</v>
      </c>
      <c r="I53"/>
      <c r="J53" s="100"/>
      <c r="K53" s="100"/>
      <c r="L53" s="100"/>
      <c r="M53" s="100"/>
      <c r="N53" s="100"/>
      <c r="O53" s="100"/>
      <c r="P53" s="100"/>
      <c r="Q53" s="100"/>
      <c r="R53" s="100"/>
      <c r="S53"/>
      <c r="T53" s="205">
        <v>1358.4185789999999</v>
      </c>
      <c r="U53" s="64">
        <f t="shared" si="2"/>
        <v>-5.5795242473365758E-2</v>
      </c>
      <c r="V53"/>
      <c r="W53"/>
      <c r="X53"/>
      <c r="Y53"/>
      <c r="Z53"/>
      <c r="AA53"/>
      <c r="AB53"/>
      <c r="AC53"/>
      <c r="AD53"/>
      <c r="AE53"/>
    </row>
    <row r="54" spans="1:31" s="213" customFormat="1" x14ac:dyDescent="0.25">
      <c r="A54"/>
      <c r="B54" s="202">
        <v>44896</v>
      </c>
      <c r="C54" s="66"/>
      <c r="D54" s="200">
        <v>18105.300781000002</v>
      </c>
      <c r="E54" s="64">
        <f t="shared" si="0"/>
        <v>-3.4813767821379904E-2</v>
      </c>
      <c r="F54" s="64"/>
      <c r="G54" s="200">
        <v>1349.3660890000001</v>
      </c>
      <c r="H54" s="64">
        <f t="shared" si="1"/>
        <v>-8.1744995684902677E-2</v>
      </c>
      <c r="I54"/>
      <c r="J54" s="100"/>
      <c r="K54" s="100"/>
      <c r="L54" s="100"/>
      <c r="M54" s="100"/>
      <c r="N54" s="100"/>
      <c r="O54" s="100"/>
      <c r="P54" s="100"/>
      <c r="Q54" s="100"/>
      <c r="R54" s="100"/>
      <c r="S54"/>
      <c r="T54" s="205">
        <v>1328.533813</v>
      </c>
      <c r="U54" s="64">
        <f t="shared" si="2"/>
        <v>-2.1999674078368114E-2</v>
      </c>
      <c r="V54"/>
      <c r="W54"/>
      <c r="X54"/>
      <c r="Y54"/>
      <c r="Z54"/>
      <c r="AA54"/>
      <c r="AB54"/>
      <c r="AC54"/>
      <c r="AD54"/>
      <c r="AE54"/>
    </row>
    <row r="55" spans="1:31" s="213" customFormat="1" x14ac:dyDescent="0.25">
      <c r="A55"/>
      <c r="B55" s="202">
        <v>44927</v>
      </c>
      <c r="C55" s="66"/>
      <c r="D55" s="200">
        <v>17662.150390999999</v>
      </c>
      <c r="E55" s="64">
        <f t="shared" si="0"/>
        <v>-2.4476278818027275E-2</v>
      </c>
      <c r="F55" s="64"/>
      <c r="G55" s="200">
        <v>1194.8432620000001</v>
      </c>
      <c r="H55" s="64">
        <f t="shared" si="1"/>
        <v>-0.11451512547978371</v>
      </c>
      <c r="I55"/>
      <c r="J55" s="100"/>
      <c r="K55" s="100"/>
      <c r="L55" s="100"/>
      <c r="M55" s="100"/>
      <c r="N55" s="100"/>
      <c r="O55" s="100"/>
      <c r="P55" s="100"/>
      <c r="Q55" s="100"/>
      <c r="R55" s="100"/>
      <c r="S55"/>
      <c r="T55" s="205">
        <v>1183.0810550000001</v>
      </c>
      <c r="U55" s="64">
        <f t="shared" si="2"/>
        <v>-0.1094836703264247</v>
      </c>
      <c r="V55"/>
      <c r="W55"/>
      <c r="X55"/>
      <c r="Y55"/>
      <c r="Z55"/>
      <c r="AA55"/>
      <c r="AB55"/>
      <c r="AC55"/>
      <c r="AD55"/>
      <c r="AE55"/>
    </row>
    <row r="56" spans="1:31" s="213" customFormat="1" x14ac:dyDescent="0.25">
      <c r="A56"/>
      <c r="B56" s="202">
        <v>44958</v>
      </c>
      <c r="C56" s="66"/>
      <c r="D56" s="200">
        <v>17303.949218999998</v>
      </c>
      <c r="E56" s="64">
        <f t="shared" si="0"/>
        <v>-2.0280722566065723E-2</v>
      </c>
      <c r="F56" s="64"/>
      <c r="G56" s="200">
        <v>1276.2735600000001</v>
      </c>
      <c r="H56" s="64">
        <f t="shared" si="1"/>
        <v>6.8151447633137296E-2</v>
      </c>
      <c r="I56"/>
      <c r="J56"/>
      <c r="K56"/>
      <c r="L56"/>
      <c r="M56"/>
      <c r="N56"/>
      <c r="O56"/>
      <c r="P56"/>
      <c r="Q56"/>
      <c r="R56"/>
      <c r="S56"/>
      <c r="T56" s="205">
        <v>1195.0946039999999</v>
      </c>
      <c r="U56" s="64">
        <f t="shared" si="2"/>
        <v>1.0154459788894066E-2</v>
      </c>
      <c r="V56"/>
      <c r="W56"/>
      <c r="X56"/>
      <c r="Y56"/>
      <c r="Z56"/>
      <c r="AA56"/>
      <c r="AB56"/>
      <c r="AC56"/>
      <c r="AD56"/>
      <c r="AE56"/>
    </row>
    <row r="57" spans="1:31" s="213" customFormat="1" x14ac:dyDescent="0.25">
      <c r="A57"/>
      <c r="B57" s="202">
        <v>44986</v>
      </c>
      <c r="C57" s="66"/>
      <c r="D57" s="200">
        <v>17359.75</v>
      </c>
      <c r="E57" s="64">
        <f t="shared" si="0"/>
        <v>3.2247425309555044E-3</v>
      </c>
      <c r="F57" s="64"/>
      <c r="G57" s="200">
        <v>1372.9313959999999</v>
      </c>
      <c r="H57" s="64">
        <f t="shared" si="1"/>
        <v>7.5734418567755757E-2</v>
      </c>
      <c r="I57"/>
      <c r="J57"/>
      <c r="K57"/>
      <c r="L57"/>
      <c r="M57"/>
      <c r="N57"/>
      <c r="O57"/>
      <c r="P57"/>
      <c r="Q57"/>
      <c r="R57"/>
      <c r="S57"/>
      <c r="T57" s="205">
        <v>1131.0061040000001</v>
      </c>
      <c r="U57" s="64">
        <f t="shared" si="2"/>
        <v>-5.3626298525233596E-2</v>
      </c>
      <c r="V57"/>
      <c r="W57"/>
      <c r="X57"/>
      <c r="Y57"/>
      <c r="Z57"/>
      <c r="AA57"/>
      <c r="AB57"/>
      <c r="AC57"/>
      <c r="AD57"/>
      <c r="AE57"/>
    </row>
    <row r="58" spans="1:31" s="213" customFormat="1" x14ac:dyDescent="0.25">
      <c r="A58"/>
      <c r="B58" s="202">
        <v>45017</v>
      </c>
      <c r="C58" s="66"/>
      <c r="D58" s="200">
        <v>18065</v>
      </c>
      <c r="E58" s="64">
        <f t="shared" si="0"/>
        <v>4.0625585045867663E-2</v>
      </c>
      <c r="F58" s="64"/>
      <c r="G58" s="200">
        <v>1365.741943</v>
      </c>
      <c r="H58" s="64">
        <f t="shared" si="1"/>
        <v>-5.2365711942681248E-3</v>
      </c>
      <c r="I58"/>
      <c r="J58"/>
      <c r="K58"/>
      <c r="L58"/>
      <c r="M58"/>
      <c r="N58"/>
      <c r="O58"/>
      <c r="P58"/>
      <c r="Q58"/>
      <c r="R58"/>
      <c r="S58"/>
      <c r="T58" s="205">
        <v>1263.055298</v>
      </c>
      <c r="U58" s="64">
        <f t="shared" si="2"/>
        <v>0.11675374123356619</v>
      </c>
      <c r="V58"/>
      <c r="W58"/>
      <c r="X58"/>
      <c r="Y58"/>
      <c r="Z58"/>
      <c r="AA58"/>
      <c r="AB58"/>
      <c r="AC58"/>
      <c r="AD58"/>
      <c r="AE58"/>
    </row>
    <row r="59" spans="1:31" s="213" customFormat="1" x14ac:dyDescent="0.25">
      <c r="A59"/>
      <c r="B59" s="202">
        <v>45047</v>
      </c>
      <c r="C59" s="66"/>
      <c r="D59" s="200">
        <v>18534.400390999999</v>
      </c>
      <c r="E59" s="64">
        <f t="shared" si="0"/>
        <v>2.5983968502629295E-2</v>
      </c>
      <c r="F59" s="64"/>
      <c r="G59" s="200">
        <v>1558.159058</v>
      </c>
      <c r="H59" s="64">
        <f t="shared" si="1"/>
        <v>0.14088833984063998</v>
      </c>
      <c r="I59"/>
      <c r="J59"/>
      <c r="K59"/>
      <c r="L59"/>
      <c r="M59"/>
      <c r="N59"/>
      <c r="O59"/>
      <c r="P59"/>
      <c r="Q59"/>
      <c r="R59"/>
      <c r="S59"/>
      <c r="T59" s="205">
        <v>1278.2955320000001</v>
      </c>
      <c r="U59" s="64">
        <f t="shared" si="2"/>
        <v>1.2066165293105113E-2</v>
      </c>
      <c r="V59"/>
      <c r="W59"/>
      <c r="X59"/>
      <c r="Y59"/>
      <c r="Z59"/>
      <c r="AA59"/>
      <c r="AB59"/>
      <c r="AC59"/>
      <c r="AD59"/>
      <c r="AE59"/>
    </row>
    <row r="60" spans="1:31" s="213" customFormat="1" x14ac:dyDescent="0.25">
      <c r="A60"/>
      <c r="B60" s="202">
        <v>45078</v>
      </c>
      <c r="C60" s="66"/>
      <c r="D60" s="200">
        <v>19189.050781000002</v>
      </c>
      <c r="E60" s="64">
        <f t="shared" si="0"/>
        <v>3.5320829171138879E-2</v>
      </c>
      <c r="F60" s="64"/>
      <c r="G60" s="200">
        <v>1764.150024</v>
      </c>
      <c r="H60" s="64">
        <f t="shared" si="1"/>
        <v>0.13220150083034721</v>
      </c>
      <c r="I60"/>
      <c r="J60"/>
      <c r="K60"/>
      <c r="L60"/>
      <c r="M60"/>
      <c r="N60"/>
      <c r="O60"/>
      <c r="P60"/>
      <c r="Q60"/>
      <c r="R60"/>
      <c r="S60"/>
      <c r="T60" s="205">
        <v>1230.142212</v>
      </c>
      <c r="U60" s="64">
        <f t="shared" si="2"/>
        <v>-3.7669943134871375E-2</v>
      </c>
      <c r="V60"/>
      <c r="W60"/>
      <c r="X60"/>
      <c r="Y60"/>
      <c r="Z60"/>
      <c r="AA60"/>
      <c r="AB60"/>
      <c r="AC60"/>
      <c r="AD60"/>
      <c r="AE60"/>
    </row>
    <row r="61" spans="1:31" s="213" customFormat="1" x14ac:dyDescent="0.25">
      <c r="A61"/>
      <c r="B61" s="202">
        <v>45108</v>
      </c>
      <c r="C61" s="66"/>
      <c r="D61" s="200">
        <v>19753.800781000002</v>
      </c>
      <c r="E61" s="64">
        <f t="shared" si="0"/>
        <v>2.9430846082245221E-2</v>
      </c>
      <c r="F61" s="64"/>
      <c r="G61" s="200">
        <v>1757.099976</v>
      </c>
      <c r="H61" s="64">
        <f t="shared" si="1"/>
        <v>-3.9962859757328717E-3</v>
      </c>
      <c r="I61"/>
      <c r="J61"/>
      <c r="K61"/>
      <c r="L61"/>
      <c r="M61"/>
      <c r="N61"/>
      <c r="O61"/>
      <c r="P61"/>
      <c r="Q61"/>
      <c r="R61"/>
      <c r="S61"/>
      <c r="T61" s="205">
        <v>1256.7010499999999</v>
      </c>
      <c r="U61" s="64">
        <f t="shared" si="2"/>
        <v>2.1590054987886242E-2</v>
      </c>
      <c r="V61"/>
      <c r="W61"/>
      <c r="X61"/>
      <c r="Y61"/>
      <c r="Z61"/>
      <c r="AA61"/>
      <c r="AB61"/>
      <c r="AC61"/>
      <c r="AD61"/>
      <c r="AE61"/>
    </row>
    <row r="62" spans="1:31" s="213" customFormat="1" x14ac:dyDescent="0.25">
      <c r="A62"/>
      <c r="B62" s="202">
        <v>45139</v>
      </c>
      <c r="C62" s="66"/>
      <c r="D62" s="200">
        <v>19253.800781000002</v>
      </c>
      <c r="E62" s="64">
        <f t="shared" si="0"/>
        <v>-2.5311584618233018E-2</v>
      </c>
      <c r="F62" s="64"/>
      <c r="G62" s="200">
        <v>2048.6000979999999</v>
      </c>
      <c r="H62" s="64">
        <f t="shared" si="1"/>
        <v>0.16589842694300949</v>
      </c>
      <c r="I62"/>
      <c r="J62"/>
      <c r="K62"/>
      <c r="L62"/>
      <c r="M62"/>
      <c r="N62"/>
      <c r="O62"/>
      <c r="P62"/>
      <c r="Q62"/>
      <c r="R62"/>
      <c r="S62"/>
      <c r="T62" s="205">
        <v>1251.4388429999999</v>
      </c>
      <c r="U62" s="64">
        <f t="shared" si="2"/>
        <v>-4.1873180578626545E-3</v>
      </c>
      <c r="V62"/>
      <c r="W62"/>
      <c r="X62"/>
      <c r="Y62"/>
      <c r="Z62"/>
      <c r="AA62"/>
      <c r="AB62"/>
      <c r="AC62"/>
      <c r="AD62"/>
      <c r="AE62"/>
    </row>
    <row r="63" spans="1:31" s="213" customFormat="1" x14ac:dyDescent="0.25">
      <c r="A63"/>
      <c r="B63" s="202">
        <v>45170</v>
      </c>
      <c r="C63" s="66"/>
      <c r="D63" s="200">
        <v>19638.300781000002</v>
      </c>
      <c r="E63" s="64">
        <f t="shared" si="0"/>
        <v>1.9970083017553097E-2</v>
      </c>
      <c r="F63" s="64"/>
      <c r="G63" s="200">
        <v>2080.1499020000001</v>
      </c>
      <c r="H63" s="64">
        <f t="shared" si="1"/>
        <v>1.5400665083830534E-2</v>
      </c>
      <c r="I63"/>
      <c r="J63"/>
      <c r="K63"/>
      <c r="L63"/>
      <c r="M63"/>
      <c r="N63"/>
      <c r="O63"/>
      <c r="P63"/>
      <c r="Q63"/>
      <c r="R63"/>
      <c r="S63"/>
      <c r="T63" s="205">
        <v>1338.5500489999999</v>
      </c>
      <c r="U63" s="64">
        <f t="shared" si="2"/>
        <v>6.9608839846439174E-2</v>
      </c>
      <c r="V63"/>
      <c r="W63"/>
      <c r="X63"/>
      <c r="Y63"/>
      <c r="Z63"/>
      <c r="AA63"/>
      <c r="AB63"/>
      <c r="AC63"/>
      <c r="AD63"/>
      <c r="AE63"/>
    </row>
    <row r="64" spans="1:31" s="213" customFormat="1" x14ac:dyDescent="0.25">
      <c r="A64"/>
      <c r="B64" s="202">
        <v>45200</v>
      </c>
      <c r="C64" s="66"/>
      <c r="D64" s="200">
        <v>19079.599609000001</v>
      </c>
      <c r="E64" s="64">
        <f t="shared" si="0"/>
        <v>-2.8449567924967445E-2</v>
      </c>
      <c r="F64" s="64"/>
      <c r="G64" s="200">
        <v>2154.6999510000001</v>
      </c>
      <c r="H64" s="64">
        <f t="shared" si="1"/>
        <v>3.5838786872197215E-2</v>
      </c>
      <c r="I64"/>
      <c r="J64"/>
      <c r="K64"/>
      <c r="L64"/>
      <c r="M64"/>
      <c r="N64"/>
      <c r="O64"/>
      <c r="P64"/>
      <c r="Q64"/>
      <c r="R64"/>
      <c r="S64"/>
      <c r="T64" s="205">
        <v>1292.150024</v>
      </c>
      <c r="U64" s="64">
        <f t="shared" si="2"/>
        <v>-3.4664393038321029E-2</v>
      </c>
      <c r="V64"/>
      <c r="W64"/>
      <c r="X64"/>
      <c r="Y64"/>
      <c r="Z64"/>
      <c r="AA64"/>
      <c r="AB64"/>
      <c r="AC64"/>
      <c r="AD64"/>
      <c r="AE64"/>
    </row>
    <row r="65" spans="1:31" s="213" customFormat="1" x14ac:dyDescent="0.25">
      <c r="A65"/>
      <c r="B65" s="202">
        <v>45231</v>
      </c>
      <c r="C65" s="66"/>
      <c r="D65" s="200">
        <v>20133.150390999999</v>
      </c>
      <c r="E65" s="64">
        <f t="shared" si="0"/>
        <v>5.5218704982835654E-2</v>
      </c>
      <c r="F65" s="64"/>
      <c r="G65" s="200">
        <v>2787</v>
      </c>
      <c r="H65" s="64">
        <f t="shared" si="1"/>
        <v>0.29345155398854872</v>
      </c>
      <c r="I65"/>
      <c r="J65"/>
      <c r="K65"/>
      <c r="L65"/>
      <c r="M65"/>
      <c r="N65"/>
      <c r="O65"/>
      <c r="P65"/>
      <c r="Q65"/>
      <c r="R65"/>
      <c r="S65"/>
      <c r="T65" s="205">
        <v>1370.4499510000001</v>
      </c>
      <c r="U65" s="64">
        <f t="shared" si="2"/>
        <v>6.059662233152574E-2</v>
      </c>
      <c r="V65"/>
      <c r="W65"/>
      <c r="X65"/>
      <c r="Y65"/>
      <c r="Z65"/>
      <c r="AA65"/>
      <c r="AB65"/>
      <c r="AC65"/>
      <c r="AD65"/>
      <c r="AE65"/>
    </row>
    <row r="66" spans="1:31" s="213" customFormat="1" x14ac:dyDescent="0.25">
      <c r="A66"/>
      <c r="B66" s="202">
        <v>45261</v>
      </c>
      <c r="C66" s="66"/>
      <c r="D66" s="200">
        <v>21731.400390999999</v>
      </c>
      <c r="E66" s="64">
        <f t="shared" si="0"/>
        <v>7.9383999471560829E-2</v>
      </c>
      <c r="F66" s="64"/>
      <c r="G66" s="200">
        <v>3054.9499510000001</v>
      </c>
      <c r="H66" s="64">
        <f t="shared" si="1"/>
        <v>9.6142788302834514E-2</v>
      </c>
      <c r="I66"/>
      <c r="J66"/>
      <c r="K66"/>
      <c r="L66"/>
      <c r="M66"/>
      <c r="N66"/>
      <c r="O66"/>
      <c r="P66"/>
      <c r="Q66"/>
      <c r="R66"/>
      <c r="S66"/>
      <c r="T66" s="205">
        <v>1267.900024</v>
      </c>
      <c r="U66" s="64">
        <f t="shared" si="2"/>
        <v>-7.4829384995176662E-2</v>
      </c>
      <c r="V66"/>
      <c r="W66"/>
      <c r="X66"/>
      <c r="Y66"/>
      <c r="Z66"/>
      <c r="AA66"/>
      <c r="AB66"/>
      <c r="AC66"/>
      <c r="AD66"/>
      <c r="AE66"/>
    </row>
    <row r="67" spans="1:31" s="213" customFormat="1" x14ac:dyDescent="0.25">
      <c r="A67"/>
      <c r="B67" s="202">
        <v>45292</v>
      </c>
      <c r="C67" s="66"/>
      <c r="D67" s="200">
        <v>21725.699218999998</v>
      </c>
      <c r="E67" s="64">
        <f t="shared" si="0"/>
        <v>-2.6234719794504535E-4</v>
      </c>
      <c r="F67" s="64"/>
      <c r="G67" s="200">
        <v>3086.9499510000001</v>
      </c>
      <c r="H67" s="64">
        <f t="shared" si="1"/>
        <v>1.0474803356279372E-2</v>
      </c>
      <c r="I67"/>
      <c r="J67"/>
      <c r="K67"/>
      <c r="L67"/>
      <c r="M67"/>
      <c r="N67"/>
      <c r="O67"/>
      <c r="P67"/>
      <c r="Q67"/>
      <c r="R67"/>
      <c r="S67"/>
      <c r="T67" s="205">
        <v>1003.5</v>
      </c>
      <c r="U67" s="64">
        <f t="shared" si="2"/>
        <v>-0.20853381102231139</v>
      </c>
      <c r="V67"/>
      <c r="W67"/>
      <c r="X67"/>
      <c r="Y67"/>
      <c r="Z67"/>
      <c r="AA67"/>
      <c r="AB67"/>
      <c r="AC67"/>
      <c r="AD67"/>
      <c r="AE67"/>
    </row>
    <row r="68" spans="1:31" s="213" customFormat="1" x14ac:dyDescent="0.25">
      <c r="A68"/>
      <c r="B68" s="202">
        <v>45323</v>
      </c>
      <c r="C68" s="66"/>
      <c r="D68" s="200">
        <v>21930.5</v>
      </c>
      <c r="E68" s="64">
        <f t="shared" si="0"/>
        <v>9.4266600552443958E-3</v>
      </c>
      <c r="F68" s="64"/>
      <c r="G68" s="200">
        <v>3952.6499020000001</v>
      </c>
      <c r="H68" s="64">
        <f t="shared" si="1"/>
        <v>0.28043860922317876</v>
      </c>
      <c r="I68"/>
      <c r="J68"/>
      <c r="K68"/>
      <c r="L68"/>
      <c r="M68"/>
      <c r="N68"/>
      <c r="O68"/>
      <c r="P68"/>
      <c r="Q68"/>
      <c r="R68"/>
      <c r="S68"/>
      <c r="T68" s="205">
        <v>961.54998799999998</v>
      </c>
      <c r="U68" s="64">
        <f t="shared" si="2"/>
        <v>-4.1803699053313381E-2</v>
      </c>
      <c r="V68"/>
      <c r="W68"/>
      <c r="X68"/>
      <c r="Y68"/>
      <c r="Z68"/>
      <c r="AA68"/>
      <c r="AB68"/>
      <c r="AC68"/>
      <c r="AD68"/>
      <c r="AE68"/>
    </row>
  </sheetData>
  <mergeCells count="6">
    <mergeCell ref="W6:X6"/>
    <mergeCell ref="B4:E4"/>
    <mergeCell ref="D6:E6"/>
    <mergeCell ref="G6:H6"/>
    <mergeCell ref="J6:K6"/>
    <mergeCell ref="T6:U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8CB4-CD70-4F37-BA89-65B0DB4189AD}">
  <dimension ref="B2:Q41"/>
  <sheetViews>
    <sheetView showGridLines="0" workbookViewId="0">
      <selection activeCell="E5" sqref="E5"/>
    </sheetView>
  </sheetViews>
  <sheetFormatPr defaultRowHeight="15" x14ac:dyDescent="0.25"/>
  <cols>
    <col min="1" max="1" width="1.85546875" customWidth="1"/>
    <col min="2" max="2" width="5.7109375" bestFit="1" customWidth="1"/>
    <col min="3" max="3" width="16.85546875" bestFit="1" customWidth="1"/>
    <col min="4" max="4" width="9" bestFit="1" customWidth="1"/>
    <col min="5" max="5" width="16.5703125" bestFit="1" customWidth="1"/>
    <col min="6" max="6" width="10.7109375" bestFit="1" customWidth="1"/>
    <col min="7" max="7" width="14.42578125" bestFit="1" customWidth="1"/>
    <col min="8" max="8" width="10" bestFit="1" customWidth="1"/>
    <col min="9" max="9" width="11" bestFit="1" customWidth="1"/>
    <col min="10" max="10" width="13.28515625" bestFit="1" customWidth="1"/>
    <col min="11" max="11" width="14.140625" bestFit="1" customWidth="1"/>
    <col min="12" max="12" width="15.5703125" bestFit="1" customWidth="1"/>
    <col min="13" max="13" width="11.28515625" bestFit="1" customWidth="1"/>
    <col min="14" max="14" width="9.5703125" bestFit="1" customWidth="1"/>
    <col min="16" max="16" width="14.140625" bestFit="1" customWidth="1"/>
  </cols>
  <sheetData>
    <row r="2" spans="2:17" x14ac:dyDescent="0.25">
      <c r="B2" s="225" t="str">
        <f>'Data Sheet'!B1&amp;" - "&amp; "Peer Comparison"</f>
        <v>AVENUE SUPERMARTS LTD - Peer Comparison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</row>
    <row r="4" spans="2:17" x14ac:dyDescent="0.25">
      <c r="B4" s="166" t="s">
        <v>240</v>
      </c>
      <c r="C4" s="166" t="s">
        <v>241</v>
      </c>
      <c r="D4" s="166" t="s">
        <v>242</v>
      </c>
      <c r="E4" s="166" t="s">
        <v>378</v>
      </c>
      <c r="F4" s="166" t="s">
        <v>244</v>
      </c>
      <c r="G4" s="166" t="s">
        <v>245</v>
      </c>
      <c r="I4" s="166" t="s">
        <v>252</v>
      </c>
      <c r="J4" s="166" t="s">
        <v>135</v>
      </c>
    </row>
    <row r="5" spans="2:17" x14ac:dyDescent="0.25">
      <c r="B5" s="166">
        <v>1</v>
      </c>
      <c r="C5" s="166" t="s">
        <v>388</v>
      </c>
      <c r="D5" s="166">
        <v>3678.3</v>
      </c>
      <c r="E5" s="166">
        <v>239346.981</v>
      </c>
      <c r="F5" s="166">
        <v>630.38</v>
      </c>
      <c r="G5" s="166">
        <v>0.04</v>
      </c>
      <c r="I5" s="206">
        <v>67</v>
      </c>
      <c r="J5" s="14">
        <f>I5/F6</f>
        <v>1.3844891751544118E-2</v>
      </c>
    </row>
    <row r="6" spans="2:17" x14ac:dyDescent="0.25">
      <c r="B6" s="166">
        <v>2</v>
      </c>
      <c r="C6" s="166" t="s">
        <v>389</v>
      </c>
      <c r="D6" s="166">
        <v>3973.85</v>
      </c>
      <c r="E6" s="166">
        <v>141270.36749999999</v>
      </c>
      <c r="F6" s="166">
        <v>4839.33</v>
      </c>
      <c r="G6" s="166">
        <v>1.66</v>
      </c>
      <c r="I6" s="72"/>
    </row>
    <row r="7" spans="2:17" x14ac:dyDescent="0.25">
      <c r="B7" s="166">
        <v>3</v>
      </c>
      <c r="C7" s="166" t="s">
        <v>390</v>
      </c>
      <c r="D7" s="166">
        <v>982.3</v>
      </c>
      <c r="E7" s="166">
        <v>23850.243999999999</v>
      </c>
      <c r="F7" s="166">
        <v>365.02</v>
      </c>
      <c r="G7" s="166">
        <v>0.27</v>
      </c>
    </row>
    <row r="8" spans="2:17" x14ac:dyDescent="0.25">
      <c r="B8" s="166">
        <v>4</v>
      </c>
      <c r="C8" s="166" t="s">
        <v>391</v>
      </c>
      <c r="D8" s="166">
        <v>650.1</v>
      </c>
      <c r="E8" s="166">
        <v>8984.3819999999996</v>
      </c>
      <c r="F8" s="166">
        <v>470.82</v>
      </c>
      <c r="G8" s="166">
        <v>0.85</v>
      </c>
    </row>
    <row r="9" spans="2:17" x14ac:dyDescent="0.25">
      <c r="B9" s="166">
        <v>5</v>
      </c>
      <c r="C9" s="166" t="s">
        <v>392</v>
      </c>
      <c r="D9" s="166">
        <v>214.95</v>
      </c>
      <c r="E9" s="166">
        <v>8269.1264999999985</v>
      </c>
      <c r="F9" s="166">
        <v>1104.26</v>
      </c>
      <c r="G9" s="166">
        <v>0.86</v>
      </c>
    </row>
    <row r="10" spans="2:17" x14ac:dyDescent="0.25">
      <c r="B10" s="166">
        <v>6</v>
      </c>
      <c r="C10" s="166" t="s">
        <v>393</v>
      </c>
      <c r="D10" s="166">
        <v>660.7</v>
      </c>
      <c r="E10" s="166">
        <v>7895.3649999999998</v>
      </c>
      <c r="F10" s="166">
        <v>958.08</v>
      </c>
      <c r="G10" s="166">
        <v>0.63</v>
      </c>
    </row>
    <row r="11" spans="2:17" x14ac:dyDescent="0.25">
      <c r="B11" s="166">
        <v>7</v>
      </c>
      <c r="C11" s="166" t="s">
        <v>394</v>
      </c>
      <c r="D11" s="166">
        <v>2426.6</v>
      </c>
      <c r="E11" s="166">
        <v>5653.9780000000001</v>
      </c>
      <c r="F11" s="166">
        <v>140.91</v>
      </c>
      <c r="G11" s="166">
        <v>0.21</v>
      </c>
    </row>
    <row r="12" spans="2:17" x14ac:dyDescent="0.25">
      <c r="B12" s="166"/>
      <c r="C12" s="166"/>
      <c r="D12" s="166"/>
      <c r="E12" s="166"/>
      <c r="F12" s="166"/>
      <c r="G12" s="166"/>
    </row>
    <row r="14" spans="2:17" x14ac:dyDescent="0.25">
      <c r="B14" s="225" t="str">
        <f>'Data Sheet'!B1&amp;" - "&amp; "PEER VALUATION"</f>
        <v>AVENUE SUPERMARTS LTD - PEER VALUATION</v>
      </c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</row>
    <row r="16" spans="2:17" x14ac:dyDescent="0.25">
      <c r="B16" s="166" t="s">
        <v>240</v>
      </c>
      <c r="C16" s="166" t="s">
        <v>241</v>
      </c>
      <c r="D16" s="207" t="s">
        <v>242</v>
      </c>
      <c r="E16" s="207" t="s">
        <v>340</v>
      </c>
      <c r="F16" s="215" t="s">
        <v>345</v>
      </c>
      <c r="G16" s="207" t="s">
        <v>244</v>
      </c>
      <c r="H16" s="207" t="s">
        <v>341</v>
      </c>
      <c r="I16" s="215" t="s">
        <v>334</v>
      </c>
      <c r="J16" s="207" t="s">
        <v>342</v>
      </c>
      <c r="K16" s="207" t="s">
        <v>343</v>
      </c>
      <c r="L16" s="207" t="s">
        <v>344</v>
      </c>
      <c r="M16" s="207" t="s">
        <v>346</v>
      </c>
      <c r="N16" s="215" t="s">
        <v>13</v>
      </c>
      <c r="O16" s="207" t="s">
        <v>347</v>
      </c>
      <c r="P16" s="207" t="s">
        <v>243</v>
      </c>
      <c r="Q16" s="215" t="s">
        <v>333</v>
      </c>
    </row>
    <row r="17" spans="2:17" x14ac:dyDescent="0.25">
      <c r="B17" s="166">
        <v>1</v>
      </c>
      <c r="C17" s="166" t="s">
        <v>388</v>
      </c>
      <c r="D17" s="207">
        <v>3678.3</v>
      </c>
      <c r="E17" s="207">
        <v>65.069999999999993</v>
      </c>
      <c r="F17" s="72">
        <f>E17*D17</f>
        <v>239346.981</v>
      </c>
      <c r="G17" s="207">
        <v>630.38</v>
      </c>
      <c r="H17" s="207">
        <v>1408.33</v>
      </c>
      <c r="I17" s="72">
        <f t="shared" ref="I17:I23" si="0">F17+G17-H17</f>
        <v>238569.03100000002</v>
      </c>
      <c r="J17" s="207">
        <v>239083.5</v>
      </c>
      <c r="K17" s="207">
        <v>48656.39</v>
      </c>
      <c r="L17" s="207">
        <v>2432.5700000000002</v>
      </c>
      <c r="M17" s="207">
        <v>4073.29</v>
      </c>
      <c r="N17" s="72">
        <f t="shared" ref="N17:N23" si="1">J17/O17</f>
        <v>4072.9727427597954</v>
      </c>
      <c r="O17" s="207">
        <v>58.7</v>
      </c>
      <c r="P17" s="207">
        <v>239359.14</v>
      </c>
      <c r="Q17" s="72">
        <f t="shared" ref="Q17:Q23" si="2">G17-H17</f>
        <v>-777.94999999999993</v>
      </c>
    </row>
    <row r="18" spans="2:17" x14ac:dyDescent="0.25">
      <c r="B18" s="166">
        <v>2</v>
      </c>
      <c r="C18" s="166" t="s">
        <v>389</v>
      </c>
      <c r="D18" s="207">
        <v>3973.85</v>
      </c>
      <c r="E18" s="207">
        <v>35.549999999999997</v>
      </c>
      <c r="F18" s="72">
        <f>E18*D18</f>
        <v>141270.36749999999</v>
      </c>
      <c r="G18" s="207">
        <v>4839.33</v>
      </c>
      <c r="H18" s="207">
        <v>86.3</v>
      </c>
      <c r="I18" s="72">
        <f t="shared" si="0"/>
        <v>146023.39749999999</v>
      </c>
      <c r="J18" s="207">
        <v>145953.26</v>
      </c>
      <c r="K18" s="207">
        <v>11260.16</v>
      </c>
      <c r="L18" s="207">
        <v>810.32</v>
      </c>
      <c r="M18" s="207">
        <v>2041.46</v>
      </c>
      <c r="N18" s="72">
        <f t="shared" si="1"/>
        <v>2041.5898727094702</v>
      </c>
      <c r="O18" s="207">
        <v>71.489999999999995</v>
      </c>
      <c r="P18" s="207">
        <v>141265.39000000001</v>
      </c>
      <c r="Q18" s="72">
        <f t="shared" si="2"/>
        <v>4753.03</v>
      </c>
    </row>
    <row r="19" spans="2:17" x14ac:dyDescent="0.25">
      <c r="B19" s="166">
        <v>3</v>
      </c>
      <c r="C19" s="166" t="s">
        <v>390</v>
      </c>
      <c r="D19" s="207">
        <v>982.3</v>
      </c>
      <c r="E19" s="207">
        <v>24.28</v>
      </c>
      <c r="F19" s="72">
        <f t="shared" ref="F19:F23" si="3">E19*D19</f>
        <v>23850.243999999999</v>
      </c>
      <c r="G19" s="207">
        <v>365.02</v>
      </c>
      <c r="H19" s="207">
        <v>10.01</v>
      </c>
      <c r="I19" s="72">
        <f t="shared" si="0"/>
        <v>24205.254000000001</v>
      </c>
      <c r="J19" s="207">
        <v>24210.99</v>
      </c>
      <c r="K19" s="207">
        <v>1346.01</v>
      </c>
      <c r="L19" s="207">
        <v>407.25</v>
      </c>
      <c r="M19" s="207">
        <v>709.91</v>
      </c>
      <c r="N19" s="72">
        <f t="shared" si="1"/>
        <v>709.99970674486804</v>
      </c>
      <c r="O19" s="207">
        <v>34.1</v>
      </c>
      <c r="P19" s="207">
        <v>23853.29</v>
      </c>
      <c r="Q19" s="72">
        <f t="shared" si="2"/>
        <v>355.01</v>
      </c>
    </row>
    <row r="20" spans="2:17" x14ac:dyDescent="0.25">
      <c r="B20" s="166">
        <v>4</v>
      </c>
      <c r="C20" s="166" t="s">
        <v>391</v>
      </c>
      <c r="D20" s="207">
        <v>650.1</v>
      </c>
      <c r="E20" s="207">
        <v>13.82</v>
      </c>
      <c r="F20" s="72">
        <f t="shared" si="3"/>
        <v>8984.3819999999996</v>
      </c>
      <c r="G20" s="207">
        <v>470.82</v>
      </c>
      <c r="H20" s="207">
        <v>26.18</v>
      </c>
      <c r="I20" s="72">
        <f t="shared" si="0"/>
        <v>9429.021999999999</v>
      </c>
      <c r="J20" s="207">
        <v>9429.8799999999992</v>
      </c>
      <c r="K20" s="207">
        <v>1714.85</v>
      </c>
      <c r="L20" s="207">
        <v>169.84</v>
      </c>
      <c r="M20" s="207">
        <v>311.39999999999998</v>
      </c>
      <c r="N20" s="72">
        <f t="shared" si="1"/>
        <v>311.42272126816374</v>
      </c>
      <c r="O20" s="207">
        <v>30.28</v>
      </c>
      <c r="P20" s="207">
        <v>8984.5300000000007</v>
      </c>
      <c r="Q20" s="72">
        <f t="shared" si="2"/>
        <v>444.64</v>
      </c>
    </row>
    <row r="21" spans="2:17" x14ac:dyDescent="0.25">
      <c r="B21" s="166">
        <v>5</v>
      </c>
      <c r="C21" s="166" t="s">
        <v>392</v>
      </c>
      <c r="D21" s="207">
        <v>214.95</v>
      </c>
      <c r="E21" s="207">
        <v>38.47</v>
      </c>
      <c r="F21" s="72">
        <f t="shared" si="3"/>
        <v>8269.1264999999985</v>
      </c>
      <c r="G21" s="207">
        <v>1104.26</v>
      </c>
      <c r="H21" s="207">
        <v>203.16</v>
      </c>
      <c r="I21" s="72">
        <f t="shared" si="0"/>
        <v>9170.2264999999989</v>
      </c>
      <c r="J21" s="207">
        <v>9322.7800000000007</v>
      </c>
      <c r="K21" s="207">
        <v>6118.8</v>
      </c>
      <c r="L21" s="207">
        <v>179.52</v>
      </c>
      <c r="M21" s="207">
        <v>445.32</v>
      </c>
      <c r="N21" s="72">
        <f t="shared" si="1"/>
        <v>445.21394460362944</v>
      </c>
      <c r="O21" s="207">
        <v>20.94</v>
      </c>
      <c r="P21" s="207">
        <v>8270.18</v>
      </c>
      <c r="Q21" s="72">
        <f t="shared" si="2"/>
        <v>901.1</v>
      </c>
    </row>
    <row r="22" spans="2:17" x14ac:dyDescent="0.25">
      <c r="B22" s="166">
        <v>6</v>
      </c>
      <c r="C22" s="166" t="s">
        <v>393</v>
      </c>
      <c r="D22" s="207">
        <v>660.7</v>
      </c>
      <c r="E22" s="207">
        <v>11.95</v>
      </c>
      <c r="F22" s="72">
        <f t="shared" si="3"/>
        <v>7895.3649999999998</v>
      </c>
      <c r="G22" s="207">
        <v>958.08</v>
      </c>
      <c r="H22" s="207">
        <v>283.83999999999997</v>
      </c>
      <c r="I22" s="72">
        <f t="shared" si="0"/>
        <v>8569.6049999999996</v>
      </c>
      <c r="J22" s="207">
        <v>8659.8700000000008</v>
      </c>
      <c r="K22" s="207">
        <v>5387.34</v>
      </c>
      <c r="L22" s="207">
        <v>58.58</v>
      </c>
      <c r="M22" s="207">
        <v>373.09</v>
      </c>
      <c r="N22" s="72">
        <f t="shared" si="1"/>
        <v>373.10943558810857</v>
      </c>
      <c r="O22" s="207">
        <v>23.21</v>
      </c>
      <c r="P22" s="207">
        <v>7897.81</v>
      </c>
      <c r="Q22" s="72">
        <f t="shared" si="2"/>
        <v>674.24</v>
      </c>
    </row>
    <row r="23" spans="2:17" x14ac:dyDescent="0.25">
      <c r="B23" s="166">
        <v>7</v>
      </c>
      <c r="C23" s="166" t="s">
        <v>394</v>
      </c>
      <c r="D23" s="207">
        <v>2426.6</v>
      </c>
      <c r="E23" s="207">
        <v>2.33</v>
      </c>
      <c r="F23" s="72">
        <f t="shared" si="3"/>
        <v>5653.9780000000001</v>
      </c>
      <c r="G23" s="207">
        <v>140.91</v>
      </c>
      <c r="H23" s="207">
        <v>224.69</v>
      </c>
      <c r="I23" s="72">
        <f t="shared" si="0"/>
        <v>5570.1980000000003</v>
      </c>
      <c r="J23" s="207">
        <v>5637.12</v>
      </c>
      <c r="K23" s="207">
        <v>952.98</v>
      </c>
      <c r="L23" s="207">
        <v>75.34</v>
      </c>
      <c r="M23" s="207">
        <v>161.06</v>
      </c>
      <c r="N23" s="72">
        <f t="shared" si="1"/>
        <v>161.06057142857142</v>
      </c>
      <c r="O23" s="207">
        <v>35</v>
      </c>
      <c r="P23" s="207">
        <v>5665.93</v>
      </c>
      <c r="Q23" s="72">
        <f t="shared" si="2"/>
        <v>-83.78</v>
      </c>
    </row>
    <row r="24" spans="2:17" x14ac:dyDescent="0.25">
      <c r="B24" s="166"/>
      <c r="C24" s="166"/>
      <c r="D24" s="207"/>
      <c r="E24" s="207"/>
      <c r="F24" s="72"/>
      <c r="G24" s="207"/>
      <c r="H24" s="207"/>
      <c r="I24" s="72"/>
      <c r="J24" s="207"/>
      <c r="K24" s="207"/>
      <c r="L24" s="207"/>
      <c r="M24" s="207"/>
      <c r="N24" s="72"/>
      <c r="O24" s="207"/>
      <c r="P24" s="207"/>
      <c r="Q24" s="72"/>
    </row>
    <row r="26" spans="2:17" x14ac:dyDescent="0.25">
      <c r="B26" t="s">
        <v>240</v>
      </c>
      <c r="C26" t="s">
        <v>241</v>
      </c>
      <c r="D26" t="s">
        <v>242</v>
      </c>
      <c r="E26" t="s">
        <v>340</v>
      </c>
      <c r="F26" t="s">
        <v>244</v>
      </c>
      <c r="G26" t="s">
        <v>341</v>
      </c>
      <c r="H26" t="s">
        <v>342</v>
      </c>
      <c r="I26" t="s">
        <v>343</v>
      </c>
      <c r="J26" t="s">
        <v>344</v>
      </c>
      <c r="K26" t="s">
        <v>346</v>
      </c>
      <c r="L26" t="s">
        <v>347</v>
      </c>
      <c r="M26" t="s">
        <v>378</v>
      </c>
      <c r="N26" t="s">
        <v>245</v>
      </c>
    </row>
    <row r="27" spans="2:17" x14ac:dyDescent="0.25">
      <c r="B27">
        <v>1</v>
      </c>
      <c r="C27" t="s">
        <v>388</v>
      </c>
      <c r="D27" s="72">
        <v>3678.3</v>
      </c>
      <c r="E27" s="72">
        <v>65.069999999999993</v>
      </c>
      <c r="F27" s="72">
        <v>630.38</v>
      </c>
      <c r="G27" s="72">
        <v>1408.33</v>
      </c>
      <c r="H27" s="72">
        <v>239083.5</v>
      </c>
      <c r="I27" s="72">
        <v>48656.39</v>
      </c>
      <c r="J27" s="72">
        <v>2432.5700000000002</v>
      </c>
      <c r="K27" s="72">
        <v>4073.29</v>
      </c>
      <c r="L27" s="72">
        <v>58.7</v>
      </c>
      <c r="M27" s="72">
        <v>239359.14</v>
      </c>
      <c r="N27" s="72">
        <v>0.04</v>
      </c>
      <c r="O27" s="72"/>
      <c r="P27" s="72"/>
    </row>
    <row r="28" spans="2:17" x14ac:dyDescent="0.25">
      <c r="B28">
        <v>2</v>
      </c>
      <c r="C28" t="s">
        <v>389</v>
      </c>
      <c r="D28" s="72">
        <v>3973.85</v>
      </c>
      <c r="E28" s="72">
        <v>35.549999999999997</v>
      </c>
      <c r="F28" s="72">
        <v>4839.33</v>
      </c>
      <c r="G28" s="72">
        <v>86.3</v>
      </c>
      <c r="H28" s="72">
        <v>145953.26</v>
      </c>
      <c r="I28" s="72">
        <v>11260.16</v>
      </c>
      <c r="J28" s="72">
        <v>810.32</v>
      </c>
      <c r="K28" s="72">
        <v>2041.46</v>
      </c>
      <c r="L28" s="72">
        <v>71.489999999999995</v>
      </c>
      <c r="M28" s="72">
        <v>141265.39000000001</v>
      </c>
      <c r="N28" s="72">
        <v>1.66</v>
      </c>
      <c r="O28" s="72"/>
      <c r="P28" s="72"/>
    </row>
    <row r="29" spans="2:17" x14ac:dyDescent="0.25">
      <c r="B29">
        <v>3</v>
      </c>
      <c r="C29" t="s">
        <v>390</v>
      </c>
      <c r="D29" s="72">
        <v>982.3</v>
      </c>
      <c r="E29" s="72">
        <v>24.28</v>
      </c>
      <c r="F29" s="72">
        <v>365.02</v>
      </c>
      <c r="G29" s="72">
        <v>10.01</v>
      </c>
      <c r="H29" s="72">
        <v>24210.99</v>
      </c>
      <c r="I29" s="72">
        <v>1346.01</v>
      </c>
      <c r="J29" s="72">
        <v>407.25</v>
      </c>
      <c r="K29" s="72">
        <v>709.91</v>
      </c>
      <c r="L29" s="72">
        <v>34.1</v>
      </c>
      <c r="M29" s="72">
        <v>23853.29</v>
      </c>
      <c r="N29" s="72">
        <v>0.27</v>
      </c>
      <c r="O29" s="72"/>
      <c r="P29" s="72"/>
    </row>
    <row r="30" spans="2:17" x14ac:dyDescent="0.25">
      <c r="B30">
        <v>4</v>
      </c>
      <c r="C30" t="s">
        <v>391</v>
      </c>
      <c r="D30" s="72">
        <v>650.1</v>
      </c>
      <c r="E30" s="72">
        <v>13.82</v>
      </c>
      <c r="F30" s="72">
        <v>470.82</v>
      </c>
      <c r="G30" s="72">
        <v>26.18</v>
      </c>
      <c r="H30" s="72">
        <v>9429.8799999999992</v>
      </c>
      <c r="I30" s="72">
        <v>1714.85</v>
      </c>
      <c r="J30" s="72">
        <v>169.84</v>
      </c>
      <c r="K30" s="72">
        <v>311.39999999999998</v>
      </c>
      <c r="L30" s="72">
        <v>30.28</v>
      </c>
      <c r="M30" s="72">
        <v>8984.5300000000007</v>
      </c>
      <c r="N30" s="72">
        <v>0.85</v>
      </c>
      <c r="O30" s="72"/>
      <c r="P30" s="72"/>
    </row>
    <row r="31" spans="2:17" x14ac:dyDescent="0.25">
      <c r="B31" s="166">
        <v>5</v>
      </c>
      <c r="C31" s="166" t="s">
        <v>392</v>
      </c>
      <c r="D31" s="207">
        <v>214.95</v>
      </c>
      <c r="E31" s="207">
        <v>38.47</v>
      </c>
      <c r="F31" s="72">
        <v>1104.26</v>
      </c>
      <c r="G31" s="207">
        <v>203.16</v>
      </c>
      <c r="H31" s="207">
        <v>9322.7800000000007</v>
      </c>
      <c r="I31" s="72">
        <v>6118.8</v>
      </c>
      <c r="J31" s="207">
        <v>179.52</v>
      </c>
      <c r="K31" s="207">
        <v>445.32</v>
      </c>
      <c r="L31" s="207">
        <v>20.94</v>
      </c>
      <c r="M31" s="207">
        <v>8270.18</v>
      </c>
      <c r="N31" s="72">
        <v>0.86</v>
      </c>
      <c r="O31" s="207"/>
      <c r="P31" s="207"/>
    </row>
    <row r="32" spans="2:17" x14ac:dyDescent="0.25">
      <c r="B32" s="166">
        <v>6</v>
      </c>
      <c r="C32" s="166" t="s">
        <v>393</v>
      </c>
      <c r="D32" s="207">
        <v>660.7</v>
      </c>
      <c r="E32" s="207">
        <v>11.95</v>
      </c>
      <c r="F32" s="72">
        <v>958.08</v>
      </c>
      <c r="G32" s="207">
        <v>283.83999999999997</v>
      </c>
      <c r="H32" s="207">
        <v>8659.8700000000008</v>
      </c>
      <c r="I32" s="72">
        <v>5387.34</v>
      </c>
      <c r="J32" s="207">
        <v>58.58</v>
      </c>
      <c r="K32" s="207">
        <v>373.09</v>
      </c>
      <c r="L32" s="207">
        <v>23.21</v>
      </c>
      <c r="M32" s="207">
        <v>7897.81</v>
      </c>
      <c r="N32" s="72">
        <v>0.63</v>
      </c>
      <c r="O32" s="207"/>
      <c r="P32" s="207"/>
    </row>
    <row r="33" spans="2:16" x14ac:dyDescent="0.25">
      <c r="B33" s="166">
        <v>7</v>
      </c>
      <c r="C33" s="166" t="s">
        <v>394</v>
      </c>
      <c r="D33" s="207">
        <v>2426.6</v>
      </c>
      <c r="E33" s="207">
        <v>2.33</v>
      </c>
      <c r="F33" s="72">
        <v>140.91</v>
      </c>
      <c r="G33" s="207">
        <v>224.69</v>
      </c>
      <c r="H33" s="207">
        <v>5637.12</v>
      </c>
      <c r="I33" s="72">
        <v>952.98</v>
      </c>
      <c r="J33" s="207">
        <v>75.34</v>
      </c>
      <c r="K33" s="207">
        <v>161.06</v>
      </c>
      <c r="L33" s="207">
        <v>35</v>
      </c>
      <c r="M33" s="207">
        <v>5665.93</v>
      </c>
      <c r="N33" s="72">
        <v>0.21</v>
      </c>
      <c r="O33" s="207"/>
      <c r="P33" s="207"/>
    </row>
    <row r="34" spans="2:16" x14ac:dyDescent="0.25">
      <c r="B34" s="166"/>
      <c r="C34" s="166"/>
      <c r="D34" s="207"/>
      <c r="E34" s="207"/>
      <c r="F34" s="72"/>
      <c r="G34" s="207"/>
      <c r="H34" s="207"/>
      <c r="I34" s="72"/>
      <c r="J34" s="207"/>
      <c r="K34" s="207"/>
      <c r="L34" s="207"/>
      <c r="M34" s="207"/>
      <c r="N34" s="72"/>
      <c r="O34" s="207"/>
      <c r="P34" s="207"/>
    </row>
    <row r="35" spans="2:16" x14ac:dyDescent="0.25">
      <c r="B35" s="166"/>
      <c r="C35" s="166"/>
      <c r="D35" s="207"/>
      <c r="E35" s="207"/>
      <c r="F35" s="72"/>
      <c r="G35" s="207"/>
      <c r="H35" s="207"/>
      <c r="I35" s="72"/>
      <c r="J35" s="207"/>
      <c r="K35" s="207"/>
      <c r="L35" s="207"/>
      <c r="M35" s="207"/>
      <c r="N35" s="72"/>
      <c r="O35" s="207"/>
      <c r="P35" s="207"/>
    </row>
    <row r="36" spans="2:16" x14ac:dyDescent="0.25">
      <c r="B36" s="166"/>
      <c r="C36" s="166"/>
      <c r="D36" s="207"/>
      <c r="E36" s="207"/>
      <c r="F36" s="72"/>
      <c r="G36" s="207"/>
      <c r="H36" s="207"/>
      <c r="I36" s="72"/>
      <c r="J36" s="207"/>
      <c r="K36" s="207"/>
      <c r="L36" s="207"/>
      <c r="M36" s="207"/>
      <c r="N36" s="72"/>
      <c r="O36" s="207"/>
      <c r="P36" s="207"/>
    </row>
    <row r="37" spans="2:16" x14ac:dyDescent="0.25">
      <c r="B37" s="166"/>
      <c r="C37" s="166"/>
      <c r="D37" s="207"/>
      <c r="E37" s="207"/>
      <c r="F37" s="72"/>
      <c r="G37" s="207"/>
      <c r="H37" s="207"/>
      <c r="I37" s="72"/>
      <c r="J37" s="207"/>
      <c r="K37" s="207"/>
      <c r="L37" s="207"/>
      <c r="M37" s="207"/>
      <c r="N37" s="72"/>
      <c r="O37" s="207"/>
      <c r="P37" s="207"/>
    </row>
    <row r="38" spans="2:16" x14ac:dyDescent="0.25">
      <c r="B38" s="166"/>
      <c r="C38" s="166"/>
      <c r="D38" s="207"/>
      <c r="E38" s="207"/>
      <c r="F38" s="72"/>
      <c r="G38" s="207"/>
      <c r="H38" s="207"/>
      <c r="I38" s="72"/>
      <c r="J38" s="207"/>
      <c r="K38" s="207"/>
      <c r="L38" s="207"/>
      <c r="M38" s="207"/>
      <c r="N38" s="72"/>
      <c r="O38" s="207"/>
      <c r="P38" s="207"/>
    </row>
    <row r="39" spans="2:16" x14ac:dyDescent="0.25">
      <c r="B39" s="166"/>
      <c r="C39" s="166"/>
      <c r="D39" s="207"/>
      <c r="E39" s="207"/>
      <c r="F39" s="72"/>
      <c r="G39" s="207"/>
      <c r="H39" s="207"/>
      <c r="I39" s="72"/>
      <c r="J39" s="207"/>
      <c r="K39" s="207"/>
      <c r="L39" s="207"/>
      <c r="M39" s="207"/>
      <c r="N39" s="72"/>
      <c r="O39" s="207"/>
      <c r="P39" s="207"/>
    </row>
    <row r="40" spans="2:16" x14ac:dyDescent="0.25">
      <c r="B40" s="166"/>
      <c r="C40" s="166"/>
      <c r="D40" s="166"/>
      <c r="E40" s="166"/>
      <c r="F40" s="72"/>
      <c r="G40" s="166"/>
      <c r="H40" s="166"/>
      <c r="I40" s="72"/>
      <c r="J40" s="166"/>
      <c r="K40" s="166"/>
      <c r="L40" s="166"/>
      <c r="M40" s="166"/>
      <c r="N40" s="72"/>
      <c r="O40" s="166"/>
      <c r="P40" s="166"/>
    </row>
    <row r="41" spans="2:16" x14ac:dyDescent="0.25">
      <c r="B41" s="166"/>
      <c r="C41" s="166"/>
      <c r="D41" s="166"/>
      <c r="E41" s="166"/>
      <c r="F41" s="72"/>
      <c r="G41" s="166"/>
      <c r="H41" s="166"/>
      <c r="I41" s="72"/>
      <c r="J41" s="166"/>
      <c r="K41" s="166"/>
      <c r="L41" s="166"/>
      <c r="M41" s="166"/>
      <c r="N41" s="72"/>
      <c r="O41" s="166"/>
      <c r="P41" s="166"/>
    </row>
  </sheetData>
  <mergeCells count="2">
    <mergeCell ref="B2:M2"/>
    <mergeCell ref="B14:M1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063F-2E10-48A0-94A3-2797D416A2DD}">
  <dimension ref="B2:G29"/>
  <sheetViews>
    <sheetView showGridLines="0" workbookViewId="0">
      <selection activeCell="F8" sqref="F8"/>
    </sheetView>
  </sheetViews>
  <sheetFormatPr defaultRowHeight="15" x14ac:dyDescent="0.25"/>
  <cols>
    <col min="1" max="1" width="1.85546875" customWidth="1"/>
    <col min="5" max="5" width="19" bestFit="1" customWidth="1"/>
  </cols>
  <sheetData>
    <row r="2" spans="2:7" x14ac:dyDescent="0.25">
      <c r="B2" s="218" t="s">
        <v>248</v>
      </c>
      <c r="C2" s="218"/>
      <c r="D2" s="218"/>
      <c r="E2" s="218"/>
      <c r="F2" s="218"/>
      <c r="G2" s="218"/>
    </row>
    <row r="4" spans="2:7" x14ac:dyDescent="0.25">
      <c r="B4" s="208" t="s">
        <v>246</v>
      </c>
      <c r="C4" s="209" t="s">
        <v>247</v>
      </c>
    </row>
    <row r="5" spans="2:7" x14ac:dyDescent="0.25">
      <c r="B5" s="203">
        <v>2000</v>
      </c>
      <c r="C5" s="210">
        <v>-0.14649999999999999</v>
      </c>
    </row>
    <row r="6" spans="2:7" x14ac:dyDescent="0.25">
      <c r="B6" s="203">
        <v>2001</v>
      </c>
      <c r="C6" s="210">
        <v>-0.1618</v>
      </c>
      <c r="E6" s="166" t="s">
        <v>249</v>
      </c>
      <c r="F6" s="73">
        <f>AVERAGE(C5:C28)</f>
        <v>0.15609166666666666</v>
      </c>
    </row>
    <row r="7" spans="2:7" x14ac:dyDescent="0.25">
      <c r="B7" s="203">
        <v>2002</v>
      </c>
      <c r="C7" s="210">
        <v>3.2500000000000001E-2</v>
      </c>
      <c r="E7" s="166" t="s">
        <v>250</v>
      </c>
      <c r="F7" s="181">
        <v>1.3899999999999999E-2</v>
      </c>
    </row>
    <row r="8" spans="2:7" x14ac:dyDescent="0.25">
      <c r="B8" s="203">
        <v>2003</v>
      </c>
      <c r="C8" s="210">
        <v>0.71900000000000008</v>
      </c>
      <c r="E8" s="171" t="s">
        <v>251</v>
      </c>
      <c r="F8" s="103">
        <f>SUM(F6:F7)</f>
        <v>0.16999166666666665</v>
      </c>
    </row>
    <row r="9" spans="2:7" x14ac:dyDescent="0.25">
      <c r="B9" s="203">
        <v>2004</v>
      </c>
      <c r="C9" s="210">
        <v>0.10679999999999999</v>
      </c>
    </row>
    <row r="10" spans="2:7" x14ac:dyDescent="0.25">
      <c r="B10" s="203">
        <v>2005</v>
      </c>
      <c r="C10" s="210">
        <v>0.36340000000000006</v>
      </c>
    </row>
    <row r="11" spans="2:7" x14ac:dyDescent="0.25">
      <c r="B11" s="203">
        <v>2006</v>
      </c>
      <c r="C11" s="210">
        <v>0.39829999999999999</v>
      </c>
    </row>
    <row r="12" spans="2:7" x14ac:dyDescent="0.25">
      <c r="B12" s="203">
        <v>2007</v>
      </c>
      <c r="C12" s="210">
        <v>0.54770000000000008</v>
      </c>
    </row>
    <row r="13" spans="2:7" x14ac:dyDescent="0.25">
      <c r="B13" s="203">
        <v>2008</v>
      </c>
      <c r="C13" s="210">
        <v>-0.51790000000000003</v>
      </c>
    </row>
    <row r="14" spans="2:7" x14ac:dyDescent="0.25">
      <c r="B14" s="203">
        <v>2009</v>
      </c>
      <c r="C14" s="210">
        <v>0.75760000000000005</v>
      </c>
    </row>
    <row r="15" spans="2:7" x14ac:dyDescent="0.25">
      <c r="B15" s="203">
        <v>2010</v>
      </c>
      <c r="C15" s="210">
        <v>0.17949999999999999</v>
      </c>
    </row>
    <row r="16" spans="2:7" x14ac:dyDescent="0.25">
      <c r="B16" s="203">
        <v>2011</v>
      </c>
      <c r="C16" s="210">
        <v>-0.2462</v>
      </c>
    </row>
    <row r="17" spans="2:3" x14ac:dyDescent="0.25">
      <c r="B17" s="203">
        <v>2012</v>
      </c>
      <c r="C17" s="210">
        <v>0.27699999999999997</v>
      </c>
    </row>
    <row r="18" spans="2:3" x14ac:dyDescent="0.25">
      <c r="B18" s="203">
        <v>2013</v>
      </c>
      <c r="C18" s="210">
        <v>6.7599999999999993E-2</v>
      </c>
    </row>
    <row r="19" spans="2:3" x14ac:dyDescent="0.25">
      <c r="B19" s="203">
        <v>2014</v>
      </c>
      <c r="C19" s="210">
        <v>0.31390000000000001</v>
      </c>
    </row>
    <row r="20" spans="2:3" x14ac:dyDescent="0.25">
      <c r="B20" s="203">
        <v>2015</v>
      </c>
      <c r="C20" s="210">
        <v>-4.0599999999999997E-2</v>
      </c>
    </row>
    <row r="21" spans="2:3" x14ac:dyDescent="0.25">
      <c r="B21" s="203">
        <v>2016</v>
      </c>
      <c r="C21" s="210">
        <v>3.0099999999999998E-2</v>
      </c>
    </row>
    <row r="22" spans="2:3" x14ac:dyDescent="0.25">
      <c r="B22" s="203">
        <v>2017</v>
      </c>
      <c r="C22" s="210">
        <v>0.28649999999999998</v>
      </c>
    </row>
    <row r="23" spans="2:3" x14ac:dyDescent="0.25">
      <c r="B23" s="203">
        <v>2018</v>
      </c>
      <c r="C23" s="210">
        <v>3.15E-2</v>
      </c>
    </row>
    <row r="24" spans="2:3" x14ac:dyDescent="0.25">
      <c r="B24" s="203">
        <v>2019</v>
      </c>
      <c r="C24" s="210">
        <v>0.1202</v>
      </c>
    </row>
    <row r="25" spans="2:3" x14ac:dyDescent="0.25">
      <c r="B25" s="203">
        <v>2020</v>
      </c>
      <c r="C25" s="210">
        <v>0.14899999999999999</v>
      </c>
    </row>
    <row r="26" spans="2:3" x14ac:dyDescent="0.25">
      <c r="B26" s="203">
        <v>2021</v>
      </c>
      <c r="C26" s="210">
        <v>0.2412</v>
      </c>
    </row>
    <row r="27" spans="2:3" x14ac:dyDescent="0.25">
      <c r="B27" s="203">
        <v>2022</v>
      </c>
      <c r="C27" s="210">
        <v>4.3200000000000002E-2</v>
      </c>
    </row>
    <row r="28" spans="2:3" x14ac:dyDescent="0.25">
      <c r="B28" s="203">
        <v>2023</v>
      </c>
      <c r="C28" s="210">
        <v>0.19420000000000001</v>
      </c>
    </row>
    <row r="29" spans="2:3" x14ac:dyDescent="0.25">
      <c r="B29" s="7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Financials&gt;</vt:lpstr>
      <vt:lpstr>Historical FS</vt:lpstr>
      <vt:lpstr>Ratio Analysis</vt:lpstr>
      <vt:lpstr>Common Size Statement</vt:lpstr>
      <vt:lpstr>P&amp;L Forecast</vt:lpstr>
      <vt:lpstr>BS Forecast</vt:lpstr>
      <vt:lpstr>Cash Flows Forecast</vt:lpstr>
      <vt:lpstr>DCF&gt;</vt:lpstr>
      <vt:lpstr>WACC</vt:lpstr>
      <vt:lpstr>Intrinsic Growth</vt:lpstr>
      <vt:lpstr>DCF</vt:lpstr>
      <vt:lpstr>Comparable Valuation&gt;</vt:lpstr>
      <vt:lpstr>Relative Valuation</vt:lpstr>
      <vt:lpstr>Football Field Analysis</vt:lpstr>
      <vt:lpstr>Data&gt;</vt:lpstr>
      <vt:lpstr>Data Sheet</vt:lpstr>
      <vt:lpstr>Cash Flow Data (Manual)</vt:lpstr>
      <vt:lpstr>Data Room&gt;</vt:lpstr>
      <vt:lpstr>Raw BS (Manual)</vt:lpstr>
      <vt:lpstr>Beta - Regression</vt:lpstr>
      <vt:lpstr>Beta - Comps</vt:lpstr>
      <vt:lpstr>Peers</vt:lpstr>
      <vt:lpstr>Rm</vt:lpstr>
      <vt:lpstr>'Historical FS'!Print_Area</vt:lpstr>
      <vt:lpstr>'Relative Valuation'!Print_Area</vt:lpstr>
      <vt:lpstr>WACC!Print_Area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Prasad Kushwaha</dc:creator>
  <cp:keywords/>
  <dc:description/>
  <cp:lastModifiedBy>Neeraj Prasad Kushwaha</cp:lastModifiedBy>
  <cp:revision/>
  <cp:lastPrinted>2024-03-13T17:00:56Z</cp:lastPrinted>
  <dcterms:created xsi:type="dcterms:W3CDTF">2012-08-17T09:55:37Z</dcterms:created>
  <dcterms:modified xsi:type="dcterms:W3CDTF">2025-04-19T08:22:31Z</dcterms:modified>
  <cp:category/>
  <cp:contentStatus/>
</cp:coreProperties>
</file>