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eraj\Documents\Financial Modelling\"/>
    </mc:Choice>
  </mc:AlternateContent>
  <xr:revisionPtr revIDLastSave="0" documentId="13_ncr:1_{B76DAD4E-BA1B-43D7-A279-2ADFDF474FDD}" xr6:coauthVersionLast="36" xr6:coauthVersionMax="47" xr10:uidLastSave="{00000000-0000-0000-0000-000000000000}"/>
  <bookViews>
    <workbookView xWindow="0" yWindow="0" windowWidth="20490" windowHeight="7545" firstSheet="1" activeTab="1" xr2:uid="{00000000-000D-0000-FFFF-FFFF00000000}"/>
  </bookViews>
  <sheets>
    <sheet name="Financials&gt;" sheetId="7" r:id="rId1"/>
    <sheet name="Historical FS" sheetId="8" r:id="rId2"/>
    <sheet name="Ratio Analysis" sheetId="11" r:id="rId3"/>
    <sheet name="Common Size Statement" sheetId="21" r:id="rId4"/>
    <sheet name="P&amp;L Forecast" sheetId="13" r:id="rId5"/>
    <sheet name="BS Forecast" sheetId="14" r:id="rId6"/>
    <sheet name="Cash Flows Forecast" sheetId="15" r:id="rId7"/>
    <sheet name="DCF&gt;" sheetId="22" r:id="rId8"/>
    <sheet name="WACC" sheetId="19" r:id="rId9"/>
    <sheet name="Intrinsic Growth" sheetId="25" r:id="rId10"/>
    <sheet name="DCF" sheetId="26" r:id="rId11"/>
    <sheet name="Comparable Valuation&gt;" sheetId="29" r:id="rId12"/>
    <sheet name="Relative Valuation" sheetId="27" r:id="rId13"/>
    <sheet name="Football Field Analysis" sheetId="28" r:id="rId14"/>
    <sheet name="Data&gt;" sheetId="9" r:id="rId15"/>
    <sheet name="Data Sheet" sheetId="6" r:id="rId16"/>
    <sheet name="Cash Flow Data (Manual)" sheetId="10" r:id="rId17"/>
    <sheet name="Data Room&gt;" sheetId="23" r:id="rId18"/>
    <sheet name="Raw BS (Manual)" sheetId="24" r:id="rId19"/>
    <sheet name="Beta - Regression" sheetId="16" r:id="rId20"/>
    <sheet name="Beta - Comps" sheetId="17" r:id="rId21"/>
    <sheet name="Peers" sheetId="18" r:id="rId22"/>
    <sheet name="Rm" sheetId="20" r:id="rId23"/>
  </sheets>
  <definedNames>
    <definedName name="_xlnm.Print_Area" localSheetId="1">'Historical FS'!$H$33</definedName>
    <definedName name="_xlnm.Print_Area" localSheetId="12">'Relative Valuation'!$C$11</definedName>
    <definedName name="_xlnm.Print_Area" localSheetId="8">WACC!$F$8</definedName>
    <definedName name="UPDATE">'Data Sheet'!$E$1</definedName>
  </definedName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6" l="1"/>
  <c r="D25" i="26"/>
  <c r="H9" i="26" l="1"/>
  <c r="I9" i="26" s="1"/>
  <c r="J9" i="26" s="1"/>
  <c r="K9" i="26" s="1"/>
  <c r="G9" i="26"/>
  <c r="D42" i="26" l="1"/>
  <c r="F30" i="13" l="1"/>
  <c r="G30" i="13" s="1"/>
  <c r="E30" i="13"/>
  <c r="D30" i="13"/>
  <c r="C30" i="13"/>
  <c r="I30" i="13" s="1"/>
  <c r="M33" i="8"/>
  <c r="L33" i="8"/>
  <c r="K33" i="8"/>
  <c r="J33" i="8"/>
  <c r="I33" i="8"/>
  <c r="H33" i="8"/>
  <c r="G33" i="8"/>
  <c r="F33" i="8"/>
  <c r="E33" i="8"/>
  <c r="D33" i="8"/>
  <c r="C33" i="8"/>
  <c r="M25" i="8"/>
  <c r="L25" i="8"/>
  <c r="K25" i="8"/>
  <c r="J25" i="8"/>
  <c r="I25" i="8"/>
  <c r="H25" i="8"/>
  <c r="G25" i="8"/>
  <c r="F25" i="8"/>
  <c r="E25" i="8"/>
  <c r="D25" i="8"/>
  <c r="C25" i="8"/>
  <c r="M24" i="8"/>
  <c r="L24" i="8"/>
  <c r="K24" i="8"/>
  <c r="J24" i="8"/>
  <c r="I24" i="8"/>
  <c r="H24" i="8"/>
  <c r="G24" i="8"/>
  <c r="F24" i="8"/>
  <c r="E24" i="8"/>
  <c r="D24" i="8"/>
  <c r="C24" i="8"/>
  <c r="M27" i="8"/>
  <c r="L27" i="8"/>
  <c r="K27" i="8"/>
  <c r="J27" i="8"/>
  <c r="I27" i="8"/>
  <c r="H27" i="8"/>
  <c r="G27" i="8"/>
  <c r="F27" i="8"/>
  <c r="E27" i="8"/>
  <c r="D27" i="8"/>
  <c r="C27" i="8"/>
  <c r="C30" i="8"/>
  <c r="D30" i="8"/>
  <c r="E30" i="8"/>
  <c r="F30" i="8"/>
  <c r="G30" i="8"/>
  <c r="H30" i="8"/>
  <c r="I30" i="8"/>
  <c r="J30" i="8"/>
  <c r="K30" i="8"/>
  <c r="L30" i="8"/>
  <c r="M30" i="8"/>
  <c r="J30" i="13" l="1"/>
  <c r="K30" i="13"/>
  <c r="H30" i="13"/>
  <c r="B2" i="8"/>
  <c r="C9" i="8"/>
  <c r="J11" i="19" l="1"/>
  <c r="J10" i="19"/>
  <c r="J9" i="19"/>
  <c r="AF6" i="17"/>
  <c r="T6" i="17"/>
  <c r="G6" i="17"/>
  <c r="E11" i="19"/>
  <c r="E10" i="19"/>
  <c r="E9" i="19"/>
  <c r="F11" i="19"/>
  <c r="F10" i="19"/>
  <c r="F9" i="19"/>
  <c r="F8" i="19"/>
  <c r="E8" i="19"/>
  <c r="B11" i="19"/>
  <c r="B10" i="19"/>
  <c r="B9" i="19"/>
  <c r="B8" i="19"/>
  <c r="K8" i="16"/>
  <c r="G6" i="16" l="1"/>
  <c r="B14" i="18" l="1"/>
  <c r="D5" i="23"/>
  <c r="D5" i="9"/>
  <c r="B2" i="10"/>
  <c r="B2" i="28"/>
  <c r="B2" i="27"/>
  <c r="B2" i="26"/>
  <c r="B2" i="25"/>
  <c r="B22" i="27"/>
  <c r="D5" i="22"/>
  <c r="D5" i="29"/>
  <c r="D5" i="7"/>
  <c r="M12" i="27" l="1"/>
  <c r="M11" i="27"/>
  <c r="M9" i="27"/>
  <c r="M10" i="27"/>
  <c r="K12" i="27"/>
  <c r="K11" i="27"/>
  <c r="K10" i="27"/>
  <c r="K9" i="27"/>
  <c r="Q23" i="18"/>
  <c r="Q22" i="18"/>
  <c r="Q21" i="18"/>
  <c r="Q20" i="18"/>
  <c r="G12" i="27" s="1"/>
  <c r="Q19" i="18"/>
  <c r="G11" i="27" s="1"/>
  <c r="Q18" i="18"/>
  <c r="G10" i="27" s="1"/>
  <c r="Q17" i="18"/>
  <c r="G9" i="27" s="1"/>
  <c r="Q25" i="27" s="1"/>
  <c r="E12" i="27"/>
  <c r="E11" i="27"/>
  <c r="E10" i="27"/>
  <c r="E9" i="27"/>
  <c r="P27" i="27" s="1"/>
  <c r="D12" i="27"/>
  <c r="D11" i="27"/>
  <c r="D10" i="27"/>
  <c r="D9" i="27"/>
  <c r="B12" i="27"/>
  <c r="B11" i="27"/>
  <c r="B10" i="27"/>
  <c r="B9" i="27"/>
  <c r="N23" i="18"/>
  <c r="N22" i="18"/>
  <c r="N21" i="18"/>
  <c r="N20" i="18"/>
  <c r="L12" i="27" s="1"/>
  <c r="N19" i="18"/>
  <c r="L11" i="27" s="1"/>
  <c r="N17" i="18"/>
  <c r="L9" i="27" s="1"/>
  <c r="N18" i="18"/>
  <c r="L10" i="27" s="1"/>
  <c r="F23" i="18"/>
  <c r="I23" i="18" s="1"/>
  <c r="F22" i="18"/>
  <c r="I22" i="18" s="1"/>
  <c r="F21" i="18"/>
  <c r="I21" i="18" s="1"/>
  <c r="F20" i="18"/>
  <c r="I20" i="18" s="1"/>
  <c r="F19" i="18"/>
  <c r="I19" i="18" s="1"/>
  <c r="F17" i="18"/>
  <c r="I17" i="18" s="1"/>
  <c r="F18" i="18"/>
  <c r="I18" i="18" s="1"/>
  <c r="D36" i="26"/>
  <c r="D35" i="26"/>
  <c r="H11" i="26"/>
  <c r="I11" i="26" s="1"/>
  <c r="J11" i="26" s="1"/>
  <c r="K11" i="26" s="1"/>
  <c r="Q27" i="27" l="1"/>
  <c r="F11" i="27"/>
  <c r="H11" i="27" s="1"/>
  <c r="F12" i="27"/>
  <c r="H12" i="27" s="1"/>
  <c r="P25" i="27"/>
  <c r="F10" i="27"/>
  <c r="H10" i="27" s="1"/>
  <c r="O27" i="27"/>
  <c r="Q12" i="27"/>
  <c r="Q11" i="27"/>
  <c r="F9" i="27"/>
  <c r="O25" i="27"/>
  <c r="G7" i="26"/>
  <c r="H7" i="26" s="1"/>
  <c r="I7" i="26" s="1"/>
  <c r="J7" i="26" s="1"/>
  <c r="K7" i="26" s="1"/>
  <c r="F6" i="26"/>
  <c r="G6" i="26" s="1"/>
  <c r="K33" i="6"/>
  <c r="J33" i="6"/>
  <c r="I33" i="6"/>
  <c r="H33" i="6"/>
  <c r="G33" i="6"/>
  <c r="F33" i="6"/>
  <c r="E33" i="6"/>
  <c r="D33" i="6"/>
  <c r="C33" i="6"/>
  <c r="B33" i="6"/>
  <c r="K43" i="25"/>
  <c r="J43" i="25"/>
  <c r="I43" i="25"/>
  <c r="H43" i="25"/>
  <c r="G43" i="25"/>
  <c r="K33" i="25"/>
  <c r="J33" i="25"/>
  <c r="I33" i="25"/>
  <c r="H33" i="25"/>
  <c r="G33" i="25"/>
  <c r="K30" i="25"/>
  <c r="J30" i="25"/>
  <c r="I30" i="25"/>
  <c r="H30" i="25"/>
  <c r="G30" i="25"/>
  <c r="K29" i="25"/>
  <c r="J29" i="25"/>
  <c r="I29" i="25"/>
  <c r="H29" i="25"/>
  <c r="G29" i="25"/>
  <c r="K28" i="25"/>
  <c r="J28" i="25"/>
  <c r="I28" i="25"/>
  <c r="H28" i="25"/>
  <c r="G28" i="25"/>
  <c r="K27" i="25"/>
  <c r="J27" i="25"/>
  <c r="I27" i="25"/>
  <c r="H27" i="25"/>
  <c r="G27" i="25"/>
  <c r="K26" i="25"/>
  <c r="J26" i="25"/>
  <c r="I26" i="25"/>
  <c r="H26" i="25"/>
  <c r="G26" i="25"/>
  <c r="K25" i="25"/>
  <c r="J25" i="25"/>
  <c r="I25" i="25"/>
  <c r="H25" i="25"/>
  <c r="G25" i="25"/>
  <c r="K24" i="25"/>
  <c r="J24" i="25"/>
  <c r="I24" i="25"/>
  <c r="H24" i="25"/>
  <c r="G24" i="25"/>
  <c r="K23" i="25"/>
  <c r="J23" i="25"/>
  <c r="I23" i="25"/>
  <c r="H23" i="25"/>
  <c r="G23" i="25"/>
  <c r="K22" i="25"/>
  <c r="J22" i="25"/>
  <c r="I22" i="25"/>
  <c r="H22" i="25"/>
  <c r="G22" i="25"/>
  <c r="B30" i="25"/>
  <c r="B29" i="25"/>
  <c r="B28" i="25"/>
  <c r="B27" i="25"/>
  <c r="B26" i="25"/>
  <c r="B25" i="25"/>
  <c r="B24" i="25"/>
  <c r="B23" i="25"/>
  <c r="B22" i="25"/>
  <c r="K16" i="25"/>
  <c r="J16" i="25"/>
  <c r="I16" i="25"/>
  <c r="H16" i="25"/>
  <c r="G16" i="25"/>
  <c r="K15" i="25"/>
  <c r="J15" i="25"/>
  <c r="I15" i="25"/>
  <c r="H15" i="25"/>
  <c r="G15" i="25"/>
  <c r="K14" i="25"/>
  <c r="J14" i="25"/>
  <c r="I14" i="25"/>
  <c r="H14" i="25"/>
  <c r="G14" i="25"/>
  <c r="B16" i="25"/>
  <c r="B15" i="25"/>
  <c r="B14" i="25"/>
  <c r="K10" i="25"/>
  <c r="J10" i="25"/>
  <c r="I10" i="25"/>
  <c r="H10" i="25"/>
  <c r="G10" i="25"/>
  <c r="K9" i="25"/>
  <c r="J9" i="25"/>
  <c r="I9" i="25"/>
  <c r="H9" i="25"/>
  <c r="G9" i="25"/>
  <c r="K8" i="25"/>
  <c r="J8" i="25"/>
  <c r="I8" i="25"/>
  <c r="H8" i="25"/>
  <c r="G8" i="25"/>
  <c r="K7" i="25"/>
  <c r="J7" i="25"/>
  <c r="I7" i="25"/>
  <c r="H7" i="25"/>
  <c r="G7" i="25"/>
  <c r="B10" i="25"/>
  <c r="B9" i="25"/>
  <c r="B8" i="25"/>
  <c r="B7" i="25"/>
  <c r="J4" i="25"/>
  <c r="J41" i="25" s="1"/>
  <c r="J57" i="25" s="1"/>
  <c r="I4" i="25"/>
  <c r="I41" i="25" s="1"/>
  <c r="I57" i="25" s="1"/>
  <c r="H4" i="25"/>
  <c r="H41" i="25" s="1"/>
  <c r="H57" i="25" s="1"/>
  <c r="G4" i="25"/>
  <c r="G41" i="25" s="1"/>
  <c r="G57" i="25" s="1"/>
  <c r="K4" i="25"/>
  <c r="K41" i="25" s="1"/>
  <c r="K57" i="25" s="1"/>
  <c r="N30" i="24"/>
  <c r="M30" i="24"/>
  <c r="L30" i="24"/>
  <c r="K30" i="24"/>
  <c r="J30" i="24"/>
  <c r="I30" i="24"/>
  <c r="H30" i="24"/>
  <c r="G30" i="24"/>
  <c r="F30" i="24"/>
  <c r="E30" i="24"/>
  <c r="D30" i="24"/>
  <c r="C30" i="24"/>
  <c r="L38" i="21"/>
  <c r="K38" i="21"/>
  <c r="J38" i="21"/>
  <c r="I38" i="21"/>
  <c r="H38" i="21"/>
  <c r="G38" i="21"/>
  <c r="F38" i="21"/>
  <c r="E38" i="21"/>
  <c r="D38" i="21"/>
  <c r="C38" i="21"/>
  <c r="L37" i="21"/>
  <c r="K37" i="21"/>
  <c r="J37" i="21"/>
  <c r="I37" i="21"/>
  <c r="H37" i="21"/>
  <c r="G37" i="21"/>
  <c r="F37" i="21"/>
  <c r="E37" i="21"/>
  <c r="D37" i="21"/>
  <c r="C37" i="21"/>
  <c r="L36" i="21"/>
  <c r="K36" i="21"/>
  <c r="J36" i="21"/>
  <c r="I36" i="21"/>
  <c r="H36" i="21"/>
  <c r="G36" i="21"/>
  <c r="F36" i="21"/>
  <c r="E36" i="21"/>
  <c r="D36" i="21"/>
  <c r="C36" i="21"/>
  <c r="J35" i="21"/>
  <c r="I35" i="21"/>
  <c r="F35" i="21"/>
  <c r="E35" i="21"/>
  <c r="L34" i="21"/>
  <c r="K34" i="21"/>
  <c r="J34" i="21"/>
  <c r="I34" i="21"/>
  <c r="H34" i="21"/>
  <c r="G34" i="21"/>
  <c r="F34" i="21"/>
  <c r="E34" i="21"/>
  <c r="D34" i="21"/>
  <c r="C34" i="21"/>
  <c r="L33" i="21"/>
  <c r="K33" i="21"/>
  <c r="J33" i="21"/>
  <c r="I33" i="21"/>
  <c r="H33" i="21"/>
  <c r="G33" i="21"/>
  <c r="F33" i="21"/>
  <c r="E33" i="21"/>
  <c r="D33" i="21"/>
  <c r="C33" i="21"/>
  <c r="L32" i="21"/>
  <c r="K32" i="21"/>
  <c r="J32" i="21"/>
  <c r="I32" i="21"/>
  <c r="H32" i="21"/>
  <c r="G32" i="21"/>
  <c r="F32" i="21"/>
  <c r="E32" i="21"/>
  <c r="D32" i="21"/>
  <c r="C32" i="21"/>
  <c r="L31" i="21"/>
  <c r="K31" i="21"/>
  <c r="J31" i="21"/>
  <c r="I31" i="21"/>
  <c r="H31" i="21"/>
  <c r="G31" i="21"/>
  <c r="F31" i="21"/>
  <c r="E31" i="21"/>
  <c r="D31" i="21"/>
  <c r="C31" i="21"/>
  <c r="K74" i="6"/>
  <c r="L35" i="21" s="1"/>
  <c r="J74" i="6"/>
  <c r="K35" i="21" s="1"/>
  <c r="I74" i="6"/>
  <c r="H74" i="6"/>
  <c r="G74" i="6"/>
  <c r="H35" i="21" s="1"/>
  <c r="F74" i="6"/>
  <c r="G35" i="21" s="1"/>
  <c r="E74" i="6"/>
  <c r="D74" i="6"/>
  <c r="C74" i="6"/>
  <c r="D35" i="21" s="1"/>
  <c r="B74" i="6"/>
  <c r="C35" i="21" s="1"/>
  <c r="L29" i="21"/>
  <c r="K29" i="21"/>
  <c r="J29" i="21"/>
  <c r="I29" i="21"/>
  <c r="H29" i="21"/>
  <c r="G29" i="21"/>
  <c r="F29" i="21"/>
  <c r="E29" i="21"/>
  <c r="D29" i="21"/>
  <c r="C29" i="21"/>
  <c r="L28" i="21"/>
  <c r="K28" i="21"/>
  <c r="J28" i="21"/>
  <c r="I28" i="21"/>
  <c r="H28" i="21"/>
  <c r="G28" i="21"/>
  <c r="F28" i="21"/>
  <c r="E28" i="21"/>
  <c r="D28" i="21"/>
  <c r="C28" i="21"/>
  <c r="L27" i="21"/>
  <c r="K27" i="21"/>
  <c r="J27" i="21"/>
  <c r="I27" i="21"/>
  <c r="H27" i="21"/>
  <c r="G27" i="21"/>
  <c r="F27" i="21"/>
  <c r="E27" i="21"/>
  <c r="D27" i="21"/>
  <c r="C27" i="21"/>
  <c r="L26" i="21"/>
  <c r="K26" i="21"/>
  <c r="J26" i="21"/>
  <c r="I26" i="21"/>
  <c r="H26" i="21"/>
  <c r="G26" i="21"/>
  <c r="F26" i="21"/>
  <c r="E26" i="21"/>
  <c r="D26" i="21"/>
  <c r="C26" i="21"/>
  <c r="L25" i="21"/>
  <c r="K25" i="21"/>
  <c r="J25" i="21"/>
  <c r="I25" i="21"/>
  <c r="H25" i="21"/>
  <c r="G25" i="21"/>
  <c r="F25" i="21"/>
  <c r="E25" i="21"/>
  <c r="D25" i="21"/>
  <c r="C25" i="21"/>
  <c r="Q10" i="27" l="1"/>
  <c r="F4" i="26"/>
  <c r="G4" i="26" s="1"/>
  <c r="H4" i="26" s="1"/>
  <c r="I4" i="26" s="1"/>
  <c r="J4" i="26" s="1"/>
  <c r="K4" i="26" s="1"/>
  <c r="H9" i="27"/>
  <c r="Q9" i="27"/>
  <c r="O12" i="27"/>
  <c r="P12" i="27"/>
  <c r="O10" i="27"/>
  <c r="P10" i="27"/>
  <c r="P11" i="27"/>
  <c r="O11" i="27"/>
  <c r="G8" i="26"/>
  <c r="H6" i="26"/>
  <c r="F8" i="26"/>
  <c r="G32" i="25"/>
  <c r="G34" i="25" s="1"/>
  <c r="H32" i="25"/>
  <c r="H34" i="25" s="1"/>
  <c r="I32" i="25"/>
  <c r="I34" i="25" s="1"/>
  <c r="J17" i="25"/>
  <c r="J32" i="25"/>
  <c r="J34" i="25" s="1"/>
  <c r="I11" i="25"/>
  <c r="G11" i="25"/>
  <c r="K11" i="25"/>
  <c r="K32" i="25"/>
  <c r="K34" i="25" s="1"/>
  <c r="J11" i="25"/>
  <c r="H11" i="25"/>
  <c r="I17" i="25"/>
  <c r="G17" i="25"/>
  <c r="K17" i="25"/>
  <c r="H17" i="25"/>
  <c r="L23" i="21"/>
  <c r="K23" i="21"/>
  <c r="J23" i="21"/>
  <c r="I23" i="21"/>
  <c r="H23" i="21"/>
  <c r="G23" i="21"/>
  <c r="F23" i="21"/>
  <c r="E23" i="21"/>
  <c r="D23" i="21"/>
  <c r="C23" i="21"/>
  <c r="B38" i="21"/>
  <c r="B37" i="21"/>
  <c r="B36" i="21"/>
  <c r="B35" i="21"/>
  <c r="B34" i="21"/>
  <c r="B33" i="21"/>
  <c r="B32" i="21"/>
  <c r="B29" i="21"/>
  <c r="B28" i="21"/>
  <c r="B27" i="21"/>
  <c r="B26" i="21"/>
  <c r="B21" i="21"/>
  <c r="L19" i="21"/>
  <c r="K19" i="21"/>
  <c r="J19" i="21"/>
  <c r="I19" i="21"/>
  <c r="H19" i="21"/>
  <c r="G19" i="21"/>
  <c r="F19" i="21"/>
  <c r="E19" i="21"/>
  <c r="D19" i="21"/>
  <c r="C19" i="21"/>
  <c r="L18" i="21"/>
  <c r="K18" i="21"/>
  <c r="J18" i="21"/>
  <c r="I18" i="21"/>
  <c r="H18" i="21"/>
  <c r="G18" i="21"/>
  <c r="F18" i="21"/>
  <c r="E18" i="21"/>
  <c r="D18" i="21"/>
  <c r="C18" i="21"/>
  <c r="L17" i="21"/>
  <c r="K17" i="21"/>
  <c r="J17" i="21"/>
  <c r="I17" i="21"/>
  <c r="H17" i="21"/>
  <c r="G17" i="21"/>
  <c r="F17" i="21"/>
  <c r="E17" i="21"/>
  <c r="D17" i="21"/>
  <c r="C17" i="21"/>
  <c r="L16" i="21"/>
  <c r="K16" i="21"/>
  <c r="J16" i="21"/>
  <c r="I16" i="21"/>
  <c r="H16" i="21"/>
  <c r="G16" i="21"/>
  <c r="F16" i="21"/>
  <c r="E16" i="21"/>
  <c r="D16" i="21"/>
  <c r="C16" i="21"/>
  <c r="L15" i="21"/>
  <c r="K15" i="21"/>
  <c r="J15" i="21"/>
  <c r="I15" i="21"/>
  <c r="H15" i="21"/>
  <c r="G15" i="21"/>
  <c r="F15" i="21"/>
  <c r="E15" i="21"/>
  <c r="D15" i="21"/>
  <c r="C15" i="21"/>
  <c r="L14" i="21"/>
  <c r="K14" i="21"/>
  <c r="J14" i="21"/>
  <c r="I14" i="21"/>
  <c r="H14" i="21"/>
  <c r="G14" i="21"/>
  <c r="F14" i="21"/>
  <c r="E14" i="21"/>
  <c r="D14" i="21"/>
  <c r="C14" i="21"/>
  <c r="L13" i="21"/>
  <c r="K13" i="21"/>
  <c r="J13" i="21"/>
  <c r="I13" i="21"/>
  <c r="H13" i="21"/>
  <c r="G13" i="21"/>
  <c r="F13" i="21"/>
  <c r="E13" i="21"/>
  <c r="D13" i="21"/>
  <c r="C13" i="21"/>
  <c r="L12" i="21"/>
  <c r="K12" i="21"/>
  <c r="J12" i="21"/>
  <c r="I12" i="21"/>
  <c r="H12" i="21"/>
  <c r="G12" i="21"/>
  <c r="F12" i="21"/>
  <c r="E12" i="21"/>
  <c r="D12" i="21"/>
  <c r="C12" i="21"/>
  <c r="L11" i="21"/>
  <c r="K11" i="21"/>
  <c r="J11" i="21"/>
  <c r="I11" i="21"/>
  <c r="H11" i="21"/>
  <c r="G11" i="21"/>
  <c r="F11" i="21"/>
  <c r="E11" i="21"/>
  <c r="D11" i="21"/>
  <c r="C11" i="21"/>
  <c r="L10" i="21"/>
  <c r="K10" i="21"/>
  <c r="J10" i="21"/>
  <c r="I10" i="21"/>
  <c r="H10" i="21"/>
  <c r="G10" i="21"/>
  <c r="F10" i="21"/>
  <c r="E10" i="21"/>
  <c r="D10" i="21"/>
  <c r="C10" i="21"/>
  <c r="L9" i="21"/>
  <c r="K9" i="21"/>
  <c r="J9" i="21"/>
  <c r="I9" i="21"/>
  <c r="H9" i="21"/>
  <c r="G9" i="21"/>
  <c r="F9" i="21"/>
  <c r="E9" i="21"/>
  <c r="D9" i="21"/>
  <c r="C9" i="21"/>
  <c r="L8" i="21"/>
  <c r="K8" i="21"/>
  <c r="J8" i="21"/>
  <c r="I8" i="21"/>
  <c r="H8" i="21"/>
  <c r="G8" i="21"/>
  <c r="F8" i="21"/>
  <c r="E8" i="21"/>
  <c r="D8" i="21"/>
  <c r="C8" i="21"/>
  <c r="L7" i="21"/>
  <c r="K7" i="21"/>
  <c r="J7" i="21"/>
  <c r="I7" i="21"/>
  <c r="H7" i="21"/>
  <c r="G7" i="21"/>
  <c r="F7" i="21"/>
  <c r="E7" i="21"/>
  <c r="D7" i="21"/>
  <c r="C7" i="21"/>
  <c r="L6" i="21"/>
  <c r="K6" i="21"/>
  <c r="J6" i="21"/>
  <c r="I6" i="21"/>
  <c r="H6" i="21"/>
  <c r="G6" i="21"/>
  <c r="F6" i="21"/>
  <c r="E6" i="21"/>
  <c r="D6" i="21"/>
  <c r="C6" i="21"/>
  <c r="B19" i="21"/>
  <c r="B18" i="21"/>
  <c r="B17" i="21"/>
  <c r="B16" i="21"/>
  <c r="B15" i="21"/>
  <c r="B14" i="21"/>
  <c r="B13" i="21"/>
  <c r="B12" i="21"/>
  <c r="B11" i="21"/>
  <c r="B10" i="21"/>
  <c r="B9" i="21"/>
  <c r="B8" i="21"/>
  <c r="B7" i="21"/>
  <c r="B6" i="21"/>
  <c r="L4" i="21"/>
  <c r="K4" i="21"/>
  <c r="J4" i="21"/>
  <c r="I4" i="21"/>
  <c r="H4" i="21"/>
  <c r="G4" i="21"/>
  <c r="F4" i="21"/>
  <c r="E4" i="21"/>
  <c r="D4" i="21"/>
  <c r="C4" i="21"/>
  <c r="B2" i="21"/>
  <c r="J5" i="18"/>
  <c r="E20" i="19" s="1"/>
  <c r="F6" i="20"/>
  <c r="F8" i="20" s="1"/>
  <c r="K20" i="19" s="1"/>
  <c r="G14" i="19"/>
  <c r="G13" i="19"/>
  <c r="C30" i="19"/>
  <c r="C29" i="19"/>
  <c r="H9" i="19" l="1"/>
  <c r="Q17" i="27"/>
  <c r="Q16" i="27"/>
  <c r="Q18" i="27"/>
  <c r="Q26" i="27" s="1"/>
  <c r="Q20" i="27"/>
  <c r="Q15" i="27"/>
  <c r="Q19" i="27"/>
  <c r="P9" i="27"/>
  <c r="O9" i="27"/>
  <c r="I11" i="19"/>
  <c r="H8" i="19"/>
  <c r="I8" i="19"/>
  <c r="H11" i="19"/>
  <c r="K11" i="19" s="1"/>
  <c r="I6" i="26"/>
  <c r="H8" i="26"/>
  <c r="J19" i="25"/>
  <c r="J36" i="25" s="1"/>
  <c r="G19" i="25"/>
  <c r="G36" i="25" s="1"/>
  <c r="I19" i="25"/>
  <c r="K19" i="25"/>
  <c r="H19" i="25"/>
  <c r="I44" i="25" l="1"/>
  <c r="I50" i="25" s="1"/>
  <c r="Q29" i="27"/>
  <c r="Q31" i="27" s="1"/>
  <c r="Q24" i="27"/>
  <c r="O19" i="27"/>
  <c r="O18" i="27"/>
  <c r="O24" i="27" s="1"/>
  <c r="O26" i="27" s="1"/>
  <c r="O29" i="27" s="1"/>
  <c r="O31" i="27" s="1"/>
  <c r="O20" i="27"/>
  <c r="O16" i="27"/>
  <c r="O17" i="27"/>
  <c r="O15" i="27"/>
  <c r="P16" i="27"/>
  <c r="P20" i="27"/>
  <c r="P15" i="27"/>
  <c r="P19" i="27"/>
  <c r="P17" i="27"/>
  <c r="P18" i="27"/>
  <c r="P24" i="27" s="1"/>
  <c r="P26" i="27" s="1"/>
  <c r="P29" i="27" s="1"/>
  <c r="P31" i="27" s="1"/>
  <c r="J6" i="26"/>
  <c r="I8" i="26"/>
  <c r="K44" i="25"/>
  <c r="K50" i="25" s="1"/>
  <c r="H44" i="25"/>
  <c r="H50" i="25" s="1"/>
  <c r="K36" i="25"/>
  <c r="H36" i="25"/>
  <c r="J44" i="25"/>
  <c r="J50" i="25" s="1"/>
  <c r="I36" i="25"/>
  <c r="AJ8" i="17"/>
  <c r="AG11" i="17"/>
  <c r="AJ14" i="17" l="1"/>
  <c r="K6" i="26"/>
  <c r="K8" i="26" s="1"/>
  <c r="K10" i="26" s="1"/>
  <c r="J8" i="26"/>
  <c r="AG68" i="17"/>
  <c r="AG67" i="17"/>
  <c r="AG66" i="17"/>
  <c r="AG65" i="17"/>
  <c r="AG64" i="17"/>
  <c r="AG63" i="17"/>
  <c r="AG62" i="17"/>
  <c r="AG61" i="17"/>
  <c r="AG60" i="17"/>
  <c r="AG59" i="17"/>
  <c r="AG58" i="17"/>
  <c r="AG57" i="17"/>
  <c r="AG56" i="17"/>
  <c r="AG55" i="17"/>
  <c r="AG54" i="17"/>
  <c r="AG53" i="17"/>
  <c r="AG52" i="17"/>
  <c r="AG51" i="17"/>
  <c r="AG50" i="17"/>
  <c r="AG49" i="17"/>
  <c r="AG48" i="17"/>
  <c r="AG47" i="17"/>
  <c r="AG46" i="17"/>
  <c r="AG45" i="17"/>
  <c r="AG44" i="17"/>
  <c r="AG43" i="17"/>
  <c r="AG42" i="17"/>
  <c r="AG41" i="17"/>
  <c r="AG40" i="17"/>
  <c r="AG39" i="17"/>
  <c r="AG38" i="17"/>
  <c r="AG37" i="17"/>
  <c r="AG36" i="17"/>
  <c r="AG35" i="17"/>
  <c r="AG34" i="17"/>
  <c r="AG33" i="17"/>
  <c r="AG32" i="17"/>
  <c r="AG31" i="17"/>
  <c r="AG30" i="17"/>
  <c r="AG29" i="17"/>
  <c r="AG28" i="17"/>
  <c r="AG27" i="17"/>
  <c r="AG26" i="17"/>
  <c r="AG25" i="17"/>
  <c r="AG24" i="17"/>
  <c r="AG23" i="17"/>
  <c r="AG22" i="17"/>
  <c r="AG21" i="17"/>
  <c r="AG20" i="17"/>
  <c r="AG19" i="17"/>
  <c r="AG18" i="17"/>
  <c r="AG17" i="17"/>
  <c r="AG16" i="17"/>
  <c r="AG15" i="17"/>
  <c r="AG14" i="17"/>
  <c r="AG13" i="17"/>
  <c r="AG12" i="17"/>
  <c r="AG10" i="17"/>
  <c r="K30" i="19"/>
  <c r="C31" i="19"/>
  <c r="E22" i="19"/>
  <c r="J36" i="19" s="1"/>
  <c r="I10" i="19"/>
  <c r="I9" i="19"/>
  <c r="H10" i="19"/>
  <c r="B2" i="19"/>
  <c r="X8" i="17"/>
  <c r="K9" i="19" s="1"/>
  <c r="K8" i="17"/>
  <c r="K14" i="17" s="1"/>
  <c r="U68" i="17"/>
  <c r="U67" i="17"/>
  <c r="U66" i="17"/>
  <c r="U65" i="17"/>
  <c r="U64" i="17"/>
  <c r="U63" i="17"/>
  <c r="U62" i="17"/>
  <c r="U61" i="17"/>
  <c r="U60" i="17"/>
  <c r="U59" i="17"/>
  <c r="U58" i="17"/>
  <c r="U57" i="17"/>
  <c r="U56" i="17"/>
  <c r="U55" i="17"/>
  <c r="U54" i="17"/>
  <c r="U53" i="17"/>
  <c r="U52" i="17"/>
  <c r="U51" i="17"/>
  <c r="U50" i="17"/>
  <c r="U49" i="17"/>
  <c r="U48" i="17"/>
  <c r="U47" i="17"/>
  <c r="U46" i="17"/>
  <c r="U45" i="17"/>
  <c r="U44" i="17"/>
  <c r="U43" i="17"/>
  <c r="U42" i="17"/>
  <c r="U41" i="17"/>
  <c r="U40" i="17"/>
  <c r="U39" i="17"/>
  <c r="U38" i="17"/>
  <c r="U37" i="17"/>
  <c r="U36" i="17"/>
  <c r="U35" i="17"/>
  <c r="U34" i="17"/>
  <c r="U33" i="17"/>
  <c r="U32" i="17"/>
  <c r="U31" i="17"/>
  <c r="U30" i="17"/>
  <c r="U29" i="17"/>
  <c r="U28" i="17"/>
  <c r="U27" i="17"/>
  <c r="U26" i="17"/>
  <c r="U25" i="17"/>
  <c r="U24" i="17"/>
  <c r="U23" i="17"/>
  <c r="U22" i="17"/>
  <c r="U21" i="17"/>
  <c r="U20" i="17"/>
  <c r="U19" i="17"/>
  <c r="U18" i="17"/>
  <c r="U17" i="17"/>
  <c r="U16" i="17"/>
  <c r="U15" i="17"/>
  <c r="U14" i="17"/>
  <c r="U13" i="17"/>
  <c r="U12" i="17"/>
  <c r="U11" i="17"/>
  <c r="U10" i="17"/>
  <c r="B2" i="18"/>
  <c r="H68" i="17"/>
  <c r="E68" i="17"/>
  <c r="H67" i="17"/>
  <c r="E67" i="17"/>
  <c r="H66" i="17"/>
  <c r="E66" i="17"/>
  <c r="H65" i="17"/>
  <c r="E65" i="17"/>
  <c r="H64" i="17"/>
  <c r="E64" i="17"/>
  <c r="H63" i="17"/>
  <c r="E63" i="17"/>
  <c r="H62" i="17"/>
  <c r="E62" i="17"/>
  <c r="H61" i="17"/>
  <c r="E61" i="17"/>
  <c r="H60" i="17"/>
  <c r="E60" i="17"/>
  <c r="H59" i="17"/>
  <c r="E59" i="17"/>
  <c r="H58" i="17"/>
  <c r="E58" i="17"/>
  <c r="H57" i="17"/>
  <c r="E57" i="17"/>
  <c r="H56" i="17"/>
  <c r="E56" i="17"/>
  <c r="H55" i="17"/>
  <c r="E55" i="17"/>
  <c r="H54" i="17"/>
  <c r="E54" i="17"/>
  <c r="H53" i="17"/>
  <c r="E53" i="17"/>
  <c r="H52" i="17"/>
  <c r="E52" i="17"/>
  <c r="H51" i="17"/>
  <c r="E51" i="17"/>
  <c r="H50" i="17"/>
  <c r="E50" i="17"/>
  <c r="H49" i="17"/>
  <c r="E49" i="17"/>
  <c r="H48" i="17"/>
  <c r="E48" i="17"/>
  <c r="H47" i="17"/>
  <c r="E47" i="17"/>
  <c r="H46" i="17"/>
  <c r="E46" i="17"/>
  <c r="H45" i="17"/>
  <c r="E45" i="17"/>
  <c r="H44" i="17"/>
  <c r="E44" i="17"/>
  <c r="H43" i="17"/>
  <c r="E43" i="17"/>
  <c r="H42" i="17"/>
  <c r="E42" i="17"/>
  <c r="H41" i="17"/>
  <c r="E41" i="17"/>
  <c r="H40" i="17"/>
  <c r="E40" i="17"/>
  <c r="H39" i="17"/>
  <c r="E39" i="17"/>
  <c r="H38" i="17"/>
  <c r="E38" i="17"/>
  <c r="H37" i="17"/>
  <c r="E37" i="17"/>
  <c r="H36" i="17"/>
  <c r="E36" i="17"/>
  <c r="H35" i="17"/>
  <c r="E35" i="17"/>
  <c r="H34" i="17"/>
  <c r="E34" i="17"/>
  <c r="H33" i="17"/>
  <c r="E33" i="17"/>
  <c r="H32" i="17"/>
  <c r="E32" i="17"/>
  <c r="H31" i="17"/>
  <c r="E31" i="17"/>
  <c r="H30" i="17"/>
  <c r="E30" i="17"/>
  <c r="H29" i="17"/>
  <c r="E29" i="17"/>
  <c r="H28" i="17"/>
  <c r="E28" i="17"/>
  <c r="H27" i="17"/>
  <c r="E27" i="17"/>
  <c r="H26" i="17"/>
  <c r="E26" i="17"/>
  <c r="H25" i="17"/>
  <c r="E25" i="17"/>
  <c r="H24" i="17"/>
  <c r="E24" i="17"/>
  <c r="H23" i="17"/>
  <c r="E23" i="17"/>
  <c r="H22" i="17"/>
  <c r="E22" i="17"/>
  <c r="H21" i="17"/>
  <c r="E21" i="17"/>
  <c r="H20" i="17"/>
  <c r="E20" i="17"/>
  <c r="H19" i="17"/>
  <c r="E19" i="17"/>
  <c r="H18" i="17"/>
  <c r="E18" i="17"/>
  <c r="H17" i="17"/>
  <c r="E17" i="17"/>
  <c r="H16" i="17"/>
  <c r="E16" i="17"/>
  <c r="H15" i="17"/>
  <c r="E15" i="17"/>
  <c r="H14" i="17"/>
  <c r="E14" i="17"/>
  <c r="H13" i="17"/>
  <c r="E13" i="17"/>
  <c r="H12" i="17"/>
  <c r="E12" i="17"/>
  <c r="H11" i="17"/>
  <c r="E11" i="17"/>
  <c r="H10" i="17"/>
  <c r="E10" i="17"/>
  <c r="K14" i="16" l="1"/>
  <c r="J8" i="19"/>
  <c r="I13" i="19"/>
  <c r="I14" i="19"/>
  <c r="H14" i="19"/>
  <c r="H13" i="19"/>
  <c r="D23" i="26"/>
  <c r="E29" i="19"/>
  <c r="K36" i="19" s="1"/>
  <c r="K10" i="19"/>
  <c r="X14" i="17"/>
  <c r="D31" i="19"/>
  <c r="E31" i="19" s="1"/>
  <c r="D30" i="19"/>
  <c r="D29" i="19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E68" i="16"/>
  <c r="E67" i="16"/>
  <c r="E66" i="16"/>
  <c r="E65" i="16"/>
  <c r="E64" i="16"/>
  <c r="E63" i="16"/>
  <c r="E62" i="16"/>
  <c r="E61" i="16"/>
  <c r="E60" i="16"/>
  <c r="E59" i="16"/>
  <c r="E58" i="16"/>
  <c r="E57" i="16"/>
  <c r="E56" i="16"/>
  <c r="E55" i="16"/>
  <c r="E54" i="16"/>
  <c r="E53" i="16"/>
  <c r="E52" i="16"/>
  <c r="E51" i="16"/>
  <c r="E50" i="16"/>
  <c r="E49" i="16"/>
  <c r="E48" i="16"/>
  <c r="E47" i="16"/>
  <c r="E46" i="16"/>
  <c r="E45" i="16"/>
  <c r="E44" i="16"/>
  <c r="E43" i="16"/>
  <c r="E42" i="16"/>
  <c r="E41" i="16"/>
  <c r="E40" i="16"/>
  <c r="E39" i="16"/>
  <c r="E38" i="16"/>
  <c r="E37" i="16"/>
  <c r="E36" i="16"/>
  <c r="E35" i="16"/>
  <c r="E34" i="16"/>
  <c r="E33" i="16"/>
  <c r="E32" i="16"/>
  <c r="E31" i="16"/>
  <c r="E30" i="16"/>
  <c r="E29" i="16"/>
  <c r="E28" i="16"/>
  <c r="E27" i="16"/>
  <c r="E26" i="16"/>
  <c r="E25" i="16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E10" i="16"/>
  <c r="J14" i="19" l="1"/>
  <c r="J13" i="19"/>
  <c r="K8" i="19"/>
  <c r="K14" i="19" s="1"/>
  <c r="K28" i="19" s="1"/>
  <c r="E30" i="19"/>
  <c r="E33" i="19" s="1"/>
  <c r="K29" i="19" s="1"/>
  <c r="D33" i="19"/>
  <c r="B2" i="15"/>
  <c r="B2" i="14"/>
  <c r="K13" i="19" l="1"/>
  <c r="K37" i="19"/>
  <c r="K31" i="19"/>
  <c r="K21" i="19" s="1"/>
  <c r="K22" i="19" s="1"/>
  <c r="J37" i="19" s="1"/>
  <c r="B2" i="13"/>
  <c r="B2" i="11"/>
  <c r="L3" i="11"/>
  <c r="K3" i="11"/>
  <c r="J3" i="11"/>
  <c r="I3" i="11"/>
  <c r="H3" i="11"/>
  <c r="G3" i="11"/>
  <c r="F3" i="11"/>
  <c r="E3" i="11"/>
  <c r="D3" i="11"/>
  <c r="C3" i="11"/>
  <c r="L108" i="8" l="1"/>
  <c r="F39" i="15" s="1"/>
  <c r="K108" i="8"/>
  <c r="E39" i="15" s="1"/>
  <c r="J108" i="8"/>
  <c r="D39" i="15" s="1"/>
  <c r="I108" i="8"/>
  <c r="C39" i="15" s="1"/>
  <c r="H108" i="8"/>
  <c r="G108" i="8"/>
  <c r="F108" i="8"/>
  <c r="E108" i="8"/>
  <c r="D108" i="8"/>
  <c r="C108" i="8"/>
  <c r="L107" i="8"/>
  <c r="F38" i="15" s="1"/>
  <c r="K107" i="8"/>
  <c r="E38" i="15" s="1"/>
  <c r="J107" i="8"/>
  <c r="D38" i="15" s="1"/>
  <c r="I107" i="8"/>
  <c r="C38" i="15" s="1"/>
  <c r="H107" i="8"/>
  <c r="G107" i="8"/>
  <c r="F107" i="8"/>
  <c r="E107" i="8"/>
  <c r="D107" i="8"/>
  <c r="C107" i="8"/>
  <c r="L106" i="8"/>
  <c r="F37" i="15" s="1"/>
  <c r="K106" i="8"/>
  <c r="E37" i="15" s="1"/>
  <c r="J106" i="8"/>
  <c r="D37" i="15" s="1"/>
  <c r="I106" i="8"/>
  <c r="C37" i="15" s="1"/>
  <c r="H106" i="8"/>
  <c r="G106" i="8"/>
  <c r="F106" i="8"/>
  <c r="E106" i="8"/>
  <c r="D106" i="8"/>
  <c r="C106" i="8"/>
  <c r="L105" i="8"/>
  <c r="F36" i="15" s="1"/>
  <c r="K105" i="8"/>
  <c r="E36" i="15" s="1"/>
  <c r="J105" i="8"/>
  <c r="D36" i="15" s="1"/>
  <c r="I105" i="8"/>
  <c r="C36" i="15" s="1"/>
  <c r="H105" i="8"/>
  <c r="G105" i="8"/>
  <c r="F105" i="8"/>
  <c r="E105" i="8"/>
  <c r="D105" i="8"/>
  <c r="C105" i="8"/>
  <c r="L104" i="8"/>
  <c r="F35" i="15" s="1"/>
  <c r="K104" i="8"/>
  <c r="E35" i="15" s="1"/>
  <c r="J104" i="8"/>
  <c r="D35" i="15" s="1"/>
  <c r="I104" i="8"/>
  <c r="C35" i="15" s="1"/>
  <c r="H104" i="8"/>
  <c r="G104" i="8"/>
  <c r="F104" i="8"/>
  <c r="E104" i="8"/>
  <c r="D104" i="8"/>
  <c r="C104" i="8"/>
  <c r="L103" i="8"/>
  <c r="F34" i="15" s="1"/>
  <c r="K103" i="8"/>
  <c r="E34" i="15" s="1"/>
  <c r="J103" i="8"/>
  <c r="D34" i="15" s="1"/>
  <c r="I103" i="8"/>
  <c r="C34" i="15" s="1"/>
  <c r="H103" i="8"/>
  <c r="G103" i="8"/>
  <c r="F103" i="8"/>
  <c r="E103" i="8"/>
  <c r="D103" i="8"/>
  <c r="C103" i="8"/>
  <c r="L102" i="8"/>
  <c r="F33" i="15" s="1"/>
  <c r="K102" i="8"/>
  <c r="E33" i="15" s="1"/>
  <c r="J102" i="8"/>
  <c r="D33" i="15" s="1"/>
  <c r="I102" i="8"/>
  <c r="C33" i="15" s="1"/>
  <c r="H102" i="8"/>
  <c r="G102" i="8"/>
  <c r="F102" i="8"/>
  <c r="E102" i="8"/>
  <c r="D102" i="8"/>
  <c r="C102" i="8"/>
  <c r="L101" i="8"/>
  <c r="F32" i="15" s="1"/>
  <c r="K101" i="8"/>
  <c r="E32" i="15" s="1"/>
  <c r="J101" i="8"/>
  <c r="D32" i="15" s="1"/>
  <c r="I101" i="8"/>
  <c r="C32" i="15" s="1"/>
  <c r="H101" i="8"/>
  <c r="G101" i="8"/>
  <c r="F101" i="8"/>
  <c r="E101" i="8"/>
  <c r="D101" i="8"/>
  <c r="C101" i="8"/>
  <c r="L97" i="8"/>
  <c r="F28" i="15" s="1"/>
  <c r="K97" i="8"/>
  <c r="E28" i="15" s="1"/>
  <c r="J97" i="8"/>
  <c r="D28" i="15" s="1"/>
  <c r="I97" i="8"/>
  <c r="C28" i="15" s="1"/>
  <c r="H97" i="8"/>
  <c r="G97" i="8"/>
  <c r="F97" i="8"/>
  <c r="E97" i="8"/>
  <c r="D97" i="8"/>
  <c r="C97" i="8"/>
  <c r="L96" i="8"/>
  <c r="F27" i="15" s="1"/>
  <c r="K96" i="8"/>
  <c r="E27" i="15" s="1"/>
  <c r="J96" i="8"/>
  <c r="D27" i="15" s="1"/>
  <c r="I96" i="8"/>
  <c r="C27" i="15" s="1"/>
  <c r="H96" i="8"/>
  <c r="G96" i="8"/>
  <c r="F96" i="8"/>
  <c r="E96" i="8"/>
  <c r="D96" i="8"/>
  <c r="C96" i="8"/>
  <c r="L95" i="8"/>
  <c r="F26" i="15" s="1"/>
  <c r="K95" i="8"/>
  <c r="E26" i="15" s="1"/>
  <c r="J95" i="8"/>
  <c r="D26" i="15" s="1"/>
  <c r="I95" i="8"/>
  <c r="C26" i="15" s="1"/>
  <c r="H95" i="8"/>
  <c r="G95" i="8"/>
  <c r="F95" i="8"/>
  <c r="E95" i="8"/>
  <c r="D95" i="8"/>
  <c r="C95" i="8"/>
  <c r="L94" i="8"/>
  <c r="F25" i="15" s="1"/>
  <c r="K94" i="8"/>
  <c r="E25" i="15" s="1"/>
  <c r="J94" i="8"/>
  <c r="D25" i="15" s="1"/>
  <c r="I94" i="8"/>
  <c r="C25" i="15" s="1"/>
  <c r="H94" i="8"/>
  <c r="G94" i="8"/>
  <c r="F94" i="8"/>
  <c r="E94" i="8"/>
  <c r="D94" i="8"/>
  <c r="C94" i="8"/>
  <c r="L93" i="8"/>
  <c r="F24" i="15" s="1"/>
  <c r="K93" i="8"/>
  <c r="E24" i="15" s="1"/>
  <c r="J93" i="8"/>
  <c r="D24" i="15" s="1"/>
  <c r="I93" i="8"/>
  <c r="C24" i="15" s="1"/>
  <c r="H93" i="8"/>
  <c r="G93" i="8"/>
  <c r="F93" i="8"/>
  <c r="E93" i="8"/>
  <c r="D93" i="8"/>
  <c r="C93" i="8"/>
  <c r="L92" i="8"/>
  <c r="F23" i="15" s="1"/>
  <c r="K92" i="8"/>
  <c r="E23" i="15" s="1"/>
  <c r="J92" i="8"/>
  <c r="D23" i="15" s="1"/>
  <c r="I92" i="8"/>
  <c r="C23" i="15" s="1"/>
  <c r="H92" i="8"/>
  <c r="G92" i="8"/>
  <c r="F92" i="8"/>
  <c r="E92" i="8"/>
  <c r="D92" i="8"/>
  <c r="C92" i="8"/>
  <c r="L91" i="8"/>
  <c r="F22" i="15" s="1"/>
  <c r="K91" i="8"/>
  <c r="E22" i="15" s="1"/>
  <c r="J91" i="8"/>
  <c r="D22" i="15" s="1"/>
  <c r="I91" i="8"/>
  <c r="C22" i="15" s="1"/>
  <c r="H91" i="8"/>
  <c r="G91" i="8"/>
  <c r="F91" i="8"/>
  <c r="E91" i="8"/>
  <c r="D91" i="8"/>
  <c r="C91" i="8"/>
  <c r="L90" i="8"/>
  <c r="F21" i="15" s="1"/>
  <c r="K90" i="8"/>
  <c r="E21" i="15" s="1"/>
  <c r="J90" i="8"/>
  <c r="D21" i="15" s="1"/>
  <c r="I90" i="8"/>
  <c r="C21" i="15" s="1"/>
  <c r="H90" i="8"/>
  <c r="G90" i="8"/>
  <c r="F90" i="8"/>
  <c r="E90" i="8"/>
  <c r="D90" i="8"/>
  <c r="C90" i="8"/>
  <c r="L89" i="8"/>
  <c r="F20" i="15" s="1"/>
  <c r="K89" i="8"/>
  <c r="E20" i="15" s="1"/>
  <c r="J89" i="8"/>
  <c r="D20" i="15" s="1"/>
  <c r="I89" i="8"/>
  <c r="C20" i="15" s="1"/>
  <c r="H89" i="8"/>
  <c r="G89" i="8"/>
  <c r="F89" i="8"/>
  <c r="E89" i="8"/>
  <c r="D89" i="8"/>
  <c r="C89" i="8"/>
  <c r="L88" i="8"/>
  <c r="F19" i="15" s="1"/>
  <c r="K88" i="8"/>
  <c r="E19" i="15" s="1"/>
  <c r="J88" i="8"/>
  <c r="D19" i="15" s="1"/>
  <c r="I88" i="8"/>
  <c r="C19" i="15" s="1"/>
  <c r="H88" i="8"/>
  <c r="G88" i="8"/>
  <c r="F88" i="8"/>
  <c r="E88" i="8"/>
  <c r="D88" i="8"/>
  <c r="C88" i="8"/>
  <c r="L87" i="8"/>
  <c r="F18" i="15" s="1"/>
  <c r="K87" i="8"/>
  <c r="E18" i="15" s="1"/>
  <c r="J87" i="8"/>
  <c r="D18" i="15" s="1"/>
  <c r="I87" i="8"/>
  <c r="C18" i="15" s="1"/>
  <c r="H87" i="8"/>
  <c r="G87" i="8"/>
  <c r="F87" i="8"/>
  <c r="E87" i="8"/>
  <c r="D87" i="8"/>
  <c r="C87" i="8"/>
  <c r="L86" i="8"/>
  <c r="F17" i="15" s="1"/>
  <c r="K86" i="8"/>
  <c r="E17" i="15" s="1"/>
  <c r="J86" i="8"/>
  <c r="D17" i="15" s="1"/>
  <c r="I86" i="8"/>
  <c r="C17" i="15" s="1"/>
  <c r="H86" i="8"/>
  <c r="G86" i="8"/>
  <c r="F86" i="8"/>
  <c r="E86" i="8"/>
  <c r="D86" i="8"/>
  <c r="C86" i="8"/>
  <c r="L82" i="8"/>
  <c r="F13" i="15" s="1"/>
  <c r="K82" i="8"/>
  <c r="E13" i="15" s="1"/>
  <c r="J82" i="8"/>
  <c r="D13" i="15" s="1"/>
  <c r="I82" i="8"/>
  <c r="C13" i="15" s="1"/>
  <c r="H82" i="8"/>
  <c r="G82" i="8"/>
  <c r="F82" i="8"/>
  <c r="E82" i="8"/>
  <c r="D82" i="8"/>
  <c r="C82" i="8"/>
  <c r="L81" i="8"/>
  <c r="F12" i="15" s="1"/>
  <c r="K81" i="8"/>
  <c r="E12" i="15" s="1"/>
  <c r="J81" i="8"/>
  <c r="D12" i="15" s="1"/>
  <c r="I81" i="8"/>
  <c r="C12" i="15" s="1"/>
  <c r="H81" i="8"/>
  <c r="G81" i="8"/>
  <c r="F81" i="8"/>
  <c r="E81" i="8"/>
  <c r="D81" i="8"/>
  <c r="C81" i="8"/>
  <c r="L80" i="8"/>
  <c r="F11" i="15" s="1"/>
  <c r="K80" i="8"/>
  <c r="E11" i="15" s="1"/>
  <c r="J80" i="8"/>
  <c r="D11" i="15" s="1"/>
  <c r="I80" i="8"/>
  <c r="C11" i="15" s="1"/>
  <c r="H80" i="8"/>
  <c r="G80" i="8"/>
  <c r="F80" i="8"/>
  <c r="E80" i="8"/>
  <c r="D80" i="8"/>
  <c r="C80" i="8"/>
  <c r="L79" i="8"/>
  <c r="F10" i="15" s="1"/>
  <c r="K79" i="8"/>
  <c r="E10" i="15" s="1"/>
  <c r="J79" i="8"/>
  <c r="D10" i="15" s="1"/>
  <c r="I79" i="8"/>
  <c r="C10" i="15" s="1"/>
  <c r="H79" i="8"/>
  <c r="G79" i="8"/>
  <c r="F79" i="8"/>
  <c r="E79" i="8"/>
  <c r="D79" i="8"/>
  <c r="C79" i="8"/>
  <c r="L78" i="8"/>
  <c r="F9" i="15" s="1"/>
  <c r="K78" i="8"/>
  <c r="E9" i="15" s="1"/>
  <c r="J78" i="8"/>
  <c r="D9" i="15" s="1"/>
  <c r="I78" i="8"/>
  <c r="C9" i="15" s="1"/>
  <c r="H78" i="8"/>
  <c r="G78" i="8"/>
  <c r="F78" i="8"/>
  <c r="E78" i="8"/>
  <c r="D78" i="8"/>
  <c r="C78" i="8"/>
  <c r="L77" i="8"/>
  <c r="F8" i="15" s="1"/>
  <c r="K77" i="8"/>
  <c r="E8" i="15" s="1"/>
  <c r="J77" i="8"/>
  <c r="D8" i="15" s="1"/>
  <c r="I77" i="8"/>
  <c r="C8" i="15" s="1"/>
  <c r="H77" i="8"/>
  <c r="G77" i="8"/>
  <c r="F77" i="8"/>
  <c r="E77" i="8"/>
  <c r="D77" i="8"/>
  <c r="C77" i="8"/>
  <c r="L76" i="8"/>
  <c r="F7" i="15" s="1"/>
  <c r="K76" i="8"/>
  <c r="E7" i="15" s="1"/>
  <c r="J76" i="8"/>
  <c r="D7" i="15" s="1"/>
  <c r="I76" i="8"/>
  <c r="C7" i="15" s="1"/>
  <c r="H76" i="8"/>
  <c r="G76" i="8"/>
  <c r="F76" i="8"/>
  <c r="E76" i="8"/>
  <c r="D76" i="8"/>
  <c r="C76" i="8"/>
  <c r="L62" i="8"/>
  <c r="F15" i="14" s="1"/>
  <c r="K62" i="8"/>
  <c r="E15" i="14" s="1"/>
  <c r="J62" i="8"/>
  <c r="D15" i="14" s="1"/>
  <c r="I62" i="8"/>
  <c r="C15" i="14" s="1"/>
  <c r="H62" i="8"/>
  <c r="G62" i="8"/>
  <c r="F62" i="8"/>
  <c r="E62" i="8"/>
  <c r="D62" i="8"/>
  <c r="C62" i="8"/>
  <c r="L67" i="8"/>
  <c r="F20" i="14" s="1"/>
  <c r="K67" i="8"/>
  <c r="E20" i="14" s="1"/>
  <c r="J67" i="8"/>
  <c r="D20" i="14" s="1"/>
  <c r="I67" i="8"/>
  <c r="C20" i="14" s="1"/>
  <c r="H67" i="8"/>
  <c r="G67" i="8"/>
  <c r="F67" i="8"/>
  <c r="E67" i="8"/>
  <c r="D67" i="8"/>
  <c r="C67" i="8"/>
  <c r="L66" i="8"/>
  <c r="F19" i="14" s="1"/>
  <c r="K66" i="8"/>
  <c r="E19" i="14" s="1"/>
  <c r="J66" i="8"/>
  <c r="D19" i="14" s="1"/>
  <c r="I66" i="8"/>
  <c r="C19" i="14" s="1"/>
  <c r="H66" i="8"/>
  <c r="G66" i="8"/>
  <c r="F66" i="8"/>
  <c r="E66" i="8"/>
  <c r="D66" i="8"/>
  <c r="C66" i="8"/>
  <c r="L65" i="8"/>
  <c r="F18" i="14" s="1"/>
  <c r="K65" i="8"/>
  <c r="E18" i="14" s="1"/>
  <c r="J65" i="8"/>
  <c r="D18" i="14" s="1"/>
  <c r="I65" i="8"/>
  <c r="C18" i="14" s="1"/>
  <c r="H65" i="8"/>
  <c r="G65" i="8"/>
  <c r="F65" i="8"/>
  <c r="F68" i="8" s="1"/>
  <c r="E65" i="8"/>
  <c r="D65" i="8"/>
  <c r="C65" i="8"/>
  <c r="L61" i="8"/>
  <c r="F14" i="14" s="1"/>
  <c r="K61" i="8"/>
  <c r="E14" i="14" s="1"/>
  <c r="J61" i="8"/>
  <c r="D14" i="14" s="1"/>
  <c r="I61" i="8"/>
  <c r="C14" i="14" s="1"/>
  <c r="H61" i="8"/>
  <c r="G61" i="8"/>
  <c r="F61" i="8"/>
  <c r="E61" i="8"/>
  <c r="D61" i="8"/>
  <c r="C61" i="8"/>
  <c r="L60" i="8"/>
  <c r="F13" i="14" s="1"/>
  <c r="K60" i="8"/>
  <c r="E13" i="14" s="1"/>
  <c r="J60" i="8"/>
  <c r="D13" i="14" s="1"/>
  <c r="I60" i="8"/>
  <c r="C13" i="14" s="1"/>
  <c r="H60" i="8"/>
  <c r="G60" i="8"/>
  <c r="F60" i="8"/>
  <c r="E60" i="8"/>
  <c r="D60" i="8"/>
  <c r="C60" i="8"/>
  <c r="L59" i="8"/>
  <c r="F12" i="14" s="1"/>
  <c r="F16" i="14" s="1"/>
  <c r="K59" i="8"/>
  <c r="E12" i="14" s="1"/>
  <c r="J59" i="8"/>
  <c r="D12" i="14" s="1"/>
  <c r="I59" i="8"/>
  <c r="C12" i="14" s="1"/>
  <c r="H59" i="8"/>
  <c r="H63" i="8" s="1"/>
  <c r="G59" i="8"/>
  <c r="F59" i="8"/>
  <c r="E59" i="8"/>
  <c r="D59" i="8"/>
  <c r="D63" i="8" s="1"/>
  <c r="C59" i="8"/>
  <c r="L57" i="8"/>
  <c r="K57" i="8"/>
  <c r="J57" i="8"/>
  <c r="I57" i="8"/>
  <c r="H57" i="8"/>
  <c r="G57" i="8"/>
  <c r="F57" i="8"/>
  <c r="E57" i="8"/>
  <c r="D57" i="8"/>
  <c r="C57" i="8"/>
  <c r="L56" i="8"/>
  <c r="F9" i="14" s="1"/>
  <c r="K56" i="8"/>
  <c r="E9" i="14" s="1"/>
  <c r="J56" i="8"/>
  <c r="D9" i="14" s="1"/>
  <c r="I56" i="8"/>
  <c r="C9" i="14" s="1"/>
  <c r="H56" i="8"/>
  <c r="G56" i="8"/>
  <c r="F56" i="8"/>
  <c r="E56" i="8"/>
  <c r="D56" i="8"/>
  <c r="C56" i="8"/>
  <c r="L55" i="8"/>
  <c r="F8" i="14" s="1"/>
  <c r="K55" i="8"/>
  <c r="E8" i="14" s="1"/>
  <c r="J55" i="8"/>
  <c r="D8" i="14" s="1"/>
  <c r="I55" i="8"/>
  <c r="C8" i="14" s="1"/>
  <c r="H55" i="8"/>
  <c r="G55" i="8"/>
  <c r="F55" i="8"/>
  <c r="E55" i="8"/>
  <c r="D55" i="8"/>
  <c r="C55" i="8"/>
  <c r="L54" i="8"/>
  <c r="F7" i="14" s="1"/>
  <c r="K54" i="8"/>
  <c r="E7" i="14" s="1"/>
  <c r="J54" i="8"/>
  <c r="D7" i="14" s="1"/>
  <c r="I54" i="8"/>
  <c r="C7" i="14" s="1"/>
  <c r="H54" i="8"/>
  <c r="G54" i="8"/>
  <c r="F54" i="8"/>
  <c r="E54" i="8"/>
  <c r="D54" i="8"/>
  <c r="C54" i="8"/>
  <c r="L53" i="8"/>
  <c r="F6" i="14" s="1"/>
  <c r="K53" i="8"/>
  <c r="E6" i="14" s="1"/>
  <c r="J53" i="8"/>
  <c r="D6" i="14" s="1"/>
  <c r="D10" i="14" s="1"/>
  <c r="I53" i="8"/>
  <c r="C6" i="14" s="1"/>
  <c r="H53" i="8"/>
  <c r="G53" i="8"/>
  <c r="F53" i="8"/>
  <c r="E53" i="8"/>
  <c r="D53" i="8"/>
  <c r="C53" i="8"/>
  <c r="D42" i="8"/>
  <c r="D47" i="8" s="1"/>
  <c r="E42" i="8"/>
  <c r="E47" i="8" s="1"/>
  <c r="F42" i="8"/>
  <c r="F47" i="8" s="1"/>
  <c r="G42" i="8"/>
  <c r="G47" i="8" s="1"/>
  <c r="H42" i="8"/>
  <c r="H47" i="8" s="1"/>
  <c r="I42" i="8"/>
  <c r="J42" i="8"/>
  <c r="K42" i="8"/>
  <c r="L42" i="8"/>
  <c r="C42" i="8"/>
  <c r="C47" i="8" s="1"/>
  <c r="M36" i="8"/>
  <c r="L36" i="8"/>
  <c r="F36" i="13" s="1"/>
  <c r="K36" i="8"/>
  <c r="E36" i="13" s="1"/>
  <c r="J36" i="8"/>
  <c r="D36" i="13" s="1"/>
  <c r="I36" i="8"/>
  <c r="C36" i="13" s="1"/>
  <c r="H36" i="8"/>
  <c r="G36" i="8"/>
  <c r="F36" i="8"/>
  <c r="E36" i="8"/>
  <c r="D36" i="8"/>
  <c r="C36" i="8"/>
  <c r="M21" i="8"/>
  <c r="L21" i="8"/>
  <c r="F21" i="13" s="1"/>
  <c r="K21" i="8"/>
  <c r="E21" i="13" s="1"/>
  <c r="J21" i="8"/>
  <c r="D21" i="13" s="1"/>
  <c r="I21" i="8"/>
  <c r="C21" i="13" s="1"/>
  <c r="H21" i="8"/>
  <c r="G21" i="8"/>
  <c r="F21" i="8"/>
  <c r="E21" i="8"/>
  <c r="D21" i="8"/>
  <c r="C21" i="8"/>
  <c r="F27" i="13"/>
  <c r="E27" i="13"/>
  <c r="D27" i="13"/>
  <c r="C27" i="13"/>
  <c r="L15" i="8"/>
  <c r="F15" i="13" s="1"/>
  <c r="K15" i="8"/>
  <c r="E15" i="13" s="1"/>
  <c r="J15" i="8"/>
  <c r="D15" i="13" s="1"/>
  <c r="I15" i="8"/>
  <c r="C15" i="13" s="1"/>
  <c r="H15" i="8"/>
  <c r="G15" i="8"/>
  <c r="F15" i="8"/>
  <c r="E15" i="8"/>
  <c r="D15" i="8"/>
  <c r="C15" i="8"/>
  <c r="M9" i="8"/>
  <c r="L9" i="8"/>
  <c r="F9" i="13" s="1"/>
  <c r="K9" i="8"/>
  <c r="E9" i="13" s="1"/>
  <c r="J9" i="8"/>
  <c r="D9" i="13" s="1"/>
  <c r="I9" i="8"/>
  <c r="C9" i="13" s="1"/>
  <c r="H9" i="8"/>
  <c r="G9" i="8"/>
  <c r="F9" i="8"/>
  <c r="E9" i="8"/>
  <c r="D9" i="8"/>
  <c r="M6" i="8"/>
  <c r="M28" i="8" s="1"/>
  <c r="D6" i="8"/>
  <c r="E6" i="8"/>
  <c r="F6" i="8"/>
  <c r="G6" i="8"/>
  <c r="H6" i="8"/>
  <c r="I6" i="8"/>
  <c r="J6" i="8"/>
  <c r="K6" i="8"/>
  <c r="L6" i="8"/>
  <c r="C6" i="8"/>
  <c r="D3" i="8"/>
  <c r="E3" i="8"/>
  <c r="F3" i="8"/>
  <c r="G3" i="8"/>
  <c r="H3" i="8"/>
  <c r="I3" i="8"/>
  <c r="J3" i="8"/>
  <c r="K3" i="8"/>
  <c r="L3" i="8"/>
  <c r="C3" i="8"/>
  <c r="D21" i="14" l="1"/>
  <c r="K31" i="8"/>
  <c r="K28" i="8"/>
  <c r="J31" i="8"/>
  <c r="J28" i="8"/>
  <c r="F31" i="8"/>
  <c r="F28" i="8"/>
  <c r="L31" i="8"/>
  <c r="L28" i="8"/>
  <c r="H31" i="8"/>
  <c r="H28" i="8"/>
  <c r="D31" i="8"/>
  <c r="D28" i="8"/>
  <c r="G31" i="8"/>
  <c r="G28" i="8"/>
  <c r="C31" i="8"/>
  <c r="C28" i="8"/>
  <c r="I31" i="8"/>
  <c r="I28" i="8"/>
  <c r="E31" i="8"/>
  <c r="E28" i="8"/>
  <c r="F109" i="8"/>
  <c r="G9" i="11"/>
  <c r="M16" i="8"/>
  <c r="M31" i="8"/>
  <c r="E10" i="14"/>
  <c r="E63" i="8"/>
  <c r="C68" i="8"/>
  <c r="G68" i="8"/>
  <c r="E21" i="14"/>
  <c r="F9" i="11"/>
  <c r="F63" i="8"/>
  <c r="D40" i="15"/>
  <c r="E109" i="8"/>
  <c r="E98" i="8"/>
  <c r="F98" i="8"/>
  <c r="D29" i="15"/>
  <c r="C83" i="8"/>
  <c r="C39" i="11" s="1"/>
  <c r="G83" i="8"/>
  <c r="G41" i="11" s="1"/>
  <c r="I15" i="13"/>
  <c r="I36" i="13"/>
  <c r="G21" i="13"/>
  <c r="C63" i="8"/>
  <c r="G63" i="8"/>
  <c r="I27" i="13"/>
  <c r="F83" i="8"/>
  <c r="F39" i="11" s="1"/>
  <c r="D14" i="15"/>
  <c r="D98" i="8"/>
  <c r="H98" i="8"/>
  <c r="D109" i="8"/>
  <c r="H109" i="8"/>
  <c r="F40" i="15"/>
  <c r="C98" i="8"/>
  <c r="G98" i="8"/>
  <c r="E29" i="15"/>
  <c r="C109" i="8"/>
  <c r="G109" i="8"/>
  <c r="D9" i="11"/>
  <c r="F70" i="8"/>
  <c r="F72" i="8" s="1"/>
  <c r="D68" i="8"/>
  <c r="E68" i="8"/>
  <c r="H68" i="8"/>
  <c r="H70" i="8" s="1"/>
  <c r="H72" i="8" s="1"/>
  <c r="D83" i="8"/>
  <c r="D41" i="11" s="1"/>
  <c r="E83" i="8"/>
  <c r="E41" i="11" s="1"/>
  <c r="H83" i="8"/>
  <c r="H41" i="11" s="1"/>
  <c r="E14" i="15"/>
  <c r="G9" i="15"/>
  <c r="D70" i="8"/>
  <c r="D72" i="8" s="1"/>
  <c r="F4" i="15"/>
  <c r="G4" i="15" s="1"/>
  <c r="H4" i="15" s="1"/>
  <c r="I4" i="15" s="1"/>
  <c r="J4" i="15" s="1"/>
  <c r="K4" i="15" s="1"/>
  <c r="F4" i="14"/>
  <c r="G4" i="14" s="1"/>
  <c r="H4" i="14" s="1"/>
  <c r="I4" i="14" s="1"/>
  <c r="J4" i="14" s="1"/>
  <c r="K4" i="14" s="1"/>
  <c r="F4" i="13"/>
  <c r="G4" i="13" s="1"/>
  <c r="H4" i="13" s="1"/>
  <c r="I4" i="13" s="1"/>
  <c r="J4" i="13" s="1"/>
  <c r="K4" i="13" s="1"/>
  <c r="K47" i="8"/>
  <c r="E42" i="13"/>
  <c r="J7" i="14"/>
  <c r="I7" i="14"/>
  <c r="H7" i="14"/>
  <c r="G7" i="14"/>
  <c r="K7" i="14"/>
  <c r="I63" i="8"/>
  <c r="G8" i="15"/>
  <c r="J8" i="15"/>
  <c r="I8" i="15"/>
  <c r="H8" i="15"/>
  <c r="K8" i="15"/>
  <c r="G10" i="15"/>
  <c r="J10" i="15"/>
  <c r="I10" i="15"/>
  <c r="H10" i="15"/>
  <c r="K10" i="15"/>
  <c r="G12" i="15"/>
  <c r="J12" i="15"/>
  <c r="I12" i="15"/>
  <c r="H12" i="15"/>
  <c r="K12" i="15"/>
  <c r="J22" i="15"/>
  <c r="I22" i="15"/>
  <c r="H22" i="15"/>
  <c r="K22" i="15"/>
  <c r="G22" i="15"/>
  <c r="J26" i="15"/>
  <c r="I26" i="15"/>
  <c r="K26" i="15"/>
  <c r="H26" i="15"/>
  <c r="G26" i="15"/>
  <c r="K98" i="8"/>
  <c r="H34" i="15"/>
  <c r="K34" i="15"/>
  <c r="J34" i="15"/>
  <c r="G34" i="15"/>
  <c r="I34" i="15"/>
  <c r="H38" i="15"/>
  <c r="K38" i="15"/>
  <c r="I38" i="15"/>
  <c r="G38" i="15"/>
  <c r="J38" i="15"/>
  <c r="I109" i="8"/>
  <c r="K15" i="13"/>
  <c r="J9" i="13"/>
  <c r="G27" i="13"/>
  <c r="I21" i="13"/>
  <c r="K27" i="13"/>
  <c r="J27" i="13"/>
  <c r="K36" i="13"/>
  <c r="E4" i="14"/>
  <c r="E4" i="15"/>
  <c r="E4" i="13"/>
  <c r="C28" i="11"/>
  <c r="C31" i="11"/>
  <c r="C27" i="11"/>
  <c r="C30" i="11"/>
  <c r="C29" i="11"/>
  <c r="I10" i="8"/>
  <c r="C6" i="13"/>
  <c r="I30" i="11"/>
  <c r="I29" i="11"/>
  <c r="I36" i="11" s="1"/>
  <c r="I28" i="11"/>
  <c r="I35" i="11" s="1"/>
  <c r="I31" i="11"/>
  <c r="I27" i="11"/>
  <c r="I34" i="11" s="1"/>
  <c r="E10" i="8"/>
  <c r="E30" i="11"/>
  <c r="E29" i="11"/>
  <c r="E36" i="11" s="1"/>
  <c r="E28" i="11"/>
  <c r="E35" i="11" s="1"/>
  <c r="E27" i="11"/>
  <c r="E34" i="11" s="1"/>
  <c r="E31" i="11"/>
  <c r="D10" i="8"/>
  <c r="J47" i="8"/>
  <c r="D42" i="13"/>
  <c r="F10" i="14"/>
  <c r="D16" i="14"/>
  <c r="D23" i="14" s="1"/>
  <c r="F21" i="14"/>
  <c r="F23" i="14" s="1"/>
  <c r="J68" i="8"/>
  <c r="J63" i="8"/>
  <c r="F14" i="15"/>
  <c r="J83" i="8"/>
  <c r="F29" i="15"/>
  <c r="L98" i="8"/>
  <c r="J109" i="8"/>
  <c r="I9" i="13"/>
  <c r="G36" i="13"/>
  <c r="J16" i="8"/>
  <c r="J17" i="11" s="1"/>
  <c r="J29" i="11"/>
  <c r="J36" i="11" s="1"/>
  <c r="J28" i="11"/>
  <c r="J35" i="11" s="1"/>
  <c r="D6" i="13"/>
  <c r="D31" i="13" s="1"/>
  <c r="J31" i="11"/>
  <c r="J27" i="11"/>
  <c r="J34" i="11" s="1"/>
  <c r="J30" i="11"/>
  <c r="J9" i="14"/>
  <c r="H9" i="14"/>
  <c r="K9" i="14"/>
  <c r="G9" i="14"/>
  <c r="I9" i="14"/>
  <c r="J14" i="14"/>
  <c r="G14" i="14"/>
  <c r="I14" i="14"/>
  <c r="H14" i="14"/>
  <c r="K14" i="14"/>
  <c r="H31" i="11"/>
  <c r="H27" i="11"/>
  <c r="H34" i="11" s="1"/>
  <c r="H30" i="11"/>
  <c r="H29" i="11"/>
  <c r="H36" i="11" s="1"/>
  <c r="H28" i="11"/>
  <c r="H35" i="11" s="1"/>
  <c r="D31" i="11"/>
  <c r="D27" i="11"/>
  <c r="D34" i="11" s="1"/>
  <c r="D30" i="11"/>
  <c r="D29" i="11"/>
  <c r="D36" i="11" s="1"/>
  <c r="D28" i="11"/>
  <c r="D35" i="11" s="1"/>
  <c r="I47" i="8"/>
  <c r="C42" i="13"/>
  <c r="E9" i="11"/>
  <c r="G6" i="14"/>
  <c r="J6" i="14"/>
  <c r="C10" i="14"/>
  <c r="H6" i="14"/>
  <c r="I6" i="14"/>
  <c r="K6" i="14"/>
  <c r="I8" i="14"/>
  <c r="K8" i="14"/>
  <c r="G8" i="14"/>
  <c r="J8" i="14"/>
  <c r="H8" i="14"/>
  <c r="E16" i="14"/>
  <c r="K13" i="14"/>
  <c r="J13" i="14"/>
  <c r="G13" i="14"/>
  <c r="I13" i="14"/>
  <c r="H13" i="14"/>
  <c r="K18" i="14"/>
  <c r="H18" i="14"/>
  <c r="G18" i="14"/>
  <c r="J18" i="14"/>
  <c r="C21" i="14"/>
  <c r="I18" i="14"/>
  <c r="K20" i="14"/>
  <c r="J20" i="14"/>
  <c r="G20" i="14"/>
  <c r="H20" i="14"/>
  <c r="I20" i="14"/>
  <c r="K68" i="8"/>
  <c r="J15" i="14"/>
  <c r="G15" i="14"/>
  <c r="I15" i="14"/>
  <c r="K15" i="14"/>
  <c r="H15" i="14"/>
  <c r="K63" i="8"/>
  <c r="G7" i="15"/>
  <c r="H7" i="15"/>
  <c r="K7" i="15"/>
  <c r="J7" i="15"/>
  <c r="I7" i="15"/>
  <c r="C14" i="15"/>
  <c r="H9" i="15"/>
  <c r="K9" i="15"/>
  <c r="J9" i="15"/>
  <c r="I9" i="15"/>
  <c r="G11" i="15"/>
  <c r="H11" i="15"/>
  <c r="K11" i="15"/>
  <c r="J11" i="15"/>
  <c r="I11" i="15"/>
  <c r="G13" i="15"/>
  <c r="J13" i="15"/>
  <c r="I13" i="15"/>
  <c r="H13" i="15"/>
  <c r="K13" i="15"/>
  <c r="K83" i="8"/>
  <c r="G17" i="15"/>
  <c r="H17" i="15"/>
  <c r="K17" i="15"/>
  <c r="J17" i="15"/>
  <c r="I17" i="15"/>
  <c r="C29" i="15"/>
  <c r="H19" i="15"/>
  <c r="K19" i="15"/>
  <c r="J19" i="15"/>
  <c r="G19" i="15"/>
  <c r="I19" i="15"/>
  <c r="H21" i="15"/>
  <c r="G21" i="15"/>
  <c r="K21" i="15"/>
  <c r="J21" i="15"/>
  <c r="I21" i="15"/>
  <c r="H23" i="15"/>
  <c r="K23" i="15"/>
  <c r="G23" i="15"/>
  <c r="J23" i="15"/>
  <c r="I23" i="15"/>
  <c r="H25" i="15"/>
  <c r="G25" i="15"/>
  <c r="K25" i="15"/>
  <c r="J25" i="15"/>
  <c r="I25" i="15"/>
  <c r="H27" i="15"/>
  <c r="K27" i="15"/>
  <c r="J27" i="15"/>
  <c r="G27" i="15"/>
  <c r="I27" i="15"/>
  <c r="I98" i="8"/>
  <c r="E40" i="15"/>
  <c r="J33" i="15"/>
  <c r="G33" i="15"/>
  <c r="I33" i="15"/>
  <c r="K33" i="15"/>
  <c r="H33" i="15"/>
  <c r="J35" i="15"/>
  <c r="I35" i="15"/>
  <c r="H35" i="15"/>
  <c r="G35" i="15"/>
  <c r="K35" i="15"/>
  <c r="J37" i="15"/>
  <c r="G37" i="15"/>
  <c r="I37" i="15"/>
  <c r="H37" i="15"/>
  <c r="K37" i="15"/>
  <c r="J39" i="15"/>
  <c r="I39" i="15"/>
  <c r="H39" i="15"/>
  <c r="G39" i="15"/>
  <c r="K39" i="15"/>
  <c r="K109" i="8"/>
  <c r="G15" i="13"/>
  <c r="G9" i="13"/>
  <c r="J21" i="13"/>
  <c r="K9" i="13"/>
  <c r="K21" i="13"/>
  <c r="H27" i="13"/>
  <c r="J15" i="13"/>
  <c r="J36" i="13"/>
  <c r="F16" i="8"/>
  <c r="F17" i="11" s="1"/>
  <c r="F29" i="11"/>
  <c r="F36" i="11" s="1"/>
  <c r="F28" i="11"/>
  <c r="F35" i="11" s="1"/>
  <c r="F31" i="11"/>
  <c r="F27" i="11"/>
  <c r="F34" i="11" s="1"/>
  <c r="F30" i="11"/>
  <c r="C16" i="14"/>
  <c r="G12" i="14"/>
  <c r="K12" i="14"/>
  <c r="J12" i="14"/>
  <c r="I12" i="14"/>
  <c r="H12" i="14"/>
  <c r="K19" i="14"/>
  <c r="K21" i="14" s="1"/>
  <c r="G19" i="14"/>
  <c r="J19" i="14"/>
  <c r="I19" i="14"/>
  <c r="H19" i="14"/>
  <c r="I68" i="8"/>
  <c r="I83" i="8"/>
  <c r="J18" i="15"/>
  <c r="I18" i="15"/>
  <c r="G18" i="15"/>
  <c r="K18" i="15"/>
  <c r="H18" i="15"/>
  <c r="J20" i="15"/>
  <c r="I20" i="15"/>
  <c r="G20" i="15"/>
  <c r="H20" i="15"/>
  <c r="K20" i="15"/>
  <c r="J24" i="15"/>
  <c r="I24" i="15"/>
  <c r="G24" i="15"/>
  <c r="H24" i="15"/>
  <c r="K24" i="15"/>
  <c r="J28" i="15"/>
  <c r="I28" i="15"/>
  <c r="G28" i="15"/>
  <c r="H28" i="15"/>
  <c r="K28" i="15"/>
  <c r="C40" i="15"/>
  <c r="H32" i="15"/>
  <c r="K32" i="15"/>
  <c r="G32" i="15"/>
  <c r="J32" i="15"/>
  <c r="I32" i="15"/>
  <c r="H36" i="15"/>
  <c r="K36" i="15"/>
  <c r="G36" i="15"/>
  <c r="J36" i="15"/>
  <c r="I36" i="15"/>
  <c r="D4" i="15"/>
  <c r="D4" i="14"/>
  <c r="D4" i="13"/>
  <c r="F6" i="13"/>
  <c r="L31" i="11"/>
  <c r="L27" i="11"/>
  <c r="L34" i="11" s="1"/>
  <c r="L30" i="11"/>
  <c r="L29" i="11"/>
  <c r="L36" i="11" s="1"/>
  <c r="L28" i="11"/>
  <c r="L35" i="11" s="1"/>
  <c r="C4" i="15"/>
  <c r="C4" i="14"/>
  <c r="C4" i="13"/>
  <c r="K28" i="11"/>
  <c r="K35" i="11" s="1"/>
  <c r="E6" i="13"/>
  <c r="K31" i="11"/>
  <c r="K27" i="11"/>
  <c r="K34" i="11" s="1"/>
  <c r="K30" i="11"/>
  <c r="K29" i="11"/>
  <c r="K36" i="11" s="1"/>
  <c r="G28" i="11"/>
  <c r="G35" i="11" s="1"/>
  <c r="G31" i="11"/>
  <c r="G27" i="11"/>
  <c r="G34" i="11" s="1"/>
  <c r="G30" i="11"/>
  <c r="G29" i="11"/>
  <c r="G36" i="11" s="1"/>
  <c r="L47" i="8"/>
  <c r="F42" i="13"/>
  <c r="H9" i="11"/>
  <c r="L68" i="8"/>
  <c r="L63" i="8"/>
  <c r="L83" i="8"/>
  <c r="J98" i="8"/>
  <c r="L109" i="8"/>
  <c r="H15" i="13"/>
  <c r="H9" i="13"/>
  <c r="H21" i="13"/>
  <c r="H36" i="13"/>
  <c r="K12" i="8"/>
  <c r="K18" i="8" s="1"/>
  <c r="G12" i="8"/>
  <c r="G18" i="8" s="1"/>
  <c r="F10" i="8"/>
  <c r="C12" i="8"/>
  <c r="C18" i="8" s="1"/>
  <c r="E22" i="8"/>
  <c r="E18" i="11" s="1"/>
  <c r="I22" i="8"/>
  <c r="I18" i="11" s="1"/>
  <c r="J10" i="8"/>
  <c r="C10" i="8"/>
  <c r="G10" i="8"/>
  <c r="K10" i="8"/>
  <c r="J22" i="8"/>
  <c r="J18" i="11" s="1"/>
  <c r="M42" i="8"/>
  <c r="M47" i="8" s="1"/>
  <c r="H10" i="8"/>
  <c r="L10" i="8"/>
  <c r="C22" i="8"/>
  <c r="C18" i="11" s="1"/>
  <c r="G22" i="8"/>
  <c r="G18" i="11" s="1"/>
  <c r="K22" i="8"/>
  <c r="K18" i="11" s="1"/>
  <c r="F7" i="8"/>
  <c r="F5" i="11" s="1"/>
  <c r="D16" i="8"/>
  <c r="D17" i="11" s="1"/>
  <c r="H16" i="8"/>
  <c r="H17" i="11" s="1"/>
  <c r="L16" i="8"/>
  <c r="L17" i="11" s="1"/>
  <c r="D22" i="8"/>
  <c r="D18" i="11" s="1"/>
  <c r="H22" i="8"/>
  <c r="H18" i="11" s="1"/>
  <c r="L22" i="8"/>
  <c r="L18" i="11" s="1"/>
  <c r="G13" i="8"/>
  <c r="G11" i="11" s="1"/>
  <c r="J7" i="8"/>
  <c r="E16" i="8"/>
  <c r="E17" i="11" s="1"/>
  <c r="I16" i="8"/>
  <c r="I17" i="11" s="1"/>
  <c r="C16" i="8"/>
  <c r="C17" i="11" s="1"/>
  <c r="H12" i="8"/>
  <c r="K16" i="8"/>
  <c r="K17" i="11" s="1"/>
  <c r="M22" i="8"/>
  <c r="D7" i="8"/>
  <c r="D5" i="11" s="1"/>
  <c r="H7" i="8"/>
  <c r="H5" i="11" s="1"/>
  <c r="L7" i="8"/>
  <c r="E12" i="8"/>
  <c r="I12" i="8"/>
  <c r="M12" i="8"/>
  <c r="F22" i="8"/>
  <c r="F18" i="11" s="1"/>
  <c r="G7" i="8"/>
  <c r="G5" i="11" s="1"/>
  <c r="K7" i="8"/>
  <c r="D12" i="8"/>
  <c r="L12" i="8"/>
  <c r="G16" i="8"/>
  <c r="G17" i="11" s="1"/>
  <c r="E7" i="8"/>
  <c r="E5" i="11" s="1"/>
  <c r="I7" i="8"/>
  <c r="M7" i="8"/>
  <c r="F12" i="8"/>
  <c r="J12" i="8"/>
  <c r="M10" i="8"/>
  <c r="B6" i="6"/>
  <c r="D38" i="26" s="1"/>
  <c r="E1" i="6"/>
  <c r="E12" i="13" l="1"/>
  <c r="E31" i="13"/>
  <c r="F16" i="13"/>
  <c r="F31" i="13"/>
  <c r="C28" i="13"/>
  <c r="C31" i="13"/>
  <c r="G70" i="8"/>
  <c r="G72" i="8" s="1"/>
  <c r="K16" i="14"/>
  <c r="K23" i="14" s="1"/>
  <c r="E23" i="14"/>
  <c r="J16" i="14"/>
  <c r="F111" i="8"/>
  <c r="C41" i="11"/>
  <c r="C70" i="8"/>
  <c r="C72" i="8" s="1"/>
  <c r="F40" i="11"/>
  <c r="E70" i="8"/>
  <c r="E72" i="8" s="1"/>
  <c r="G39" i="11"/>
  <c r="I16" i="14"/>
  <c r="H37" i="11"/>
  <c r="H39" i="11"/>
  <c r="H16" i="14"/>
  <c r="G10" i="14"/>
  <c r="C16" i="13"/>
  <c r="G111" i="8"/>
  <c r="F41" i="11"/>
  <c r="D42" i="15"/>
  <c r="E111" i="8"/>
  <c r="K34" i="8"/>
  <c r="K14" i="11" s="1"/>
  <c r="J37" i="25"/>
  <c r="I70" i="8"/>
  <c r="I72" i="8" s="1"/>
  <c r="H40" i="11"/>
  <c r="E42" i="15"/>
  <c r="H111" i="8"/>
  <c r="E39" i="11"/>
  <c r="C111" i="8"/>
  <c r="K111" i="8"/>
  <c r="D111" i="8"/>
  <c r="D39" i="11"/>
  <c r="L70" i="8"/>
  <c r="L72" i="8" s="1"/>
  <c r="F37" i="11"/>
  <c r="J21" i="14"/>
  <c r="I10" i="14"/>
  <c r="D22" i="13"/>
  <c r="D28" i="13"/>
  <c r="J37" i="11"/>
  <c r="F42" i="15"/>
  <c r="I37" i="11"/>
  <c r="K40" i="15"/>
  <c r="K14" i="15"/>
  <c r="C19" i="8"/>
  <c r="C12" i="11" s="1"/>
  <c r="C25" i="11"/>
  <c r="C21" i="11"/>
  <c r="C13" i="11"/>
  <c r="F7" i="13"/>
  <c r="L5" i="11"/>
  <c r="C13" i="8"/>
  <c r="C11" i="11" s="1"/>
  <c r="L111" i="8"/>
  <c r="G37" i="11"/>
  <c r="I40" i="15"/>
  <c r="H40" i="15"/>
  <c r="H14" i="15"/>
  <c r="G21" i="14"/>
  <c r="J10" i="14"/>
  <c r="C47" i="13"/>
  <c r="I9" i="11"/>
  <c r="C22" i="13"/>
  <c r="O31" i="11"/>
  <c r="N31" i="11"/>
  <c r="F22" i="13"/>
  <c r="D16" i="13"/>
  <c r="L41" i="11"/>
  <c r="L39" i="11"/>
  <c r="F12" i="13"/>
  <c r="F28" i="13"/>
  <c r="I41" i="11"/>
  <c r="I39" i="11"/>
  <c r="I29" i="15"/>
  <c r="G42" i="13"/>
  <c r="J42" i="13"/>
  <c r="H42" i="13"/>
  <c r="K42" i="13"/>
  <c r="I42" i="13"/>
  <c r="O27" i="11"/>
  <c r="N27" i="11"/>
  <c r="C34" i="11"/>
  <c r="E47" i="13"/>
  <c r="K9" i="11"/>
  <c r="C7" i="13"/>
  <c r="I5" i="11"/>
  <c r="D7" i="13"/>
  <c r="J5" i="11"/>
  <c r="O18" i="11"/>
  <c r="N18" i="11"/>
  <c r="J40" i="15"/>
  <c r="G16" i="14"/>
  <c r="J29" i="15"/>
  <c r="G29" i="15"/>
  <c r="I14" i="15"/>
  <c r="I21" i="14"/>
  <c r="H21" i="14"/>
  <c r="H10" i="14"/>
  <c r="D37" i="11"/>
  <c r="J70" i="8"/>
  <c r="J72" i="8" s="1"/>
  <c r="O29" i="11"/>
  <c r="N29" i="11"/>
  <c r="C36" i="11"/>
  <c r="O28" i="11"/>
  <c r="N28" i="11"/>
  <c r="C35" i="11"/>
  <c r="E28" i="13"/>
  <c r="G40" i="11"/>
  <c r="E10" i="13"/>
  <c r="K19" i="8"/>
  <c r="K12" i="11" s="1"/>
  <c r="K13" i="11"/>
  <c r="K19" i="11" s="1"/>
  <c r="K21" i="11"/>
  <c r="K25" i="11"/>
  <c r="F47" i="13"/>
  <c r="L9" i="11"/>
  <c r="H29" i="15"/>
  <c r="K70" i="8"/>
  <c r="K72" i="8" s="1"/>
  <c r="C12" i="13"/>
  <c r="H6" i="13"/>
  <c r="K6" i="13"/>
  <c r="J6" i="13"/>
  <c r="J31" i="13" s="1"/>
  <c r="I6" i="13"/>
  <c r="I31" i="13" s="1"/>
  <c r="G6" i="13"/>
  <c r="G31" i="13" s="1"/>
  <c r="E7" i="13"/>
  <c r="K5" i="11"/>
  <c r="O17" i="11"/>
  <c r="N17" i="11"/>
  <c r="K13" i="8"/>
  <c r="K11" i="11" s="1"/>
  <c r="C34" i="8"/>
  <c r="C14" i="11" s="1"/>
  <c r="G19" i="8"/>
  <c r="G12" i="11" s="1"/>
  <c r="G13" i="11"/>
  <c r="G19" i="11" s="1"/>
  <c r="G25" i="11"/>
  <c r="G21" i="11"/>
  <c r="K37" i="11"/>
  <c r="L37" i="11"/>
  <c r="G40" i="15"/>
  <c r="C42" i="15"/>
  <c r="K29" i="15"/>
  <c r="K39" i="11"/>
  <c r="K41" i="11"/>
  <c r="J14" i="15"/>
  <c r="G14" i="15"/>
  <c r="C23" i="14"/>
  <c r="K10" i="14"/>
  <c r="D12" i="13"/>
  <c r="D10" i="13"/>
  <c r="J111" i="8"/>
  <c r="J39" i="11"/>
  <c r="J41" i="11"/>
  <c r="D47" i="13"/>
  <c r="J9" i="11"/>
  <c r="E37" i="11"/>
  <c r="N30" i="11"/>
  <c r="O30" i="11"/>
  <c r="I111" i="8"/>
  <c r="F10" i="13"/>
  <c r="E22" i="13"/>
  <c r="E16" i="13"/>
  <c r="D40" i="11"/>
  <c r="C10" i="13"/>
  <c r="L18" i="8"/>
  <c r="K37" i="25" s="1"/>
  <c r="L13" i="8"/>
  <c r="L11" i="11" s="1"/>
  <c r="K37" i="8"/>
  <c r="D18" i="8"/>
  <c r="D13" i="8"/>
  <c r="D11" i="11" s="1"/>
  <c r="M18" i="8"/>
  <c r="M13" i="8"/>
  <c r="G39" i="8"/>
  <c r="G34" i="8"/>
  <c r="G14" i="11" s="1"/>
  <c r="G37" i="8"/>
  <c r="I18" i="8"/>
  <c r="H37" i="25" s="1"/>
  <c r="I13" i="8"/>
  <c r="I11" i="11" s="1"/>
  <c r="J18" i="8"/>
  <c r="J13" i="8"/>
  <c r="J11" i="11" s="1"/>
  <c r="H18" i="8"/>
  <c r="G37" i="25" s="1"/>
  <c r="H13" i="8"/>
  <c r="H11" i="11" s="1"/>
  <c r="F18" i="8"/>
  <c r="F13" i="8"/>
  <c r="F11" i="11" s="1"/>
  <c r="E18" i="8"/>
  <c r="E13" i="8"/>
  <c r="E11" i="11" s="1"/>
  <c r="K28" i="13" l="1"/>
  <c r="K31" i="13"/>
  <c r="H22" i="13"/>
  <c r="H31" i="13"/>
  <c r="E18" i="13"/>
  <c r="E13" i="13"/>
  <c r="K40" i="11"/>
  <c r="J23" i="14"/>
  <c r="E40" i="11"/>
  <c r="C40" i="11"/>
  <c r="H23" i="14"/>
  <c r="I23" i="14"/>
  <c r="C39" i="8"/>
  <c r="C23" i="11" s="1"/>
  <c r="J40" i="11"/>
  <c r="H10" i="13"/>
  <c r="L40" i="11"/>
  <c r="C37" i="8"/>
  <c r="K39" i="8"/>
  <c r="K42" i="15"/>
  <c r="I40" i="11"/>
  <c r="O39" i="11"/>
  <c r="K6" i="11"/>
  <c r="I37" i="25"/>
  <c r="H46" i="25"/>
  <c r="H48" i="25" s="1"/>
  <c r="H52" i="25" s="1"/>
  <c r="H39" i="25"/>
  <c r="H60" i="25" s="1"/>
  <c r="K46" i="25"/>
  <c r="K48" i="25" s="1"/>
  <c r="K52" i="25" s="1"/>
  <c r="K59" i="25" s="1"/>
  <c r="K39" i="25"/>
  <c r="K60" i="25" s="1"/>
  <c r="J46" i="25"/>
  <c r="J48" i="25" s="1"/>
  <c r="J52" i="25" s="1"/>
  <c r="J59" i="25" s="1"/>
  <c r="J39" i="25"/>
  <c r="J60" i="25" s="1"/>
  <c r="G46" i="25"/>
  <c r="G48" i="25" s="1"/>
  <c r="G39" i="25"/>
  <c r="N41" i="11"/>
  <c r="O41" i="11"/>
  <c r="G42" i="15"/>
  <c r="N5" i="11"/>
  <c r="N39" i="11"/>
  <c r="N9" i="11"/>
  <c r="F13" i="13"/>
  <c r="F18" i="13"/>
  <c r="F25" i="11"/>
  <c r="F21" i="11"/>
  <c r="F13" i="11"/>
  <c r="F19" i="11" s="1"/>
  <c r="F6" i="11"/>
  <c r="G23" i="11"/>
  <c r="D25" i="11"/>
  <c r="D21" i="11"/>
  <c r="D6" i="11"/>
  <c r="D13" i="11"/>
  <c r="D19" i="11" s="1"/>
  <c r="E48" i="13"/>
  <c r="D48" i="13"/>
  <c r="H28" i="13"/>
  <c r="H12" i="13"/>
  <c r="H7" i="13"/>
  <c r="H16" i="13"/>
  <c r="C19" i="11"/>
  <c r="K10" i="13"/>
  <c r="K22" i="13"/>
  <c r="K12" i="13"/>
  <c r="K16" i="13"/>
  <c r="K7" i="13"/>
  <c r="J47" i="13"/>
  <c r="G47" i="13"/>
  <c r="G48" i="13" s="1"/>
  <c r="H47" i="13"/>
  <c r="K47" i="13"/>
  <c r="I47" i="13"/>
  <c r="O5" i="11"/>
  <c r="J28" i="13"/>
  <c r="J10" i="13"/>
  <c r="J7" i="13"/>
  <c r="J12" i="13"/>
  <c r="J16" i="13"/>
  <c r="J22" i="13"/>
  <c r="C13" i="13"/>
  <c r="C18" i="13"/>
  <c r="H42" i="15"/>
  <c r="O11" i="11"/>
  <c r="N11" i="11"/>
  <c r="K23" i="11"/>
  <c r="I22" i="13"/>
  <c r="I10" i="13"/>
  <c r="I16" i="13"/>
  <c r="I12" i="13"/>
  <c r="I28" i="13"/>
  <c r="I7" i="13"/>
  <c r="O35" i="11"/>
  <c r="N35" i="11"/>
  <c r="C37" i="11"/>
  <c r="O34" i="11"/>
  <c r="N34" i="11"/>
  <c r="J25" i="11"/>
  <c r="J21" i="11"/>
  <c r="J13" i="11"/>
  <c r="J19" i="11" s="1"/>
  <c r="J6" i="11"/>
  <c r="I25" i="11"/>
  <c r="I21" i="11"/>
  <c r="I13" i="11"/>
  <c r="I19" i="11" s="1"/>
  <c r="I6" i="11"/>
  <c r="L25" i="11"/>
  <c r="L21" i="11"/>
  <c r="L13" i="11"/>
  <c r="L19" i="11" s="1"/>
  <c r="L6" i="11"/>
  <c r="E25" i="11"/>
  <c r="E6" i="11"/>
  <c r="E21" i="11"/>
  <c r="E13" i="11"/>
  <c r="E19" i="11" s="1"/>
  <c r="H25" i="11"/>
  <c r="H21" i="11"/>
  <c r="H6" i="11"/>
  <c r="H13" i="11"/>
  <c r="H19" i="11" s="1"/>
  <c r="D13" i="13"/>
  <c r="D18" i="13"/>
  <c r="G6" i="11"/>
  <c r="G12" i="13"/>
  <c r="G16" i="13"/>
  <c r="G7" i="13"/>
  <c r="G10" i="13"/>
  <c r="G28" i="13"/>
  <c r="G22" i="13"/>
  <c r="O36" i="11"/>
  <c r="N36" i="11"/>
  <c r="J42" i="15"/>
  <c r="F48" i="13"/>
  <c r="O9" i="11"/>
  <c r="G23" i="14"/>
  <c r="I42" i="15"/>
  <c r="E19" i="8"/>
  <c r="E12" i="11" s="1"/>
  <c r="H19" i="8"/>
  <c r="H12" i="11" s="1"/>
  <c r="H7" i="11"/>
  <c r="M19" i="8"/>
  <c r="F19" i="8"/>
  <c r="F12" i="11" s="1"/>
  <c r="J19" i="8"/>
  <c r="J12" i="11" s="1"/>
  <c r="G44" i="8"/>
  <c r="G40" i="8"/>
  <c r="G15" i="11" s="1"/>
  <c r="D19" i="8"/>
  <c r="D12" i="11" s="1"/>
  <c r="D7" i="11"/>
  <c r="K44" i="8"/>
  <c r="K40" i="8"/>
  <c r="K15" i="11" s="1"/>
  <c r="I19" i="8"/>
  <c r="I12" i="11" s="1"/>
  <c r="I7" i="11"/>
  <c r="L19" i="8"/>
  <c r="L12" i="11" s="1"/>
  <c r="L7" i="11"/>
  <c r="E19" i="13" l="1"/>
  <c r="E24" i="13"/>
  <c r="C40" i="8"/>
  <c r="C15" i="11" s="1"/>
  <c r="C44" i="8"/>
  <c r="C48" i="8" s="1"/>
  <c r="C50" i="8" s="1"/>
  <c r="C22" i="11" s="1"/>
  <c r="K48" i="13"/>
  <c r="O40" i="11"/>
  <c r="N40" i="11"/>
  <c r="K62" i="25"/>
  <c r="J62" i="25"/>
  <c r="H59" i="25"/>
  <c r="H62" i="25" s="1"/>
  <c r="H48" i="13"/>
  <c r="I46" i="25"/>
  <c r="I48" i="25" s="1"/>
  <c r="I52" i="25" s="1"/>
  <c r="I59" i="25" s="1"/>
  <c r="I39" i="25"/>
  <c r="I60" i="25" s="1"/>
  <c r="O12" i="11"/>
  <c r="N25" i="11"/>
  <c r="O21" i="11"/>
  <c r="F19" i="13"/>
  <c r="F24" i="13"/>
  <c r="F33" i="13" s="1"/>
  <c r="F7" i="11"/>
  <c r="G7" i="11"/>
  <c r="E7" i="11"/>
  <c r="O25" i="11"/>
  <c r="G18" i="13"/>
  <c r="G13" i="13"/>
  <c r="N12" i="11"/>
  <c r="O37" i="11"/>
  <c r="N37" i="11"/>
  <c r="I48" i="13"/>
  <c r="O19" i="11"/>
  <c r="N19" i="11"/>
  <c r="C24" i="13"/>
  <c r="C33" i="13" s="1"/>
  <c r="C19" i="13"/>
  <c r="J13" i="13"/>
  <c r="J18" i="13"/>
  <c r="I18" i="13"/>
  <c r="I13" i="13"/>
  <c r="N21" i="11"/>
  <c r="K18" i="13"/>
  <c r="K13" i="13"/>
  <c r="N13" i="11"/>
  <c r="H13" i="13"/>
  <c r="H18" i="13"/>
  <c r="J7" i="11"/>
  <c r="K7" i="11"/>
  <c r="D19" i="13"/>
  <c r="D24" i="13"/>
  <c r="D33" i="13" s="1"/>
  <c r="J48" i="13"/>
  <c r="O13" i="11"/>
  <c r="O6" i="11"/>
  <c r="N6" i="11"/>
  <c r="K48" i="8"/>
  <c r="K50" i="8" s="1"/>
  <c r="K22" i="11" s="1"/>
  <c r="K24" i="11" s="1"/>
  <c r="G48" i="8"/>
  <c r="G50" i="8" s="1"/>
  <c r="G22" i="11" s="1"/>
  <c r="G24" i="11" s="1"/>
  <c r="I39" i="8"/>
  <c r="I34" i="8"/>
  <c r="I14" i="11" s="1"/>
  <c r="I37" i="8"/>
  <c r="J34" i="8"/>
  <c r="J14" i="11" s="1"/>
  <c r="J39" i="8"/>
  <c r="J37" i="8"/>
  <c r="L37" i="8"/>
  <c r="L39" i="8"/>
  <c r="L34" i="8"/>
  <c r="L14" i="11" s="1"/>
  <c r="F34" i="8"/>
  <c r="F14" i="11" s="1"/>
  <c r="F39" i="8"/>
  <c r="F37" i="8"/>
  <c r="E39" i="8"/>
  <c r="E34" i="8"/>
  <c r="E14" i="11" s="1"/>
  <c r="E37" i="8"/>
  <c r="D37" i="8"/>
  <c r="D39" i="8"/>
  <c r="D34" i="8"/>
  <c r="D14" i="11" s="1"/>
  <c r="H37" i="8"/>
  <c r="H39" i="8"/>
  <c r="H34" i="8"/>
  <c r="H14" i="11" s="1"/>
  <c r="M39" i="8"/>
  <c r="M34" i="8"/>
  <c r="M37" i="8"/>
  <c r="E33" i="13" l="1"/>
  <c r="E25" i="13"/>
  <c r="K54" i="25"/>
  <c r="K55" i="25"/>
  <c r="F9" i="26" s="1"/>
  <c r="I62" i="25"/>
  <c r="K64" i="25" s="1"/>
  <c r="O7" i="11"/>
  <c r="N7" i="11"/>
  <c r="N14" i="11"/>
  <c r="O14" i="11"/>
  <c r="I19" i="13"/>
  <c r="I24" i="13"/>
  <c r="I33" i="13" s="1"/>
  <c r="C25" i="13"/>
  <c r="D23" i="11"/>
  <c r="D8" i="11"/>
  <c r="E23" i="11"/>
  <c r="E8" i="11"/>
  <c r="J23" i="11"/>
  <c r="J8" i="11"/>
  <c r="K8" i="11"/>
  <c r="I23" i="11"/>
  <c r="I8" i="11"/>
  <c r="C24" i="11"/>
  <c r="D25" i="13"/>
  <c r="H19" i="13"/>
  <c r="H24" i="13"/>
  <c r="H33" i="13" s="1"/>
  <c r="K24" i="13"/>
  <c r="K33" i="13" s="1"/>
  <c r="K19" i="13"/>
  <c r="J19" i="13"/>
  <c r="J24" i="13"/>
  <c r="J33" i="13" s="1"/>
  <c r="G19" i="13"/>
  <c r="G24" i="13"/>
  <c r="G33" i="13" s="1"/>
  <c r="F25" i="13"/>
  <c r="H23" i="11"/>
  <c r="H8" i="11"/>
  <c r="L23" i="11"/>
  <c r="L8" i="11"/>
  <c r="F23" i="11"/>
  <c r="F8" i="11"/>
  <c r="G8" i="11"/>
  <c r="H44" i="8"/>
  <c r="H40" i="8"/>
  <c r="H15" i="11" s="1"/>
  <c r="L44" i="8"/>
  <c r="L40" i="8"/>
  <c r="L15" i="11" s="1"/>
  <c r="F40" i="8"/>
  <c r="F15" i="11" s="1"/>
  <c r="F44" i="8"/>
  <c r="M44" i="8"/>
  <c r="M40" i="8"/>
  <c r="D44" i="8"/>
  <c r="D40" i="8"/>
  <c r="D15" i="11" s="1"/>
  <c r="E44" i="8"/>
  <c r="E40" i="8"/>
  <c r="E15" i="11" s="1"/>
  <c r="J40" i="8"/>
  <c r="J15" i="11" s="1"/>
  <c r="J44" i="8"/>
  <c r="I44" i="8"/>
  <c r="I40" i="8"/>
  <c r="I15" i="11" s="1"/>
  <c r="E39" i="13" l="1"/>
  <c r="E34" i="13"/>
  <c r="E37" i="13"/>
  <c r="K65" i="25"/>
  <c r="F10" i="26"/>
  <c r="N8" i="11"/>
  <c r="O8" i="11"/>
  <c r="I25" i="13"/>
  <c r="K25" i="13"/>
  <c r="N23" i="11"/>
  <c r="O23" i="11"/>
  <c r="N15" i="11"/>
  <c r="O15" i="11"/>
  <c r="D39" i="13"/>
  <c r="D34" i="13"/>
  <c r="D37" i="13"/>
  <c r="J25" i="13"/>
  <c r="H25" i="13"/>
  <c r="G25" i="13"/>
  <c r="F39" i="13"/>
  <c r="F34" i="13"/>
  <c r="F37" i="13"/>
  <c r="C37" i="13"/>
  <c r="C34" i="13"/>
  <c r="C39" i="13"/>
  <c r="I45" i="8"/>
  <c r="C45" i="13" s="1"/>
  <c r="I48" i="8"/>
  <c r="C48" i="13" s="1"/>
  <c r="E45" i="8"/>
  <c r="E48" i="8"/>
  <c r="E50" i="8" s="1"/>
  <c r="E22" i="11" s="1"/>
  <c r="E24" i="11" s="1"/>
  <c r="M45" i="8"/>
  <c r="M48" i="8"/>
  <c r="M50" i="8" s="1"/>
  <c r="L45" i="8"/>
  <c r="L48" i="8"/>
  <c r="L50" i="8" s="1"/>
  <c r="L22" i="11" s="1"/>
  <c r="L24" i="11" s="1"/>
  <c r="J45" i="8"/>
  <c r="J48" i="8"/>
  <c r="J50" i="8" s="1"/>
  <c r="J22" i="11" s="1"/>
  <c r="J24" i="11" s="1"/>
  <c r="K45" i="8"/>
  <c r="F45" i="8"/>
  <c r="F48" i="8"/>
  <c r="F50" i="8" s="1"/>
  <c r="F22" i="11" s="1"/>
  <c r="F24" i="11" s="1"/>
  <c r="G45" i="8"/>
  <c r="D45" i="8"/>
  <c r="D48" i="8"/>
  <c r="D50" i="8" s="1"/>
  <c r="D22" i="11" s="1"/>
  <c r="H45" i="8"/>
  <c r="H48" i="8"/>
  <c r="H50" i="8" s="1"/>
  <c r="H22" i="11" s="1"/>
  <c r="H24" i="11" s="1"/>
  <c r="E40" i="13" l="1"/>
  <c r="E44" i="13"/>
  <c r="E50" i="13" s="1"/>
  <c r="I50" i="8"/>
  <c r="I22" i="11" s="1"/>
  <c r="I24" i="11" s="1"/>
  <c r="G10" i="26"/>
  <c r="J39" i="13"/>
  <c r="J34" i="13"/>
  <c r="J37" i="13"/>
  <c r="C40" i="13"/>
  <c r="C44" i="13"/>
  <c r="C50" i="13" s="1"/>
  <c r="G39" i="13"/>
  <c r="G37" i="13"/>
  <c r="G34" i="13"/>
  <c r="H39" i="13"/>
  <c r="H34" i="13"/>
  <c r="H37" i="13"/>
  <c r="I39" i="13"/>
  <c r="I34" i="13"/>
  <c r="I37" i="13"/>
  <c r="D24" i="11"/>
  <c r="N22" i="11"/>
  <c r="F44" i="13"/>
  <c r="F50" i="13" s="1"/>
  <c r="F40" i="13"/>
  <c r="K39" i="13"/>
  <c r="K34" i="13"/>
  <c r="K37" i="13"/>
  <c r="D40" i="13"/>
  <c r="D44" i="13"/>
  <c r="D50" i="13" s="1"/>
  <c r="O22" i="11" l="1"/>
  <c r="H10" i="26"/>
  <c r="G44" i="13"/>
  <c r="G50" i="13" s="1"/>
  <c r="G40" i="13"/>
  <c r="H44" i="13"/>
  <c r="H50" i="13" s="1"/>
  <c r="H40" i="13"/>
  <c r="F45" i="13"/>
  <c r="J44" i="13"/>
  <c r="J50" i="13" s="1"/>
  <c r="J40" i="13"/>
  <c r="E45" i="13"/>
  <c r="D45" i="13"/>
  <c r="K40" i="13"/>
  <c r="K44" i="13"/>
  <c r="K50" i="13" s="1"/>
  <c r="I40" i="13"/>
  <c r="I44" i="13"/>
  <c r="I50" i="13" s="1"/>
  <c r="N24" i="11"/>
  <c r="O24" i="11"/>
  <c r="J10" i="26" l="1"/>
  <c r="I10" i="26"/>
  <c r="K45" i="13"/>
  <c r="H45" i="13"/>
  <c r="I45" i="13"/>
  <c r="J45" i="13"/>
  <c r="G45" i="13"/>
  <c r="K38" i="19"/>
  <c r="D18" i="26" s="1"/>
  <c r="J12" i="26" l="1"/>
  <c r="J14" i="26" s="1"/>
  <c r="I12" i="26"/>
  <c r="I14" i="26" s="1"/>
  <c r="G12" i="26"/>
  <c r="G14" i="26" s="1"/>
  <c r="D27" i="26"/>
  <c r="K12" i="26"/>
  <c r="K14" i="26" s="1"/>
  <c r="H12" i="26"/>
  <c r="H14" i="26" s="1"/>
  <c r="D32" i="26" l="1"/>
  <c r="D31" i="26"/>
  <c r="D33" i="26" l="1"/>
  <c r="F22" i="26" s="1"/>
  <c r="D37" i="26" l="1"/>
  <c r="D40" i="26" s="1"/>
  <c r="F30" i="26" s="1"/>
  <c r="D43" i="26" l="1"/>
</calcChain>
</file>

<file path=xl/sharedStrings.xml><?xml version="1.0" encoding="utf-8"?>
<sst xmlns="http://schemas.openxmlformats.org/spreadsheetml/2006/main" count="719" uniqueCount="390">
  <si>
    <t>Years</t>
  </si>
  <si>
    <t>LTM</t>
  </si>
  <si>
    <t>#</t>
  </si>
  <si>
    <t>Income Statement</t>
  </si>
  <si>
    <t>Sales</t>
  </si>
  <si>
    <t>Sales Growth</t>
  </si>
  <si>
    <t>-</t>
  </si>
  <si>
    <t>COGS</t>
  </si>
  <si>
    <t>COGS % Sales</t>
  </si>
  <si>
    <t>Gross Profit</t>
  </si>
  <si>
    <t>Gross Margins</t>
  </si>
  <si>
    <t>Selling &amp; General Expenses</t>
  </si>
  <si>
    <t>S&amp;G Exp % Sales</t>
  </si>
  <si>
    <t>EBITDA</t>
  </si>
  <si>
    <t>EBITDA Margins</t>
  </si>
  <si>
    <t>Interest</t>
  </si>
  <si>
    <t>Interest % Sales</t>
  </si>
  <si>
    <t>Depreciation</t>
  </si>
  <si>
    <t>Depreciation % Sales</t>
  </si>
  <si>
    <t>Earnings Before Tax</t>
  </si>
  <si>
    <t>EBT % Sales</t>
  </si>
  <si>
    <t>Tax</t>
  </si>
  <si>
    <t>Effective Tax Rate</t>
  </si>
  <si>
    <t>Net Profit</t>
  </si>
  <si>
    <t>Net Margins</t>
  </si>
  <si>
    <t>No of Equity Shares</t>
  </si>
  <si>
    <t>EPS</t>
  </si>
  <si>
    <t>EPS Growth</t>
  </si>
  <si>
    <t>DPS</t>
  </si>
  <si>
    <t>Dividend Payout Ratio</t>
  </si>
  <si>
    <t>Retained Earnings</t>
  </si>
  <si>
    <t>Balance Sheet</t>
  </si>
  <si>
    <t>Equity Share Capital</t>
  </si>
  <si>
    <t>Reserves</t>
  </si>
  <si>
    <t>Borrowings</t>
  </si>
  <si>
    <t>Other Liabilities</t>
  </si>
  <si>
    <t>Total Liabilities</t>
  </si>
  <si>
    <t>Fixed Assets Net Block</t>
  </si>
  <si>
    <t>Capital Work in Progress</t>
  </si>
  <si>
    <t>Investments</t>
  </si>
  <si>
    <t>Other Assets</t>
  </si>
  <si>
    <t>Total Non-Current Assets</t>
  </si>
  <si>
    <t>Receivables</t>
  </si>
  <si>
    <t>Inventory</t>
  </si>
  <si>
    <t>Cash &amp; Bank</t>
  </si>
  <si>
    <t>Total Current Assets</t>
  </si>
  <si>
    <t>Total Assets</t>
  </si>
  <si>
    <t>Check</t>
  </si>
  <si>
    <t>Cash Flow Statements</t>
  </si>
  <si>
    <t>Operating Activities</t>
  </si>
  <si>
    <t>Profit from operations</t>
  </si>
  <si>
    <t>Payables</t>
  </si>
  <si>
    <t>Loans Advances</t>
  </si>
  <si>
    <t>Other WC items</t>
  </si>
  <si>
    <t>Direct taxes</t>
  </si>
  <si>
    <t>Cash From Operating Activities</t>
  </si>
  <si>
    <t>Investing Activites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</si>
  <si>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</si>
  <si>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</si>
  <si>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</si>
  <si>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</si>
  <si>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</si>
  <si>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</si>
  <si>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 in subsidiaries</t>
  </si>
  <si>
    <t>Investment in group cos</t>
  </si>
  <si>
    <t>Redemp n Canc of Shares</t>
  </si>
  <si>
    <t>Acquisition of companies</t>
  </si>
  <si>
    <t>Inter corporate deposits</t>
  </si>
  <si>
    <t>Other investing items</t>
  </si>
  <si>
    <t>Cash From Investing Activites</t>
  </si>
  <si>
    <t>Financing Activities</t>
  </si>
  <si>
    <t>Proceeds from shares</t>
  </si>
  <si>
    <t>Redemption of debentures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</si>
  <si>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</si>
  <si>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</si>
  <si>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</si>
  <si>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</si>
  <si>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</si>
  <si>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</si>
  <si>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Cash From Financing Activities</t>
  </si>
  <si>
    <t>Net Cash Flow</t>
  </si>
  <si>
    <t>Trend</t>
  </si>
  <si>
    <t>Mean</t>
  </si>
  <si>
    <t>Median</t>
  </si>
  <si>
    <t>EBITDA Growth</t>
  </si>
  <si>
    <t>EBIT Growth</t>
  </si>
  <si>
    <t>Net Profit Growth</t>
  </si>
  <si>
    <t>Dividend Growth</t>
  </si>
  <si>
    <t>Gross Margin</t>
  </si>
  <si>
    <t>EBITDA Margin</t>
  </si>
  <si>
    <t>EBIT Margin</t>
  </si>
  <si>
    <t>EBT Margin</t>
  </si>
  <si>
    <t>Net Profit Margin</t>
  </si>
  <si>
    <t>SalesExpenses % Sales</t>
  </si>
  <si>
    <t>OperatingIncome % Sales</t>
  </si>
  <si>
    <t>Return on Capital Employed</t>
  </si>
  <si>
    <t>Retained Earnings %</t>
  </si>
  <si>
    <t>Return on Equity %</t>
  </si>
  <si>
    <t>Self Sustained Growth Rate</t>
  </si>
  <si>
    <t>Interest Coverage ratio</t>
  </si>
  <si>
    <t>Debtor Turnover Ratio</t>
  </si>
  <si>
    <t>Creditor Turnover Ratio</t>
  </si>
  <si>
    <t>Inventory Turnover</t>
  </si>
  <si>
    <t>Fixed Assets Turnover</t>
  </si>
  <si>
    <t>Capital Turnover Ratio</t>
  </si>
  <si>
    <t>(in days)</t>
  </si>
  <si>
    <t>Debtor Days</t>
  </si>
  <si>
    <t>Payable Days</t>
  </si>
  <si>
    <t>Inventory Days</t>
  </si>
  <si>
    <t>Cash Conversion Cycle</t>
  </si>
  <si>
    <t>CFO/Sales</t>
  </si>
  <si>
    <t>CFO/Total Assets</t>
  </si>
  <si>
    <t>CFO/Total Debt</t>
  </si>
  <si>
    <t>Weight</t>
  </si>
  <si>
    <t>S&amp;G Expenses</t>
  </si>
  <si>
    <t>EBIT</t>
  </si>
  <si>
    <t>EBIT Margins</t>
  </si>
  <si>
    <t>EBT</t>
  </si>
  <si>
    <t>EBT Margins</t>
  </si>
  <si>
    <t>EPS Growth Rate</t>
  </si>
  <si>
    <t>DPS Growth Rate</t>
  </si>
  <si>
    <t>Peer Comps</t>
  </si>
  <si>
    <t>Debt/</t>
  </si>
  <si>
    <t>Levered</t>
  </si>
  <si>
    <t>Unlevered</t>
  </si>
  <si>
    <t>Name of the Company</t>
  </si>
  <si>
    <t>Country</t>
  </si>
  <si>
    <t>Total Debt</t>
  </si>
  <si>
    <t>Total Equity</t>
  </si>
  <si>
    <t>Equity</t>
  </si>
  <si>
    <t>Capital</t>
  </si>
  <si>
    <t>India</t>
  </si>
  <si>
    <t>Average</t>
  </si>
  <si>
    <t>Cost of Debt</t>
  </si>
  <si>
    <t>Cost of Equity</t>
  </si>
  <si>
    <t>Risk Free Rate</t>
  </si>
  <si>
    <t>Pre-Tax Cost of Debt</t>
  </si>
  <si>
    <t>Equity Risk Premium</t>
  </si>
  <si>
    <t>Tax Rate</t>
  </si>
  <si>
    <t>Post-Tax Cost of Debt</t>
  </si>
  <si>
    <t>Capital Structure</t>
  </si>
  <si>
    <t xml:space="preserve">Levered Beta  </t>
  </si>
  <si>
    <t>Current</t>
  </si>
  <si>
    <t>Target</t>
  </si>
  <si>
    <t>Comps Median Unlevered Beta</t>
  </si>
  <si>
    <t>Target Debt / Equity</t>
  </si>
  <si>
    <t>Market Cap</t>
  </si>
  <si>
    <t>Total Capital</t>
  </si>
  <si>
    <t>Levered Beta</t>
  </si>
  <si>
    <t>Debt/Equity</t>
  </si>
  <si>
    <t>Weighted Average Cost of Capital</t>
  </si>
  <si>
    <t>Total Cost</t>
  </si>
  <si>
    <t>Total Weight</t>
  </si>
  <si>
    <t>Notes:</t>
  </si>
  <si>
    <t xml:space="preserve">Debt </t>
  </si>
  <si>
    <t>1. Tax Rate considered as Marginal Tax Rate for the country</t>
  </si>
  <si>
    <t xml:space="preserve">Equity  </t>
  </si>
  <si>
    <t>2. Levered Beta is based on 5 years monthly data</t>
  </si>
  <si>
    <t>WACC</t>
  </si>
  <si>
    <t>3. Unlevered Beta = Levered Beta /(1+(1-TaxRate)*Debt/Equity)</t>
  </si>
  <si>
    <t>4. Levered Beta = Unlevered Beta *(1+(1-TaxRate)*Debt/Equity</t>
  </si>
  <si>
    <t>COMPANY NAME</t>
  </si>
  <si>
    <t>DABUR INDIA LTD</t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</si>
  <si>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</si>
  <si>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</si>
  <si>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</si>
  <si>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</si>
  <si>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</si>
  <si>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</si>
  <si>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</si>
  <si>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Market Capitalization</t>
  </si>
  <si>
    <t>PROFIT &amp; LOSS</t>
  </si>
  <si>
    <t>Report Date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</si>
  <si>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</si>
  <si>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</si>
  <si>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</si>
  <si>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</si>
  <si>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</si>
  <si>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</si>
  <si>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</si>
  <si>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</si>
  <si>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Profit before tax</t>
  </si>
  <si>
    <t>Net profit</t>
  </si>
  <si>
    <t>Dividend Amount</t>
  </si>
  <si>
    <t>Quarters</t>
  </si>
  <si>
    <t>Expenses</t>
  </si>
  <si>
    <t>Operating Profit</t>
  </si>
  <si>
    <t>BALANCE SHEET</t>
  </si>
  <si>
    <t>Total</t>
  </si>
  <si>
    <t>Net Block</t>
  </si>
  <si>
    <t>No. of Equity Shares</t>
  </si>
  <si>
    <t>New Bonus Shares</t>
  </si>
  <si>
    <t>Face value</t>
  </si>
  <si>
    <t>CASH FLOW:</t>
  </si>
  <si>
    <t>Cash from Operating Activity</t>
  </si>
  <si>
    <t>Cash from Investing Activity</t>
  </si>
  <si>
    <t>Cash from Financing Activity</t>
  </si>
  <si>
    <t>PRICE:</t>
  </si>
  <si>
    <t>DERIVED:</t>
  </si>
  <si>
    <t>Adjusted Equity Shares in Cr</t>
  </si>
  <si>
    <t>Cash from Operating Activity -</t>
  </si>
  <si>
    <t>Working capital changes</t>
  </si>
  <si>
    <t>Cash from Investing Activity -</t>
  </si>
  <si>
    <t>Cash from Financing Activity -</t>
  </si>
  <si>
    <t>Beta Calculation</t>
  </si>
  <si>
    <t>Regression Beta - 5 Years Monthly</t>
  </si>
  <si>
    <t>Monthly Returns</t>
  </si>
  <si>
    <t>Nifty 50</t>
  </si>
  <si>
    <t>Beta Drifting</t>
  </si>
  <si>
    <t>Date</t>
  </si>
  <si>
    <t>Closing Price</t>
  </si>
  <si>
    <t>Return</t>
  </si>
  <si>
    <t>Levered Raw Beta</t>
  </si>
  <si>
    <t>SUMMARY OUTPUT</t>
  </si>
  <si>
    <t>Beta Weight</t>
  </si>
  <si>
    <t>Regression Statistics</t>
  </si>
  <si>
    <t xml:space="preserve">Market Beta </t>
  </si>
  <si>
    <t>Multiple R</t>
  </si>
  <si>
    <t>Market Beta Weight</t>
  </si>
  <si>
    <t>R Square</t>
  </si>
  <si>
    <t>Adjusted R Square</t>
  </si>
  <si>
    <t>Adjusted Beta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</si>
  <si>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</si>
  <si>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</si>
  <si>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</si>
  <si>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</si>
  <si>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</si>
  <si>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</si>
  <si>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</si>
  <si>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</si>
  <si>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</si>
  <si>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</si>
  <si>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</si>
  <si>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</si>
  <si>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</si>
  <si>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</si>
  <si>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</si>
  <si>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</si>
  <si>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</si>
  <si>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</si>
  <si>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</si>
  <si>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S.No.</t>
  </si>
  <si>
    <t>Name</t>
  </si>
  <si>
    <t>CMP Rs.</t>
  </si>
  <si>
    <t xml:space="preserve">Mar Cap Rs.Cr. </t>
  </si>
  <si>
    <t>Debt Rs.Cr.</t>
  </si>
  <si>
    <t>Debt / Eq</t>
  </si>
  <si>
    <t>Year</t>
  </si>
  <si>
    <t>Annual</t>
  </si>
  <si>
    <t>Return on Markets</t>
  </si>
  <si>
    <t>Average Return</t>
  </si>
  <si>
    <t>Dividend Yield</t>
  </si>
  <si>
    <t>Total Market Return</t>
  </si>
  <si>
    <t>Int</t>
  </si>
  <si>
    <t>Particulars</t>
  </si>
  <si>
    <t>Actual Other Assets</t>
  </si>
  <si>
    <t>Equity Capital</t>
  </si>
  <si>
    <t>Borrowings -</t>
  </si>
  <si>
    <t>Long term Borrowings</t>
  </si>
  <si>
    <t>Short term Borrowings</t>
  </si>
  <si>
    <t>Lease Liabilities</t>
  </si>
  <si>
    <t>Other Borrowings</t>
  </si>
  <si>
    <t>Other Liabilities -</t>
  </si>
  <si>
    <t>Non controlling int</t>
  </si>
  <si>
    <t>Trade Payables</t>
  </si>
  <si>
    <t>Advance from Customers</t>
  </si>
  <si>
    <t>Other liability items</t>
  </si>
  <si>
    <t>Fixed Assets -</t>
  </si>
  <si>
    <t>Land</t>
  </si>
  <si>
    <t>Building</t>
  </si>
  <si>
    <t>Plant Machinery</t>
  </si>
  <si>
    <t>Equipments</t>
  </si>
  <si>
    <t>Computers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</si>
  <si>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</si>
  <si>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</si>
  <si>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</si>
  <si>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</si>
  <si>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</si>
  <si>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</si>
  <si>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</si>
  <si>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Other Assets -</t>
  </si>
  <si>
    <t>Inventories</t>
  </si>
  <si>
    <t>Trade receivables</t>
  </si>
  <si>
    <t>Cash Equivalents</t>
  </si>
  <si>
    <t>Short term loans</t>
  </si>
  <si>
    <t>Other asset items</t>
  </si>
  <si>
    <t>Calculation of ROIC</t>
  </si>
  <si>
    <t>Current Assets</t>
  </si>
  <si>
    <t>Current Liabilities</t>
  </si>
  <si>
    <t>Total Current Liabilities</t>
  </si>
  <si>
    <t>Net Working Capital</t>
  </si>
  <si>
    <t>Non-Current Assets</t>
  </si>
  <si>
    <t>Net Non-Current Assets</t>
  </si>
  <si>
    <t>Invested Capital</t>
  </si>
  <si>
    <t>ROIC</t>
  </si>
  <si>
    <t>Calculation of Reinvestment Rate</t>
  </si>
  <si>
    <t>Net Capex</t>
  </si>
  <si>
    <t>Change in Working Capital</t>
  </si>
  <si>
    <t>Marginal Tax Rate</t>
  </si>
  <si>
    <t>Reinvestment</t>
  </si>
  <si>
    <t>Reinvestment Rate</t>
  </si>
  <si>
    <t>EBIT(1-T)</t>
  </si>
  <si>
    <t>4 Year Average</t>
  </si>
  <si>
    <t>4 Year Median</t>
  </si>
  <si>
    <t>Calculation of Growth Rate</t>
  </si>
  <si>
    <t>Intrinsic Growth</t>
  </si>
  <si>
    <t>Calculation of PV of FCFF</t>
  </si>
  <si>
    <t>Less: Reinvestment Rate</t>
  </si>
  <si>
    <t>Free Cash Flow to Firm (FCFF)</t>
  </si>
  <si>
    <t>Mid Year Convention</t>
  </si>
  <si>
    <t>Discounting Factor</t>
  </si>
  <si>
    <t>PV of FCFF</t>
  </si>
  <si>
    <t>Expected Growth</t>
  </si>
  <si>
    <t>Terminal Growth</t>
  </si>
  <si>
    <t>Calculation of Terminal Value</t>
  </si>
  <si>
    <t>FCFF (n+1)</t>
  </si>
  <si>
    <t>Terminal Growth Rate</t>
  </si>
  <si>
    <t>Terminal Value</t>
  </si>
  <si>
    <t>PV of Terminal Value</t>
  </si>
  <si>
    <t>Value of Operating Assets</t>
  </si>
  <si>
    <t>Add : Cash</t>
  </si>
  <si>
    <t>Less : Debt</t>
  </si>
  <si>
    <t>Calculation of Equity Value per Share</t>
  </si>
  <si>
    <t>Value of Equity</t>
  </si>
  <si>
    <t>No of Shares</t>
  </si>
  <si>
    <t>Equity Value per Share</t>
  </si>
  <si>
    <t xml:space="preserve">Share Price </t>
  </si>
  <si>
    <t>Discount/Premium</t>
  </si>
  <si>
    <t>Comparable Company Valuation</t>
  </si>
  <si>
    <t>Company</t>
  </si>
  <si>
    <t>Ticker</t>
  </si>
  <si>
    <t>Share Price</t>
  </si>
  <si>
    <t>Shares Outstanding</t>
  </si>
  <si>
    <t>Equity Value</t>
  </si>
  <si>
    <t>Net Debt</t>
  </si>
  <si>
    <t>Enterprise Value</t>
  </si>
  <si>
    <t>Market Data</t>
  </si>
  <si>
    <t>Revenue</t>
  </si>
  <si>
    <t>Net Income</t>
  </si>
  <si>
    <t>Valuation</t>
  </si>
  <si>
    <t>Financials</t>
  </si>
  <si>
    <t>No. Eq. Shares Cr.</t>
  </si>
  <si>
    <t>Cash End Rs.Cr.</t>
  </si>
  <si>
    <t>EV Rs.Cr.</t>
  </si>
  <si>
    <t>Sales Rs.Cr.</t>
  </si>
  <si>
    <t>NP 12M Rs.Cr.</t>
  </si>
  <si>
    <t>Market Value</t>
  </si>
  <si>
    <t>EBITDA Margins Rs.Cr.</t>
  </si>
  <si>
    <t>EV / EBITDA</t>
  </si>
  <si>
    <t>EV/Revenue</t>
  </si>
  <si>
    <t>EV/EBITDA</t>
  </si>
  <si>
    <t>P/E</t>
  </si>
  <si>
    <t>High</t>
  </si>
  <si>
    <t>75th Percentile</t>
  </si>
  <si>
    <t>25th Percentile</t>
  </si>
  <si>
    <t>Low</t>
  </si>
  <si>
    <t>Implied Enterprise Value</t>
  </si>
  <si>
    <t>Implied Market Value</t>
  </si>
  <si>
    <t>Implied Value per Share</t>
  </si>
  <si>
    <t>Comps</t>
  </si>
  <si>
    <t>DCF Bear</t>
  </si>
  <si>
    <t>DCF Base</t>
  </si>
  <si>
    <t>DCF Bull</t>
  </si>
  <si>
    <t>52W H/L</t>
  </si>
  <si>
    <t>OpenLow</t>
  </si>
  <si>
    <t>OpenHigh</t>
  </si>
  <si>
    <t>Sensitivity Analysis - EV</t>
  </si>
  <si>
    <t>Sensitivity Analysis - Share Price</t>
  </si>
  <si>
    <t>Football Field Analysis - Data</t>
  </si>
  <si>
    <t>HISTORICAL FINANCIAL STATEMENTS, RATIO ANALYSIS, COMMON SIZE STATEMENT, P&amp;L FORECAST, BS FORECAST &amp; CASH FLOWS FORECAST</t>
  </si>
  <si>
    <t>WEIGHTED AVERAGE COST OF CAPITAL, INTRINSIC GROWTH, DCF VALUATION (WITH SENSITIVITY ANALYSIS)</t>
  </si>
  <si>
    <t>RELATIVE VALUATION USING EV/EBITDA, EV/REVENUE &amp; P/E &amp; FOOTBALL FIELD ANALYSIS</t>
  </si>
  <si>
    <r>
      <t xml:space="preserve">Tax Rate </t>
    </r>
    <r>
      <rPr>
        <vertAlign val="superscript"/>
        <sz val="11"/>
        <color rgb="FF002060"/>
        <rFont val="Calibri"/>
        <family val="2"/>
        <scheme val="minor"/>
      </rPr>
      <t>1</t>
    </r>
  </si>
  <si>
    <r>
      <t xml:space="preserve">Beta </t>
    </r>
    <r>
      <rPr>
        <vertAlign val="superscript"/>
        <sz val="11"/>
        <color rgb="FF002060"/>
        <rFont val="Calibri"/>
        <family val="2"/>
        <scheme val="minor"/>
      </rPr>
      <t>2</t>
    </r>
  </si>
  <si>
    <r>
      <t xml:space="preserve">Beta </t>
    </r>
    <r>
      <rPr>
        <vertAlign val="superscript"/>
        <sz val="11"/>
        <color rgb="FF002060"/>
        <rFont val="Calibri"/>
        <family val="2"/>
        <scheme val="minor"/>
      </rPr>
      <t>3</t>
    </r>
  </si>
  <si>
    <r>
      <t xml:space="preserve">Levered Beta </t>
    </r>
    <r>
      <rPr>
        <vertAlign val="superscript"/>
        <sz val="11"/>
        <color rgb="FF002060"/>
        <rFont val="Calibri"/>
        <family val="2"/>
        <scheme val="minor"/>
      </rPr>
      <t>4</t>
    </r>
  </si>
  <si>
    <t>DATA SHEET FROM SCREENER &amp; CASH FLOWS MANUAL FROM SCREENER</t>
  </si>
  <si>
    <t>DATA SHEETS FOR CALCULATIONS &amp; VALUATIONS!</t>
  </si>
  <si>
    <t>RAW BALANCE SHEET, REGRESSION BETA, COMPARABLE COMPS BETA, PEERS LIST, RETURN ON MARKETS</t>
  </si>
  <si>
    <t>Mar Cap Rs.Cr.</t>
  </si>
  <si>
    <t>Godrej Consumer</t>
  </si>
  <si>
    <t>Dabur India</t>
  </si>
  <si>
    <t>Emami</t>
  </si>
  <si>
    <t>Jyothy Labs</t>
  </si>
  <si>
    <t>Bajaj Consumer</t>
  </si>
  <si>
    <t>JHS Sven.Lab.</t>
  </si>
  <si>
    <t>GKB Ophthalmics</t>
  </si>
  <si>
    <t>Other Income % Sales</t>
  </si>
  <si>
    <t xml:space="preserve">EBIT </t>
  </si>
  <si>
    <t>EBITMargins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</si>
</sst>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3" formatCode="_ * #,##0.00_ ;_ * \-#,##0.00_ ;_ * &quot;-&quot;??_ ;_ @_ "/>
    <numFmt numFmtId="164" formatCode="_(* #,##0.00_);_(* \(#,##0.00\);_(* &quot;-&quot;??_);_(@_)"/>
    <numFmt numFmtId="165" formatCode="_-* #,##0.00_-;\-* #,##0.00_-;_-* &quot;-&quot;??_-;_-@_-"/>
    <numFmt numFmtId="166" formatCode="[$-409]mmm\-yy;@"/>
    <numFmt numFmtId="167" formatCode="&quot;₹&quot;\ #,##0.00"/>
    <numFmt numFmtId="168" formatCode="&quot;₹&quot;\ #,##0.0;\(&quot;₹&quot;\ #,##0.0\);\-"/>
    <numFmt numFmtId="169" formatCode="0.00&quot;x&quot;"/>
    <numFmt numFmtId="170" formatCode="yyyy&quot;A&quot;"/>
    <numFmt numFmtId="171" formatCode="yyyy&quot;F&quot;"/>
    <numFmt numFmtId="172" formatCode="&quot;₹&quot;\ #,##0.0"/>
    <numFmt numFmtId="173" formatCode="0.0"/>
    <numFmt numFmtId="174" formatCode="#,##0.0"/>
    <numFmt numFmtId="175" formatCode="#,###.00%;\(#,###.00%\)"/>
    <numFmt numFmtId="176" formatCode="_-* #,##0.0_-;\-* #,##0.0_-;_-* &quot;-&quot;??_-;_-@_-"/>
    <numFmt numFmtId="177" formatCode="_ * #,##0.0_ ;_ * \-#,##0.0_ ;_ * &quot;-&quot;??_ ;_ @_ "/>
    <numFmt numFmtId="178" formatCode="#,##0.0;\(#,##0.0\);\-"/>
    <numFmt numFmtId="179" formatCode="mmm/yy&quot;F&quot;"/>
    <numFmt numFmtId="180" formatCode="mmm/yy&quot;A&quot;"/>
    <numFmt numFmtId="181" formatCode="0.000"/>
    <numFmt numFmtId="182" formatCode="0.00\x"/>
    <numFmt numFmtId="183" formatCode="0.0\x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36"/>
      <color rgb="FF00206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vertAlign val="superscript"/>
      <sz val="11"/>
      <color rgb="FF002060"/>
      <name val="Calibri"/>
      <family val="2"/>
      <scheme val="minor"/>
    </font>
    <font>
      <i/>
      <sz val="9"/>
      <color rgb="FF002060"/>
      <name val="Calibri"/>
      <family val="2"/>
      <scheme val="minor"/>
    </font>
    <font>
      <i/>
      <sz val="11"/>
      <color rgb="FF00206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hair">
        <color rgb="FF002060"/>
      </top>
      <bottom style="hair">
        <color rgb="FF002060"/>
      </bottom>
      <diagonal/>
    </border>
    <border>
      <left/>
      <right/>
      <top style="hair">
        <color rgb="FF002060"/>
      </top>
      <bottom/>
      <diagonal/>
    </border>
    <border>
      <left/>
      <right/>
      <top/>
      <bottom style="hair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rgb="FF002060"/>
      </top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rgb="FF002060"/>
      </top>
      <bottom/>
      <diagonal/>
    </border>
    <border>
      <left/>
      <right/>
      <top style="dotted">
        <color rgb="FF00206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2060"/>
      </top>
      <bottom style="hair">
        <color rgb="FF002060"/>
      </bottom>
      <diagonal/>
    </border>
    <border>
      <left/>
      <right/>
      <top/>
      <bottom style="thin">
        <color theme="0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9" fontId="3" fillId="0" borderId="0" applyFont="0" applyFill="0" applyBorder="0" applyAlignment="0" applyProtection="0"/>
  </cellStyleXfs>
  <cellXfs count="238">
    <xf numFmtId="0" fontId="0" fillId="0" borderId="0" xfId="0"/>
    <xf numFmtId="43" fontId="1" fillId="0" borderId="0" xfId="1" applyFont="1" applyBorder="1"/>
    <xf numFmtId="43" fontId="0" fillId="0" borderId="0" xfId="1" applyFont="1" applyBorder="1"/>
    <xf numFmtId="43" fontId="3" fillId="0" borderId="0" xfId="1" applyFont="1" applyBorder="1"/>
    <xf numFmtId="166" fontId="2" fillId="3" borderId="0" xfId="0" applyNumberFormat="1" applyFont="1" applyFill="1" applyAlignment="1">
      <alignment horizontal="center"/>
    </xf>
    <xf numFmtId="166" fontId="2" fillId="3" borderId="0" xfId="1" applyNumberFormat="1" applyFont="1" applyFill="1" applyBorder="1"/>
    <xf numFmtId="166" fontId="6" fillId="0" borderId="0" xfId="1" applyNumberFormat="1" applyFont="1" applyFill="1" applyBorder="1"/>
    <xf numFmtId="164" fontId="0" fillId="0" borderId="0" xfId="1" applyNumberFormat="1" applyFont="1" applyBorder="1"/>
    <xf numFmtId="0" fontId="5" fillId="4" borderId="0" xfId="0" applyFont="1" applyFill="1"/>
    <xf numFmtId="17" fontId="5" fillId="4" borderId="0" xfId="0" applyNumberFormat="1" applyFont="1" applyFill="1"/>
    <xf numFmtId="0" fontId="5" fillId="4" borderId="0" xfId="0" applyFont="1" applyFill="1" applyAlignment="1">
      <alignment horizontal="right"/>
    </xf>
    <xf numFmtId="0" fontId="1" fillId="0" borderId="0" xfId="0" applyFont="1"/>
    <xf numFmtId="167" fontId="0" fillId="0" borderId="0" xfId="0" applyNumberFormat="1"/>
    <xf numFmtId="168" fontId="0" fillId="0" borderId="0" xfId="0" applyNumberFormat="1"/>
    <xf numFmtId="10" fontId="0" fillId="0" borderId="0" xfId="4" applyNumberFormat="1" applyFont="1"/>
    <xf numFmtId="0" fontId="7" fillId="0" borderId="0" xfId="0" applyFont="1"/>
    <xf numFmtId="0" fontId="7" fillId="0" borderId="0" xfId="0" applyFont="1" applyAlignment="1">
      <alignment horizontal="right"/>
    </xf>
    <xf numFmtId="10" fontId="7" fillId="0" borderId="0" xfId="4" applyNumberFormat="1" applyFont="1"/>
    <xf numFmtId="0" fontId="1" fillId="5" borderId="0" xfId="0" applyFont="1" applyFill="1"/>
    <xf numFmtId="0" fontId="0" fillId="5" borderId="0" xfId="0" applyFill="1"/>
    <xf numFmtId="168" fontId="1" fillId="0" borderId="0" xfId="0" applyNumberFormat="1" applyFont="1"/>
    <xf numFmtId="3" fontId="0" fillId="0" borderId="0" xfId="0" applyNumberFormat="1"/>
    <xf numFmtId="167" fontId="1" fillId="0" borderId="1" xfId="0" applyNumberFormat="1" applyFont="1" applyBorder="1"/>
    <xf numFmtId="168" fontId="1" fillId="0" borderId="1" xfId="0" applyNumberFormat="1" applyFont="1" applyBorder="1"/>
    <xf numFmtId="0" fontId="0" fillId="0" borderId="2" xfId="0" applyBorder="1"/>
    <xf numFmtId="10" fontId="0" fillId="0" borderId="2" xfId="4" applyNumberFormat="1" applyFont="1" applyBorder="1"/>
    <xf numFmtId="10" fontId="0" fillId="0" borderId="0" xfId="4" applyNumberFormat="1" applyFont="1" applyBorder="1"/>
    <xf numFmtId="0" fontId="0" fillId="0" borderId="3" xfId="0" applyBorder="1"/>
    <xf numFmtId="10" fontId="0" fillId="0" borderId="3" xfId="4" applyNumberFormat="1" applyFont="1" applyBorder="1"/>
    <xf numFmtId="169" fontId="0" fillId="0" borderId="3" xfId="0" applyNumberFormat="1" applyBorder="1"/>
    <xf numFmtId="169" fontId="0" fillId="0" borderId="2" xfId="0" applyNumberFormat="1" applyBorder="1"/>
    <xf numFmtId="169" fontId="0" fillId="0" borderId="0" xfId="0" applyNumberFormat="1"/>
    <xf numFmtId="1" fontId="0" fillId="0" borderId="2" xfId="0" applyNumberFormat="1" applyBorder="1"/>
    <xf numFmtId="1" fontId="0" fillId="0" borderId="0" xfId="0" applyNumberFormat="1"/>
    <xf numFmtId="1" fontId="0" fillId="0" borderId="3" xfId="0" applyNumberFormat="1" applyBorder="1"/>
    <xf numFmtId="17" fontId="5" fillId="4" borderId="0" xfId="0" applyNumberFormat="1" applyFont="1" applyFill="1" applyAlignment="1">
      <alignment horizontal="right"/>
    </xf>
    <xf numFmtId="0" fontId="0" fillId="6" borderId="0" xfId="0" applyFill="1"/>
    <xf numFmtId="170" fontId="5" fillId="4" borderId="0" xfId="0" applyNumberFormat="1" applyFont="1" applyFill="1"/>
    <xf numFmtId="172" fontId="0" fillId="0" borderId="0" xfId="0" applyNumberFormat="1"/>
    <xf numFmtId="0" fontId="8" fillId="0" borderId="0" xfId="0" applyFont="1"/>
    <xf numFmtId="10" fontId="8" fillId="0" borderId="0" xfId="4" applyNumberFormat="1" applyFont="1"/>
    <xf numFmtId="172" fontId="0" fillId="6" borderId="0" xfId="0" applyNumberFormat="1" applyFill="1"/>
    <xf numFmtId="10" fontId="8" fillId="6" borderId="0" xfId="4" applyNumberFormat="1" applyFont="1" applyFill="1"/>
    <xf numFmtId="0" fontId="5" fillId="7" borderId="0" xfId="0" applyFont="1" applyFill="1"/>
    <xf numFmtId="171" fontId="5" fillId="7" borderId="0" xfId="0" applyNumberFormat="1" applyFont="1" applyFill="1"/>
    <xf numFmtId="173" fontId="0" fillId="0" borderId="0" xfId="0" applyNumberFormat="1"/>
    <xf numFmtId="10" fontId="8" fillId="0" borderId="0" xfId="0" applyNumberFormat="1" applyFont="1"/>
    <xf numFmtId="173" fontId="0" fillId="6" borderId="0" xfId="0" applyNumberFormat="1" applyFill="1"/>
    <xf numFmtId="168" fontId="9" fillId="6" borderId="0" xfId="0" applyNumberFormat="1" applyFont="1" applyFill="1"/>
    <xf numFmtId="0" fontId="9" fillId="6" borderId="0" xfId="0" applyFont="1" applyFill="1"/>
    <xf numFmtId="0" fontId="5" fillId="0" borderId="0" xfId="0" applyFont="1"/>
    <xf numFmtId="170" fontId="5" fillId="0" borderId="0" xfId="0" applyNumberFormat="1" applyFont="1"/>
    <xf numFmtId="171" fontId="5" fillId="0" borderId="0" xfId="0" applyNumberFormat="1" applyFont="1"/>
    <xf numFmtId="172" fontId="1" fillId="0" borderId="0" xfId="0" applyNumberFormat="1" applyFont="1"/>
    <xf numFmtId="172" fontId="1" fillId="6" borderId="0" xfId="0" applyNumberFormat="1" applyFont="1" applyFill="1"/>
    <xf numFmtId="172" fontId="1" fillId="0" borderId="4" xfId="0" applyNumberFormat="1" applyFont="1" applyBorder="1"/>
    <xf numFmtId="172" fontId="1" fillId="6" borderId="4" xfId="0" applyNumberFormat="1" applyFont="1" applyFill="1" applyBorder="1"/>
    <xf numFmtId="0" fontId="1" fillId="0" borderId="5" xfId="0" applyFont="1" applyBorder="1"/>
    <xf numFmtId="172" fontId="1" fillId="0" borderId="5" xfId="0" applyNumberFormat="1" applyFont="1" applyBorder="1"/>
    <xf numFmtId="172" fontId="1" fillId="6" borderId="5" xfId="0" applyNumberFormat="1" applyFont="1" applyFill="1" applyBorder="1"/>
    <xf numFmtId="168" fontId="1" fillId="0" borderId="5" xfId="0" applyNumberFormat="1" applyFont="1" applyBorder="1"/>
    <xf numFmtId="168" fontId="10" fillId="6" borderId="5" xfId="0" applyNumberFormat="1" applyFont="1" applyFill="1" applyBorder="1"/>
    <xf numFmtId="168" fontId="1" fillId="0" borderId="4" xfId="0" applyNumberFormat="1" applyFont="1" applyBorder="1"/>
    <xf numFmtId="168" fontId="10" fillId="6" borderId="4" xfId="0" applyNumberFormat="1" applyFont="1" applyFill="1" applyBorder="1"/>
    <xf numFmtId="175" fontId="0" fillId="0" borderId="0" xfId="4" applyNumberFormat="1" applyFont="1"/>
    <xf numFmtId="0" fontId="2" fillId="4" borderId="0" xfId="0" applyFont="1" applyFill="1"/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6" xfId="0" applyFont="1" applyBorder="1"/>
    <xf numFmtId="0" fontId="1" fillId="0" borderId="6" xfId="0" applyFont="1" applyBorder="1" applyAlignment="1">
      <alignment horizontal="right"/>
    </xf>
    <xf numFmtId="0" fontId="1" fillId="0" borderId="0" xfId="0" applyFont="1" applyAlignment="1">
      <alignment horizontal="right"/>
    </xf>
    <xf numFmtId="2" fontId="0" fillId="0" borderId="0" xfId="0" applyNumberFormat="1"/>
    <xf numFmtId="10" fontId="0" fillId="0" borderId="0" xfId="0" applyNumberFormat="1"/>
    <xf numFmtId="0" fontId="1" fillId="6" borderId="0" xfId="0" applyFont="1" applyFill="1"/>
    <xf numFmtId="2" fontId="1" fillId="6" borderId="0" xfId="0" applyNumberFormat="1" applyFont="1" applyFill="1"/>
    <xf numFmtId="0" fontId="0" fillId="0" borderId="0" xfId="0" applyAlignment="1">
      <alignment horizontal="left"/>
    </xf>
    <xf numFmtId="0" fontId="0" fillId="4" borderId="0" xfId="0" applyFill="1"/>
    <xf numFmtId="0" fontId="0" fillId="0" borderId="9" xfId="0" applyBorder="1"/>
    <xf numFmtId="0" fontId="0" fillId="0" borderId="10" xfId="0" applyBorder="1"/>
    <xf numFmtId="10" fontId="0" fillId="8" borderId="0" xfId="0" applyNumberFormat="1" applyFill="1"/>
    <xf numFmtId="2" fontId="0" fillId="8" borderId="0" xfId="0" applyNumberFormat="1" applyFill="1"/>
    <xf numFmtId="0" fontId="1" fillId="0" borderId="11" xfId="0" applyFont="1" applyBorder="1"/>
    <xf numFmtId="10" fontId="0" fillId="0" borderId="11" xfId="0" applyNumberFormat="1" applyBorder="1"/>
    <xf numFmtId="10" fontId="0" fillId="0" borderId="6" xfId="0" applyNumberFormat="1" applyBorder="1"/>
    <xf numFmtId="2" fontId="0" fillId="0" borderId="11" xfId="0" applyNumberFormat="1" applyBorder="1"/>
    <xf numFmtId="2" fontId="0" fillId="0" borderId="6" xfId="0" applyNumberFormat="1" applyBorder="1"/>
    <xf numFmtId="0" fontId="0" fillId="0" borderId="12" xfId="0" applyBorder="1"/>
    <xf numFmtId="0" fontId="1" fillId="0" borderId="10" xfId="0" applyFont="1" applyBorder="1"/>
    <xf numFmtId="10" fontId="0" fillId="0" borderId="12" xfId="0" applyNumberFormat="1" applyBorder="1"/>
    <xf numFmtId="9" fontId="0" fillId="0" borderId="0" xfId="0" applyNumberFormat="1"/>
    <xf numFmtId="10" fontId="0" fillId="8" borderId="12" xfId="0" applyNumberFormat="1" applyFill="1" applyBorder="1"/>
    <xf numFmtId="2" fontId="0" fillId="8" borderId="12" xfId="0" applyNumberFormat="1" applyFill="1" applyBorder="1"/>
    <xf numFmtId="165" fontId="0" fillId="0" borderId="0" xfId="0" applyNumberFormat="1"/>
    <xf numFmtId="165" fontId="0" fillId="0" borderId="12" xfId="0" applyNumberFormat="1" applyBorder="1"/>
    <xf numFmtId="176" fontId="0" fillId="0" borderId="0" xfId="0" applyNumberFormat="1"/>
    <xf numFmtId="0" fontId="0" fillId="0" borderId="0" xfId="0" applyFill="1" applyBorder="1" applyAlignment="1"/>
    <xf numFmtId="0" fontId="0" fillId="0" borderId="7" xfId="0" applyFill="1" applyBorder="1" applyAlignment="1"/>
    <xf numFmtId="0" fontId="11" fillId="0" borderId="8" xfId="0" applyFont="1" applyFill="1" applyBorder="1" applyAlignment="1">
      <alignment horizontal="center"/>
    </xf>
    <xf numFmtId="0" fontId="11" fillId="0" borderId="8" xfId="0" applyFont="1" applyFill="1" applyBorder="1" applyAlignment="1">
      <alignment horizontal="centerContinuous"/>
    </xf>
    <xf numFmtId="0" fontId="0" fillId="0" borderId="0" xfId="0" applyBorder="1"/>
    <xf numFmtId="0" fontId="11" fillId="0" borderId="0" xfId="0" applyFont="1" applyFill="1" applyBorder="1" applyAlignment="1">
      <alignment horizontal="centerContinuous"/>
    </xf>
    <xf numFmtId="0" fontId="11" fillId="0" borderId="0" xfId="0" applyFont="1" applyFill="1" applyBorder="1" applyAlignment="1">
      <alignment horizontal="center"/>
    </xf>
    <xf numFmtId="10" fontId="1" fillId="0" borderId="0" xfId="0" applyNumberFormat="1" applyFont="1"/>
    <xf numFmtId="17" fontId="1" fillId="0" borderId="6" xfId="0" applyNumberFormat="1" applyFont="1" applyBorder="1"/>
    <xf numFmtId="43" fontId="0" fillId="0" borderId="0" xfId="0" applyNumberFormat="1"/>
    <xf numFmtId="0" fontId="1" fillId="0" borderId="0" xfId="0" applyFont="1" applyBorder="1"/>
    <xf numFmtId="17" fontId="1" fillId="0" borderId="0" xfId="0" applyNumberFormat="1" applyFont="1" applyBorder="1"/>
    <xf numFmtId="43" fontId="1" fillId="0" borderId="0" xfId="0" applyNumberFormat="1" applyFont="1"/>
    <xf numFmtId="10" fontId="1" fillId="0" borderId="0" xfId="4" applyNumberFormat="1" applyFont="1"/>
    <xf numFmtId="17" fontId="2" fillId="4" borderId="0" xfId="0" applyNumberFormat="1" applyFont="1" applyFill="1"/>
    <xf numFmtId="0" fontId="0" fillId="0" borderId="0" xfId="0" applyFont="1"/>
    <xf numFmtId="0" fontId="2" fillId="9" borderId="0" xfId="0" applyFont="1" applyFill="1"/>
    <xf numFmtId="17" fontId="2" fillId="9" borderId="0" xfId="0" applyNumberFormat="1" applyFont="1" applyFill="1"/>
    <xf numFmtId="0" fontId="0" fillId="9" borderId="0" xfId="0" applyFill="1"/>
    <xf numFmtId="0" fontId="0" fillId="0" borderId="1" xfId="0" applyBorder="1"/>
    <xf numFmtId="43" fontId="0" fillId="0" borderId="1" xfId="1" applyFont="1" applyBorder="1"/>
    <xf numFmtId="43" fontId="0" fillId="0" borderId="0" xfId="1" applyFont="1"/>
    <xf numFmtId="178" fontId="0" fillId="0" borderId="0" xfId="1" applyNumberFormat="1" applyFont="1" applyBorder="1"/>
    <xf numFmtId="178" fontId="1" fillId="0" borderId="11" xfId="1" applyNumberFormat="1" applyFont="1" applyBorder="1"/>
    <xf numFmtId="0" fontId="0" fillId="0" borderId="11" xfId="0" applyBorder="1"/>
    <xf numFmtId="10" fontId="1" fillId="0" borderId="5" xfId="4" applyNumberFormat="1" applyFont="1" applyBorder="1"/>
    <xf numFmtId="178" fontId="0" fillId="0" borderId="1" xfId="0" applyNumberFormat="1" applyBorder="1"/>
    <xf numFmtId="178" fontId="0" fillId="0" borderId="0" xfId="0" applyNumberFormat="1"/>
    <xf numFmtId="178" fontId="1" fillId="0" borderId="11" xfId="0" applyNumberFormat="1" applyFont="1" applyBorder="1"/>
    <xf numFmtId="178" fontId="1" fillId="0" borderId="5" xfId="0" applyNumberFormat="1" applyFont="1" applyBorder="1"/>
    <xf numFmtId="178" fontId="0" fillId="0" borderId="0" xfId="0" applyNumberFormat="1" applyBorder="1"/>
    <xf numFmtId="178" fontId="1" fillId="0" borderId="0" xfId="0" applyNumberFormat="1" applyFont="1"/>
    <xf numFmtId="10" fontId="0" fillId="0" borderId="1" xfId="0" applyNumberFormat="1" applyBorder="1"/>
    <xf numFmtId="10" fontId="1" fillId="6" borderId="0" xfId="0" applyNumberFormat="1" applyFont="1" applyFill="1"/>
    <xf numFmtId="10" fontId="1" fillId="0" borderId="5" xfId="0" applyNumberFormat="1" applyFont="1" applyBorder="1"/>
    <xf numFmtId="179" fontId="2" fillId="4" borderId="0" xfId="0" applyNumberFormat="1" applyFont="1" applyFill="1"/>
    <xf numFmtId="180" fontId="2" fillId="4" borderId="0" xfId="0" applyNumberFormat="1" applyFont="1" applyFill="1"/>
    <xf numFmtId="10" fontId="0" fillId="6" borderId="0" xfId="0" applyNumberFormat="1" applyFill="1"/>
    <xf numFmtId="9" fontId="0" fillId="6" borderId="0" xfId="0" applyNumberFormat="1" applyFill="1"/>
    <xf numFmtId="10" fontId="0" fillId="0" borderId="1" xfId="4" applyNumberFormat="1" applyFont="1" applyBorder="1"/>
    <xf numFmtId="43" fontId="0" fillId="8" borderId="1" xfId="0" applyNumberFormat="1" applyFill="1" applyBorder="1"/>
    <xf numFmtId="10" fontId="0" fillId="8" borderId="1" xfId="0" applyNumberFormat="1" applyFill="1" applyBorder="1"/>
    <xf numFmtId="0" fontId="0" fillId="8" borderId="1" xfId="0" applyFill="1" applyBorder="1"/>
    <xf numFmtId="0" fontId="0" fillId="8" borderId="0" xfId="0" applyFill="1"/>
    <xf numFmtId="181" fontId="0" fillId="0" borderId="1" xfId="0" applyNumberFormat="1" applyBorder="1"/>
    <xf numFmtId="0" fontId="1" fillId="8" borderId="5" xfId="0" applyFont="1" applyFill="1" applyBorder="1"/>
    <xf numFmtId="2" fontId="1" fillId="0" borderId="0" xfId="0" applyNumberFormat="1" applyFont="1"/>
    <xf numFmtId="0" fontId="1" fillId="0" borderId="0" xfId="0" applyFont="1" applyFill="1" applyBorder="1"/>
    <xf numFmtId="182" fontId="0" fillId="0" borderId="0" xfId="4" applyNumberFormat="1" applyFont="1"/>
    <xf numFmtId="0" fontId="0" fillId="0" borderId="6" xfId="0" applyBorder="1"/>
    <xf numFmtId="0" fontId="5" fillId="4" borderId="0" xfId="0" applyFont="1" applyFill="1" applyAlignment="1">
      <alignment wrapText="1"/>
    </xf>
    <xf numFmtId="0" fontId="5" fillId="4" borderId="0" xfId="0" applyFont="1" applyFill="1" applyBorder="1" applyAlignment="1"/>
    <xf numFmtId="0" fontId="12" fillId="0" borderId="6" xfId="0" applyFont="1" applyBorder="1"/>
    <xf numFmtId="0" fontId="5" fillId="4" borderId="0" xfId="0" applyFont="1" applyFill="1" applyAlignment="1">
      <alignment horizontal="right" wrapText="1"/>
    </xf>
    <xf numFmtId="0" fontId="5" fillId="0" borderId="0" xfId="0" applyFont="1" applyFill="1"/>
    <xf numFmtId="0" fontId="5" fillId="0" borderId="0" xfId="0" applyFont="1" applyFill="1" applyAlignment="1">
      <alignment horizontal="right"/>
    </xf>
    <xf numFmtId="0" fontId="0" fillId="6" borderId="1" xfId="0" applyFill="1" applyBorder="1"/>
    <xf numFmtId="183" fontId="0" fillId="6" borderId="1" xfId="0" applyNumberFormat="1" applyFill="1" applyBorder="1"/>
    <xf numFmtId="183" fontId="0" fillId="0" borderId="1" xfId="0" applyNumberFormat="1" applyBorder="1"/>
    <xf numFmtId="0" fontId="2" fillId="4" borderId="6" xfId="0" applyFont="1" applyFill="1" applyBorder="1"/>
    <xf numFmtId="43" fontId="0" fillId="6" borderId="1" xfId="1" applyFont="1" applyFill="1" applyBorder="1"/>
    <xf numFmtId="0" fontId="1" fillId="6" borderId="4" xfId="0" applyFont="1" applyFill="1" applyBorder="1"/>
    <xf numFmtId="43" fontId="1" fillId="6" borderId="4" xfId="1" applyFont="1" applyFill="1" applyBorder="1"/>
    <xf numFmtId="0" fontId="1" fillId="6" borderId="1" xfId="0" applyFont="1" applyFill="1" applyBorder="1"/>
    <xf numFmtId="183" fontId="1" fillId="6" borderId="1" xfId="0" applyNumberFormat="1" applyFont="1" applyFill="1" applyBorder="1"/>
    <xf numFmtId="2" fontId="5" fillId="0" borderId="0" xfId="0" applyNumberFormat="1" applyFont="1"/>
    <xf numFmtId="9" fontId="1" fillId="0" borderId="0" xfId="0" applyNumberFormat="1" applyFont="1"/>
    <xf numFmtId="9" fontId="1" fillId="0" borderId="0" xfId="0" applyNumberFormat="1" applyFont="1" applyAlignment="1">
      <alignment horizontal="left"/>
    </xf>
    <xf numFmtId="43" fontId="0" fillId="6" borderId="0" xfId="1" applyFont="1" applyFill="1"/>
    <xf numFmtId="0" fontId="0" fillId="0" borderId="0" xfId="0" applyAlignment="1">
      <alignment vertical="center"/>
    </xf>
    <xf numFmtId="0" fontId="13" fillId="0" borderId="0" xfId="0" applyFont="1"/>
    <xf numFmtId="0" fontId="12" fillId="0" borderId="1" xfId="0" applyFont="1" applyBorder="1"/>
    <xf numFmtId="43" fontId="13" fillId="0" borderId="0" xfId="1" applyFont="1" applyBorder="1"/>
    <xf numFmtId="43" fontId="12" fillId="0" borderId="1" xfId="1" applyFont="1" applyBorder="1"/>
    <xf numFmtId="43" fontId="12" fillId="0" borderId="1" xfId="1" applyFont="1" applyFill="1" applyBorder="1"/>
    <xf numFmtId="0" fontId="12" fillId="0" borderId="0" xfId="0" applyFont="1"/>
    <xf numFmtId="0" fontId="13" fillId="0" borderId="2" xfId="0" applyFont="1" applyBorder="1"/>
    <xf numFmtId="0" fontId="13" fillId="0" borderId="3" xfId="0" applyFont="1" applyBorder="1"/>
    <xf numFmtId="0" fontId="15" fillId="0" borderId="0" xfId="0" applyFont="1"/>
    <xf numFmtId="0" fontId="12" fillId="0" borderId="4" xfId="0" applyFont="1" applyBorder="1"/>
    <xf numFmtId="0" fontId="12" fillId="0" borderId="5" xfId="0" applyFont="1" applyBorder="1"/>
    <xf numFmtId="43" fontId="12" fillId="0" borderId="5" xfId="1" applyFont="1" applyFill="1" applyBorder="1"/>
    <xf numFmtId="43" fontId="12" fillId="0" borderId="4" xfId="1" applyFont="1" applyFill="1" applyBorder="1"/>
    <xf numFmtId="43" fontId="12" fillId="0" borderId="5" xfId="1" applyFont="1" applyBorder="1"/>
    <xf numFmtId="10" fontId="13" fillId="0" borderId="0" xfId="0" applyNumberFormat="1" applyFont="1" applyAlignment="1">
      <alignment horizontal="right"/>
    </xf>
    <xf numFmtId="10" fontId="13" fillId="0" borderId="0" xfId="0" applyNumberFormat="1" applyFont="1"/>
    <xf numFmtId="0" fontId="13" fillId="0" borderId="10" xfId="0" applyFont="1" applyBorder="1"/>
    <xf numFmtId="0" fontId="13" fillId="0" borderId="10" xfId="0" applyFont="1" applyBorder="1" applyAlignment="1">
      <alignment horizontal="right"/>
    </xf>
    <xf numFmtId="0" fontId="13" fillId="0" borderId="9" xfId="0" applyFont="1" applyBorder="1"/>
    <xf numFmtId="0" fontId="13" fillId="0" borderId="0" xfId="0" applyFont="1" applyAlignment="1">
      <alignment horizontal="right"/>
    </xf>
    <xf numFmtId="0" fontId="13" fillId="0" borderId="12" xfId="0" applyFont="1" applyBorder="1"/>
    <xf numFmtId="0" fontId="12" fillId="0" borderId="11" xfId="0" applyFont="1" applyBorder="1"/>
    <xf numFmtId="0" fontId="12" fillId="0" borderId="10" xfId="0" applyFont="1" applyBorder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/>
    </xf>
    <xf numFmtId="17" fontId="12" fillId="0" borderId="0" xfId="0" applyNumberFormat="1" applyFont="1"/>
    <xf numFmtId="3" fontId="13" fillId="0" borderId="0" xfId="0" applyNumberFormat="1" applyFont="1"/>
    <xf numFmtId="178" fontId="13" fillId="0" borderId="1" xfId="1" applyNumberFormat="1" applyFont="1" applyBorder="1"/>
    <xf numFmtId="178" fontId="13" fillId="0" borderId="2" xfId="1" applyNumberFormat="1" applyFont="1" applyBorder="1"/>
    <xf numFmtId="178" fontId="13" fillId="0" borderId="0" xfId="1" applyNumberFormat="1" applyFont="1" applyBorder="1"/>
    <xf numFmtId="177" fontId="12" fillId="0" borderId="4" xfId="1" applyNumberFormat="1" applyFont="1" applyBorder="1"/>
    <xf numFmtId="178" fontId="13" fillId="0" borderId="0" xfId="1" applyNumberFormat="1" applyFont="1"/>
    <xf numFmtId="178" fontId="12" fillId="0" borderId="4" xfId="0" applyNumberFormat="1" applyFont="1" applyBorder="1"/>
    <xf numFmtId="178" fontId="12" fillId="0" borderId="14" xfId="1" applyNumberFormat="1" applyFont="1" applyBorder="1"/>
    <xf numFmtId="174" fontId="13" fillId="0" borderId="0" xfId="0" applyNumberFormat="1" applyFont="1"/>
    <xf numFmtId="0" fontId="12" fillId="0" borderId="6" xfId="0" applyFont="1" applyBorder="1" applyAlignment="1">
      <alignment horizontal="right"/>
    </xf>
    <xf numFmtId="14" fontId="13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0" fontId="12" fillId="6" borderId="0" xfId="0" applyFont="1" applyFill="1"/>
    <xf numFmtId="0" fontId="13" fillId="0" borderId="0" xfId="0" applyFont="1" applyFill="1" applyBorder="1" applyAlignment="1"/>
    <xf numFmtId="176" fontId="13" fillId="0" borderId="0" xfId="0" applyNumberFormat="1" applyFont="1"/>
    <xf numFmtId="177" fontId="13" fillId="0" borderId="0" xfId="1" applyNumberFormat="1" applyFont="1"/>
    <xf numFmtId="173" fontId="13" fillId="0" borderId="0" xfId="4" applyNumberFormat="1" applyFont="1"/>
    <xf numFmtId="2" fontId="13" fillId="0" borderId="0" xfId="0" applyNumberFormat="1" applyFont="1"/>
    <xf numFmtId="0" fontId="12" fillId="0" borderId="13" xfId="0" applyFont="1" applyBorder="1" applyAlignment="1">
      <alignment horizontal="left"/>
    </xf>
    <xf numFmtId="0" fontId="12" fillId="0" borderId="13" xfId="0" applyFont="1" applyBorder="1" applyAlignment="1">
      <alignment horizontal="right"/>
    </xf>
    <xf numFmtId="10" fontId="13" fillId="0" borderId="0" xfId="4" applyNumberFormat="1" applyFont="1" applyAlignment="1">
      <alignment horizontal="right"/>
    </xf>
    <xf numFmtId="17" fontId="0" fillId="0" borderId="0" xfId="0" applyNumberFormat="1"/>
    <xf numFmtId="0" fontId="13" fillId="0" borderId="0" xfId="0" applyFont="1" applyBorder="1"/>
    <xf numFmtId="0" fontId="18" fillId="0" borderId="0" xfId="0" applyFont="1" applyFill="1" applyBorder="1" applyAlignment="1">
      <alignment horizontal="centerContinuous"/>
    </xf>
    <xf numFmtId="0" fontId="18" fillId="0" borderId="0" xfId="0" applyFont="1" applyFill="1" applyBorder="1" applyAlignment="1">
      <alignment horizontal="center"/>
    </xf>
    <xf numFmtId="0" fontId="0" fillId="0" borderId="0" xfId="0" applyFill="1" applyBorder="1"/>
    <xf numFmtId="0" fontId="12" fillId="0" borderId="0" xfId="0" applyFont="1" applyFill="1" applyBorder="1" applyAlignment="1">
      <alignment horizontal="right"/>
    </xf>
    <xf numFmtId="0" fontId="13" fillId="0" borderId="0" xfId="0" applyFont="1" applyFill="1" applyBorder="1" applyAlignment="1">
      <alignment horizontal="left"/>
    </xf>
    <xf numFmtId="2" fontId="0" fillId="0" borderId="0" xfId="0" applyNumberFormat="1" applyFill="1" applyBorder="1"/>
    <xf numFmtId="177" fontId="13" fillId="0" borderId="0" xfId="1" applyNumberFormat="1" applyFont="1" applyFill="1" applyBorder="1"/>
    <xf numFmtId="0" fontId="13" fillId="0" borderId="0" xfId="0" applyFont="1" applyFill="1" applyBorder="1"/>
    <xf numFmtId="10" fontId="13" fillId="0" borderId="0" xfId="0" applyNumberFormat="1" applyFont="1" applyFill="1" applyBorder="1"/>
    <xf numFmtId="175" fontId="0" fillId="0" borderId="0" xfId="4" applyNumberFormat="1" applyFont="1" applyFill="1" applyBorder="1"/>
    <xf numFmtId="0" fontId="12" fillId="0" borderId="0" xfId="0" applyFont="1" applyFill="1" applyBorder="1"/>
    <xf numFmtId="2" fontId="1" fillId="0" borderId="0" xfId="0" applyNumberFormat="1" applyFont="1" applyFill="1" applyBorder="1"/>
    <xf numFmtId="0" fontId="14" fillId="10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top" wrapText="1"/>
    </xf>
    <xf numFmtId="0" fontId="2" fillId="4" borderId="0" xfId="0" applyFont="1" applyFill="1" applyAlignment="1">
      <alignment horizontal="center"/>
    </xf>
    <xf numFmtId="0" fontId="5" fillId="4" borderId="15" xfId="0" applyFont="1" applyFill="1" applyBorder="1" applyAlignment="1">
      <alignment horizontal="center"/>
    </xf>
    <xf numFmtId="43" fontId="4" fillId="0" borderId="0" xfId="2" applyNumberFormat="1" applyBorder="1" applyAlignment="1" applyProtection="1">
      <alignment horizontal="center"/>
    </xf>
    <xf numFmtId="43" fontId="2" fillId="2" borderId="0" xfId="3" applyNumberFormat="1" applyFont="1" applyBorder="1" applyAlignment="1">
      <alignment horizontal="center"/>
    </xf>
    <xf numFmtId="43" fontId="2" fillId="4" borderId="0" xfId="0" applyNumberFormat="1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</cellXfs>
  <cellStyles count="5">
    <cellStyle name="Accent6" xfId="3" builtinId="49"/>
    <cellStyle name="Comma" xfId="1" builtinId="3"/>
    <cellStyle name="Hyperlink" xfId="2" builtinId="8"/>
    <cellStyle name="Normal" xfId="0" builtinId="0"/>
    <cellStyle name="Percent" xfId="4" builtinId="5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rgbClr val="002060"/>
                </a:solidFill>
              </a:rPr>
              <a:t>Football Field Analysis - Valuation Summary(Rs.)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none"/>
          </c:marker>
          <c:cat>
            <c:strRef>
              <c:f>'Football Field Analysis'!$L$6:$L$10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</c:v>
                </c:pt>
              </c:strCache>
            </c:strRef>
          </c:cat>
          <c:val>
            <c:numRef>
              <c:f>'Football Field Analysis'!$N$6:$N$10</c:f>
              <c:numCache>
                <c:formatCode>General</c:formatCode>
                <c:ptCount val="5"/>
                <c:pt idx="0">
                  <c:v>352</c:v>
                </c:pt>
                <c:pt idx="1">
                  <c:v>605</c:v>
                </c:pt>
                <c:pt idx="2">
                  <c:v>918</c:v>
                </c:pt>
                <c:pt idx="3">
                  <c:v>1632</c:v>
                </c:pt>
                <c:pt idx="4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CB-4AEC-AF58-494E5B2CD81B}"/>
            </c:ext>
          </c:extLst>
        </c:ser>
        <c:ser>
          <c:idx val="1"/>
          <c:order val="1"/>
          <c:spPr>
            <a:ln w="38100" cap="rnd">
              <a:noFill/>
              <a:round/>
            </a:ln>
            <a:effectLst/>
          </c:spPr>
          <c:marker>
            <c:symbol val="none"/>
          </c:marker>
          <c:dLbls>
            <c:numFmt formatCode="&quot;₹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Field Analysis'!$L$6:$L$10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</c:v>
                </c:pt>
              </c:strCache>
            </c:strRef>
          </c:cat>
          <c:val>
            <c:numRef>
              <c:f>'Football Field Analysis'!$O$6:$O$10</c:f>
              <c:numCache>
                <c:formatCode>General</c:formatCode>
                <c:ptCount val="5"/>
                <c:pt idx="0">
                  <c:v>352</c:v>
                </c:pt>
                <c:pt idx="1">
                  <c:v>605</c:v>
                </c:pt>
                <c:pt idx="2">
                  <c:v>918</c:v>
                </c:pt>
                <c:pt idx="3">
                  <c:v>1632</c:v>
                </c:pt>
                <c:pt idx="4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CB-4AEC-AF58-494E5B2CD81B}"/>
            </c:ext>
          </c:extLst>
        </c:ser>
        <c:ser>
          <c:idx val="2"/>
          <c:order val="2"/>
          <c:spPr>
            <a:ln w="38100" cap="rnd">
              <a:noFill/>
              <a:round/>
            </a:ln>
            <a:effectLst/>
          </c:spPr>
          <c:marker>
            <c:symbol val="none"/>
          </c:marker>
          <c:cat>
            <c:strRef>
              <c:f>'Football Field Analysis'!$L$6:$L$10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</c:v>
                </c:pt>
              </c:strCache>
            </c:strRef>
          </c:cat>
          <c:val>
            <c:numRef>
              <c:f>'Football Field Analysis'!$P$6:$P$10</c:f>
              <c:numCache>
                <c:formatCode>General</c:formatCode>
                <c:ptCount val="5"/>
                <c:pt idx="0">
                  <c:v>2459</c:v>
                </c:pt>
                <c:pt idx="1">
                  <c:v>1528</c:v>
                </c:pt>
                <c:pt idx="2">
                  <c:v>1250</c:v>
                </c:pt>
                <c:pt idx="3">
                  <c:v>2840</c:v>
                </c:pt>
                <c:pt idx="4">
                  <c:v>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CB-4AEC-AF58-494E5B2CD81B}"/>
            </c:ext>
          </c:extLst>
        </c:ser>
        <c:ser>
          <c:idx val="3"/>
          <c:order val="3"/>
          <c:spPr>
            <a:ln w="38100" cap="rnd">
              <a:noFill/>
              <a:round/>
            </a:ln>
            <a:effectLst/>
          </c:spPr>
          <c:marker>
            <c:symbol val="none"/>
          </c:marker>
          <c:dLbls>
            <c:numFmt formatCode="&quot;₹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Field Analysis'!$L$6:$L$10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</c:v>
                </c:pt>
              </c:strCache>
            </c:strRef>
          </c:cat>
          <c:val>
            <c:numRef>
              <c:f>'Football Field Analysis'!$Q$6:$Q$10</c:f>
              <c:numCache>
                <c:formatCode>General</c:formatCode>
                <c:ptCount val="5"/>
                <c:pt idx="0">
                  <c:v>2459</c:v>
                </c:pt>
                <c:pt idx="1">
                  <c:v>1528</c:v>
                </c:pt>
                <c:pt idx="2">
                  <c:v>1250</c:v>
                </c:pt>
                <c:pt idx="3">
                  <c:v>2840</c:v>
                </c:pt>
                <c:pt idx="4">
                  <c:v>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CB-4AEC-AF58-494E5B2CD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rgbClr val="002060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513304328"/>
        <c:axId val="513310232"/>
      </c:stockChart>
      <c:catAx>
        <c:axId val="513304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310232"/>
        <c:crosses val="autoZero"/>
        <c:auto val="1"/>
        <c:lblAlgn val="ctr"/>
        <c:lblOffset val="100"/>
        <c:noMultiLvlLbl val="0"/>
      </c:catAx>
      <c:valAx>
        <c:axId val="513310232"/>
        <c:scaling>
          <c:orientation val="minMax"/>
        </c:scaling>
        <c:delete val="0"/>
        <c:axPos val="l"/>
        <c:numFmt formatCode="&quot;₹&quot;\ 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304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4</xdr:row>
      <xdr:rowOff>176212</xdr:rowOff>
    </xdr:from>
    <xdr:to>
      <xdr:col>9</xdr:col>
      <xdr:colOff>333375</xdr:colOff>
      <xdr:row>19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A8FB33-AC7E-4498-A138-9157DD0223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114300</xdr:colOff>
      <xdr:row>14</xdr:row>
      <xdr:rowOff>76200</xdr:rowOff>
    </xdr:from>
    <xdr:to>
      <xdr:col>9</xdr:col>
      <xdr:colOff>0</xdr:colOff>
      <xdr:row>14</xdr:row>
      <xdr:rowOff>76203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2FF8E788-952C-465E-ACDE-5976541B9FC7}"/>
            </a:ext>
          </a:extLst>
        </xdr:cNvPr>
        <xdr:cNvCxnSpPr/>
      </xdr:nvCxnSpPr>
      <xdr:spPr>
        <a:xfrm flipV="1">
          <a:off x="1457325" y="2362200"/>
          <a:ext cx="3543300" cy="3"/>
        </a:xfrm>
        <a:prstGeom prst="line">
          <a:avLst/>
        </a:prstGeom>
        <a:ln w="15875">
          <a:solidFill>
            <a:srgbClr val="FFC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screener.in/excel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4433-6013-4F24-BC81-B2A143558F04}">
  <sheetPr>
    <tabColor rgb="FF002060"/>
  </sheetPr>
  <dimension ref="D5:Q9"/>
  <sheetViews>
    <sheetView showGridLines="0" workbookViewId="0">
      <selection activeCell="D5" sqref="D5:Q9"/>
    </sheetView>
  </sheetViews>
  <sheetFormatPr defaultRowHeight="15" x14ac:dyDescent="0.25"/>
  <cols>
    <col min="1" max="1" width="1.85546875" customWidth="1"/>
  </cols>
  <sheetData>
    <row r="5" spans="4:17" x14ac:dyDescent="0.25">
      <c r="D5" s="227" t="str">
        <f>"FINANCIALS FOR "&amp;'Data Sheet'!B1</f>
        <v>FINANCIALS FOR DABUR INDIA LTD</v>
      </c>
      <c r="E5" s="227"/>
      <c r="F5" s="227"/>
      <c r="G5" s="227"/>
      <c r="H5" s="227"/>
      <c r="I5" s="227"/>
      <c r="J5" s="227"/>
      <c r="K5" s="227"/>
      <c r="L5" s="227"/>
      <c r="M5" s="227"/>
      <c r="N5" s="227"/>
      <c r="O5" s="227"/>
      <c r="P5" s="227"/>
      <c r="Q5" s="227"/>
    </row>
    <row r="6" spans="4:17" x14ac:dyDescent="0.25">
      <c r="D6" s="227"/>
      <c r="E6" s="227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</row>
    <row r="7" spans="4:17" x14ac:dyDescent="0.25"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</row>
    <row r="8" spans="4:17" x14ac:dyDescent="0.25">
      <c r="D8" s="165"/>
      <c r="E8" s="165"/>
      <c r="F8" s="228" t="s">
        <v>369</v>
      </c>
      <c r="G8" s="228"/>
      <c r="H8" s="228"/>
      <c r="I8" s="228"/>
      <c r="J8" s="228"/>
      <c r="K8" s="228"/>
      <c r="L8" s="228"/>
      <c r="M8" s="228"/>
      <c r="N8" s="228"/>
      <c r="O8" s="228"/>
      <c r="P8" s="165"/>
      <c r="Q8" s="165"/>
    </row>
    <row r="9" spans="4:17" x14ac:dyDescent="0.25">
      <c r="D9" s="165"/>
      <c r="E9" s="165"/>
      <c r="F9" s="228"/>
      <c r="G9" s="228"/>
      <c r="H9" s="228"/>
      <c r="I9" s="228"/>
      <c r="J9" s="228"/>
      <c r="K9" s="228"/>
      <c r="L9" s="228"/>
      <c r="M9" s="228"/>
      <c r="N9" s="228"/>
      <c r="O9" s="228"/>
      <c r="P9" s="165"/>
      <c r="Q9" s="165"/>
    </row>
  </sheetData>
  <mergeCells count="2">
    <mergeCell ref="D5:Q7"/>
    <mergeCell ref="F8:O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15C5E-8702-4C17-956F-C3CA1EF689BA}">
  <dimension ref="A2:M111"/>
  <sheetViews>
    <sheetView showGridLines="0" tabSelected="1" zoomScaleNormal="100" workbookViewId="0">
      <pane ySplit="3" topLeftCell="A4" activePane="bottomLeft" state="frozen"/>
      <selection pane="bottomLeft"/>
    </sheetView>
  </sheetViews>
  <sheetFormatPr defaultRowHeight="15" x14ac:dyDescent="0.25"/>
  <cols>
    <col min="1" max="1" width="1.85546875" customWidth="1"/>
    <col min="2" max="2" width="25.5703125" bestFit="1" customWidth="1"/>
    <col min="3" max="13" width="12.28515625" bestFit="1" customWidth="1"/>
  </cols>
  <sheetData>
    <row r="2" spans="1:13" x14ac:dyDescent="0.25">
      <c r="B2" s="229" t="str">
        <f>"Historical Financial Statement - "&amp;'Data Sheet'!B1</f>
        <v>Historical Financial Statement - DABUR INDIA LTD</v>
      </c>
      <c r="C2" s="229"/>
      <c r="D2" s="229"/>
      <c r="E2" s="229"/>
      <c r="F2" s="229"/>
      <c r="G2" s="229"/>
      <c r="H2" s="229"/>
      <c r="I2" s="229"/>
      <c r="J2" s="229"/>
      <c r="K2" s="229"/>
      <c r="L2" s="229"/>
      <c r="M2" s="229"/>
    </row>
    <row r="3" spans="1:13" x14ac:dyDescent="0.25">
      <c r="B3" s="8" t="s">
        <v>0</v>
      </c>
      <c r="C3" s="9">
        <f>'Data Sheet'!B16</f>
        <v>41729</v>
      </c>
      <c r="D3" s="9">
        <f>'Data Sheet'!C16</f>
        <v>42094</v>
      </c>
      <c r="E3" s="9">
        <f>'Data Sheet'!D16</f>
        <v>42460</v>
      </c>
      <c r="F3" s="9">
        <f>'Data Sheet'!E16</f>
        <v>42825</v>
      </c>
      <c r="G3" s="9">
        <f>'Data Sheet'!F16</f>
        <v>43190</v>
      </c>
      <c r="H3" s="9">
        <f>'Data Sheet'!G16</f>
        <v>43555</v>
      </c>
      <c r="I3" s="9">
        <f>'Data Sheet'!H16</f>
        <v>43921</v>
      </c>
      <c r="J3" s="9">
        <f>'Data Sheet'!I16</f>
        <v>44286</v>
      </c>
      <c r="K3" s="9">
        <f>'Data Sheet'!J16</f>
        <v>44651</v>
      </c>
      <c r="L3" s="9">
        <f>'Data Sheet'!K16</f>
        <v>45016</v>
      </c>
      <c r="M3" s="10" t="s">
        <v>1</v>
      </c>
    </row>
    <row r="5" spans="1:13" x14ac:dyDescent="0.25">
      <c r="A5" t="s">
        <v>2</v>
      </c>
      <c r="B5" s="18" t="s">
        <v>3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x14ac:dyDescent="0.25">
      <c r="B6" s="166" t="s">
        <v>4</v>
      </c>
      <c r="C6" s="13">
        <f>IFERROR('Data Sheet'!B17,0)</f>
        <v>7058.12</v>
      </c>
      <c r="D6" s="13">
        <f>IFERROR('Data Sheet'!C17,0)</f>
        <v>7795.49</v>
      </c>
      <c r="E6" s="13">
        <f>IFERROR('Data Sheet'!D17,0)</f>
        <v>7779.66</v>
      </c>
      <c r="F6" s="13">
        <f>IFERROR('Data Sheet'!E17,0)</f>
        <v>7613.59</v>
      </c>
      <c r="G6" s="13">
        <f>IFERROR('Data Sheet'!F17,0)</f>
        <v>7721.85</v>
      </c>
      <c r="H6" s="13">
        <f>IFERROR('Data Sheet'!G17,0)</f>
        <v>8514.99</v>
      </c>
      <c r="I6" s="13">
        <f>IFERROR('Data Sheet'!H17,0)</f>
        <v>8684.64</v>
      </c>
      <c r="J6" s="13">
        <f>IFERROR('Data Sheet'!I17,0)</f>
        <v>9561.65</v>
      </c>
      <c r="K6" s="13">
        <f>IFERROR('Data Sheet'!J17,0)</f>
        <v>10888.68</v>
      </c>
      <c r="L6" s="13">
        <f>IFERROR('Data Sheet'!K17,0)</f>
        <v>11529.89</v>
      </c>
      <c r="M6" s="13">
        <f>IFERROR(SUM('Data Sheet'!H42:K42),0)</f>
        <v>12267.17</v>
      </c>
    </row>
    <row r="7" spans="1:13" x14ac:dyDescent="0.25">
      <c r="B7" s="15" t="s">
        <v>5</v>
      </c>
      <c r="C7" s="16" t="s">
        <v>6</v>
      </c>
      <c r="D7" s="17">
        <f>D6/C6-1</f>
        <v>0.10447116229250852</v>
      </c>
      <c r="E7" s="17">
        <f t="shared" ref="E7:M7" si="0">E6/D6-1</f>
        <v>-2.0306613182750066E-3</v>
      </c>
      <c r="F7" s="17">
        <f t="shared" si="0"/>
        <v>-2.1346691243576132E-2</v>
      </c>
      <c r="G7" s="17">
        <f t="shared" si="0"/>
        <v>1.4219310469830937E-2</v>
      </c>
      <c r="H7" s="17">
        <f t="shared" si="0"/>
        <v>0.10271372792789291</v>
      </c>
      <c r="I7" s="17">
        <f t="shared" si="0"/>
        <v>1.9923687520478461E-2</v>
      </c>
      <c r="J7" s="17">
        <f t="shared" si="0"/>
        <v>0.10098403618342267</v>
      </c>
      <c r="K7" s="17">
        <f t="shared" si="0"/>
        <v>0.13878671568191692</v>
      </c>
      <c r="L7" s="17">
        <f t="shared" si="0"/>
        <v>5.8887762336665261E-2</v>
      </c>
      <c r="M7" s="17">
        <f t="shared" si="0"/>
        <v>6.394510268528153E-2</v>
      </c>
    </row>
    <row r="9" spans="1:13" x14ac:dyDescent="0.25">
      <c r="B9" s="166" t="s">
        <v>7</v>
      </c>
      <c r="C9" s="13">
        <f>IFERROR(SUM('Data Sheet'!B18,'Data Sheet'!B20:B22)-1*'Data Sheet'!B19,0)</f>
        <v>4177.87</v>
      </c>
      <c r="D9" s="13">
        <f>IFERROR(SUM('Data Sheet'!C18,'Data Sheet'!C20:C22)-1*'Data Sheet'!C19,0)</f>
        <v>4596.8999999999996</v>
      </c>
      <c r="E9" s="13">
        <f>IFERROR(SUM('Data Sheet'!D18,'Data Sheet'!D20:D22)-1*'Data Sheet'!D19,0)</f>
        <v>4727.6500000000005</v>
      </c>
      <c r="F9" s="13">
        <f>IFERROR(SUM('Data Sheet'!E18,'Data Sheet'!E20:E22)-1*'Data Sheet'!E19,0)</f>
        <v>4761.7299999999996</v>
      </c>
      <c r="G9" s="13">
        <f>IFERROR(SUM('Data Sheet'!F18,'Data Sheet'!F20:F22)-1*'Data Sheet'!F19,0)</f>
        <v>4815.6899999999996</v>
      </c>
      <c r="H9" s="13">
        <f>IFERROR(SUM('Data Sheet'!G18,'Data Sheet'!G20:G22)-1*'Data Sheet'!G19,0)</f>
        <v>5452.0300000000007</v>
      </c>
      <c r="I9" s="13">
        <f>IFERROR(SUM('Data Sheet'!H18,'Data Sheet'!H20:H22)-1*'Data Sheet'!H19,0)</f>
        <v>5517.71</v>
      </c>
      <c r="J9" s="13">
        <f>IFERROR(SUM('Data Sheet'!I18,'Data Sheet'!I20:I22)-1*'Data Sheet'!I19,0)</f>
        <v>6043.3500000000013</v>
      </c>
      <c r="K9" s="13">
        <f>IFERROR(SUM('Data Sheet'!J18,'Data Sheet'!J20:J22)-1*'Data Sheet'!J19,0)</f>
        <v>6994.73</v>
      </c>
      <c r="L9" s="13">
        <f>IFERROR(SUM('Data Sheet'!K18,'Data Sheet'!K20:K22)-1*'Data Sheet'!K19,0)</f>
        <v>7740.17</v>
      </c>
      <c r="M9" s="13">
        <f>IFERROR(SUM('Data Sheet'!H43:K43),0)</f>
        <v>9924.6999999999989</v>
      </c>
    </row>
    <row r="10" spans="1:13" x14ac:dyDescent="0.25">
      <c r="B10" s="15" t="s">
        <v>8</v>
      </c>
      <c r="C10" s="17">
        <f>C9/C6</f>
        <v>0.59192391174987102</v>
      </c>
      <c r="D10" s="17">
        <f t="shared" ref="D10:M10" si="1">D9/D6</f>
        <v>0.5896871139594817</v>
      </c>
      <c r="E10" s="17">
        <f t="shared" si="1"/>
        <v>0.60769365242182827</v>
      </c>
      <c r="F10" s="17">
        <f t="shared" si="1"/>
        <v>0.62542506228993144</v>
      </c>
      <c r="G10" s="17">
        <f t="shared" si="1"/>
        <v>0.62364459294081076</v>
      </c>
      <c r="H10" s="17">
        <f t="shared" si="1"/>
        <v>0.64028613069422291</v>
      </c>
      <c r="I10" s="17">
        <f t="shared" si="1"/>
        <v>0.63534124615412968</v>
      </c>
      <c r="J10" s="17">
        <f t="shared" si="1"/>
        <v>0.63204049510283278</v>
      </c>
      <c r="K10" s="17">
        <f t="shared" si="1"/>
        <v>0.64238548657872208</v>
      </c>
      <c r="L10" s="17">
        <f t="shared" si="1"/>
        <v>0.67131342970314556</v>
      </c>
      <c r="M10" s="17">
        <f t="shared" si="1"/>
        <v>0.80904560709601303</v>
      </c>
    </row>
    <row r="12" spans="1:13" x14ac:dyDescent="0.25">
      <c r="B12" s="167" t="s">
        <v>9</v>
      </c>
      <c r="C12" s="22">
        <f>C6-C9</f>
        <v>2880.25</v>
      </c>
      <c r="D12" s="22">
        <f t="shared" ref="D12:M12" si="2">D6-D9</f>
        <v>3198.59</v>
      </c>
      <c r="E12" s="22">
        <f t="shared" si="2"/>
        <v>3052.0099999999993</v>
      </c>
      <c r="F12" s="22">
        <f t="shared" si="2"/>
        <v>2851.8600000000006</v>
      </c>
      <c r="G12" s="22">
        <f t="shared" si="2"/>
        <v>2906.1600000000008</v>
      </c>
      <c r="H12" s="22">
        <f t="shared" si="2"/>
        <v>3062.9599999999991</v>
      </c>
      <c r="I12" s="22">
        <f t="shared" si="2"/>
        <v>3166.9299999999994</v>
      </c>
      <c r="J12" s="22">
        <f t="shared" si="2"/>
        <v>3518.2999999999984</v>
      </c>
      <c r="K12" s="22">
        <f t="shared" si="2"/>
        <v>3893.9500000000007</v>
      </c>
      <c r="L12" s="22">
        <f t="shared" si="2"/>
        <v>3789.7199999999993</v>
      </c>
      <c r="M12" s="22">
        <f t="shared" si="2"/>
        <v>2342.4700000000012</v>
      </c>
    </row>
    <row r="13" spans="1:13" x14ac:dyDescent="0.25">
      <c r="B13" s="15" t="s">
        <v>10</v>
      </c>
      <c r="C13" s="17">
        <f>C12/C6</f>
        <v>0.40807608825012892</v>
      </c>
      <c r="D13" s="17">
        <f t="shared" ref="D13:M13" si="3">D12/D6</f>
        <v>0.41031288604051835</v>
      </c>
      <c r="E13" s="17">
        <f t="shared" si="3"/>
        <v>0.39230634757817173</v>
      </c>
      <c r="F13" s="17">
        <f t="shared" si="3"/>
        <v>0.3745749377100685</v>
      </c>
      <c r="G13" s="17">
        <f t="shared" si="3"/>
        <v>0.37635540705918924</v>
      </c>
      <c r="H13" s="17">
        <f t="shared" si="3"/>
        <v>0.35971386930577715</v>
      </c>
      <c r="I13" s="17">
        <f t="shared" si="3"/>
        <v>0.36465875384587038</v>
      </c>
      <c r="J13" s="17">
        <f t="shared" si="3"/>
        <v>0.36795950489716717</v>
      </c>
      <c r="K13" s="17">
        <f t="shared" si="3"/>
        <v>0.35761451342127792</v>
      </c>
      <c r="L13" s="17">
        <f t="shared" si="3"/>
        <v>0.3286865702968545</v>
      </c>
      <c r="M13" s="17">
        <f t="shared" si="3"/>
        <v>0.19095439290398691</v>
      </c>
    </row>
    <row r="15" spans="1:13" x14ac:dyDescent="0.25">
      <c r="B15" s="166" t="s">
        <v>11</v>
      </c>
      <c r="C15" s="12">
        <f>IFERROR(SUM('Data Sheet'!B23:B24),0)</f>
        <v>1718.7199999999998</v>
      </c>
      <c r="D15" s="12">
        <f>IFERROR(SUM('Data Sheet'!C23:C24),0)</f>
        <v>1878.3700000000001</v>
      </c>
      <c r="E15" s="12">
        <f>IFERROR(SUM('Data Sheet'!D23:D24),0)</f>
        <v>1533.73</v>
      </c>
      <c r="F15" s="12">
        <f>IFERROR(SUM('Data Sheet'!E23:E24),0)</f>
        <v>1340.25</v>
      </c>
      <c r="G15" s="12">
        <f>IFERROR(SUM('Data Sheet'!F23:F24),0)</f>
        <v>1288.72</v>
      </c>
      <c r="H15" s="12">
        <f>IFERROR(SUM('Data Sheet'!G23:G24),0)</f>
        <v>1323.3999999999999</v>
      </c>
      <c r="I15" s="12">
        <f>IFERROR(SUM('Data Sheet'!H23:H24),0)</f>
        <v>1374.59</v>
      </c>
      <c r="J15" s="12">
        <f>IFERROR(SUM('Data Sheet'!I23:I24),0)</f>
        <v>1516.63</v>
      </c>
      <c r="K15" s="12">
        <f>IFERROR(SUM('Data Sheet'!J23:J24),0)</f>
        <v>1641.94</v>
      </c>
      <c r="L15" s="12">
        <f>IFERROR(SUM('Data Sheet'!K23:K24),0)</f>
        <v>1627.23</v>
      </c>
    </row>
    <row r="16" spans="1:13" x14ac:dyDescent="0.25">
      <c r="B16" s="15" t="s">
        <v>12</v>
      </c>
      <c r="C16" s="17">
        <f>C15/C6</f>
        <v>0.24350960312377798</v>
      </c>
      <c r="D16" s="17">
        <f t="shared" ref="D16:M16" si="4">D15/D6</f>
        <v>0.24095598865497875</v>
      </c>
      <c r="E16" s="17">
        <f t="shared" si="4"/>
        <v>0.19714614777509556</v>
      </c>
      <c r="F16" s="17">
        <f t="shared" si="4"/>
        <v>0.17603390778857281</v>
      </c>
      <c r="G16" s="17">
        <f t="shared" si="4"/>
        <v>0.16689264878235138</v>
      </c>
      <c r="H16" s="17">
        <f t="shared" si="4"/>
        <v>0.15542002985323528</v>
      </c>
      <c r="I16" s="17">
        <f t="shared" si="4"/>
        <v>0.15827829363105436</v>
      </c>
      <c r="J16" s="17">
        <f t="shared" si="4"/>
        <v>0.15861592925907142</v>
      </c>
      <c r="K16" s="17">
        <f t="shared" si="4"/>
        <v>0.15079330093271176</v>
      </c>
      <c r="L16" s="17">
        <f t="shared" si="4"/>
        <v>0.14113144184376436</v>
      </c>
      <c r="M16" s="17">
        <f t="shared" si="4"/>
        <v>0</v>
      </c>
    </row>
    <row r="18" spans="2:13" x14ac:dyDescent="0.25">
      <c r="B18" s="167" t="s">
        <v>13</v>
      </c>
      <c r="C18" s="22">
        <f t="shared" ref="C18:M18" si="5">C12-C15</f>
        <v>1161.5300000000002</v>
      </c>
      <c r="D18" s="22">
        <f t="shared" si="5"/>
        <v>1320.22</v>
      </c>
      <c r="E18" s="22">
        <f t="shared" si="5"/>
        <v>1518.2799999999993</v>
      </c>
      <c r="F18" s="22">
        <f t="shared" si="5"/>
        <v>1511.6100000000006</v>
      </c>
      <c r="G18" s="22">
        <f t="shared" si="5"/>
        <v>1617.4400000000007</v>
      </c>
      <c r="H18" s="22">
        <f t="shared" si="5"/>
        <v>1739.5599999999993</v>
      </c>
      <c r="I18" s="22">
        <f t="shared" si="5"/>
        <v>1792.3399999999995</v>
      </c>
      <c r="J18" s="22">
        <f t="shared" si="5"/>
        <v>2001.6699999999983</v>
      </c>
      <c r="K18" s="22">
        <f t="shared" si="5"/>
        <v>2252.0100000000007</v>
      </c>
      <c r="L18" s="22">
        <f t="shared" si="5"/>
        <v>2162.4899999999993</v>
      </c>
      <c r="M18" s="22">
        <f t="shared" si="5"/>
        <v>2342.4700000000012</v>
      </c>
    </row>
    <row r="19" spans="2:13" x14ac:dyDescent="0.25">
      <c r="B19" s="15" t="s">
        <v>14</v>
      </c>
      <c r="C19" s="17">
        <f>C18/C6</f>
        <v>0.16456648512635097</v>
      </c>
      <c r="D19" s="17">
        <f t="shared" ref="D19:M19" si="6">D18/D6</f>
        <v>0.16935689738553961</v>
      </c>
      <c r="E19" s="17">
        <f t="shared" si="6"/>
        <v>0.19516019980307614</v>
      </c>
      <c r="F19" s="17">
        <f t="shared" si="6"/>
        <v>0.19854102992149572</v>
      </c>
      <c r="G19" s="17">
        <f t="shared" si="6"/>
        <v>0.20946275827683788</v>
      </c>
      <c r="H19" s="17">
        <f t="shared" si="6"/>
        <v>0.20429383945254184</v>
      </c>
      <c r="I19" s="17">
        <f t="shared" si="6"/>
        <v>0.20638046021481599</v>
      </c>
      <c r="J19" s="17">
        <f t="shared" si="6"/>
        <v>0.20934357563809575</v>
      </c>
      <c r="K19" s="17">
        <f t="shared" si="6"/>
        <v>0.20682121248856616</v>
      </c>
      <c r="L19" s="17">
        <f t="shared" si="6"/>
        <v>0.18755512845309014</v>
      </c>
      <c r="M19" s="17">
        <f t="shared" si="6"/>
        <v>0.19095439290398691</v>
      </c>
    </row>
    <row r="21" spans="2:13" x14ac:dyDescent="0.25">
      <c r="B21" s="166" t="s">
        <v>17</v>
      </c>
      <c r="C21" s="12">
        <f>IFERROR('Data Sheet'!B26,0)</f>
        <v>97.49</v>
      </c>
      <c r="D21" s="12">
        <f>IFERROR('Data Sheet'!C26,0)</f>
        <v>114.98</v>
      </c>
      <c r="E21" s="12">
        <f>IFERROR('Data Sheet'!D26,0)</f>
        <v>133.19</v>
      </c>
      <c r="F21" s="12">
        <f>IFERROR('Data Sheet'!E26,0)</f>
        <v>142.86000000000001</v>
      </c>
      <c r="G21" s="12">
        <f>IFERROR('Data Sheet'!F26,0)</f>
        <v>162.18</v>
      </c>
      <c r="H21" s="12">
        <f>IFERROR('Data Sheet'!G26,0)</f>
        <v>176.9</v>
      </c>
      <c r="I21" s="12">
        <f>IFERROR('Data Sheet'!H26,0)</f>
        <v>220.45</v>
      </c>
      <c r="J21" s="12">
        <f>IFERROR('Data Sheet'!I26,0)</f>
        <v>240.13</v>
      </c>
      <c r="K21" s="12">
        <f>IFERROR('Data Sheet'!J26,0)</f>
        <v>252.89</v>
      </c>
      <c r="L21" s="12">
        <f>IFERROR('Data Sheet'!K26,0)</f>
        <v>310.95999999999998</v>
      </c>
      <c r="M21" s="12">
        <f>IFERROR(SUM('Data Sheet'!H45:K45),0)</f>
        <v>393.84999999999997</v>
      </c>
    </row>
    <row r="22" spans="2:13" x14ac:dyDescent="0.25">
      <c r="B22" s="15" t="s">
        <v>18</v>
      </c>
      <c r="C22" s="17">
        <f t="shared" ref="C22:M22" si="7">C21/C6</f>
        <v>1.3812459975177525E-2</v>
      </c>
      <c r="D22" s="17">
        <f t="shared" si="7"/>
        <v>1.4749553908734411E-2</v>
      </c>
      <c r="E22" s="17">
        <f t="shared" si="7"/>
        <v>1.7120285462346684E-2</v>
      </c>
      <c r="F22" s="17">
        <f t="shared" si="7"/>
        <v>1.8763815755773558E-2</v>
      </c>
      <c r="G22" s="17">
        <f t="shared" si="7"/>
        <v>2.1002738980943687E-2</v>
      </c>
      <c r="H22" s="17">
        <f t="shared" si="7"/>
        <v>2.0775127158105883E-2</v>
      </c>
      <c r="I22" s="17">
        <f t="shared" si="7"/>
        <v>2.5383896166104754E-2</v>
      </c>
      <c r="J22" s="17">
        <f t="shared" si="7"/>
        <v>2.5113866330601937E-2</v>
      </c>
      <c r="K22" s="17">
        <f t="shared" si="7"/>
        <v>2.322503737826807E-2</v>
      </c>
      <c r="L22" s="17">
        <f t="shared" si="7"/>
        <v>2.6969901707648555E-2</v>
      </c>
      <c r="M22" s="17">
        <f t="shared" si="7"/>
        <v>3.2106019562784242E-2</v>
      </c>
    </row>
    <row r="23" spans="2:13" x14ac:dyDescent="0.25">
      <c r="B23" s="15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</row>
    <row r="24" spans="2:13" x14ac:dyDescent="0.25">
      <c r="B24" s="167" t="s">
        <v>388</v>
      </c>
      <c r="C24" s="22">
        <f t="shared" ref="C24:M24" si="8">C18-C21</f>
        <v>1064.0400000000002</v>
      </c>
      <c r="D24" s="22">
        <f t="shared" si="8"/>
        <v>1205.24</v>
      </c>
      <c r="E24" s="22">
        <f t="shared" si="8"/>
        <v>1385.0899999999992</v>
      </c>
      <c r="F24" s="22">
        <f t="shared" si="8"/>
        <v>1368.7500000000005</v>
      </c>
      <c r="G24" s="22">
        <f t="shared" si="8"/>
        <v>1455.2600000000007</v>
      </c>
      <c r="H24" s="22">
        <f t="shared" si="8"/>
        <v>1562.6599999999992</v>
      </c>
      <c r="I24" s="22">
        <f t="shared" si="8"/>
        <v>1571.8899999999994</v>
      </c>
      <c r="J24" s="22">
        <f t="shared" si="8"/>
        <v>1761.5399999999981</v>
      </c>
      <c r="K24" s="22">
        <f t="shared" si="8"/>
        <v>1999.1200000000008</v>
      </c>
      <c r="L24" s="22">
        <f t="shared" si="8"/>
        <v>1851.5299999999993</v>
      </c>
      <c r="M24" s="22">
        <f t="shared" si="8"/>
        <v>1948.6200000000013</v>
      </c>
    </row>
    <row r="25" spans="2:13" x14ac:dyDescent="0.25">
      <c r="B25" s="15" t="s">
        <v>389</v>
      </c>
      <c r="C25" s="17">
        <f>C24/C6</f>
        <v>0.15075402515117342</v>
      </c>
      <c r="D25" s="17">
        <f t="shared" ref="D25:M25" si="9">D24/D6</f>
        <v>0.15460734347680519</v>
      </c>
      <c r="E25" s="17">
        <f t="shared" si="9"/>
        <v>0.17803991434072944</v>
      </c>
      <c r="F25" s="17">
        <f t="shared" si="9"/>
        <v>0.17977721416572215</v>
      </c>
      <c r="G25" s="17">
        <f t="shared" si="9"/>
        <v>0.1884600192958942</v>
      </c>
      <c r="H25" s="17">
        <f t="shared" si="9"/>
        <v>0.18351871229443595</v>
      </c>
      <c r="I25" s="17">
        <f t="shared" si="9"/>
        <v>0.18099656404871123</v>
      </c>
      <c r="J25" s="17">
        <f t="shared" si="9"/>
        <v>0.1842297093074938</v>
      </c>
      <c r="K25" s="17">
        <f t="shared" si="9"/>
        <v>0.1835961751102981</v>
      </c>
      <c r="L25" s="17">
        <f t="shared" si="9"/>
        <v>0.16058522674544157</v>
      </c>
      <c r="M25" s="17">
        <f t="shared" si="9"/>
        <v>0.15884837334120266</v>
      </c>
    </row>
    <row r="26" spans="2:13" x14ac:dyDescent="0.25">
      <c r="B26" s="15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r="27" spans="2:13" x14ac:dyDescent="0.25">
      <c r="B27" s="166" t="s">
        <v>180</v>
      </c>
      <c r="C27" s="12">
        <f>IFERROR('Data Sheet'!B25,0)</f>
        <v>125.64</v>
      </c>
      <c r="D27" s="12">
        <f>IFERROR('Data Sheet'!C25,0)</f>
        <v>154.24</v>
      </c>
      <c r="E27" s="12">
        <f>IFERROR('Data Sheet'!D25,0)</f>
        <v>217.19</v>
      </c>
      <c r="F27" s="12">
        <f>IFERROR('Data Sheet'!E25,0)</f>
        <v>295.93</v>
      </c>
      <c r="G27" s="12">
        <f>IFERROR('Data Sheet'!F25,0)</f>
        <v>290.88</v>
      </c>
      <c r="H27" s="12">
        <f>IFERROR('Data Sheet'!G25,0)</f>
        <v>221.79</v>
      </c>
      <c r="I27" s="12">
        <f>IFERROR('Data Sheet'!H25,0)</f>
        <v>205.29</v>
      </c>
      <c r="J27" s="12">
        <f>IFERROR('Data Sheet'!I25,0)</f>
        <v>325.29000000000002</v>
      </c>
      <c r="K27" s="12">
        <f>IFERROR('Data Sheet'!J25,0)</f>
        <v>308.16000000000003</v>
      </c>
      <c r="L27" s="12">
        <f>IFERROR('Data Sheet'!K25,0)</f>
        <v>445.39</v>
      </c>
      <c r="M27" s="12">
        <f>IFERROR(SUM('Data Sheet'!H44:K44),0)</f>
        <v>474.77</v>
      </c>
    </row>
    <row r="28" spans="2:13" x14ac:dyDescent="0.25">
      <c r="B28" s="15" t="s">
        <v>387</v>
      </c>
      <c r="C28" s="17">
        <f>C27/C6</f>
        <v>1.7800774143823E-2</v>
      </c>
      <c r="D28" s="17">
        <f t="shared" ref="D28:M28" si="10">D27/D6</f>
        <v>1.9785799224936472E-2</v>
      </c>
      <c r="E28" s="17">
        <f t="shared" si="10"/>
        <v>2.7917672494684857E-2</v>
      </c>
      <c r="F28" s="17">
        <f t="shared" si="10"/>
        <v>3.8868654603150421E-2</v>
      </c>
      <c r="G28" s="17">
        <f t="shared" si="10"/>
        <v>3.7669729404223078E-2</v>
      </c>
      <c r="H28" s="17">
        <f t="shared" si="10"/>
        <v>2.6047006514394028E-2</v>
      </c>
      <c r="I28" s="17">
        <f t="shared" si="10"/>
        <v>2.3638285524788593E-2</v>
      </c>
      <c r="J28" s="17">
        <f t="shared" si="10"/>
        <v>3.4020278926754279E-2</v>
      </c>
      <c r="K28" s="17">
        <f t="shared" si="10"/>
        <v>2.8300951079469689E-2</v>
      </c>
      <c r="L28" s="17">
        <f t="shared" si="10"/>
        <v>3.8629162984208869E-2</v>
      </c>
      <c r="M28" s="17">
        <f t="shared" si="10"/>
        <v>3.8702488022909931E-2</v>
      </c>
    </row>
    <row r="29" spans="2:13" x14ac:dyDescent="0.25">
      <c r="B29" s="15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2:13" x14ac:dyDescent="0.25">
      <c r="B30" s="166" t="s">
        <v>15</v>
      </c>
      <c r="C30" s="12">
        <f>IFERROR('Data Sheet'!B27,0)</f>
        <v>54.15</v>
      </c>
      <c r="D30" s="12">
        <f>IFERROR('Data Sheet'!C27,0)</f>
        <v>40.119999999999997</v>
      </c>
      <c r="E30" s="12">
        <f>IFERROR('Data Sheet'!D27,0)</f>
        <v>48.48</v>
      </c>
      <c r="F30" s="12">
        <f>IFERROR('Data Sheet'!E27,0)</f>
        <v>54.03</v>
      </c>
      <c r="G30" s="12">
        <f>IFERROR('Data Sheet'!F27,0)</f>
        <v>53.05</v>
      </c>
      <c r="H30" s="12">
        <f>IFERROR('Data Sheet'!G27,0)</f>
        <v>59.58</v>
      </c>
      <c r="I30" s="12">
        <f>IFERROR('Data Sheet'!H27,0)</f>
        <v>49.54</v>
      </c>
      <c r="J30" s="12">
        <f>IFERROR('Data Sheet'!I27,0)</f>
        <v>30.81</v>
      </c>
      <c r="K30" s="12">
        <f>IFERROR('Data Sheet'!J27,0)</f>
        <v>38.6</v>
      </c>
      <c r="L30" s="12">
        <f>IFERROR('Data Sheet'!K27,0)</f>
        <v>78.239999999999995</v>
      </c>
      <c r="M30" s="12">
        <f>IFERROR(SUM('Data Sheet'!H46:K46),0)</f>
        <v>121.06</v>
      </c>
    </row>
    <row r="31" spans="2:13" x14ac:dyDescent="0.25">
      <c r="B31" s="15" t="s">
        <v>16</v>
      </c>
      <c r="C31" s="17">
        <f t="shared" ref="C31:M31" si="11">C30/C6</f>
        <v>7.6720146441261981E-3</v>
      </c>
      <c r="D31" s="17">
        <f t="shared" si="11"/>
        <v>5.1465655141626756E-3</v>
      </c>
      <c r="E31" s="17">
        <f t="shared" si="11"/>
        <v>6.2316348015208885E-3</v>
      </c>
      <c r="F31" s="17">
        <f t="shared" si="11"/>
        <v>7.0965208265745859E-3</v>
      </c>
      <c r="G31" s="17">
        <f t="shared" si="11"/>
        <v>6.870115322105453E-3</v>
      </c>
      <c r="H31" s="17">
        <f t="shared" si="11"/>
        <v>6.9970722220460621E-3</v>
      </c>
      <c r="I31" s="17">
        <f t="shared" si="11"/>
        <v>5.7043239558576984E-3</v>
      </c>
      <c r="J31" s="17">
        <f t="shared" si="11"/>
        <v>3.2222472062876178E-3</v>
      </c>
      <c r="K31" s="17">
        <f t="shared" si="11"/>
        <v>3.5449659646531995E-3</v>
      </c>
      <c r="L31" s="17">
        <f t="shared" si="11"/>
        <v>6.7858409750656771E-3</v>
      </c>
      <c r="M31" s="17">
        <f t="shared" si="11"/>
        <v>9.8686168040387472E-3</v>
      </c>
    </row>
    <row r="33" spans="2:13" x14ac:dyDescent="0.25">
      <c r="B33" s="167" t="s">
        <v>19</v>
      </c>
      <c r="C33" s="23">
        <f>IFERROR(C24+C27-C30,0)</f>
        <v>1135.5300000000002</v>
      </c>
      <c r="D33" s="23">
        <f t="shared" ref="D33:M33" si="12">IFERROR(D24+D27-D30,0)</f>
        <v>1319.3600000000001</v>
      </c>
      <c r="E33" s="23">
        <f t="shared" si="12"/>
        <v>1553.7999999999993</v>
      </c>
      <c r="F33" s="23">
        <f t="shared" si="12"/>
        <v>1610.6500000000005</v>
      </c>
      <c r="G33" s="23">
        <f t="shared" si="12"/>
        <v>1693.0900000000008</v>
      </c>
      <c r="H33" s="23">
        <f t="shared" si="12"/>
        <v>1724.8699999999992</v>
      </c>
      <c r="I33" s="23">
        <f t="shared" si="12"/>
        <v>1727.6399999999994</v>
      </c>
      <c r="J33" s="23">
        <f t="shared" si="12"/>
        <v>2056.0199999999982</v>
      </c>
      <c r="K33" s="23">
        <f t="shared" si="12"/>
        <v>2268.6800000000007</v>
      </c>
      <c r="L33" s="23">
        <f t="shared" si="12"/>
        <v>2218.6799999999994</v>
      </c>
      <c r="M33" s="23">
        <f t="shared" si="12"/>
        <v>2302.3300000000013</v>
      </c>
    </row>
    <row r="34" spans="2:13" x14ac:dyDescent="0.25">
      <c r="B34" s="15" t="s">
        <v>20</v>
      </c>
      <c r="C34" s="17">
        <f t="shared" ref="C34:M34" si="13">C33/C6</f>
        <v>0.16088278465087025</v>
      </c>
      <c r="D34" s="17">
        <f t="shared" si="13"/>
        <v>0.16924657718757899</v>
      </c>
      <c r="E34" s="17">
        <f t="shared" si="13"/>
        <v>0.19972595203389343</v>
      </c>
      <c r="F34" s="17">
        <f t="shared" si="13"/>
        <v>0.21154934794229799</v>
      </c>
      <c r="G34" s="17">
        <f t="shared" si="13"/>
        <v>0.21925963337801185</v>
      </c>
      <c r="H34" s="17">
        <f t="shared" si="13"/>
        <v>0.20256864658678392</v>
      </c>
      <c r="I34" s="17">
        <f t="shared" si="13"/>
        <v>0.19893052561764213</v>
      </c>
      <c r="J34" s="17">
        <f t="shared" si="13"/>
        <v>0.21502774102796046</v>
      </c>
      <c r="K34" s="17">
        <f t="shared" si="13"/>
        <v>0.20835216022511457</v>
      </c>
      <c r="L34" s="17">
        <f t="shared" si="13"/>
        <v>0.19242854875458479</v>
      </c>
      <c r="M34" s="17">
        <f t="shared" si="13"/>
        <v>0.18768224456007387</v>
      </c>
    </row>
    <row r="36" spans="2:13" x14ac:dyDescent="0.25">
      <c r="B36" s="166" t="s">
        <v>21</v>
      </c>
      <c r="C36" s="13">
        <f>IFERROR('Data Sheet'!B29,0)</f>
        <v>219.08</v>
      </c>
      <c r="D36" s="13">
        <f>IFERROR('Data Sheet'!C29,0)</f>
        <v>250.89</v>
      </c>
      <c r="E36" s="13">
        <f>IFERROR('Data Sheet'!D29,0)</f>
        <v>299.89999999999998</v>
      </c>
      <c r="F36" s="13">
        <f>IFERROR('Data Sheet'!E29,0)</f>
        <v>330.34</v>
      </c>
      <c r="G36" s="13">
        <f>IFERROR('Data Sheet'!F29,0)</f>
        <v>335.35</v>
      </c>
      <c r="H36" s="13">
        <f>IFERROR('Data Sheet'!G29,0)</f>
        <v>278.62</v>
      </c>
      <c r="I36" s="13">
        <f>IFERROR('Data Sheet'!H29,0)</f>
        <v>279.72000000000003</v>
      </c>
      <c r="J36" s="13">
        <f>IFERROR('Data Sheet'!I29,0)</f>
        <v>361.07</v>
      </c>
      <c r="K36" s="13">
        <f>IFERROR('Data Sheet'!J29,0)</f>
        <v>526.38</v>
      </c>
      <c r="L36" s="13">
        <f>IFERROR('Data Sheet'!K29,0)</f>
        <v>517.35</v>
      </c>
      <c r="M36" s="13">
        <f>IFERROR(SUM('Data Sheet'!H48:K48),0)</f>
        <v>539.48</v>
      </c>
    </row>
    <row r="37" spans="2:13" x14ac:dyDescent="0.25">
      <c r="B37" s="15" t="s">
        <v>22</v>
      </c>
      <c r="C37" s="17">
        <f>C36/C33</f>
        <v>0.19293193486741872</v>
      </c>
      <c r="D37" s="17">
        <f t="shared" ref="D37:M37" si="14">D36/D33</f>
        <v>0.19016038079068637</v>
      </c>
      <c r="E37" s="17">
        <f t="shared" si="14"/>
        <v>0.19301068348564818</v>
      </c>
      <c r="F37" s="17">
        <f t="shared" si="14"/>
        <v>0.20509732095737737</v>
      </c>
      <c r="G37" s="17">
        <f t="shared" si="14"/>
        <v>0.1980698013690943</v>
      </c>
      <c r="H37" s="17">
        <f t="shared" si="14"/>
        <v>0.16153101393148478</v>
      </c>
      <c r="I37" s="17">
        <f t="shared" si="14"/>
        <v>0.16190873098562208</v>
      </c>
      <c r="J37" s="17">
        <f t="shared" si="14"/>
        <v>0.1756159959533469</v>
      </c>
      <c r="K37" s="17">
        <f t="shared" si="14"/>
        <v>0.23202038189608046</v>
      </c>
      <c r="L37" s="17">
        <f t="shared" si="14"/>
        <v>0.23317918762507445</v>
      </c>
      <c r="M37" s="17">
        <f t="shared" si="14"/>
        <v>0.23431914625618383</v>
      </c>
    </row>
    <row r="39" spans="2:13" x14ac:dyDescent="0.25">
      <c r="B39" s="167" t="s">
        <v>23</v>
      </c>
      <c r="C39" s="23">
        <f>C33-C36</f>
        <v>916.45000000000016</v>
      </c>
      <c r="D39" s="23">
        <f t="shared" ref="D39:M39" si="15">D33-D36</f>
        <v>1068.4700000000003</v>
      </c>
      <c r="E39" s="23">
        <f t="shared" si="15"/>
        <v>1253.8999999999992</v>
      </c>
      <c r="F39" s="23">
        <f t="shared" si="15"/>
        <v>1280.3100000000006</v>
      </c>
      <c r="G39" s="23">
        <f t="shared" si="15"/>
        <v>1357.7400000000007</v>
      </c>
      <c r="H39" s="23">
        <f t="shared" si="15"/>
        <v>1446.2499999999991</v>
      </c>
      <c r="I39" s="23">
        <f t="shared" si="15"/>
        <v>1447.9199999999994</v>
      </c>
      <c r="J39" s="23">
        <f t="shared" si="15"/>
        <v>1694.9499999999982</v>
      </c>
      <c r="K39" s="23">
        <f t="shared" si="15"/>
        <v>1742.3000000000006</v>
      </c>
      <c r="L39" s="23">
        <f t="shared" si="15"/>
        <v>1701.3299999999995</v>
      </c>
      <c r="M39" s="23">
        <f t="shared" si="15"/>
        <v>1762.8500000000013</v>
      </c>
    </row>
    <row r="40" spans="2:13" x14ac:dyDescent="0.25">
      <c r="B40" s="15" t="s">
        <v>24</v>
      </c>
      <c r="C40" s="17">
        <f t="shared" ref="C40:M40" si="16">C39/C6</f>
        <v>0.12984335772131958</v>
      </c>
      <c r="D40" s="17">
        <f t="shared" si="16"/>
        <v>0.13706258362206869</v>
      </c>
      <c r="E40" s="17">
        <f t="shared" si="16"/>
        <v>0.16117670952200985</v>
      </c>
      <c r="F40" s="17">
        <f t="shared" si="16"/>
        <v>0.16816114342905261</v>
      </c>
      <c r="G40" s="17">
        <f t="shared" si="16"/>
        <v>0.17583092134656858</v>
      </c>
      <c r="H40" s="17">
        <f t="shared" si="16"/>
        <v>0.1698475277128921</v>
      </c>
      <c r="I40" s="17">
        <f t="shared" si="16"/>
        <v>0.16672193666058691</v>
      </c>
      <c r="J40" s="17">
        <f t="shared" si="16"/>
        <v>0.17726543012973683</v>
      </c>
      <c r="K40" s="17">
        <f t="shared" si="16"/>
        <v>0.16001021244081015</v>
      </c>
      <c r="L40" s="17">
        <f t="shared" si="16"/>
        <v>0.14755821608011868</v>
      </c>
      <c r="M40" s="17">
        <f t="shared" si="16"/>
        <v>0.14370470124731305</v>
      </c>
    </row>
    <row r="42" spans="2:13" x14ac:dyDescent="0.25">
      <c r="B42" s="166" t="s">
        <v>25</v>
      </c>
      <c r="C42">
        <f>IFERROR('Data Sheet'!B93,0)</f>
        <v>174.38</v>
      </c>
      <c r="D42">
        <f>IFERROR('Data Sheet'!C93,0)</f>
        <v>175.65</v>
      </c>
      <c r="E42">
        <f>IFERROR('Data Sheet'!D93,0)</f>
        <v>175.91</v>
      </c>
      <c r="F42">
        <f>IFERROR('Data Sheet'!E93,0)</f>
        <v>176.15</v>
      </c>
      <c r="G42">
        <f>IFERROR('Data Sheet'!F93,0)</f>
        <v>176.15</v>
      </c>
      <c r="H42">
        <f>IFERROR('Data Sheet'!G93,0)</f>
        <v>176.63</v>
      </c>
      <c r="I42">
        <f>IFERROR('Data Sheet'!H93,0)</f>
        <v>176.71</v>
      </c>
      <c r="J42">
        <f>IFERROR('Data Sheet'!I93,0)</f>
        <v>176.74</v>
      </c>
      <c r="K42">
        <f>IFERROR('Data Sheet'!J93,0)</f>
        <v>176.79</v>
      </c>
      <c r="L42">
        <f>IFERROR('Data Sheet'!K93,0)</f>
        <v>177.18</v>
      </c>
      <c r="M42">
        <f>L42</f>
        <v>177.18</v>
      </c>
    </row>
    <row r="44" spans="2:13" x14ac:dyDescent="0.25">
      <c r="B44" s="166" t="s">
        <v>26</v>
      </c>
      <c r="C44" s="13">
        <f>IFERROR(C39/C42,0)</f>
        <v>5.2554765454753998</v>
      </c>
      <c r="D44" s="13">
        <f t="shared" ref="D44:M44" si="17">IFERROR(D39/D42,0)</f>
        <v>6.0829490463990901</v>
      </c>
      <c r="E44" s="13">
        <f t="shared" si="17"/>
        <v>7.1280768574839364</v>
      </c>
      <c r="F44" s="13">
        <f t="shared" si="17"/>
        <v>7.2682940675560639</v>
      </c>
      <c r="G44" s="13">
        <f t="shared" si="17"/>
        <v>7.7078626170877129</v>
      </c>
      <c r="H44" s="13">
        <f t="shared" si="17"/>
        <v>8.1880201551265301</v>
      </c>
      <c r="I44" s="13">
        <f t="shared" si="17"/>
        <v>8.1937637937864256</v>
      </c>
      <c r="J44" s="13">
        <f t="shared" si="17"/>
        <v>9.5900758175851433</v>
      </c>
      <c r="K44" s="13">
        <f t="shared" si="17"/>
        <v>9.8551954296057502</v>
      </c>
      <c r="L44" s="13">
        <f t="shared" si="17"/>
        <v>9.6022688791059903</v>
      </c>
      <c r="M44" s="13">
        <f t="shared" si="17"/>
        <v>9.9494863980133275</v>
      </c>
    </row>
    <row r="45" spans="2:13" x14ac:dyDescent="0.25">
      <c r="B45" s="15" t="s">
        <v>27</v>
      </c>
      <c r="C45" s="17"/>
      <c r="D45" s="17">
        <f>IFERROR(D44/C44-1,0)</f>
        <v>0.1574495659458488</v>
      </c>
      <c r="E45" s="17">
        <f t="shared" ref="E45:M45" si="18">IFERROR(E44/D44-1,0)</f>
        <v>0.17181268544465755</v>
      </c>
      <c r="F45" s="17">
        <f t="shared" si="18"/>
        <v>1.9671113664397444E-2</v>
      </c>
      <c r="G45" s="17">
        <f t="shared" si="18"/>
        <v>6.0477540595637036E-2</v>
      </c>
      <c r="H45" s="17">
        <f t="shared" si="18"/>
        <v>6.229451170735012E-2</v>
      </c>
      <c r="I45" s="17">
        <f t="shared" si="18"/>
        <v>7.0146855418995457E-4</v>
      </c>
      <c r="J45" s="17">
        <f t="shared" si="18"/>
        <v>0.17041155431617194</v>
      </c>
      <c r="K45" s="17">
        <f t="shared" si="18"/>
        <v>2.7645205008125284E-2</v>
      </c>
      <c r="L45" s="17">
        <f t="shared" si="18"/>
        <v>-2.5664285635569439E-2</v>
      </c>
      <c r="M45" s="17">
        <f t="shared" si="18"/>
        <v>3.6159945454439679E-2</v>
      </c>
    </row>
    <row r="47" spans="2:13" x14ac:dyDescent="0.25">
      <c r="B47" s="166" t="s">
        <v>28</v>
      </c>
      <c r="C47" s="13">
        <f>IFERROR('Data Sheet'!B31/'Historical FS'!C42,0)</f>
        <v>1.7499713269870401</v>
      </c>
      <c r="D47" s="13">
        <f>IFERROR('Data Sheet'!C31/'Historical FS'!D42,0)</f>
        <v>2</v>
      </c>
      <c r="E47" s="13">
        <f>IFERROR('Data Sheet'!D31/'Historical FS'!E42,0)</f>
        <v>2.250014211812859</v>
      </c>
      <c r="F47" s="13">
        <f>IFERROR('Data Sheet'!E31/'Historical FS'!F42,0)</f>
        <v>2.2500141924496164</v>
      </c>
      <c r="G47" s="13">
        <f>IFERROR('Data Sheet'!F31/'Historical FS'!G42,0)</f>
        <v>6.2500141924496173</v>
      </c>
      <c r="H47" s="13">
        <f>IFERROR('Data Sheet'!G31/'Historical FS'!H42,0)</f>
        <v>2.7499858461190061</v>
      </c>
      <c r="I47" s="13">
        <f>IFERROR('Data Sheet'!H31/'Historical FS'!I42,0)</f>
        <v>3</v>
      </c>
      <c r="J47" s="13">
        <f>IFERROR('Data Sheet'!I31/'Historical FS'!J42,0)</f>
        <v>4.7500282901437139</v>
      </c>
      <c r="K47" s="13">
        <f>IFERROR('Data Sheet'!J31/'Historical FS'!K42,0)</f>
        <v>5.200011312857062</v>
      </c>
      <c r="L47" s="13">
        <f>IFERROR('Data Sheet'!K31/'Historical FS'!L42,0)</f>
        <v>5.2000225759115022</v>
      </c>
      <c r="M47" s="13">
        <f>IFERROR('Data Sheet'!L31/'Historical FS'!M42,0)</f>
        <v>0</v>
      </c>
    </row>
    <row r="48" spans="2:13" x14ac:dyDescent="0.25">
      <c r="B48" s="15" t="s">
        <v>29</v>
      </c>
      <c r="C48" s="17">
        <f>IFERROR(C47/C44,0)</f>
        <v>0.33298052266899447</v>
      </c>
      <c r="D48" s="17">
        <f t="shared" ref="D48:M48" si="19">IFERROR(D47/D44,0)</f>
        <v>0.32878789296845018</v>
      </c>
      <c r="E48" s="17">
        <f t="shared" si="19"/>
        <v>0.31565515591354992</v>
      </c>
      <c r="F48" s="17">
        <f t="shared" si="19"/>
        <v>0.3095656520686394</v>
      </c>
      <c r="G48" s="17">
        <f t="shared" si="19"/>
        <v>0.8108621680144944</v>
      </c>
      <c r="H48" s="17">
        <f t="shared" si="19"/>
        <v>0.335854796888505</v>
      </c>
      <c r="I48" s="17">
        <f t="shared" si="19"/>
        <v>0.36613210674622926</v>
      </c>
      <c r="J48" s="17">
        <f t="shared" si="19"/>
        <v>0.49530664621375314</v>
      </c>
      <c r="K48" s="17">
        <f t="shared" si="19"/>
        <v>0.52764162314182383</v>
      </c>
      <c r="L48" s="17">
        <f t="shared" si="19"/>
        <v>0.54154102966502693</v>
      </c>
      <c r="M48" s="17">
        <f t="shared" si="19"/>
        <v>0</v>
      </c>
    </row>
    <row r="50" spans="1:13" x14ac:dyDescent="0.25">
      <c r="B50" s="166" t="s">
        <v>30</v>
      </c>
      <c r="C50" s="14">
        <f>IFERROR(IF(C44&gt;C47,1-C48,0),0)</f>
        <v>0.66701947733100553</v>
      </c>
      <c r="D50" s="14">
        <f t="shared" ref="D50:M50" si="20">IFERROR(IF(D44&gt;D47,1-D48,0),0)</f>
        <v>0.67121210703154977</v>
      </c>
      <c r="E50" s="14">
        <f t="shared" si="20"/>
        <v>0.68434484408645013</v>
      </c>
      <c r="F50" s="14">
        <f t="shared" si="20"/>
        <v>0.6904343479313606</v>
      </c>
      <c r="G50" s="14">
        <f t="shared" si="20"/>
        <v>0.1891378319855056</v>
      </c>
      <c r="H50" s="14">
        <f t="shared" si="20"/>
        <v>0.66414520311149494</v>
      </c>
      <c r="I50" s="14">
        <f t="shared" si="20"/>
        <v>0.63386789325377069</v>
      </c>
      <c r="J50" s="14">
        <f t="shared" si="20"/>
        <v>0.5046933537862468</v>
      </c>
      <c r="K50" s="14">
        <f t="shared" si="20"/>
        <v>0.47235837685817617</v>
      </c>
      <c r="L50" s="14">
        <f t="shared" si="20"/>
        <v>0.45845897033497307</v>
      </c>
      <c r="M50" s="14">
        <f t="shared" si="20"/>
        <v>1</v>
      </c>
    </row>
    <row r="52" spans="1:13" x14ac:dyDescent="0.25">
      <c r="A52" t="s">
        <v>2</v>
      </c>
      <c r="B52" s="18" t="s">
        <v>31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</row>
    <row r="53" spans="1:13" x14ac:dyDescent="0.25">
      <c r="B53" s="168" t="s">
        <v>32</v>
      </c>
      <c r="C53" s="13">
        <f>IFERROR('Data Sheet'!B57,0)</f>
        <v>174.38</v>
      </c>
      <c r="D53" s="13">
        <f>IFERROR('Data Sheet'!C57,0)</f>
        <v>175.65</v>
      </c>
      <c r="E53" s="13">
        <f>IFERROR('Data Sheet'!D57,0)</f>
        <v>175.91</v>
      </c>
      <c r="F53" s="13">
        <f>IFERROR('Data Sheet'!E57,0)</f>
        <v>176.15</v>
      </c>
      <c r="G53" s="13">
        <f>IFERROR('Data Sheet'!F57,0)</f>
        <v>176.15</v>
      </c>
      <c r="H53" s="13">
        <f>IFERROR('Data Sheet'!G57,0)</f>
        <v>176.63</v>
      </c>
      <c r="I53" s="13">
        <f>IFERROR('Data Sheet'!H57,0)</f>
        <v>176.71</v>
      </c>
      <c r="J53" s="13">
        <f>IFERROR('Data Sheet'!I57,0)</f>
        <v>176.74</v>
      </c>
      <c r="K53" s="13">
        <f>IFERROR('Data Sheet'!J57,0)</f>
        <v>176.79</v>
      </c>
      <c r="L53" s="13">
        <f>IFERROR('Data Sheet'!K57,0)</f>
        <v>177.18</v>
      </c>
    </row>
    <row r="54" spans="1:13" x14ac:dyDescent="0.25">
      <c r="B54" s="168" t="s">
        <v>33</v>
      </c>
      <c r="C54" s="13">
        <f>IFERROR('Data Sheet'!B58,0)</f>
        <v>2481.58</v>
      </c>
      <c r="D54" s="13">
        <f>IFERROR('Data Sheet'!C58,0)</f>
        <v>3178.49</v>
      </c>
      <c r="E54" s="13">
        <f>IFERROR('Data Sheet'!D58,0)</f>
        <v>3994.7</v>
      </c>
      <c r="F54" s="13">
        <f>IFERROR('Data Sheet'!E58,0)</f>
        <v>4671.24</v>
      </c>
      <c r="G54" s="13">
        <f>IFERROR('Data Sheet'!F58,0)</f>
        <v>5530.37</v>
      </c>
      <c r="H54" s="13">
        <f>IFERROR('Data Sheet'!G58,0)</f>
        <v>5455.05</v>
      </c>
      <c r="I54" s="13">
        <f>IFERROR('Data Sheet'!H58,0)</f>
        <v>6429.04</v>
      </c>
      <c r="J54" s="13">
        <f>IFERROR('Data Sheet'!I58,0)</f>
        <v>7486.79</v>
      </c>
      <c r="K54" s="13">
        <f>IFERROR('Data Sheet'!J58,0)</f>
        <v>8204.51</v>
      </c>
      <c r="L54" s="13">
        <f>IFERROR('Data Sheet'!K58,0)</f>
        <v>8796.08</v>
      </c>
    </row>
    <row r="55" spans="1:13" x14ac:dyDescent="0.25">
      <c r="B55" s="168" t="s">
        <v>34</v>
      </c>
      <c r="C55" s="13">
        <f>IFERROR('Data Sheet'!B59,0)</f>
        <v>708.14</v>
      </c>
      <c r="D55" s="13">
        <f>IFERROR('Data Sheet'!C59,0)</f>
        <v>733.56</v>
      </c>
      <c r="E55" s="13">
        <f>IFERROR('Data Sheet'!D59,0)</f>
        <v>805.22</v>
      </c>
      <c r="F55" s="13">
        <f>IFERROR('Data Sheet'!E59,0)</f>
        <v>975</v>
      </c>
      <c r="G55" s="13">
        <f>IFERROR('Data Sheet'!F59,0)</f>
        <v>937.59</v>
      </c>
      <c r="H55" s="13">
        <f>IFERROR('Data Sheet'!G59,0)</f>
        <v>699.37</v>
      </c>
      <c r="I55" s="13">
        <f>IFERROR('Data Sheet'!H59,0)</f>
        <v>521.99</v>
      </c>
      <c r="J55" s="13">
        <f>IFERROR('Data Sheet'!I59,0)</f>
        <v>509.06</v>
      </c>
      <c r="K55" s="13">
        <f>IFERROR('Data Sheet'!J59,0)</f>
        <v>1030.0999999999999</v>
      </c>
      <c r="L55" s="13">
        <f>IFERROR('Data Sheet'!K59,0)</f>
        <v>1173.79</v>
      </c>
    </row>
    <row r="56" spans="1:13" x14ac:dyDescent="0.25">
      <c r="B56" s="168" t="s">
        <v>35</v>
      </c>
      <c r="C56" s="13">
        <f>IFERROR('Data Sheet'!B60,0)</f>
        <v>1947.9</v>
      </c>
      <c r="D56" s="13">
        <f>IFERROR('Data Sheet'!C60,0)</f>
        <v>2018.58</v>
      </c>
      <c r="E56" s="13">
        <f>IFERROR('Data Sheet'!D60,0)</f>
        <v>1956.47</v>
      </c>
      <c r="F56" s="13">
        <f>IFERROR('Data Sheet'!E60,0)</f>
        <v>1909.85</v>
      </c>
      <c r="G56" s="13">
        <f>IFERROR('Data Sheet'!F60,0)</f>
        <v>2057.52</v>
      </c>
      <c r="H56" s="13">
        <f>IFERROR('Data Sheet'!G60,0)</f>
        <v>2105.59</v>
      </c>
      <c r="I56" s="13">
        <f>IFERROR('Data Sheet'!H60,0)</f>
        <v>2208.84</v>
      </c>
      <c r="J56" s="13">
        <f>IFERROR('Data Sheet'!I60,0)</f>
        <v>2660.63</v>
      </c>
      <c r="K56" s="13">
        <f>IFERROR('Data Sheet'!J60,0)</f>
        <v>2872.46</v>
      </c>
      <c r="L56" s="13">
        <f>IFERROR('Data Sheet'!K60,0)</f>
        <v>3505.23</v>
      </c>
    </row>
    <row r="57" spans="1:13" x14ac:dyDescent="0.25">
      <c r="B57" s="169" t="s">
        <v>36</v>
      </c>
      <c r="C57" s="23">
        <f>IFERROR('Data Sheet'!B61,0)</f>
        <v>5312</v>
      </c>
      <c r="D57" s="23">
        <f>IFERROR('Data Sheet'!C61,0)</f>
        <v>6106.28</v>
      </c>
      <c r="E57" s="23">
        <f>IFERROR('Data Sheet'!D61,0)</f>
        <v>6932.3</v>
      </c>
      <c r="F57" s="23">
        <f>IFERROR('Data Sheet'!E61,0)</f>
        <v>7732.24</v>
      </c>
      <c r="G57" s="23">
        <f>IFERROR('Data Sheet'!F61,0)</f>
        <v>8701.6299999999992</v>
      </c>
      <c r="H57" s="23">
        <f>IFERROR('Data Sheet'!G61,0)</f>
        <v>8436.64</v>
      </c>
      <c r="I57" s="23">
        <f>IFERROR('Data Sheet'!H61,0)</f>
        <v>9336.58</v>
      </c>
      <c r="J57" s="23">
        <f>IFERROR('Data Sheet'!I61,0)</f>
        <v>10833.22</v>
      </c>
      <c r="K57" s="23">
        <f>IFERROR('Data Sheet'!J61,0)</f>
        <v>12283.86</v>
      </c>
      <c r="L57" s="23">
        <f>IFERROR('Data Sheet'!K61,0)</f>
        <v>13652.28</v>
      </c>
    </row>
    <row r="58" spans="1:13" x14ac:dyDescent="0.25">
      <c r="B58" s="1"/>
    </row>
    <row r="59" spans="1:13" x14ac:dyDescent="0.25">
      <c r="B59" s="168" t="s">
        <v>37</v>
      </c>
      <c r="C59" s="13">
        <f>IFERROR('Data Sheet'!B62,0)</f>
        <v>1766.9</v>
      </c>
      <c r="D59" s="13">
        <f>IFERROR('Data Sheet'!C62,0)</f>
        <v>1877.13</v>
      </c>
      <c r="E59" s="13">
        <f>IFERROR('Data Sheet'!D62,0)</f>
        <v>1667.4</v>
      </c>
      <c r="F59" s="13">
        <f>IFERROR('Data Sheet'!E62,0)</f>
        <v>1958.4</v>
      </c>
      <c r="G59" s="13">
        <f>IFERROR('Data Sheet'!F62,0)</f>
        <v>2028.11</v>
      </c>
      <c r="H59" s="13">
        <f>IFERROR('Data Sheet'!G62,0)</f>
        <v>1969.06</v>
      </c>
      <c r="I59" s="13">
        <f>IFERROR('Data Sheet'!H62,0)</f>
        <v>2252.6799999999998</v>
      </c>
      <c r="J59" s="13">
        <f>IFERROR('Data Sheet'!I62,0)</f>
        <v>2242.92</v>
      </c>
      <c r="K59" s="13">
        <f>IFERROR('Data Sheet'!J62,0)</f>
        <v>2307.9</v>
      </c>
      <c r="L59" s="13">
        <f>IFERROR('Data Sheet'!K62,0)</f>
        <v>3578.65</v>
      </c>
    </row>
    <row r="60" spans="1:13" x14ac:dyDescent="0.25">
      <c r="B60" s="168" t="s">
        <v>38</v>
      </c>
      <c r="C60" s="13">
        <f>IFERROR('Data Sheet'!B63,0)</f>
        <v>21.71</v>
      </c>
      <c r="D60" s="13">
        <f>IFERROR('Data Sheet'!C63,0)</f>
        <v>50.3</v>
      </c>
      <c r="E60" s="13">
        <f>IFERROR('Data Sheet'!D63,0)</f>
        <v>44.8</v>
      </c>
      <c r="F60" s="13">
        <f>IFERROR('Data Sheet'!E63,0)</f>
        <v>42.1</v>
      </c>
      <c r="G60" s="13">
        <f>IFERROR('Data Sheet'!F63,0)</f>
        <v>41.51</v>
      </c>
      <c r="H60" s="13">
        <f>IFERROR('Data Sheet'!G63,0)</f>
        <v>63.76</v>
      </c>
      <c r="I60" s="13">
        <f>IFERROR('Data Sheet'!H63,0)</f>
        <v>146.57</v>
      </c>
      <c r="J60" s="13">
        <f>IFERROR('Data Sheet'!I63,0)</f>
        <v>147.30000000000001</v>
      </c>
      <c r="K60" s="13">
        <f>IFERROR('Data Sheet'!J63,0)</f>
        <v>167.5</v>
      </c>
      <c r="L60" s="13">
        <f>IFERROR('Data Sheet'!K63,0)</f>
        <v>175.13</v>
      </c>
    </row>
    <row r="61" spans="1:13" x14ac:dyDescent="0.25">
      <c r="B61" s="168" t="s">
        <v>39</v>
      </c>
      <c r="C61" s="13">
        <f>IFERROR('Data Sheet'!B64,0)</f>
        <v>1076.47</v>
      </c>
      <c r="D61" s="13">
        <f>IFERROR('Data Sheet'!C64,0)</f>
        <v>1813.37</v>
      </c>
      <c r="E61" s="13">
        <f>IFERROR('Data Sheet'!D64,0)</f>
        <v>2690.74</v>
      </c>
      <c r="F61" s="13">
        <f>IFERROR('Data Sheet'!E64,0)</f>
        <v>3240.16</v>
      </c>
      <c r="G61" s="13">
        <f>IFERROR('Data Sheet'!F64,0)</f>
        <v>3805.17</v>
      </c>
      <c r="H61" s="13">
        <f>IFERROR('Data Sheet'!G64,0)</f>
        <v>3358.76</v>
      </c>
      <c r="I61" s="13">
        <f>IFERROR('Data Sheet'!H64,0)</f>
        <v>2800.26</v>
      </c>
      <c r="J61" s="13">
        <f>IFERROR('Data Sheet'!I64,0)</f>
        <v>4159.63</v>
      </c>
      <c r="K61" s="13">
        <f>IFERROR('Data Sheet'!J64,0)</f>
        <v>6219.62</v>
      </c>
      <c r="L61" s="13">
        <f>IFERROR('Data Sheet'!K64,0)</f>
        <v>6265.26</v>
      </c>
    </row>
    <row r="62" spans="1:13" x14ac:dyDescent="0.25">
      <c r="B62" s="168" t="s">
        <v>40</v>
      </c>
      <c r="C62" s="13">
        <f>IFERROR('Data Sheet'!B65-SUM('Data Sheet'!B67:B69),0)</f>
        <v>279.73</v>
      </c>
      <c r="D62" s="13">
        <f>IFERROR('Data Sheet'!C65-SUM('Data Sheet'!C67:C69),0)</f>
        <v>405.32999999999993</v>
      </c>
      <c r="E62" s="13">
        <f>IFERROR('Data Sheet'!D65-SUM('Data Sheet'!D67:D69),0)</f>
        <v>403.84000000000015</v>
      </c>
      <c r="F62" s="13">
        <f>IFERROR('Data Sheet'!E65-SUM('Data Sheet'!E67:E69),0)</f>
        <v>429.63999999999987</v>
      </c>
      <c r="G62" s="13">
        <f>IFERROR('Data Sheet'!F65-SUM('Data Sheet'!F67:F69),0)</f>
        <v>558.52</v>
      </c>
      <c r="H62" s="13">
        <f>IFERROR('Data Sheet'!G65-SUM('Data Sheet'!G67:G69),0)</f>
        <v>582.80999999999995</v>
      </c>
      <c r="I62" s="13">
        <f>IFERROR('Data Sheet'!H65-SUM('Data Sheet'!H67:H69),0)</f>
        <v>1132.2399999999998</v>
      </c>
      <c r="J62" s="13">
        <f>IFERROR('Data Sheet'!I65-SUM('Data Sheet'!I67:I69),0)</f>
        <v>658.47999999999956</v>
      </c>
      <c r="K62" s="13">
        <f>IFERROR('Data Sheet'!J65-SUM('Data Sheet'!J67:J69),0)</f>
        <v>461.18000000000029</v>
      </c>
      <c r="L62" s="13">
        <f>IFERROR('Data Sheet'!K65-SUM('Data Sheet'!K67:K69),0)</f>
        <v>434.36999999999989</v>
      </c>
    </row>
    <row r="63" spans="1:13" x14ac:dyDescent="0.25">
      <c r="B63" s="169" t="s">
        <v>41</v>
      </c>
      <c r="C63" s="23">
        <f>SUM(C59:C62)</f>
        <v>3144.81</v>
      </c>
      <c r="D63" s="23">
        <f t="shared" ref="D63:L63" si="21">SUM(D59:D62)</f>
        <v>4146.13</v>
      </c>
      <c r="E63" s="23">
        <f t="shared" si="21"/>
        <v>4806.78</v>
      </c>
      <c r="F63" s="23">
        <f t="shared" si="21"/>
        <v>5670.2999999999993</v>
      </c>
      <c r="G63" s="23">
        <f t="shared" si="21"/>
        <v>6433.3099999999995</v>
      </c>
      <c r="H63" s="23">
        <f t="shared" si="21"/>
        <v>5974.3899999999994</v>
      </c>
      <c r="I63" s="23">
        <f t="shared" si="21"/>
        <v>6331.75</v>
      </c>
      <c r="J63" s="23">
        <f t="shared" si="21"/>
        <v>7208.33</v>
      </c>
      <c r="K63" s="23">
        <f t="shared" si="21"/>
        <v>9156.2000000000007</v>
      </c>
      <c r="L63" s="23">
        <f t="shared" si="21"/>
        <v>10453.41</v>
      </c>
    </row>
    <row r="64" spans="1:13" x14ac:dyDescent="0.25">
      <c r="B64" s="1"/>
    </row>
    <row r="65" spans="1:13" x14ac:dyDescent="0.25">
      <c r="B65" s="168" t="s">
        <v>42</v>
      </c>
      <c r="C65" s="13">
        <f>IFERROR('Data Sheet'!B67,0)</f>
        <v>675.3</v>
      </c>
      <c r="D65" s="13">
        <f>IFERROR('Data Sheet'!C67,0)</f>
        <v>710.84</v>
      </c>
      <c r="E65" s="13">
        <f>IFERROR('Data Sheet'!D67,0)</f>
        <v>809.2</v>
      </c>
      <c r="F65" s="13">
        <f>IFERROR('Data Sheet'!E67,0)</f>
        <v>650.41999999999996</v>
      </c>
      <c r="G65" s="13">
        <f>IFERROR('Data Sheet'!F67,0)</f>
        <v>706.08</v>
      </c>
      <c r="H65" s="13">
        <f>IFERROR('Data Sheet'!G67,0)</f>
        <v>833.56</v>
      </c>
      <c r="I65" s="13">
        <f>IFERROR('Data Sheet'!H67,0)</f>
        <v>813.89</v>
      </c>
      <c r="J65" s="13">
        <f>IFERROR('Data Sheet'!I67,0)</f>
        <v>561.58000000000004</v>
      </c>
      <c r="K65" s="13">
        <f>IFERROR('Data Sheet'!J67,0)</f>
        <v>646.15</v>
      </c>
      <c r="L65" s="13">
        <f>IFERROR('Data Sheet'!K67,0)</f>
        <v>848.75</v>
      </c>
    </row>
    <row r="66" spans="1:13" x14ac:dyDescent="0.25">
      <c r="B66" s="168" t="s">
        <v>43</v>
      </c>
      <c r="C66" s="13">
        <f>IFERROR('Data Sheet'!B68,0)</f>
        <v>972.51</v>
      </c>
      <c r="D66" s="13">
        <f>IFERROR('Data Sheet'!C68,0)</f>
        <v>973.27</v>
      </c>
      <c r="E66" s="13">
        <f>IFERROR('Data Sheet'!D68,0)</f>
        <v>1096.5</v>
      </c>
      <c r="F66" s="13">
        <f>IFERROR('Data Sheet'!E68,0)</f>
        <v>1106.71</v>
      </c>
      <c r="G66" s="13">
        <f>IFERROR('Data Sheet'!F68,0)</f>
        <v>1256.18</v>
      </c>
      <c r="H66" s="13">
        <f>IFERROR('Data Sheet'!G68,0)</f>
        <v>1300.53</v>
      </c>
      <c r="I66" s="13">
        <f>IFERROR('Data Sheet'!H68,0)</f>
        <v>1379.57</v>
      </c>
      <c r="J66" s="13">
        <f>IFERROR('Data Sheet'!I68,0)</f>
        <v>1734.28</v>
      </c>
      <c r="K66" s="13">
        <f>IFERROR('Data Sheet'!J68,0)</f>
        <v>1911.37</v>
      </c>
      <c r="L66" s="13">
        <f>IFERROR('Data Sheet'!K68,0)</f>
        <v>2024.2</v>
      </c>
    </row>
    <row r="67" spans="1:13" x14ac:dyDescent="0.25">
      <c r="B67" s="168" t="s">
        <v>44</v>
      </c>
      <c r="C67" s="13">
        <f>IFERROR('Data Sheet'!B69,0)</f>
        <v>519.38</v>
      </c>
      <c r="D67" s="13">
        <f>IFERROR('Data Sheet'!C69,0)</f>
        <v>276.04000000000002</v>
      </c>
      <c r="E67" s="13">
        <f>IFERROR('Data Sheet'!D69,0)</f>
        <v>219.82</v>
      </c>
      <c r="F67" s="13">
        <f>IFERROR('Data Sheet'!E69,0)</f>
        <v>304.81</v>
      </c>
      <c r="G67" s="13">
        <f>IFERROR('Data Sheet'!F69,0)</f>
        <v>306.06</v>
      </c>
      <c r="H67" s="13">
        <f>IFERROR('Data Sheet'!G69,0)</f>
        <v>328.16</v>
      </c>
      <c r="I67" s="13">
        <f>IFERROR('Data Sheet'!H69,0)</f>
        <v>811.37</v>
      </c>
      <c r="J67" s="13">
        <f>IFERROR('Data Sheet'!I69,0)</f>
        <v>1329.03</v>
      </c>
      <c r="K67" s="13">
        <f>IFERROR('Data Sheet'!J69,0)</f>
        <v>570.14</v>
      </c>
      <c r="L67" s="13">
        <f>IFERROR('Data Sheet'!K69,0)</f>
        <v>325.92</v>
      </c>
    </row>
    <row r="68" spans="1:13" x14ac:dyDescent="0.25">
      <c r="B68" s="170" t="s">
        <v>45</v>
      </c>
      <c r="C68" s="23">
        <f>IFERROR(SUM(C65:C67),0)</f>
        <v>2167.19</v>
      </c>
      <c r="D68" s="23">
        <f t="shared" ref="D68:L68" si="22">IFERROR(SUM(D65:D67),0)</f>
        <v>1960.15</v>
      </c>
      <c r="E68" s="23">
        <f t="shared" si="22"/>
        <v>2125.52</v>
      </c>
      <c r="F68" s="23">
        <f t="shared" si="22"/>
        <v>2061.94</v>
      </c>
      <c r="G68" s="23">
        <f t="shared" si="22"/>
        <v>2268.3200000000002</v>
      </c>
      <c r="H68" s="23">
        <f t="shared" si="22"/>
        <v>2462.25</v>
      </c>
      <c r="I68" s="23">
        <f t="shared" si="22"/>
        <v>3004.83</v>
      </c>
      <c r="J68" s="23">
        <f t="shared" si="22"/>
        <v>3624.8900000000003</v>
      </c>
      <c r="K68" s="23">
        <f t="shared" si="22"/>
        <v>3127.66</v>
      </c>
      <c r="L68" s="23">
        <f t="shared" si="22"/>
        <v>3198.87</v>
      </c>
    </row>
    <row r="69" spans="1:13" x14ac:dyDescent="0.25">
      <c r="B69" s="166"/>
    </row>
    <row r="70" spans="1:13" x14ac:dyDescent="0.25">
      <c r="B70" s="170" t="s">
        <v>46</v>
      </c>
      <c r="C70" s="23">
        <f>IFERROR(C68+C63,0)</f>
        <v>5312</v>
      </c>
      <c r="D70" s="23">
        <f t="shared" ref="D70:L70" si="23">IFERROR(D68+D63,0)</f>
        <v>6106.2800000000007</v>
      </c>
      <c r="E70" s="23">
        <f t="shared" si="23"/>
        <v>6932.2999999999993</v>
      </c>
      <c r="F70" s="23">
        <f t="shared" si="23"/>
        <v>7732.24</v>
      </c>
      <c r="G70" s="23">
        <f t="shared" si="23"/>
        <v>8701.6299999999992</v>
      </c>
      <c r="H70" s="23">
        <f t="shared" si="23"/>
        <v>8436.64</v>
      </c>
      <c r="I70" s="23">
        <f t="shared" si="23"/>
        <v>9336.58</v>
      </c>
      <c r="J70" s="23">
        <f t="shared" si="23"/>
        <v>10833.220000000001</v>
      </c>
      <c r="K70" s="23">
        <f t="shared" si="23"/>
        <v>12283.86</v>
      </c>
      <c r="L70" s="23">
        <f t="shared" si="23"/>
        <v>13652.279999999999</v>
      </c>
    </row>
    <row r="71" spans="1:13" x14ac:dyDescent="0.25">
      <c r="B71" s="11"/>
    </row>
    <row r="72" spans="1:13" x14ac:dyDescent="0.25">
      <c r="B72" s="15" t="s">
        <v>47</v>
      </c>
      <c r="C72" s="15" t="b">
        <f>C70=C57</f>
        <v>1</v>
      </c>
      <c r="D72" s="15" t="b">
        <f t="shared" ref="D72:L72" si="24">D70=D57</f>
        <v>1</v>
      </c>
      <c r="E72" s="15" t="b">
        <f t="shared" si="24"/>
        <v>1</v>
      </c>
      <c r="F72" s="15" t="b">
        <f t="shared" si="24"/>
        <v>1</v>
      </c>
      <c r="G72" s="15" t="b">
        <f t="shared" si="24"/>
        <v>1</v>
      </c>
      <c r="H72" s="15" t="b">
        <f t="shared" si="24"/>
        <v>1</v>
      </c>
      <c r="I72" s="15" t="b">
        <f t="shared" si="24"/>
        <v>1</v>
      </c>
      <c r="J72" s="15" t="b">
        <f t="shared" si="24"/>
        <v>1</v>
      </c>
      <c r="K72" s="15" t="b">
        <f t="shared" si="24"/>
        <v>1</v>
      </c>
      <c r="L72" s="15" t="b">
        <f t="shared" si="24"/>
        <v>1</v>
      </c>
    </row>
    <row r="74" spans="1:13" x14ac:dyDescent="0.25">
      <c r="A74" t="s">
        <v>2</v>
      </c>
      <c r="B74" s="18" t="s">
        <v>48</v>
      </c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</row>
    <row r="75" spans="1:13" x14ac:dyDescent="0.25">
      <c r="B75" s="171" t="s">
        <v>49</v>
      </c>
    </row>
    <row r="76" spans="1:13" x14ac:dyDescent="0.25">
      <c r="B76" s="166" t="s">
        <v>50</v>
      </c>
      <c r="C76" s="13">
        <f>IFERROR('Cash Flow Data (Manual)'!E6,0)</f>
        <v>1202</v>
      </c>
      <c r="D76" s="13">
        <f>IFERROR('Cash Flow Data (Manual)'!F6,0)</f>
        <v>1394</v>
      </c>
      <c r="E76" s="13">
        <f>IFERROR('Cash Flow Data (Manual)'!G6,0)</f>
        <v>1543</v>
      </c>
      <c r="F76" s="13">
        <f>IFERROR('Cash Flow Data (Manual)'!H6,0)</f>
        <v>1462</v>
      </c>
      <c r="G76" s="13">
        <f>IFERROR('Cash Flow Data (Manual)'!I6,0)</f>
        <v>1678</v>
      </c>
      <c r="H76" s="13">
        <f>IFERROR('Cash Flow Data (Manual)'!J6,0)</f>
        <v>1868</v>
      </c>
      <c r="I76" s="13">
        <f>IFERROR('Cash Flow Data (Manual)'!K6,0)</f>
        <v>1981</v>
      </c>
      <c r="J76" s="13">
        <f>IFERROR('Cash Flow Data (Manual)'!L6,0)</f>
        <v>2048</v>
      </c>
      <c r="K76" s="13">
        <f>IFERROR('Cash Flow Data (Manual)'!M6,0)</f>
        <v>2287</v>
      </c>
      <c r="L76" s="13">
        <f>IFERROR('Cash Flow Data (Manual)'!N6,0)</f>
        <v>2143</v>
      </c>
    </row>
    <row r="77" spans="1:13" x14ac:dyDescent="0.25">
      <c r="B77" s="166" t="s">
        <v>42</v>
      </c>
      <c r="C77" s="13">
        <f>IFERROR('Cash Flow Data (Manual)'!E7,0)</f>
        <v>-187</v>
      </c>
      <c r="D77" s="13">
        <f>IFERROR('Cash Flow Data (Manual)'!F7,0)</f>
        <v>-142</v>
      </c>
      <c r="E77" s="13">
        <f>IFERROR('Cash Flow Data (Manual)'!G7,0)</f>
        <v>-14</v>
      </c>
      <c r="F77" s="13">
        <f>IFERROR('Cash Flow Data (Manual)'!H7,0)</f>
        <v>115</v>
      </c>
      <c r="G77" s="13">
        <f>IFERROR('Cash Flow Data (Manual)'!I7,0)</f>
        <v>-60</v>
      </c>
      <c r="H77" s="13">
        <f>IFERROR('Cash Flow Data (Manual)'!J7,0)</f>
        <v>-130</v>
      </c>
      <c r="I77" s="13">
        <f>IFERROR('Cash Flow Data (Manual)'!K7,0)</f>
        <v>14</v>
      </c>
      <c r="J77" s="13">
        <f>IFERROR('Cash Flow Data (Manual)'!L7,0)</f>
        <v>248</v>
      </c>
      <c r="K77" s="13">
        <f>IFERROR('Cash Flow Data (Manual)'!M7,0)</f>
        <v>-78</v>
      </c>
      <c r="L77" s="13">
        <f>IFERROR('Cash Flow Data (Manual)'!N7,0)</f>
        <v>-191</v>
      </c>
    </row>
    <row r="78" spans="1:13" x14ac:dyDescent="0.25">
      <c r="B78" s="166" t="s">
        <v>43</v>
      </c>
      <c r="C78" s="13">
        <f>IFERROR('Cash Flow Data (Manual)'!E8,0)</f>
        <v>-128</v>
      </c>
      <c r="D78" s="13">
        <f>IFERROR('Cash Flow Data (Manual)'!F8,0)</f>
        <v>-1</v>
      </c>
      <c r="E78" s="13">
        <f>IFERROR('Cash Flow Data (Manual)'!G8,0)</f>
        <v>-123</v>
      </c>
      <c r="F78" s="13">
        <f>IFERROR('Cash Flow Data (Manual)'!H8,0)</f>
        <v>-10</v>
      </c>
      <c r="G78" s="13">
        <f>IFERROR('Cash Flow Data (Manual)'!I8,0)</f>
        <v>-149</v>
      </c>
      <c r="H78" s="13">
        <f>IFERROR('Cash Flow Data (Manual)'!J8,0)</f>
        <v>-44</v>
      </c>
      <c r="I78" s="13">
        <f>IFERROR('Cash Flow Data (Manual)'!K8,0)</f>
        <v>-79</v>
      </c>
      <c r="J78" s="13">
        <f>IFERROR('Cash Flow Data (Manual)'!L8,0)</f>
        <v>-355</v>
      </c>
      <c r="K78" s="13">
        <f>IFERROR('Cash Flow Data (Manual)'!M8,0)</f>
        <v>-177</v>
      </c>
      <c r="L78" s="13">
        <f>IFERROR('Cash Flow Data (Manual)'!N8,0)</f>
        <v>-96</v>
      </c>
    </row>
    <row r="79" spans="1:13" x14ac:dyDescent="0.25">
      <c r="B79" s="166" t="s">
        <v>51</v>
      </c>
      <c r="C79" s="13">
        <f>IFERROR('Cash Flow Data (Manual)'!E9,0)</f>
        <v>397</v>
      </c>
      <c r="D79" s="13">
        <f>IFERROR('Cash Flow Data (Manual)'!F9,0)</f>
        <v>26</v>
      </c>
      <c r="E79" s="13">
        <f>IFERROR('Cash Flow Data (Manual)'!G9,0)</f>
        <v>62</v>
      </c>
      <c r="F79" s="13">
        <f>IFERROR('Cash Flow Data (Manual)'!H9,0)</f>
        <v>-16</v>
      </c>
      <c r="G79" s="13">
        <f>IFERROR('Cash Flow Data (Manual)'!I9,0)</f>
        <v>86</v>
      </c>
      <c r="H79" s="13">
        <f>IFERROR('Cash Flow Data (Manual)'!J9,0)</f>
        <v>45</v>
      </c>
      <c r="I79" s="13">
        <f>IFERROR('Cash Flow Data (Manual)'!K9,0)</f>
        <v>26</v>
      </c>
      <c r="J79" s="13">
        <f>IFERROR('Cash Flow Data (Manual)'!L9,0)</f>
        <v>434</v>
      </c>
      <c r="K79" s="13">
        <f>IFERROR('Cash Flow Data (Manual)'!M9,0)</f>
        <v>108</v>
      </c>
      <c r="L79" s="13">
        <f>IFERROR('Cash Flow Data (Manual)'!N9,0)</f>
        <v>141</v>
      </c>
    </row>
    <row r="80" spans="1:13" x14ac:dyDescent="0.25">
      <c r="B80" s="166" t="s">
        <v>52</v>
      </c>
      <c r="C80" s="13">
        <f>IFERROR('Cash Flow Data (Manual)'!E10,0)</f>
        <v>0</v>
      </c>
      <c r="D80" s="13">
        <f>IFERROR('Cash Flow Data (Manual)'!F10,0)</f>
        <v>0</v>
      </c>
      <c r="E80" s="13">
        <f>IFERROR('Cash Flow Data (Manual)'!G10,0)</f>
        <v>0</v>
      </c>
      <c r="F80" s="13">
        <f>IFERROR('Cash Flow Data (Manual)'!H10,0)</f>
        <v>0</v>
      </c>
      <c r="G80" s="13">
        <f>IFERROR('Cash Flow Data (Manual)'!I10,0)</f>
        <v>0</v>
      </c>
      <c r="H80" s="13">
        <f>IFERROR('Cash Flow Data (Manual)'!J10,0)</f>
        <v>0</v>
      </c>
      <c r="I80" s="13">
        <f>IFERROR('Cash Flow Data (Manual)'!K10,0)</f>
        <v>0</v>
      </c>
      <c r="J80" s="13">
        <f>IFERROR('Cash Flow Data (Manual)'!L10,0)</f>
        <v>0</v>
      </c>
      <c r="K80" s="13">
        <f>IFERROR('Cash Flow Data (Manual)'!M10,0)</f>
        <v>0</v>
      </c>
      <c r="L80" s="13">
        <f>IFERROR('Cash Flow Data (Manual)'!N10,0)</f>
        <v>0</v>
      </c>
    </row>
    <row r="81" spans="2:12" x14ac:dyDescent="0.25">
      <c r="B81" s="166" t="s">
        <v>53</v>
      </c>
      <c r="C81" s="13">
        <f>IFERROR('Cash Flow Data (Manual)'!E11,0)</f>
        <v>0</v>
      </c>
      <c r="D81" s="13">
        <f>IFERROR('Cash Flow Data (Manual)'!F11,0)</f>
        <v>0</v>
      </c>
      <c r="E81" s="13">
        <f>IFERROR('Cash Flow Data (Manual)'!G11,0)</f>
        <v>0</v>
      </c>
      <c r="F81" s="13">
        <f>IFERROR('Cash Flow Data (Manual)'!H11,0)</f>
        <v>-1</v>
      </c>
      <c r="G81" s="13">
        <f>IFERROR('Cash Flow Data (Manual)'!I11,0)</f>
        <v>-138</v>
      </c>
      <c r="H81" s="13">
        <f>IFERROR('Cash Flow Data (Manual)'!J11,0)</f>
        <v>111</v>
      </c>
      <c r="I81" s="13">
        <f>IFERROR('Cash Flow Data (Manual)'!K11,0)</f>
        <v>-19</v>
      </c>
      <c r="J81" s="13">
        <f>IFERROR('Cash Flow Data (Manual)'!L11,0)</f>
        <v>62</v>
      </c>
      <c r="K81" s="13">
        <f>IFERROR('Cash Flow Data (Manual)'!M11,0)</f>
        <v>51</v>
      </c>
      <c r="L81" s="13">
        <f>IFERROR('Cash Flow Data (Manual)'!N11,0)</f>
        <v>-15</v>
      </c>
    </row>
    <row r="82" spans="2:12" x14ac:dyDescent="0.25">
      <c r="B82" s="166" t="s">
        <v>54</v>
      </c>
      <c r="C82" s="13">
        <f>IFERROR('Cash Flow Data (Manual)'!E13,0)</f>
        <v>-186</v>
      </c>
      <c r="D82" s="13">
        <f>IFERROR('Cash Flow Data (Manual)'!F13,0)</f>
        <v>-230</v>
      </c>
      <c r="E82" s="13">
        <f>IFERROR('Cash Flow Data (Manual)'!G13,0)</f>
        <v>-281</v>
      </c>
      <c r="F82" s="13">
        <f>IFERROR('Cash Flow Data (Manual)'!H13,0)</f>
        <v>-322</v>
      </c>
      <c r="G82" s="13">
        <f>IFERROR('Cash Flow Data (Manual)'!I13,0)</f>
        <v>-325</v>
      </c>
      <c r="H82" s="13">
        <f>IFERROR('Cash Flow Data (Manual)'!J13,0)</f>
        <v>-351</v>
      </c>
      <c r="I82" s="13">
        <f>IFERROR('Cash Flow Data (Manual)'!K13,0)</f>
        <v>-309</v>
      </c>
      <c r="J82" s="13">
        <f>IFERROR('Cash Flow Data (Manual)'!L13,0)</f>
        <v>-321</v>
      </c>
      <c r="K82" s="13">
        <f>IFERROR('Cash Flow Data (Manual)'!M13,0)</f>
        <v>-388</v>
      </c>
      <c r="L82" s="13">
        <f>IFERROR('Cash Flow Data (Manual)'!N13,0)</f>
        <v>-494</v>
      </c>
    </row>
    <row r="83" spans="2:12" x14ac:dyDescent="0.25">
      <c r="B83" s="171" t="s">
        <v>55</v>
      </c>
      <c r="C83" s="20">
        <f t="shared" ref="C83:L83" si="25">SUM(C76:C82)</f>
        <v>1098</v>
      </c>
      <c r="D83" s="20">
        <f t="shared" si="25"/>
        <v>1047</v>
      </c>
      <c r="E83" s="20">
        <f t="shared" si="25"/>
        <v>1187</v>
      </c>
      <c r="F83" s="20">
        <f t="shared" si="25"/>
        <v>1228</v>
      </c>
      <c r="G83" s="20">
        <f t="shared" si="25"/>
        <v>1092</v>
      </c>
      <c r="H83" s="20">
        <f t="shared" si="25"/>
        <v>1499</v>
      </c>
      <c r="I83" s="20">
        <f t="shared" si="25"/>
        <v>1614</v>
      </c>
      <c r="J83" s="20">
        <f t="shared" si="25"/>
        <v>2116</v>
      </c>
      <c r="K83" s="20">
        <f t="shared" si="25"/>
        <v>1803</v>
      </c>
      <c r="L83" s="20">
        <f t="shared" si="25"/>
        <v>1488</v>
      </c>
    </row>
    <row r="85" spans="2:12" x14ac:dyDescent="0.25">
      <c r="B85" s="171" t="s">
        <v>56</v>
      </c>
    </row>
    <row r="86" spans="2:12" x14ac:dyDescent="0.25">
      <c r="B86" s="166" t="s">
        <v>57</v>
      </c>
      <c r="C86" s="13">
        <f>IFERROR('Cash Flow Data (Manual)'!E15,0)</f>
        <v>-215</v>
      </c>
      <c r="D86" s="13">
        <f>IFERROR('Cash Flow Data (Manual)'!F15,0)</f>
        <v>-267</v>
      </c>
      <c r="E86" s="13">
        <f>IFERROR('Cash Flow Data (Manual)'!G15,0)</f>
        <v>-200</v>
      </c>
      <c r="F86" s="13">
        <f>IFERROR('Cash Flow Data (Manual)'!H15,0)</f>
        <v>-490</v>
      </c>
      <c r="G86" s="13">
        <f>IFERROR('Cash Flow Data (Manual)'!I15,0)</f>
        <v>-207</v>
      </c>
      <c r="H86" s="13">
        <f>IFERROR('Cash Flow Data (Manual)'!J15,0)</f>
        <v>-234</v>
      </c>
      <c r="I86" s="13">
        <f>IFERROR('Cash Flow Data (Manual)'!K15,0)</f>
        <v>-417</v>
      </c>
      <c r="J86" s="13">
        <f>IFERROR('Cash Flow Data (Manual)'!L15,0)</f>
        <v>-311</v>
      </c>
      <c r="K86" s="13">
        <f>IFERROR('Cash Flow Data (Manual)'!M15,0)</f>
        <v>-374</v>
      </c>
      <c r="L86" s="13">
        <f>IFERROR('Cash Flow Data (Manual)'!N15,0)</f>
        <v>-509</v>
      </c>
    </row>
    <row r="87" spans="2:12" x14ac:dyDescent="0.25">
      <c r="B87" s="166" t="s">
        <v>58</v>
      </c>
      <c r="C87" s="13">
        <f>IFERROR('Cash Flow Data (Manual)'!E16,0)</f>
        <v>2</v>
      </c>
      <c r="D87" s="13">
        <f>IFERROR('Cash Flow Data (Manual)'!F16,0)</f>
        <v>16</v>
      </c>
      <c r="E87" s="13">
        <f>IFERROR('Cash Flow Data (Manual)'!G16,0)</f>
        <v>11</v>
      </c>
      <c r="F87" s="13">
        <f>IFERROR('Cash Flow Data (Manual)'!H16,0)</f>
        <v>4</v>
      </c>
      <c r="G87" s="13">
        <f>IFERROR('Cash Flow Data (Manual)'!I16,0)</f>
        <v>7</v>
      </c>
      <c r="H87" s="13">
        <f>IFERROR('Cash Flow Data (Manual)'!J16,0)</f>
        <v>9</v>
      </c>
      <c r="I87" s="13">
        <f>IFERROR('Cash Flow Data (Manual)'!K16,0)</f>
        <v>17</v>
      </c>
      <c r="J87" s="13">
        <f>IFERROR('Cash Flow Data (Manual)'!L16,0)</f>
        <v>5</v>
      </c>
      <c r="K87" s="13">
        <f>IFERROR('Cash Flow Data (Manual)'!M16,0)</f>
        <v>5</v>
      </c>
      <c r="L87" s="13">
        <f>IFERROR('Cash Flow Data (Manual)'!N16,0)</f>
        <v>23</v>
      </c>
    </row>
    <row r="88" spans="2:12" x14ac:dyDescent="0.25">
      <c r="B88" s="166" t="s">
        <v>59</v>
      </c>
      <c r="C88" s="13">
        <f>IFERROR('Cash Flow Data (Manual)'!E17,0)</f>
        <v>-6446</v>
      </c>
      <c r="D88" s="13">
        <f>IFERROR('Cash Flow Data (Manual)'!F17,0)</f>
        <v>-6317</v>
      </c>
      <c r="E88" s="13">
        <f>IFERROR('Cash Flow Data (Manual)'!G17,0)</f>
        <v>-7341</v>
      </c>
      <c r="F88" s="13">
        <f>IFERROR('Cash Flow Data (Manual)'!H17,0)</f>
        <v>-9111</v>
      </c>
      <c r="G88" s="13">
        <f>IFERROR('Cash Flow Data (Manual)'!I17,0)</f>
        <v>-9001</v>
      </c>
      <c r="H88" s="13">
        <f>IFERROR('Cash Flow Data (Manual)'!J17,0)</f>
        <v>-5393</v>
      </c>
      <c r="I88" s="13">
        <f>IFERROR('Cash Flow Data (Manual)'!K17,0)</f>
        <v>-8479</v>
      </c>
      <c r="J88" s="13">
        <f>IFERROR('Cash Flow Data (Manual)'!L17,0)</f>
        <v>-7635</v>
      </c>
      <c r="K88" s="13">
        <f>IFERROR('Cash Flow Data (Manual)'!M17,0)</f>
        <v>-7507</v>
      </c>
      <c r="L88" s="13">
        <f>IFERROR('Cash Flow Data (Manual)'!N17,0)</f>
        <v>-4177</v>
      </c>
    </row>
    <row r="89" spans="2:12" x14ac:dyDescent="0.25">
      <c r="B89" s="166" t="s">
        <v>60</v>
      </c>
      <c r="C89" s="13">
        <f>IFERROR('Cash Flow Data (Manual)'!E18,0)</f>
        <v>6456</v>
      </c>
      <c r="D89" s="13">
        <f>IFERROR('Cash Flow Data (Manual)'!F18,0)</f>
        <v>5596</v>
      </c>
      <c r="E89" s="13">
        <f>IFERROR('Cash Flow Data (Manual)'!G18,0)</f>
        <v>6653</v>
      </c>
      <c r="F89" s="13">
        <f>IFERROR('Cash Flow Data (Manual)'!H18,0)</f>
        <v>8600</v>
      </c>
      <c r="G89" s="13">
        <f>IFERROR('Cash Flow Data (Manual)'!I18,0)</f>
        <v>8418</v>
      </c>
      <c r="H89" s="13">
        <f>IFERROR('Cash Flow Data (Manual)'!J18,0)</f>
        <v>5710</v>
      </c>
      <c r="I89" s="13">
        <f>IFERROR('Cash Flow Data (Manual)'!K18,0)</f>
        <v>8114</v>
      </c>
      <c r="J89" s="13">
        <f>IFERROR('Cash Flow Data (Manual)'!L18,0)</f>
        <v>6274</v>
      </c>
      <c r="K89" s="13">
        <f>IFERROR('Cash Flow Data (Manual)'!M18,0)</f>
        <v>6234</v>
      </c>
      <c r="L89" s="13">
        <f>IFERROR('Cash Flow Data (Manual)'!N18,0)</f>
        <v>4164</v>
      </c>
    </row>
    <row r="90" spans="2:12" x14ac:dyDescent="0.25">
      <c r="B90" s="166" t="s">
        <v>61</v>
      </c>
      <c r="C90" s="13">
        <f>IFERROR('Cash Flow Data (Manual)'!E19,0)</f>
        <v>95</v>
      </c>
      <c r="D90" s="13">
        <f>IFERROR('Cash Flow Data (Manual)'!F19,0)</f>
        <v>96</v>
      </c>
      <c r="E90" s="13">
        <f>IFERROR('Cash Flow Data (Manual)'!G19,0)</f>
        <v>148</v>
      </c>
      <c r="F90" s="13">
        <f>IFERROR('Cash Flow Data (Manual)'!H19,0)</f>
        <v>190</v>
      </c>
      <c r="G90" s="13">
        <f>IFERROR('Cash Flow Data (Manual)'!I19,0)</f>
        <v>244</v>
      </c>
      <c r="H90" s="13">
        <f>IFERROR('Cash Flow Data (Manual)'!J19,0)</f>
        <v>244</v>
      </c>
      <c r="I90" s="13">
        <f>IFERROR('Cash Flow Data (Manual)'!K19,0)</f>
        <v>248</v>
      </c>
      <c r="J90" s="13">
        <f>IFERROR('Cash Flow Data (Manual)'!L19,0)</f>
        <v>262</v>
      </c>
      <c r="K90" s="13">
        <f>IFERROR('Cash Flow Data (Manual)'!M19,0)</f>
        <v>367</v>
      </c>
      <c r="L90" s="13">
        <f>IFERROR('Cash Flow Data (Manual)'!N19,0)</f>
        <v>394</v>
      </c>
    </row>
    <row r="91" spans="2:12" x14ac:dyDescent="0.25">
      <c r="B91" s="166" t="s">
        <v>62</v>
      </c>
      <c r="C91" s="13">
        <f>IFERROR('Cash Flow Data (Manual)'!E20,0)</f>
        <v>0</v>
      </c>
      <c r="D91" s="13">
        <f>IFERROR('Cash Flow Data (Manual)'!F20,0)</f>
        <v>0</v>
      </c>
      <c r="E91" s="13">
        <f>IFERROR('Cash Flow Data (Manual)'!G20,0)</f>
        <v>0</v>
      </c>
      <c r="F91" s="13">
        <f>IFERROR('Cash Flow Data (Manual)'!H20,0)</f>
        <v>0</v>
      </c>
      <c r="G91" s="13">
        <f>IFERROR('Cash Flow Data (Manual)'!I20,0)</f>
        <v>0</v>
      </c>
      <c r="H91" s="13">
        <f>IFERROR('Cash Flow Data (Manual)'!J20,0)</f>
        <v>0</v>
      </c>
      <c r="I91" s="13">
        <f>IFERROR('Cash Flow Data (Manual)'!K20,0)</f>
        <v>0</v>
      </c>
      <c r="J91" s="13">
        <f>IFERROR('Cash Flow Data (Manual)'!L20,0)</f>
        <v>0</v>
      </c>
      <c r="K91" s="13">
        <f>IFERROR('Cash Flow Data (Manual)'!M20,0)</f>
        <v>0</v>
      </c>
      <c r="L91" s="13">
        <f>IFERROR('Cash Flow Data (Manual)'!N20,0)</f>
        <v>0</v>
      </c>
    </row>
    <row r="92" spans="2:12" x14ac:dyDescent="0.25">
      <c r="B92" s="166" t="s">
        <v>63</v>
      </c>
      <c r="C92" s="13">
        <f>IFERROR('Cash Flow Data (Manual)'!E21,0)</f>
        <v>0</v>
      </c>
      <c r="D92" s="13">
        <f>IFERROR('Cash Flow Data (Manual)'!F21,0)</f>
        <v>0</v>
      </c>
      <c r="E92" s="13">
        <f>IFERROR('Cash Flow Data (Manual)'!G21,0)</f>
        <v>0</v>
      </c>
      <c r="F92" s="13">
        <f>IFERROR('Cash Flow Data (Manual)'!H21,0)</f>
        <v>0</v>
      </c>
      <c r="G92" s="13">
        <f>IFERROR('Cash Flow Data (Manual)'!I21,0)</f>
        <v>0</v>
      </c>
      <c r="H92" s="13">
        <f>IFERROR('Cash Flow Data (Manual)'!J21,0)</f>
        <v>0</v>
      </c>
      <c r="I92" s="13">
        <f>IFERROR('Cash Flow Data (Manual)'!K21,0)</f>
        <v>0</v>
      </c>
      <c r="J92" s="13">
        <f>IFERROR('Cash Flow Data (Manual)'!L21,0)</f>
        <v>0</v>
      </c>
      <c r="K92" s="13">
        <f>IFERROR('Cash Flow Data (Manual)'!M21,0)</f>
        <v>0</v>
      </c>
      <c r="L92" s="13">
        <f>IFERROR('Cash Flow Data (Manual)'!N21,0)</f>
        <v>0</v>
      </c>
    </row>
    <row r="93" spans="2:12" x14ac:dyDescent="0.25">
      <c r="B93" s="166" t="s">
        <v>64</v>
      </c>
      <c r="C93" s="13">
        <f>IFERROR('Cash Flow Data (Manual)'!E22,0)</f>
        <v>0</v>
      </c>
      <c r="D93" s="13">
        <f>IFERROR('Cash Flow Data (Manual)'!F22,0)</f>
        <v>0</v>
      </c>
      <c r="E93" s="13">
        <f>IFERROR('Cash Flow Data (Manual)'!G22,0)</f>
        <v>0</v>
      </c>
      <c r="F93" s="13">
        <f>IFERROR('Cash Flow Data (Manual)'!H22,0)</f>
        <v>0</v>
      </c>
      <c r="G93" s="13">
        <f>IFERROR('Cash Flow Data (Manual)'!I22,0)</f>
        <v>0</v>
      </c>
      <c r="H93" s="13">
        <f>IFERROR('Cash Flow Data (Manual)'!J22,0)</f>
        <v>0</v>
      </c>
      <c r="I93" s="13">
        <f>IFERROR('Cash Flow Data (Manual)'!K22,0)</f>
        <v>0</v>
      </c>
      <c r="J93" s="13">
        <f>IFERROR('Cash Flow Data (Manual)'!L22,0)</f>
        <v>0</v>
      </c>
      <c r="K93" s="13">
        <f>IFERROR('Cash Flow Data (Manual)'!M22,0)</f>
        <v>0</v>
      </c>
      <c r="L93" s="13">
        <f>IFERROR('Cash Flow Data (Manual)'!N22,0)</f>
        <v>0</v>
      </c>
    </row>
    <row r="94" spans="2:12" x14ac:dyDescent="0.25">
      <c r="B94" s="166" t="s">
        <v>65</v>
      </c>
      <c r="C94" s="13">
        <f>IFERROR('Cash Flow Data (Manual)'!E23,0)</f>
        <v>0</v>
      </c>
      <c r="D94" s="13">
        <f>IFERROR('Cash Flow Data (Manual)'!F23,0)</f>
        <v>0</v>
      </c>
      <c r="E94" s="13">
        <f>IFERROR('Cash Flow Data (Manual)'!G23,0)</f>
        <v>0</v>
      </c>
      <c r="F94" s="13">
        <f>IFERROR('Cash Flow Data (Manual)'!H23,0)</f>
        <v>0</v>
      </c>
      <c r="G94" s="13">
        <f>IFERROR('Cash Flow Data (Manual)'!I23,0)</f>
        <v>0</v>
      </c>
      <c r="H94" s="13">
        <f>IFERROR('Cash Flow Data (Manual)'!J23,0)</f>
        <v>0</v>
      </c>
      <c r="I94" s="13">
        <f>IFERROR('Cash Flow Data (Manual)'!K23,0)</f>
        <v>0</v>
      </c>
      <c r="J94" s="13">
        <f>IFERROR('Cash Flow Data (Manual)'!L23,0)</f>
        <v>0</v>
      </c>
      <c r="K94" s="13">
        <f>IFERROR('Cash Flow Data (Manual)'!M23,0)</f>
        <v>0</v>
      </c>
      <c r="L94" s="13">
        <f>IFERROR('Cash Flow Data (Manual)'!N23,0)</f>
        <v>0</v>
      </c>
    </row>
    <row r="95" spans="2:12" x14ac:dyDescent="0.25">
      <c r="B95" s="166" t="s">
        <v>66</v>
      </c>
      <c r="C95" s="13">
        <f>IFERROR('Cash Flow Data (Manual)'!E24,0)</f>
        <v>0</v>
      </c>
      <c r="D95" s="13">
        <f>IFERROR('Cash Flow Data (Manual)'!F24,0)</f>
        <v>0</v>
      </c>
      <c r="E95" s="13">
        <f>IFERROR('Cash Flow Data (Manual)'!G24,0)</f>
        <v>0</v>
      </c>
      <c r="F95" s="13">
        <f>IFERROR('Cash Flow Data (Manual)'!H24,0)</f>
        <v>0</v>
      </c>
      <c r="G95" s="13">
        <f>IFERROR('Cash Flow Data (Manual)'!I24,0)</f>
        <v>0</v>
      </c>
      <c r="H95" s="13">
        <f>IFERROR('Cash Flow Data (Manual)'!J24,0)</f>
        <v>0</v>
      </c>
      <c r="I95" s="13">
        <f>IFERROR('Cash Flow Data (Manual)'!K24,0)</f>
        <v>0</v>
      </c>
      <c r="J95" s="13">
        <f>IFERROR('Cash Flow Data (Manual)'!L24,0)</f>
        <v>0</v>
      </c>
      <c r="K95" s="13">
        <f>IFERROR('Cash Flow Data (Manual)'!M24,0)</f>
        <v>0</v>
      </c>
      <c r="L95" s="13">
        <f>IFERROR('Cash Flow Data (Manual)'!N24,0)</f>
        <v>-481</v>
      </c>
    </row>
    <row r="96" spans="2:12" x14ac:dyDescent="0.25">
      <c r="B96" s="166" t="s">
        <v>67</v>
      </c>
      <c r="C96" s="13">
        <f>IFERROR('Cash Flow Data (Manual)'!E25,0)</f>
        <v>0</v>
      </c>
      <c r="D96" s="13">
        <f>IFERROR('Cash Flow Data (Manual)'!F25,0)</f>
        <v>0</v>
      </c>
      <c r="E96" s="13">
        <f>IFERROR('Cash Flow Data (Manual)'!G25,0)</f>
        <v>0</v>
      </c>
      <c r="F96" s="13">
        <f>IFERROR('Cash Flow Data (Manual)'!H25,0)</f>
        <v>0</v>
      </c>
      <c r="G96" s="13">
        <f>IFERROR('Cash Flow Data (Manual)'!I25,0)</f>
        <v>0</v>
      </c>
      <c r="H96" s="13">
        <f>IFERROR('Cash Flow Data (Manual)'!J25,0)</f>
        <v>0</v>
      </c>
      <c r="I96" s="13">
        <f>IFERROR('Cash Flow Data (Manual)'!K25,0)</f>
        <v>0</v>
      </c>
      <c r="J96" s="13">
        <f>IFERROR('Cash Flow Data (Manual)'!L25,0)</f>
        <v>0</v>
      </c>
      <c r="K96" s="13">
        <f>IFERROR('Cash Flow Data (Manual)'!M25,0)</f>
        <v>0</v>
      </c>
      <c r="L96" s="13">
        <f>IFERROR('Cash Flow Data (Manual)'!N25,0)</f>
        <v>0</v>
      </c>
    </row>
    <row r="97" spans="2:12" x14ac:dyDescent="0.25">
      <c r="B97" s="166" t="s">
        <v>68</v>
      </c>
      <c r="C97" s="13">
        <f>IFERROR('Cash Flow Data (Manual)'!E26,0)</f>
        <v>3</v>
      </c>
      <c r="D97" s="13">
        <f>IFERROR('Cash Flow Data (Manual)'!F26,0)</f>
        <v>0</v>
      </c>
      <c r="E97" s="13">
        <f>IFERROR('Cash Flow Data (Manual)'!G26,0)</f>
        <v>-1</v>
      </c>
      <c r="F97" s="13">
        <f>IFERROR('Cash Flow Data (Manual)'!H26,0)</f>
        <v>0</v>
      </c>
      <c r="G97" s="13">
        <f>IFERROR('Cash Flow Data (Manual)'!I26,0)</f>
        <v>-1</v>
      </c>
      <c r="H97" s="13">
        <f>IFERROR('Cash Flow Data (Manual)'!J26,0)</f>
        <v>1</v>
      </c>
      <c r="I97" s="13">
        <f>IFERROR('Cash Flow Data (Manual)'!K26,0)</f>
        <v>0</v>
      </c>
      <c r="J97" s="13">
        <f>IFERROR('Cash Flow Data (Manual)'!L26,0)</f>
        <v>2</v>
      </c>
      <c r="K97" s="13">
        <f>IFERROR('Cash Flow Data (Manual)'!M26,0)</f>
        <v>2</v>
      </c>
      <c r="L97" s="13">
        <f>IFERROR('Cash Flow Data (Manual)'!N26,0)</f>
        <v>4</v>
      </c>
    </row>
    <row r="98" spans="2:12" x14ac:dyDescent="0.25">
      <c r="B98" s="171" t="s">
        <v>69</v>
      </c>
      <c r="C98" s="20">
        <f>SUM(C86:C97)</f>
        <v>-105</v>
      </c>
      <c r="D98" s="20">
        <f t="shared" ref="D98:L98" si="26">SUM(D86:D97)</f>
        <v>-876</v>
      </c>
      <c r="E98" s="20">
        <f t="shared" si="26"/>
        <v>-730</v>
      </c>
      <c r="F98" s="20">
        <f t="shared" si="26"/>
        <v>-807</v>
      </c>
      <c r="G98" s="20">
        <f t="shared" si="26"/>
        <v>-540</v>
      </c>
      <c r="H98" s="20">
        <f t="shared" si="26"/>
        <v>337</v>
      </c>
      <c r="I98" s="20">
        <f t="shared" si="26"/>
        <v>-517</v>
      </c>
      <c r="J98" s="20">
        <f t="shared" si="26"/>
        <v>-1403</v>
      </c>
      <c r="K98" s="20">
        <f t="shared" si="26"/>
        <v>-1273</v>
      </c>
      <c r="L98" s="20">
        <f t="shared" si="26"/>
        <v>-582</v>
      </c>
    </row>
    <row r="100" spans="2:12" x14ac:dyDescent="0.25">
      <c r="B100" s="171" t="s">
        <v>70</v>
      </c>
    </row>
    <row r="101" spans="2:12" x14ac:dyDescent="0.25">
      <c r="B101" s="166" t="s">
        <v>71</v>
      </c>
      <c r="C101" s="13">
        <f>IFERROR('Cash Flow Data (Manual)'!E28,0)</f>
        <v>0</v>
      </c>
      <c r="D101" s="13">
        <f>IFERROR('Cash Flow Data (Manual)'!F28,0)</f>
        <v>46</v>
      </c>
      <c r="E101" s="13">
        <f>IFERROR('Cash Flow Data (Manual)'!G28,0)</f>
        <v>17</v>
      </c>
      <c r="F101" s="13">
        <f>IFERROR('Cash Flow Data (Manual)'!H28,0)</f>
        <v>15</v>
      </c>
      <c r="G101" s="13">
        <f>IFERROR('Cash Flow Data (Manual)'!I28,0)</f>
        <v>0</v>
      </c>
      <c r="H101" s="13">
        <f>IFERROR('Cash Flow Data (Manual)'!J28,0)</f>
        <v>0</v>
      </c>
      <c r="I101" s="13">
        <f>IFERROR('Cash Flow Data (Manual)'!K28,0)</f>
        <v>0</v>
      </c>
      <c r="J101" s="13">
        <f>IFERROR('Cash Flow Data (Manual)'!L28,0)</f>
        <v>0</v>
      </c>
      <c r="K101" s="13">
        <f>IFERROR('Cash Flow Data (Manual)'!M28,0)</f>
        <v>0</v>
      </c>
      <c r="L101" s="13">
        <f>IFERROR('Cash Flow Data (Manual)'!N28,0)</f>
        <v>0</v>
      </c>
    </row>
    <row r="102" spans="2:12" x14ac:dyDescent="0.25">
      <c r="B102" s="166" t="s">
        <v>72</v>
      </c>
      <c r="C102" s="13">
        <f>IFERROR('Cash Flow Data (Manual)'!E29,0)</f>
        <v>0</v>
      </c>
      <c r="D102" s="13">
        <f>IFERROR('Cash Flow Data (Manual)'!F29,0)</f>
        <v>0</v>
      </c>
      <c r="E102" s="13">
        <f>IFERROR('Cash Flow Data (Manual)'!G29,0)</f>
        <v>0</v>
      </c>
      <c r="F102" s="13">
        <f>IFERROR('Cash Flow Data (Manual)'!H29,0)</f>
        <v>0</v>
      </c>
      <c r="G102" s="13">
        <f>IFERROR('Cash Flow Data (Manual)'!I29,0)</f>
        <v>0</v>
      </c>
      <c r="H102" s="13">
        <f>IFERROR('Cash Flow Data (Manual)'!J29,0)</f>
        <v>0</v>
      </c>
      <c r="I102" s="13">
        <f>IFERROR('Cash Flow Data (Manual)'!K29,0)</f>
        <v>0</v>
      </c>
      <c r="J102" s="13">
        <f>IFERROR('Cash Flow Data (Manual)'!L29,0)</f>
        <v>0</v>
      </c>
      <c r="K102" s="13">
        <f>IFERROR('Cash Flow Data (Manual)'!M29,0)</f>
        <v>0</v>
      </c>
      <c r="L102" s="13">
        <f>IFERROR('Cash Flow Data (Manual)'!N29,0)</f>
        <v>0</v>
      </c>
    </row>
    <row r="103" spans="2:12" x14ac:dyDescent="0.25">
      <c r="B103" s="166" t="s">
        <v>73</v>
      </c>
      <c r="C103" s="13">
        <f>IFERROR('Cash Flow Data (Manual)'!E30,0)</f>
        <v>0</v>
      </c>
      <c r="D103" s="13">
        <f>IFERROR('Cash Flow Data (Manual)'!F30,0)</f>
        <v>75</v>
      </c>
      <c r="E103" s="13">
        <f>IFERROR('Cash Flow Data (Manual)'!G30,0)</f>
        <v>131</v>
      </c>
      <c r="F103" s="13">
        <f>IFERROR('Cash Flow Data (Manual)'!H30,0)</f>
        <v>168</v>
      </c>
      <c r="G103" s="13">
        <f>IFERROR('Cash Flow Data (Manual)'!I30,0)</f>
        <v>4</v>
      </c>
      <c r="H103" s="13">
        <f>IFERROR('Cash Flow Data (Manual)'!J30,0)</f>
        <v>32</v>
      </c>
      <c r="I103" s="13">
        <f>IFERROR('Cash Flow Data (Manual)'!K30,0)</f>
        <v>0</v>
      </c>
      <c r="J103" s="13">
        <f>IFERROR('Cash Flow Data (Manual)'!L30,0)</f>
        <v>65</v>
      </c>
      <c r="K103" s="13">
        <f>IFERROR('Cash Flow Data (Manual)'!M30,0)</f>
        <v>541</v>
      </c>
      <c r="L103" s="13">
        <f>IFERROR('Cash Flow Data (Manual)'!N30,0)</f>
        <v>50</v>
      </c>
    </row>
    <row r="104" spans="2:12" x14ac:dyDescent="0.25">
      <c r="B104" s="166" t="s">
        <v>74</v>
      </c>
      <c r="C104" s="13">
        <f>IFERROR('Cash Flow Data (Manual)'!E31,0)</f>
        <v>-443</v>
      </c>
      <c r="D104" s="13">
        <f>IFERROR('Cash Flow Data (Manual)'!F31,0)</f>
        <v>-50</v>
      </c>
      <c r="E104" s="13">
        <f>IFERROR('Cash Flow Data (Manual)'!G31,0)</f>
        <v>-60</v>
      </c>
      <c r="F104" s="13">
        <f>IFERROR('Cash Flow Data (Manual)'!H31,0)</f>
        <v>0</v>
      </c>
      <c r="G104" s="13">
        <f>IFERROR('Cash Flow Data (Manual)'!I31,0)</f>
        <v>-62</v>
      </c>
      <c r="H104" s="13">
        <f>IFERROR('Cash Flow Data (Manual)'!J31,0)</f>
        <v>-272</v>
      </c>
      <c r="I104" s="13">
        <f>IFERROR('Cash Flow Data (Manual)'!K31,0)</f>
        <v>-358</v>
      </c>
      <c r="J104" s="13">
        <f>IFERROR('Cash Flow Data (Manual)'!L31,0)</f>
        <v>-28</v>
      </c>
      <c r="K104" s="13">
        <f>IFERROR('Cash Flow Data (Manual)'!M31,0)</f>
        <v>0</v>
      </c>
      <c r="L104" s="13">
        <f>IFERROR('Cash Flow Data (Manual)'!N31,0)</f>
        <v>-1</v>
      </c>
    </row>
    <row r="105" spans="2:12" x14ac:dyDescent="0.25">
      <c r="B105" s="166" t="s">
        <v>75</v>
      </c>
      <c r="C105" s="13">
        <f>IFERROR('Cash Flow Data (Manual)'!E32,0)</f>
        <v>-34</v>
      </c>
      <c r="D105" s="13">
        <f>IFERROR('Cash Flow Data (Manual)'!F32,0)</f>
        <v>-26</v>
      </c>
      <c r="E105" s="13">
        <f>IFERROR('Cash Flow Data (Manual)'!G32,0)</f>
        <v>-40</v>
      </c>
      <c r="F105" s="13">
        <f>IFERROR('Cash Flow Data (Manual)'!H32,0)</f>
        <v>-45</v>
      </c>
      <c r="G105" s="13">
        <f>IFERROR('Cash Flow Data (Manual)'!I32,0)</f>
        <v>-43</v>
      </c>
      <c r="H105" s="13">
        <f>IFERROR('Cash Flow Data (Manual)'!J32,0)</f>
        <v>-52</v>
      </c>
      <c r="I105" s="13">
        <f>IFERROR('Cash Flow Data (Manual)'!K32,0)</f>
        <v>-42</v>
      </c>
      <c r="J105" s="13">
        <f>IFERROR('Cash Flow Data (Manual)'!L32,0)</f>
        <v>-31</v>
      </c>
      <c r="K105" s="13">
        <f>IFERROR('Cash Flow Data (Manual)'!M32,0)</f>
        <v>-33</v>
      </c>
      <c r="L105" s="13">
        <f>IFERROR('Cash Flow Data (Manual)'!N32,0)</f>
        <v>-89</v>
      </c>
    </row>
    <row r="106" spans="2:12" x14ac:dyDescent="0.25">
      <c r="B106" s="166" t="s">
        <v>76</v>
      </c>
      <c r="C106" s="13">
        <f>IFERROR('Cash Flow Data (Manual)'!E33,0)</f>
        <v>-279</v>
      </c>
      <c r="D106" s="13">
        <f>IFERROR('Cash Flow Data (Manual)'!F33,0)</f>
        <v>-395</v>
      </c>
      <c r="E106" s="13">
        <f>IFERROR('Cash Flow Data (Manual)'!G33,0)</f>
        <v>-352</v>
      </c>
      <c r="F106" s="13">
        <f>IFERROR('Cash Flow Data (Manual)'!H33,0)</f>
        <v>-396</v>
      </c>
      <c r="G106" s="13">
        <f>IFERROR('Cash Flow Data (Manual)'!I33,0)</f>
        <v>-396</v>
      </c>
      <c r="H106" s="13">
        <f>IFERROR('Cash Flow Data (Manual)'!J33,0)</f>
        <v>-1325</v>
      </c>
      <c r="I106" s="13">
        <f>IFERROR('Cash Flow Data (Manual)'!K33,0)</f>
        <v>-512</v>
      </c>
      <c r="J106" s="13">
        <f>IFERROR('Cash Flow Data (Manual)'!L33,0)</f>
        <v>-592</v>
      </c>
      <c r="K106" s="13">
        <f>IFERROR('Cash Flow Data (Manual)'!M33,0)</f>
        <v>-972</v>
      </c>
      <c r="L106" s="13">
        <f>IFERROR('Cash Flow Data (Manual)'!N33,0)</f>
        <v>-921</v>
      </c>
    </row>
    <row r="107" spans="2:12" x14ac:dyDescent="0.25">
      <c r="B107" s="166" t="s">
        <v>77</v>
      </c>
      <c r="C107" s="13">
        <f>IFERROR('Cash Flow Data (Manual)'!E34,0)</f>
        <v>0</v>
      </c>
      <c r="D107" s="13">
        <f>IFERROR('Cash Flow Data (Manual)'!F34,0)</f>
        <v>0</v>
      </c>
      <c r="E107" s="13">
        <f>IFERROR('Cash Flow Data (Manual)'!G34,0)</f>
        <v>0</v>
      </c>
      <c r="F107" s="13">
        <f>IFERROR('Cash Flow Data (Manual)'!H34,0)</f>
        <v>0</v>
      </c>
      <c r="G107" s="13">
        <f>IFERROR('Cash Flow Data (Manual)'!I34,0)</f>
        <v>0</v>
      </c>
      <c r="H107" s="13">
        <f>IFERROR('Cash Flow Data (Manual)'!J34,0)</f>
        <v>0</v>
      </c>
      <c r="I107" s="13">
        <f>IFERROR('Cash Flow Data (Manual)'!K34,0)</f>
        <v>-25</v>
      </c>
      <c r="J107" s="13">
        <f>IFERROR('Cash Flow Data (Manual)'!L34,0)</f>
        <v>-28</v>
      </c>
      <c r="K107" s="13">
        <f>IFERROR('Cash Flow Data (Manual)'!M34,0)</f>
        <v>-26</v>
      </c>
      <c r="L107" s="13">
        <f>IFERROR('Cash Flow Data (Manual)'!N34,0)</f>
        <v>-25</v>
      </c>
    </row>
    <row r="108" spans="2:12" x14ac:dyDescent="0.25">
      <c r="B108" s="166" t="s">
        <v>78</v>
      </c>
      <c r="C108" s="13">
        <f>IFERROR('Cash Flow Data (Manual)'!E35,0)</f>
        <v>-47</v>
      </c>
      <c r="D108" s="13">
        <f>IFERROR('Cash Flow Data (Manual)'!F35,0)</f>
        <v>-67</v>
      </c>
      <c r="E108" s="13">
        <f>IFERROR('Cash Flow Data (Manual)'!G35,0)</f>
        <v>-72</v>
      </c>
      <c r="F108" s="13">
        <f>IFERROR('Cash Flow Data (Manual)'!H35,0)</f>
        <v>-81</v>
      </c>
      <c r="G108" s="13">
        <f>IFERROR('Cash Flow Data (Manual)'!I35,0)</f>
        <v>-81</v>
      </c>
      <c r="H108" s="13">
        <f>IFERROR('Cash Flow Data (Manual)'!J35,0)</f>
        <v>-272</v>
      </c>
      <c r="I108" s="13">
        <f>IFERROR('Cash Flow Data (Manual)'!K35,0)</f>
        <v>-105</v>
      </c>
      <c r="J108" s="13">
        <f>IFERROR('Cash Flow Data (Manual)'!L35,0)</f>
        <v>0</v>
      </c>
      <c r="K108" s="13">
        <f>IFERROR('Cash Flow Data (Manual)'!M35,0)</f>
        <v>0</v>
      </c>
      <c r="L108" s="13">
        <f>IFERROR('Cash Flow Data (Manual)'!N35,0)</f>
        <v>-49</v>
      </c>
    </row>
    <row r="109" spans="2:12" x14ac:dyDescent="0.25">
      <c r="B109" s="171" t="s">
        <v>79</v>
      </c>
      <c r="C109" s="20">
        <f>SUM(C101:C108)</f>
        <v>-803</v>
      </c>
      <c r="D109" s="20">
        <f t="shared" ref="D109:L109" si="27">SUM(D101:D108)</f>
        <v>-417</v>
      </c>
      <c r="E109" s="20">
        <f t="shared" si="27"/>
        <v>-376</v>
      </c>
      <c r="F109" s="20">
        <f t="shared" si="27"/>
        <v>-339</v>
      </c>
      <c r="G109" s="20">
        <f t="shared" si="27"/>
        <v>-578</v>
      </c>
      <c r="H109" s="20">
        <f t="shared" si="27"/>
        <v>-1889</v>
      </c>
      <c r="I109" s="20">
        <f t="shared" si="27"/>
        <v>-1042</v>
      </c>
      <c r="J109" s="20">
        <f t="shared" si="27"/>
        <v>-614</v>
      </c>
      <c r="K109" s="20">
        <f t="shared" si="27"/>
        <v>-490</v>
      </c>
      <c r="L109" s="20">
        <f t="shared" si="27"/>
        <v>-1035</v>
      </c>
    </row>
    <row r="111" spans="2:12" x14ac:dyDescent="0.25">
      <c r="B111" s="171" t="s">
        <v>80</v>
      </c>
      <c r="C111" s="20">
        <f>IFERROR(C109+C98+C83,0)</f>
        <v>190</v>
      </c>
      <c r="D111" s="20">
        <f t="shared" ref="D111:L111" si="28">IFERROR(D109+D98+D83,0)</f>
        <v>-246</v>
      </c>
      <c r="E111" s="20">
        <f t="shared" si="28"/>
        <v>81</v>
      </c>
      <c r="F111" s="20">
        <f t="shared" si="28"/>
        <v>82</v>
      </c>
      <c r="G111" s="20">
        <f t="shared" si="28"/>
        <v>-26</v>
      </c>
      <c r="H111" s="20">
        <f t="shared" si="28"/>
        <v>-53</v>
      </c>
      <c r="I111" s="20">
        <f t="shared" si="28"/>
        <v>55</v>
      </c>
      <c r="J111" s="20">
        <f t="shared" si="28"/>
        <v>99</v>
      </c>
      <c r="K111" s="20">
        <f t="shared" si="28"/>
        <v>40</v>
      </c>
      <c r="L111" s="20">
        <f t="shared" si="28"/>
        <v>-129</v>
      </c>
    </row>
  </sheetData>
  <mergeCells count="1">
    <mergeCell ref="B2:M2"/>
  </mergeCells>
  <pageMargins left="0.7" right="0.7" top="0.75" bottom="0.75" header="0.3" footer="0.3"/>
  <pageSetup orientation="portrait" r:id="rId1"/>
  <ignoredErrors>
    <ignoredError sqref="M6 M9 C15:L15 M30 M36 M21 M27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63E4A-C50E-4923-90AB-0008938320D6}">
  <dimension ref="B2:O41"/>
  <sheetViews>
    <sheetView showGridLines="0" workbookViewId="0">
      <pane ySplit="3" topLeftCell="A4" activePane="bottomLeft" state="frozen"/>
      <selection pane="bottomLeft"/>
    </sheetView>
  </sheetViews>
  <sheetFormatPr defaultRowHeight="15" x14ac:dyDescent="0.25"/>
  <cols>
    <col min="1" max="1" width="1.85546875" customWidth="1"/>
    <col min="2" max="2" width="26.140625" bestFit="1" customWidth="1"/>
    <col min="4" max="9" width="9.28515625" bestFit="1" customWidth="1"/>
    <col min="10" max="11" width="9.85546875" bestFit="1" customWidth="1"/>
    <col min="12" max="12" width="9.28515625" bestFit="1" customWidth="1"/>
    <col min="13" max="13" width="19.7109375" customWidth="1"/>
    <col min="14" max="14" width="11.140625" customWidth="1"/>
    <col min="15" max="15" width="10.140625" customWidth="1"/>
  </cols>
  <sheetData>
    <row r="2" spans="2:15" x14ac:dyDescent="0.25">
      <c r="B2" s="229" t="str">
        <f>"Ratio Analysis - "&amp;'Data Sheet'!B1</f>
        <v>Ratio Analysis - DABUR INDIA LTD</v>
      </c>
      <c r="C2" s="229"/>
      <c r="D2" s="229"/>
      <c r="E2" s="229"/>
      <c r="F2" s="229"/>
      <c r="G2" s="229"/>
      <c r="H2" s="229"/>
      <c r="I2" s="229"/>
      <c r="J2" s="229"/>
      <c r="K2" s="229"/>
      <c r="L2" s="229"/>
      <c r="M2" s="229"/>
      <c r="N2" s="229"/>
      <c r="O2" s="229"/>
    </row>
    <row r="3" spans="2:15" x14ac:dyDescent="0.25">
      <c r="B3" s="8" t="s">
        <v>0</v>
      </c>
      <c r="C3" s="9">
        <f>'Data Sheet'!B16</f>
        <v>41729</v>
      </c>
      <c r="D3" s="9">
        <f>'Data Sheet'!C16</f>
        <v>42094</v>
      </c>
      <c r="E3" s="9">
        <f>'Data Sheet'!D16</f>
        <v>42460</v>
      </c>
      <c r="F3" s="9">
        <f>'Data Sheet'!E16</f>
        <v>42825</v>
      </c>
      <c r="G3" s="9">
        <f>'Data Sheet'!F16</f>
        <v>43190</v>
      </c>
      <c r="H3" s="9">
        <f>'Data Sheet'!G16</f>
        <v>43555</v>
      </c>
      <c r="I3" s="9">
        <f>'Data Sheet'!H16</f>
        <v>43921</v>
      </c>
      <c r="J3" s="9">
        <f>'Data Sheet'!I16</f>
        <v>44286</v>
      </c>
      <c r="K3" s="9">
        <f>'Data Sheet'!J16</f>
        <v>44651</v>
      </c>
      <c r="L3" s="9">
        <f>'Data Sheet'!K16</f>
        <v>45016</v>
      </c>
      <c r="M3" s="35" t="s">
        <v>81</v>
      </c>
      <c r="N3" s="35" t="s">
        <v>82</v>
      </c>
      <c r="O3" s="35" t="s">
        <v>83</v>
      </c>
    </row>
    <row r="5" spans="2:15" x14ac:dyDescent="0.25">
      <c r="B5" s="172" t="s">
        <v>5</v>
      </c>
      <c r="C5" s="24"/>
      <c r="D5" s="25">
        <f>IFERROR('Historical FS'!D7,0)</f>
        <v>0.10447116229250852</v>
      </c>
      <c r="E5" s="25">
        <f>IFERROR('Historical FS'!E7,0)</f>
        <v>-2.0306613182750066E-3</v>
      </c>
      <c r="F5" s="25">
        <f>IFERROR('Historical FS'!F7,0)</f>
        <v>-2.1346691243576132E-2</v>
      </c>
      <c r="G5" s="25">
        <f>IFERROR('Historical FS'!G7,0)</f>
        <v>1.4219310469830937E-2</v>
      </c>
      <c r="H5" s="25">
        <f>IFERROR('Historical FS'!H7,0)</f>
        <v>0.10271372792789291</v>
      </c>
      <c r="I5" s="25">
        <f>IFERROR('Historical FS'!I7,0)</f>
        <v>1.9923687520478461E-2</v>
      </c>
      <c r="J5" s="25">
        <f>IFERROR('Historical FS'!J7,0)</f>
        <v>0.10098403618342267</v>
      </c>
      <c r="K5" s="25">
        <f>IFERROR('Historical FS'!K7,0)</f>
        <v>0.13878671568191692</v>
      </c>
      <c r="L5" s="25">
        <f>IFERROR('Historical FS'!L7,0)</f>
        <v>5.8887762336665261E-2</v>
      </c>
      <c r="M5" s="24"/>
      <c r="N5" s="25">
        <f>IFERROR(AVERAGE(D5:L5),0)</f>
        <v>5.7401005538984945E-2</v>
      </c>
      <c r="O5" s="25">
        <f>IFERROR(MEDIAN(C5:L5),0)</f>
        <v>5.8887762336665261E-2</v>
      </c>
    </row>
    <row r="6" spans="2:15" x14ac:dyDescent="0.25">
      <c r="B6" s="166" t="s">
        <v>84</v>
      </c>
      <c r="D6" s="26">
        <f>IFERROR('Historical FS'!D18/'Historical FS'!C18-1,0)</f>
        <v>0.13662152505746716</v>
      </c>
      <c r="E6" s="26">
        <f>IFERROR('Historical FS'!E18/'Historical FS'!D18-1,0)</f>
        <v>0.15002045113693119</v>
      </c>
      <c r="F6" s="26">
        <f>IFERROR('Historical FS'!F18/'Historical FS'!E18-1,0)</f>
        <v>-4.3931290671014311E-3</v>
      </c>
      <c r="G6" s="26">
        <f>IFERROR('Historical FS'!G18/'Historical FS'!F18-1,0)</f>
        <v>7.0011444750960994E-2</v>
      </c>
      <c r="H6" s="26">
        <f>IFERROR('Historical FS'!H18/'Historical FS'!G18-1,0)</f>
        <v>7.5502027895933299E-2</v>
      </c>
      <c r="I6" s="26">
        <f>IFERROR('Historical FS'!I18/'Historical FS'!H18-1,0)</f>
        <v>3.0341005771574503E-2</v>
      </c>
      <c r="J6" s="26">
        <f>IFERROR('Historical FS'!J18/'Historical FS'!I18-1,0)</f>
        <v>0.11679145697802817</v>
      </c>
      <c r="K6" s="26">
        <f>IFERROR('Historical FS'!K18/'Historical FS'!J18-1,0)</f>
        <v>0.12506557024884346</v>
      </c>
      <c r="L6" s="26">
        <f>IFERROR('Historical FS'!L18/'Historical FS'!K18-1,0)</f>
        <v>-3.975115563430065E-2</v>
      </c>
      <c r="N6" s="26">
        <f t="shared" ref="N6:N9" si="0">IFERROR(AVERAGE(D6:L6),0)</f>
        <v>7.3356577459815192E-2</v>
      </c>
      <c r="O6" s="26">
        <f t="shared" ref="O6:O31" si="1">IFERROR(MEDIAN(C6:L6),0)</f>
        <v>7.5502027895933299E-2</v>
      </c>
    </row>
    <row r="7" spans="2:15" x14ac:dyDescent="0.25">
      <c r="B7" s="166" t="s">
        <v>85</v>
      </c>
      <c r="D7" s="26">
        <f>IFERROR('Historical FS'!D33/'Historical FS'!C33-1,0)</f>
        <v>0.1618891618891618</v>
      </c>
      <c r="E7" s="26">
        <f>IFERROR('Historical FS'!E33/'Historical FS'!D33-1,0)</f>
        <v>0.17769221440698457</v>
      </c>
      <c r="F7" s="26">
        <f>IFERROR('Historical FS'!F33/'Historical FS'!E33-1,0)</f>
        <v>3.6587720427340154E-2</v>
      </c>
      <c r="G7" s="26">
        <f>IFERROR('Historical FS'!G33/'Historical FS'!F33-1,0)</f>
        <v>5.1184304473349318E-2</v>
      </c>
      <c r="H7" s="26">
        <f>IFERROR('Historical FS'!H33/'Historical FS'!G33-1,0)</f>
        <v>1.8770413858683499E-2</v>
      </c>
      <c r="I7" s="26">
        <f>IFERROR('Historical FS'!I33/'Historical FS'!H33-1,0)</f>
        <v>1.6059181271632639E-3</v>
      </c>
      <c r="J7" s="26">
        <f>IFERROR('Historical FS'!J33/'Historical FS'!I33-1,0)</f>
        <v>0.19007432103910471</v>
      </c>
      <c r="K7" s="26">
        <f>IFERROR('Historical FS'!K33/'Historical FS'!J33-1,0)</f>
        <v>0.10343284598398994</v>
      </c>
      <c r="L7" s="26">
        <f>IFERROR('Historical FS'!L33/'Historical FS'!K33-1,0)</f>
        <v>-2.20392474919342E-2</v>
      </c>
      <c r="N7" s="26">
        <f t="shared" si="0"/>
        <v>7.9910850301538119E-2</v>
      </c>
      <c r="O7" s="26">
        <f t="shared" si="1"/>
        <v>5.1184304473349318E-2</v>
      </c>
    </row>
    <row r="8" spans="2:15" x14ac:dyDescent="0.25">
      <c r="B8" s="166" t="s">
        <v>86</v>
      </c>
      <c r="D8" s="26">
        <f>IFERROR('Historical FS'!D39/'Historical FS'!C39-1,0)</f>
        <v>0.16587920781275578</v>
      </c>
      <c r="E8" s="26">
        <f>IFERROR('Historical FS'!E39/'Historical FS'!D39-1,0)</f>
        <v>0.17354722172826453</v>
      </c>
      <c r="F8" s="26">
        <f>IFERROR('Historical FS'!F39/'Historical FS'!E39-1,0)</f>
        <v>2.106228566871482E-2</v>
      </c>
      <c r="G8" s="26">
        <f>IFERROR('Historical FS'!G39/'Historical FS'!F39-1,0)</f>
        <v>6.0477540595637036E-2</v>
      </c>
      <c r="H8" s="26">
        <f>IFERROR('Historical FS'!H39/'Historical FS'!G39-1,0)</f>
        <v>6.5189211483787979E-2</v>
      </c>
      <c r="I8" s="26">
        <f>IFERROR('Historical FS'!I39/'Historical FS'!H39-1,0)</f>
        <v>1.1547104580813539E-3</v>
      </c>
      <c r="J8" s="26">
        <f>IFERROR('Historical FS'!J39/'Historical FS'!I39-1,0)</f>
        <v>0.17061025471020419</v>
      </c>
      <c r="K8" s="26">
        <f>IFERROR('Historical FS'!K39/'Historical FS'!J39-1,0)</f>
        <v>2.7935927313491593E-2</v>
      </c>
      <c r="L8" s="26">
        <f>IFERROR('Historical FS'!L39/'Historical FS'!K39-1,0)</f>
        <v>-2.3514894105493345E-2</v>
      </c>
      <c r="N8" s="26">
        <f t="shared" si="0"/>
        <v>7.3593496185049331E-2</v>
      </c>
      <c r="O8" s="26">
        <f t="shared" si="1"/>
        <v>6.0477540595637036E-2</v>
      </c>
    </row>
    <row r="9" spans="2:15" x14ac:dyDescent="0.25">
      <c r="B9" s="173" t="s">
        <v>87</v>
      </c>
      <c r="C9" s="27"/>
      <c r="D9" s="28">
        <f>IFERROR('Historical FS'!D47/'Historical FS'!C47-1,0)</f>
        <v>0.14287586839690647</v>
      </c>
      <c r="E9" s="28">
        <f>IFERROR('Historical FS'!E47/'Historical FS'!D47-1,0)</f>
        <v>0.12500710590642949</v>
      </c>
      <c r="F9" s="28">
        <f>IFERROR('Historical FS'!F47/'Historical FS'!E47-1,0)</f>
        <v>-8.6058312698256145E-9</v>
      </c>
      <c r="G9" s="28">
        <f>IFERROR('Historical FS'!G47/'Historical FS'!F47-1,0)</f>
        <v>1.7777665640611602</v>
      </c>
      <c r="H9" s="28">
        <f>IFERROR('Historical FS'!H47/'Historical FS'!G47-1,0)</f>
        <v>-0.56000326376200071</v>
      </c>
      <c r="I9" s="28">
        <f>IFERROR('Historical FS'!I47/'Historical FS'!H47-1,0)</f>
        <v>9.0914705700697818E-2</v>
      </c>
      <c r="J9" s="28">
        <f>IFERROR('Historical FS'!J47/'Historical FS'!I47-1,0)</f>
        <v>0.58334276338123803</v>
      </c>
      <c r="K9" s="28">
        <f>IFERROR('Historical FS'!K47/'Historical FS'!J47-1,0)</f>
        <v>9.4732703728746426E-2</v>
      </c>
      <c r="L9" s="28">
        <f>IFERROR('Historical FS'!L47/'Historical FS'!K47-1,0)</f>
        <v>2.1659672955198772E-6</v>
      </c>
      <c r="M9" s="27"/>
      <c r="N9" s="28">
        <f t="shared" si="0"/>
        <v>0.25051540053051574</v>
      </c>
      <c r="O9" s="28">
        <f>IFERROR(MEDIAN(C9:L9),0)</f>
        <v>9.4732703728746426E-2</v>
      </c>
    </row>
    <row r="11" spans="2:15" x14ac:dyDescent="0.25">
      <c r="B11" s="172" t="s">
        <v>88</v>
      </c>
      <c r="C11" s="25">
        <f>IFERROR('Historical FS'!C13,0)</f>
        <v>0.40807608825012892</v>
      </c>
      <c r="D11" s="25">
        <f>IFERROR('Historical FS'!D13,0)</f>
        <v>0.41031288604051835</v>
      </c>
      <c r="E11" s="25">
        <f>IFERROR('Historical FS'!E13,0)</f>
        <v>0.39230634757817173</v>
      </c>
      <c r="F11" s="25">
        <f>IFERROR('Historical FS'!F13,0)</f>
        <v>0.3745749377100685</v>
      </c>
      <c r="G11" s="25">
        <f>IFERROR('Historical FS'!G13,0)</f>
        <v>0.37635540705918924</v>
      </c>
      <c r="H11" s="25">
        <f>IFERROR('Historical FS'!H13,0)</f>
        <v>0.35971386930577715</v>
      </c>
      <c r="I11" s="25">
        <f>IFERROR('Historical FS'!I13,0)</f>
        <v>0.36465875384587038</v>
      </c>
      <c r="J11" s="25">
        <f>IFERROR('Historical FS'!J13,0)</f>
        <v>0.36795950489716717</v>
      </c>
      <c r="K11" s="25">
        <f>IFERROR('Historical FS'!K13,0)</f>
        <v>0.35761451342127792</v>
      </c>
      <c r="L11" s="25">
        <f>IFERROR('Historical FS'!L13,0)</f>
        <v>0.3286865702968545</v>
      </c>
      <c r="M11" s="24"/>
      <c r="N11" s="25">
        <f>IFERROR(AVERAGE(C11:L11),0)</f>
        <v>0.37402588784050239</v>
      </c>
      <c r="O11" s="25">
        <f t="shared" si="1"/>
        <v>0.37126722130361783</v>
      </c>
    </row>
    <row r="12" spans="2:15" x14ac:dyDescent="0.25">
      <c r="B12" s="166" t="s">
        <v>89</v>
      </c>
      <c r="C12" s="26">
        <f>IFERROR('Historical FS'!C19,0)</f>
        <v>0.16456648512635097</v>
      </c>
      <c r="D12" s="26">
        <f>IFERROR('Historical FS'!D19,0)</f>
        <v>0.16935689738553961</v>
      </c>
      <c r="E12" s="26">
        <f>IFERROR('Historical FS'!E19,0)</f>
        <v>0.19516019980307614</v>
      </c>
      <c r="F12" s="26">
        <f>IFERROR('Historical FS'!F19,0)</f>
        <v>0.19854102992149572</v>
      </c>
      <c r="G12" s="26">
        <f>IFERROR('Historical FS'!G19,0)</f>
        <v>0.20946275827683788</v>
      </c>
      <c r="H12" s="26">
        <f>IFERROR('Historical FS'!H19,0)</f>
        <v>0.20429383945254184</v>
      </c>
      <c r="I12" s="26">
        <f>IFERROR('Historical FS'!I19,0)</f>
        <v>0.20638046021481599</v>
      </c>
      <c r="J12" s="26">
        <f>IFERROR('Historical FS'!J19,0)</f>
        <v>0.20934357563809575</v>
      </c>
      <c r="K12" s="26">
        <f>IFERROR('Historical FS'!K19,0)</f>
        <v>0.20682121248856616</v>
      </c>
      <c r="L12" s="26">
        <f>IFERROR('Historical FS'!L19,0)</f>
        <v>0.18755512845309014</v>
      </c>
      <c r="N12" s="26">
        <f t="shared" ref="N12:N41" si="2">IFERROR(AVERAGE(C12:L12),0)</f>
        <v>0.19514815867604102</v>
      </c>
      <c r="O12" s="26">
        <f t="shared" si="1"/>
        <v>0.20141743468701878</v>
      </c>
    </row>
    <row r="13" spans="2:15" x14ac:dyDescent="0.25">
      <c r="B13" s="166" t="s">
        <v>90</v>
      </c>
      <c r="C13" s="26">
        <f>IFERROR(('Historical FS'!C18-'Historical FS'!C21)/'Historical FS'!C6,0)</f>
        <v>0.15075402515117342</v>
      </c>
      <c r="D13" s="26">
        <f>IFERROR(('Historical FS'!D18-'Historical FS'!D21)/'Historical FS'!D6,0)</f>
        <v>0.15460734347680519</v>
      </c>
      <c r="E13" s="26">
        <f>IFERROR(('Historical FS'!E18-'Historical FS'!E21)/'Historical FS'!E6,0)</f>
        <v>0.17803991434072944</v>
      </c>
      <c r="F13" s="26">
        <f>IFERROR(('Historical FS'!F18-'Historical FS'!F21)/'Historical FS'!F6,0)</f>
        <v>0.17977721416572215</v>
      </c>
      <c r="G13" s="26">
        <f>IFERROR(('Historical FS'!G18-'Historical FS'!G21)/'Historical FS'!G6,0)</f>
        <v>0.1884600192958942</v>
      </c>
      <c r="H13" s="26">
        <f>IFERROR(('Historical FS'!H18-'Historical FS'!H21)/'Historical FS'!H6,0)</f>
        <v>0.18351871229443595</v>
      </c>
      <c r="I13" s="26">
        <f>IFERROR(('Historical FS'!I18-'Historical FS'!I21)/'Historical FS'!I6,0)</f>
        <v>0.18099656404871123</v>
      </c>
      <c r="J13" s="26">
        <f>IFERROR(('Historical FS'!J18-'Historical FS'!J21)/'Historical FS'!J6,0)</f>
        <v>0.1842297093074938</v>
      </c>
      <c r="K13" s="26">
        <f>IFERROR(('Historical FS'!K18-'Historical FS'!K21)/'Historical FS'!K6,0)</f>
        <v>0.1835961751102981</v>
      </c>
      <c r="L13" s="26">
        <f>IFERROR(('Historical FS'!L18-'Historical FS'!L21)/'Historical FS'!L6,0)</f>
        <v>0.16058522674544157</v>
      </c>
      <c r="N13" s="26">
        <f t="shared" si="2"/>
        <v>0.1744564903936705</v>
      </c>
      <c r="O13" s="26">
        <f t="shared" si="1"/>
        <v>0.18038688910721667</v>
      </c>
    </row>
    <row r="14" spans="2:15" x14ac:dyDescent="0.25">
      <c r="B14" s="166" t="s">
        <v>91</v>
      </c>
      <c r="C14" s="26">
        <f>IFERROR('Historical FS'!C34,0)</f>
        <v>0.16088278465087025</v>
      </c>
      <c r="D14" s="26">
        <f>IFERROR('Historical FS'!D34,0)</f>
        <v>0.16924657718757899</v>
      </c>
      <c r="E14" s="26">
        <f>IFERROR('Historical FS'!E34,0)</f>
        <v>0.19972595203389343</v>
      </c>
      <c r="F14" s="26">
        <f>IFERROR('Historical FS'!F34,0)</f>
        <v>0.21154934794229799</v>
      </c>
      <c r="G14" s="26">
        <f>IFERROR('Historical FS'!G34,0)</f>
        <v>0.21925963337801185</v>
      </c>
      <c r="H14" s="26">
        <f>IFERROR('Historical FS'!H34,0)</f>
        <v>0.20256864658678392</v>
      </c>
      <c r="I14" s="26">
        <f>IFERROR('Historical FS'!I34,0)</f>
        <v>0.19893052561764213</v>
      </c>
      <c r="J14" s="26">
        <f>IFERROR('Historical FS'!J34,0)</f>
        <v>0.21502774102796046</v>
      </c>
      <c r="K14" s="26">
        <f>IFERROR('Historical FS'!K34,0)</f>
        <v>0.20835216022511457</v>
      </c>
      <c r="L14" s="26">
        <f>IFERROR('Historical FS'!L34,0)</f>
        <v>0.19242854875458479</v>
      </c>
      <c r="N14" s="26">
        <f t="shared" si="2"/>
        <v>0.19779719174047383</v>
      </c>
      <c r="O14" s="26">
        <f t="shared" si="1"/>
        <v>0.20114729931033867</v>
      </c>
    </row>
    <row r="15" spans="2:15" x14ac:dyDescent="0.25">
      <c r="B15" s="173" t="s">
        <v>92</v>
      </c>
      <c r="C15" s="28">
        <f>IFERROR('Historical FS'!C40,0)</f>
        <v>0.12984335772131958</v>
      </c>
      <c r="D15" s="28">
        <f>IFERROR('Historical FS'!D40,0)</f>
        <v>0.13706258362206869</v>
      </c>
      <c r="E15" s="28">
        <f>IFERROR('Historical FS'!E40,0)</f>
        <v>0.16117670952200985</v>
      </c>
      <c r="F15" s="28">
        <f>IFERROR('Historical FS'!F40,0)</f>
        <v>0.16816114342905261</v>
      </c>
      <c r="G15" s="28">
        <f>IFERROR('Historical FS'!G40,0)</f>
        <v>0.17583092134656858</v>
      </c>
      <c r="H15" s="28">
        <f>IFERROR('Historical FS'!H40,0)</f>
        <v>0.1698475277128921</v>
      </c>
      <c r="I15" s="28">
        <f>IFERROR('Historical FS'!I40,0)</f>
        <v>0.16672193666058691</v>
      </c>
      <c r="J15" s="28">
        <f>IFERROR('Historical FS'!J40,0)</f>
        <v>0.17726543012973683</v>
      </c>
      <c r="K15" s="28">
        <f>IFERROR('Historical FS'!K40,0)</f>
        <v>0.16001021244081015</v>
      </c>
      <c r="L15" s="28">
        <f>IFERROR('Historical FS'!L40,0)</f>
        <v>0.14755821608011868</v>
      </c>
      <c r="M15" s="27"/>
      <c r="N15" s="28">
        <f t="shared" si="2"/>
        <v>0.15934780386651642</v>
      </c>
      <c r="O15" s="28">
        <f t="shared" si="1"/>
        <v>0.16394932309129839</v>
      </c>
    </row>
    <row r="16" spans="2:15" x14ac:dyDescent="0.25">
      <c r="N16" s="14"/>
    </row>
    <row r="17" spans="2:15" x14ac:dyDescent="0.25">
      <c r="B17" s="172" t="s">
        <v>93</v>
      </c>
      <c r="C17" s="25">
        <f>IFERROR('Historical FS'!C16,0)</f>
        <v>0.24350960312377798</v>
      </c>
      <c r="D17" s="25">
        <f>IFERROR('Historical FS'!D16,0)</f>
        <v>0.24095598865497875</v>
      </c>
      <c r="E17" s="25">
        <f>IFERROR('Historical FS'!E16,0)</f>
        <v>0.19714614777509556</v>
      </c>
      <c r="F17" s="25">
        <f>IFERROR('Historical FS'!F16,0)</f>
        <v>0.17603390778857281</v>
      </c>
      <c r="G17" s="25">
        <f>IFERROR('Historical FS'!G16,0)</f>
        <v>0.16689264878235138</v>
      </c>
      <c r="H17" s="25">
        <f>IFERROR('Historical FS'!H16,0)</f>
        <v>0.15542002985323528</v>
      </c>
      <c r="I17" s="25">
        <f>IFERROR('Historical FS'!I16,0)</f>
        <v>0.15827829363105436</v>
      </c>
      <c r="J17" s="25">
        <f>IFERROR('Historical FS'!J16,0)</f>
        <v>0.15861592925907142</v>
      </c>
      <c r="K17" s="25">
        <f>IFERROR('Historical FS'!K16,0)</f>
        <v>0.15079330093271176</v>
      </c>
      <c r="L17" s="25">
        <f>IFERROR('Historical FS'!L16,0)</f>
        <v>0.14113144184376436</v>
      </c>
      <c r="M17" s="24"/>
      <c r="N17" s="25">
        <f t="shared" si="2"/>
        <v>0.17887772916446137</v>
      </c>
      <c r="O17" s="25">
        <f t="shared" si="1"/>
        <v>0.1627542890207114</v>
      </c>
    </row>
    <row r="18" spans="2:15" x14ac:dyDescent="0.25">
      <c r="B18" s="166" t="s">
        <v>18</v>
      </c>
      <c r="C18" s="26">
        <f>IFERROR('Historical FS'!C22,0)</f>
        <v>1.3812459975177525E-2</v>
      </c>
      <c r="D18" s="26">
        <f>IFERROR('Historical FS'!D22,0)</f>
        <v>1.4749553908734411E-2</v>
      </c>
      <c r="E18" s="26">
        <f>IFERROR('Historical FS'!E22,0)</f>
        <v>1.7120285462346684E-2</v>
      </c>
      <c r="F18" s="26">
        <f>IFERROR('Historical FS'!F22,0)</f>
        <v>1.8763815755773558E-2</v>
      </c>
      <c r="G18" s="26">
        <f>IFERROR('Historical FS'!G22,0)</f>
        <v>2.1002738980943687E-2</v>
      </c>
      <c r="H18" s="26">
        <f>IFERROR('Historical FS'!H22,0)</f>
        <v>2.0775127158105883E-2</v>
      </c>
      <c r="I18" s="26">
        <f>IFERROR('Historical FS'!I22,0)</f>
        <v>2.5383896166104754E-2</v>
      </c>
      <c r="J18" s="26">
        <f>IFERROR('Historical FS'!J22,0)</f>
        <v>2.5113866330601937E-2</v>
      </c>
      <c r="K18" s="26">
        <f>IFERROR('Historical FS'!K22,0)</f>
        <v>2.322503737826807E-2</v>
      </c>
      <c r="L18" s="26">
        <f>IFERROR('Historical FS'!L22,0)</f>
        <v>2.6969901707648555E-2</v>
      </c>
      <c r="N18" s="26">
        <f t="shared" si="2"/>
        <v>2.0691668282370505E-2</v>
      </c>
      <c r="O18" s="26">
        <f t="shared" si="1"/>
        <v>2.0888933069524787E-2</v>
      </c>
    </row>
    <row r="19" spans="2:15" x14ac:dyDescent="0.25">
      <c r="B19" s="173" t="s">
        <v>94</v>
      </c>
      <c r="C19" s="28">
        <f>C13</f>
        <v>0.15075402515117342</v>
      </c>
      <c r="D19" s="28">
        <f t="shared" ref="D19:L19" si="3">D13</f>
        <v>0.15460734347680519</v>
      </c>
      <c r="E19" s="28">
        <f t="shared" si="3"/>
        <v>0.17803991434072944</v>
      </c>
      <c r="F19" s="28">
        <f t="shared" si="3"/>
        <v>0.17977721416572215</v>
      </c>
      <c r="G19" s="28">
        <f t="shared" si="3"/>
        <v>0.1884600192958942</v>
      </c>
      <c r="H19" s="28">
        <f t="shared" si="3"/>
        <v>0.18351871229443595</v>
      </c>
      <c r="I19" s="28">
        <f t="shared" si="3"/>
        <v>0.18099656404871123</v>
      </c>
      <c r="J19" s="28">
        <f t="shared" si="3"/>
        <v>0.1842297093074938</v>
      </c>
      <c r="K19" s="28">
        <f t="shared" si="3"/>
        <v>0.1835961751102981</v>
      </c>
      <c r="L19" s="28">
        <f t="shared" si="3"/>
        <v>0.16058522674544157</v>
      </c>
      <c r="M19" s="27"/>
      <c r="N19" s="28">
        <f t="shared" si="2"/>
        <v>0.1744564903936705</v>
      </c>
      <c r="O19" s="28">
        <f t="shared" si="1"/>
        <v>0.18038688910721667</v>
      </c>
    </row>
    <row r="20" spans="2:15" x14ac:dyDescent="0.25">
      <c r="N20" s="14"/>
    </row>
    <row r="21" spans="2:15" x14ac:dyDescent="0.25">
      <c r="B21" s="172" t="s">
        <v>95</v>
      </c>
      <c r="C21" s="25">
        <f>IFERROR(('Historical FS'!C18-'Historical FS'!C21)/SUM('Historical FS'!C53:C55),0)</f>
        <v>0.31629261912547196</v>
      </c>
      <c r="D21" s="25">
        <f>IFERROR(('Historical FS'!D18-'Historical FS'!D21)/SUM('Historical FS'!D53:D55),0)</f>
        <v>0.2948455121461947</v>
      </c>
      <c r="E21" s="25">
        <f>IFERROR(('Historical FS'!E18-'Historical FS'!E21)/SUM('Historical FS'!E53:E55),0)</f>
        <v>0.27836360968923762</v>
      </c>
      <c r="F21" s="25">
        <f>IFERROR(('Historical FS'!F18-'Historical FS'!F21)/SUM('Historical FS'!F53:F55),0)</f>
        <v>0.23508387449140311</v>
      </c>
      <c r="G21" s="25">
        <f>IFERROR(('Historical FS'!G18-'Historical FS'!G21)/SUM('Historical FS'!G53:G55),0)</f>
        <v>0.21903008830377593</v>
      </c>
      <c r="H21" s="25">
        <f>IFERROR(('Historical FS'!H18-'Historical FS'!H21)/SUM('Historical FS'!H53:H55),0)</f>
        <v>0.24682477630092942</v>
      </c>
      <c r="I21" s="25">
        <f>IFERROR(('Historical FS'!I18-'Historical FS'!I21)/SUM('Historical FS'!I53:I55),0)</f>
        <v>0.22053133251212859</v>
      </c>
      <c r="J21" s="25">
        <f>IFERROR(('Historical FS'!J18-'Historical FS'!J21)/SUM('Historical FS'!J53:J55),0)</f>
        <v>0.21554244125791189</v>
      </c>
      <c r="K21" s="25">
        <f>IFERROR(('Historical FS'!K18-'Historical FS'!K21)/SUM('Historical FS'!K53:K55),0)</f>
        <v>0.21241473107082906</v>
      </c>
      <c r="L21" s="25">
        <f>IFERROR(('Historical FS'!L18-'Historical FS'!L21)/SUM('Historical FS'!L53:L55),0)</f>
        <v>0.18246978185778126</v>
      </c>
      <c r="M21" s="24"/>
      <c r="N21" s="25">
        <f t="shared" si="2"/>
        <v>0.24213987667556638</v>
      </c>
      <c r="O21" s="25">
        <f t="shared" si="1"/>
        <v>0.22780760350176585</v>
      </c>
    </row>
    <row r="22" spans="2:15" x14ac:dyDescent="0.25">
      <c r="B22" s="166" t="s">
        <v>96</v>
      </c>
      <c r="C22" s="26">
        <f>IFERROR('Historical FS'!C50,0)</f>
        <v>0.66701947733100553</v>
      </c>
      <c r="D22" s="26">
        <f>IFERROR('Historical FS'!D50,0)</f>
        <v>0.67121210703154977</v>
      </c>
      <c r="E22" s="26">
        <f>IFERROR('Historical FS'!E50,0)</f>
        <v>0.68434484408645013</v>
      </c>
      <c r="F22" s="26">
        <f>IFERROR('Historical FS'!F50,0)</f>
        <v>0.6904343479313606</v>
      </c>
      <c r="G22" s="26">
        <f>IFERROR('Historical FS'!G50,0)</f>
        <v>0.1891378319855056</v>
      </c>
      <c r="H22" s="26">
        <f>IFERROR('Historical FS'!H50,0)</f>
        <v>0.66414520311149494</v>
      </c>
      <c r="I22" s="26">
        <f>IFERROR('Historical FS'!I50,0)</f>
        <v>0.63386789325377069</v>
      </c>
      <c r="J22" s="26">
        <f>IFERROR('Historical FS'!J50,0)</f>
        <v>0.5046933537862468</v>
      </c>
      <c r="K22" s="26">
        <f>IFERROR('Historical FS'!K50,0)</f>
        <v>0.47235837685817617</v>
      </c>
      <c r="L22" s="26">
        <f>IFERROR('Historical FS'!L50,0)</f>
        <v>0.45845897033497307</v>
      </c>
      <c r="N22" s="26">
        <f t="shared" si="2"/>
        <v>0.56356724057105334</v>
      </c>
      <c r="O22" s="26">
        <f t="shared" si="1"/>
        <v>0.64900654818263281</v>
      </c>
    </row>
    <row r="23" spans="2:15" x14ac:dyDescent="0.25">
      <c r="B23" s="166" t="s">
        <v>97</v>
      </c>
      <c r="C23" s="26">
        <f>IFERROR(('Historical FS'!C39)/SUM('Historical FS'!C53:C54),0)</f>
        <v>0.34505414238166243</v>
      </c>
      <c r="D23" s="26">
        <f>IFERROR(('Historical FS'!D39)/SUM('Historical FS'!D53:D54),0)</f>
        <v>0.3185525947038586</v>
      </c>
      <c r="E23" s="26">
        <f>IFERROR(('Historical FS'!E39)/SUM('Historical FS'!E53:E54),0)</f>
        <v>0.300651463454986</v>
      </c>
      <c r="F23" s="26">
        <f>IFERROR(('Historical FS'!F39)/SUM('Historical FS'!F53:F54),0)</f>
        <v>0.26412357990588764</v>
      </c>
      <c r="G23" s="26">
        <f>IFERROR(('Historical FS'!G39)/SUM('Historical FS'!G53:G54),0)</f>
        <v>0.23792784393991448</v>
      </c>
      <c r="H23" s="26">
        <f>IFERROR(('Historical FS'!H39)/SUM('Historical FS'!H53:H54),0)</f>
        <v>0.25680613955338355</v>
      </c>
      <c r="I23" s="26">
        <f>IFERROR(('Historical FS'!I39)/SUM('Historical FS'!I53:I54),0)</f>
        <v>0.21919085645081926</v>
      </c>
      <c r="J23" s="26">
        <f>IFERROR(('Historical FS'!J39)/SUM('Historical FS'!J53:J54),0)</f>
        <v>0.22117092253830783</v>
      </c>
      <c r="K23" s="26">
        <f>IFERROR(('Historical FS'!K39)/SUM('Historical FS'!K53:K54),0)</f>
        <v>0.20787944590934584</v>
      </c>
      <c r="L23" s="26">
        <f>IFERROR(('Historical FS'!L39)/SUM('Historical FS'!L53:L54),0)</f>
        <v>0.18959998930154698</v>
      </c>
      <c r="N23" s="26">
        <f t="shared" si="2"/>
        <v>0.25609569781397123</v>
      </c>
      <c r="O23" s="26">
        <f t="shared" si="1"/>
        <v>0.247366991746649</v>
      </c>
    </row>
    <row r="24" spans="2:15" x14ac:dyDescent="0.25">
      <c r="B24" s="166" t="s">
        <v>98</v>
      </c>
      <c r="C24" s="26">
        <f>IFERROR(C22*C23,0)</f>
        <v>0.23015783370231485</v>
      </c>
      <c r="D24" s="26">
        <f t="shared" ref="D24:L24" si="4">IFERROR(D22*D23,0)</f>
        <v>0.21381635829154425</v>
      </c>
      <c r="E24" s="26">
        <f t="shared" si="4"/>
        <v>0.20574927888246544</v>
      </c>
      <c r="F24" s="26">
        <f t="shared" si="4"/>
        <v>0.18235999166561814</v>
      </c>
      <c r="G24" s="26">
        <f t="shared" si="4"/>
        <v>4.5001156571781144E-2</v>
      </c>
      <c r="H24" s="26">
        <f t="shared" si="4"/>
        <v>0.17055656571396083</v>
      </c>
      <c r="I24" s="26">
        <f t="shared" si="4"/>
        <v>0.13893804639897048</v>
      </c>
      <c r="J24" s="26">
        <f t="shared" si="4"/>
        <v>0.11162349465585679</v>
      </c>
      <c r="K24" s="26">
        <f t="shared" si="4"/>
        <v>9.8193597651915626E-2</v>
      </c>
      <c r="L24" s="26">
        <f t="shared" si="4"/>
        <v>8.6923815870709131E-2</v>
      </c>
      <c r="N24" s="26">
        <f t="shared" si="2"/>
        <v>0.14833201394051368</v>
      </c>
      <c r="O24" s="26">
        <f t="shared" si="1"/>
        <v>0.15474730605646564</v>
      </c>
    </row>
    <row r="25" spans="2:15" x14ac:dyDescent="0.25">
      <c r="B25" s="173" t="s">
        <v>99</v>
      </c>
      <c r="C25" s="29">
        <f>IFERROR(('Historical FS'!C18-'Historical FS'!C21)/'Historical FS'!C30,0)</f>
        <v>19.649861495844878</v>
      </c>
      <c r="D25" s="29">
        <f>IFERROR(('Historical FS'!D18-'Historical FS'!D21)/'Historical FS'!D30,0)</f>
        <v>30.040877367896314</v>
      </c>
      <c r="E25" s="29">
        <f>IFERROR(('Historical FS'!E18-'Historical FS'!E21)/'Historical FS'!E30,0)</f>
        <v>28.57033828382837</v>
      </c>
      <c r="F25" s="29">
        <f>IFERROR(('Historical FS'!F18-'Historical FS'!F21)/'Historical FS'!F30,0)</f>
        <v>25.333148250971689</v>
      </c>
      <c r="G25" s="29">
        <f>IFERROR(('Historical FS'!G18-'Historical FS'!G21)/'Historical FS'!G30,0)</f>
        <v>27.431856738925557</v>
      </c>
      <c r="H25" s="29">
        <f>IFERROR(('Historical FS'!H18-'Historical FS'!H21)/'Historical FS'!H30,0)</f>
        <v>26.227928835179576</v>
      </c>
      <c r="I25" s="29">
        <f>IFERROR(('Historical FS'!I18-'Historical FS'!I21)/'Historical FS'!I30,0)</f>
        <v>31.729713362939027</v>
      </c>
      <c r="J25" s="29">
        <f>IFERROR(('Historical FS'!J18-'Historical FS'!J21)/'Historical FS'!J30,0)</f>
        <v>57.174294060369952</v>
      </c>
      <c r="K25" s="29">
        <f>IFERROR(('Historical FS'!K18-'Historical FS'!K21)/'Historical FS'!K30,0)</f>
        <v>51.790673575129553</v>
      </c>
      <c r="L25" s="29">
        <f>IFERROR(('Historical FS'!L18-'Historical FS'!L21)/'Historical FS'!L30,0)</f>
        <v>23.664749488752548</v>
      </c>
      <c r="M25" s="27"/>
      <c r="N25" s="29">
        <f t="shared" si="2"/>
        <v>32.161344145983747</v>
      </c>
      <c r="O25" s="29">
        <f t="shared" si="1"/>
        <v>28.001097511376962</v>
      </c>
    </row>
    <row r="26" spans="2:15" x14ac:dyDescent="0.25">
      <c r="C26" s="14"/>
      <c r="N26" s="14"/>
    </row>
    <row r="27" spans="2:15" x14ac:dyDescent="0.25">
      <c r="B27" s="172" t="s">
        <v>100</v>
      </c>
      <c r="C27" s="30">
        <f>IFERROR('Historical FS'!C6/'Historical FS'!C65,0)</f>
        <v>10.451828816822154</v>
      </c>
      <c r="D27" s="30">
        <f>IFERROR('Historical FS'!D6/'Historical FS'!D65,0)</f>
        <v>10.966588824489335</v>
      </c>
      <c r="E27" s="30">
        <f>IFERROR('Historical FS'!E6/'Historical FS'!E65,0)</f>
        <v>9.6140138408304487</v>
      </c>
      <c r="F27" s="30">
        <f>IFERROR('Historical FS'!F6/'Historical FS'!F65,0)</f>
        <v>11.705651732726547</v>
      </c>
      <c r="G27" s="30">
        <f>IFERROR('Historical FS'!G6/'Historical FS'!G65,0)</f>
        <v>10.936225356900067</v>
      </c>
      <c r="H27" s="30">
        <f>IFERROR('Historical FS'!H6/'Historical FS'!H65,0)</f>
        <v>10.215209463026058</v>
      </c>
      <c r="I27" s="30">
        <f>IFERROR('Historical FS'!I6/'Historical FS'!I65,0)</f>
        <v>10.670532872992665</v>
      </c>
      <c r="J27" s="30">
        <f>IFERROR('Historical FS'!J6/'Historical FS'!J65,0)</f>
        <v>17.026336407991735</v>
      </c>
      <c r="K27" s="30">
        <f>IFERROR('Historical FS'!K6/'Historical FS'!K65,0)</f>
        <v>16.851628878743327</v>
      </c>
      <c r="L27" s="30">
        <f>IFERROR('Historical FS'!L6/'Historical FS'!L65,0)</f>
        <v>13.584553755522826</v>
      </c>
      <c r="M27" s="24"/>
      <c r="N27" s="30">
        <f t="shared" si="2"/>
        <v>12.202256995004515</v>
      </c>
      <c r="O27" s="30">
        <f t="shared" si="1"/>
        <v>10.951407090694701</v>
      </c>
    </row>
    <row r="28" spans="2:15" x14ac:dyDescent="0.25">
      <c r="B28" s="166" t="s">
        <v>101</v>
      </c>
      <c r="C28" s="31">
        <f>IFERROR('Historical FS'!C6/'Historical FS'!C56,0)</f>
        <v>3.6234508958365419</v>
      </c>
      <c r="D28" s="31">
        <f>IFERROR('Historical FS'!D6/'Historical FS'!D56,0)</f>
        <v>3.861868244013118</v>
      </c>
      <c r="E28" s="31">
        <f>IFERROR('Historical FS'!E6/'Historical FS'!E56,0)</f>
        <v>3.9763758197161212</v>
      </c>
      <c r="F28" s="31">
        <f>IFERROR('Historical FS'!F6/'Historical FS'!F56,0)</f>
        <v>3.9864858496740583</v>
      </c>
      <c r="G28" s="31">
        <f>IFERROR('Historical FS'!G6/'Historical FS'!G56,0)</f>
        <v>3.7529890353435205</v>
      </c>
      <c r="H28" s="31">
        <f>IFERROR('Historical FS'!H6/'Historical FS'!H56,0)</f>
        <v>4.0439924201767674</v>
      </c>
      <c r="I28" s="31">
        <f>IFERROR('Historical FS'!I6/'Historical FS'!I56,0)</f>
        <v>3.9317650893681746</v>
      </c>
      <c r="J28" s="31">
        <f>IFERROR('Historical FS'!J6/'Historical FS'!J56,0)</f>
        <v>3.5937541108684781</v>
      </c>
      <c r="K28" s="31">
        <f>IFERROR('Historical FS'!K6/'Historical FS'!K56,0)</f>
        <v>3.7907159716758461</v>
      </c>
      <c r="L28" s="31">
        <f>IFERROR('Historical FS'!L6/'Historical FS'!L56,0)</f>
        <v>3.2893390733275703</v>
      </c>
      <c r="N28" s="31">
        <f t="shared" si="2"/>
        <v>3.7850736510000198</v>
      </c>
      <c r="O28" s="31">
        <f t="shared" si="1"/>
        <v>3.8262921078444823</v>
      </c>
    </row>
    <row r="29" spans="2:15" x14ac:dyDescent="0.25">
      <c r="B29" s="166" t="s">
        <v>102</v>
      </c>
      <c r="C29" s="31">
        <f>IFERROR('Historical FS'!C6/'Historical FS'!C66,0)</f>
        <v>7.2576323122641409</v>
      </c>
      <c r="D29" s="31">
        <f>IFERROR('Historical FS'!D6/'Historical FS'!D66,0)</f>
        <v>8.0095862402005604</v>
      </c>
      <c r="E29" s="31">
        <f>IFERROR('Historical FS'!E6/'Historical FS'!E66,0)</f>
        <v>7.0949931600547194</v>
      </c>
      <c r="F29" s="31">
        <f>IFERROR('Historical FS'!F6/'Historical FS'!F66,0)</f>
        <v>6.8794806227466996</v>
      </c>
      <c r="G29" s="31">
        <f>IFERROR('Historical FS'!G6/'Historical FS'!G66,0)</f>
        <v>6.1470887930073719</v>
      </c>
      <c r="H29" s="31">
        <f>IFERROR('Historical FS'!H6/'Historical FS'!H66,0)</f>
        <v>6.5473230144633341</v>
      </c>
      <c r="I29" s="31">
        <f>IFERROR('Historical FS'!I6/'Historical FS'!I66,0)</f>
        <v>6.2951789325659444</v>
      </c>
      <c r="J29" s="31">
        <f>IFERROR('Historical FS'!J6/'Historical FS'!J66,0)</f>
        <v>5.5133254145812671</v>
      </c>
      <c r="K29" s="31">
        <f>IFERROR('Historical FS'!K6/'Historical FS'!K66,0)</f>
        <v>5.6967933994987892</v>
      </c>
      <c r="L29" s="31">
        <f>IFERROR('Historical FS'!L6/'Historical FS'!L66,0)</f>
        <v>5.6960231202450347</v>
      </c>
      <c r="N29" s="31">
        <f t="shared" si="2"/>
        <v>6.5137425009627865</v>
      </c>
      <c r="O29" s="31">
        <f t="shared" si="1"/>
        <v>6.4212509735146392</v>
      </c>
    </row>
    <row r="30" spans="2:15" x14ac:dyDescent="0.25">
      <c r="B30" s="166" t="s">
        <v>103</v>
      </c>
      <c r="C30" s="31">
        <f>IFERROR('Historical FS'!C6/'Historical FS'!C59,0)</f>
        <v>3.9946346708925233</v>
      </c>
      <c r="D30" s="31">
        <f>IFERROR('Historical FS'!D6/'Historical FS'!D59,0)</f>
        <v>4.1528769983964882</v>
      </c>
      <c r="E30" s="31">
        <f>IFERROR('Historical FS'!E6/'Historical FS'!E59,0)</f>
        <v>4.6657430730478584</v>
      </c>
      <c r="F30" s="31">
        <f>IFERROR('Historical FS'!F6/'Historical FS'!F59,0)</f>
        <v>3.88765829248366</v>
      </c>
      <c r="G30" s="31">
        <f>IFERROR('Historical FS'!G6/'Historical FS'!G59,0)</f>
        <v>3.8074118267746822</v>
      </c>
      <c r="H30" s="31">
        <f>IFERROR('Historical FS'!H6/'Historical FS'!H59,0)</f>
        <v>4.3243933653621527</v>
      </c>
      <c r="I30" s="31">
        <f>IFERROR('Historical FS'!I6/'Historical FS'!I59,0)</f>
        <v>3.8552479713052898</v>
      </c>
      <c r="J30" s="31">
        <f>IFERROR('Historical FS'!J6/'Historical FS'!J59,0)</f>
        <v>4.2630365773188519</v>
      </c>
      <c r="K30" s="31">
        <f>IFERROR('Historical FS'!K6/'Historical FS'!K59,0)</f>
        <v>4.7180033796958272</v>
      </c>
      <c r="L30" s="31">
        <f>IFERROR('Historical FS'!L6/'Historical FS'!L59,0)</f>
        <v>3.2218546099786232</v>
      </c>
      <c r="N30" s="31">
        <f t="shared" si="2"/>
        <v>4.0890860765255956</v>
      </c>
      <c r="O30" s="31">
        <f t="shared" si="1"/>
        <v>4.0737558346445057</v>
      </c>
    </row>
    <row r="31" spans="2:15" x14ac:dyDescent="0.25">
      <c r="B31" s="173" t="s">
        <v>104</v>
      </c>
      <c r="C31" s="29">
        <f>IFERROR('Historical FS'!C6/SUM('Historical FS'!C53:C54),0)</f>
        <v>2.6574647208542297</v>
      </c>
      <c r="D31" s="29">
        <f>IFERROR('Historical FS'!D6/SUM('Historical FS'!D53:D54),0)</f>
        <v>2.3241397198685805</v>
      </c>
      <c r="E31" s="29">
        <f>IFERROR('Historical FS'!E6/SUM('Historical FS'!E53:E54),0)</f>
        <v>1.8653530298925098</v>
      </c>
      <c r="F31" s="29">
        <f>IFERROR('Historical FS'!F6/SUM('Historical FS'!F53:F54),0)</f>
        <v>1.5706576116219246</v>
      </c>
      <c r="G31" s="29">
        <f>IFERROR('Historical FS'!G6/SUM('Historical FS'!G53:G54),0)</f>
        <v>1.3531626981067273</v>
      </c>
      <c r="H31" s="29">
        <f>IFERROR('Historical FS'!H6/SUM('Historical FS'!H53:H54),0)</f>
        <v>1.5119804392295015</v>
      </c>
      <c r="I31" s="29">
        <f>IFERROR('Historical FS'!I6/SUM('Historical FS'!I53:I54),0)</f>
        <v>1.3147091549029255</v>
      </c>
      <c r="J31" s="29">
        <f>IFERROR('Historical FS'!J6/SUM('Historical FS'!J53:J54),0)</f>
        <v>1.247682203892984</v>
      </c>
      <c r="K31" s="29">
        <f>IFERROR('Historical FS'!K6/SUM('Historical FS'!K53:K54),0)</f>
        <v>1.2991636142364549</v>
      </c>
      <c r="L31" s="29">
        <f>IFERROR('Historical FS'!L6/SUM('Historical FS'!L53:L54),0)</f>
        <v>1.2849165186342533</v>
      </c>
      <c r="M31" s="27"/>
      <c r="N31" s="29">
        <f t="shared" si="2"/>
        <v>1.642922971124009</v>
      </c>
      <c r="O31" s="29">
        <f t="shared" si="1"/>
        <v>1.4325715686681144</v>
      </c>
    </row>
    <row r="32" spans="2:15" x14ac:dyDescent="0.25">
      <c r="N32" s="14"/>
    </row>
    <row r="33" spans="2:15" x14ac:dyDescent="0.25">
      <c r="B33" s="174" t="s">
        <v>105</v>
      </c>
      <c r="N33" s="14"/>
    </row>
    <row r="34" spans="2:15" x14ac:dyDescent="0.25">
      <c r="B34" s="172" t="s">
        <v>106</v>
      </c>
      <c r="C34" s="32">
        <f>IFERROR(365/C27,0)</f>
        <v>34.922118071101082</v>
      </c>
      <c r="D34" s="32">
        <f t="shared" ref="D34:L34" si="5">IFERROR(365/D27,0)</f>
        <v>33.282911016498005</v>
      </c>
      <c r="E34" s="32">
        <f t="shared" si="5"/>
        <v>37.965412370206415</v>
      </c>
      <c r="F34" s="32">
        <f t="shared" si="5"/>
        <v>31.181518836711717</v>
      </c>
      <c r="G34" s="32">
        <f t="shared" si="5"/>
        <v>33.375318090872007</v>
      </c>
      <c r="H34" s="32">
        <f t="shared" si="5"/>
        <v>35.731034328871786</v>
      </c>
      <c r="I34" s="32">
        <f t="shared" si="5"/>
        <v>34.206351673759649</v>
      </c>
      <c r="J34" s="32">
        <f t="shared" si="5"/>
        <v>21.437377440086181</v>
      </c>
      <c r="K34" s="32">
        <f t="shared" si="5"/>
        <v>21.659627245910432</v>
      </c>
      <c r="L34" s="32">
        <f t="shared" si="5"/>
        <v>26.868751566580428</v>
      </c>
      <c r="M34" s="24"/>
      <c r="N34" s="32">
        <f t="shared" si="2"/>
        <v>31.063042064059772</v>
      </c>
      <c r="O34" s="32">
        <f t="shared" ref="O34:O37" si="6">IFERROR(MEDIAN(C34:L34),0)</f>
        <v>33.329114553685002</v>
      </c>
    </row>
    <row r="35" spans="2:15" x14ac:dyDescent="0.25">
      <c r="B35" s="166" t="s">
        <v>107</v>
      </c>
      <c r="C35" s="33">
        <f>IFERROR(365/C28,0)</f>
        <v>100.73270219265187</v>
      </c>
      <c r="D35" s="33">
        <f t="shared" ref="D35:L35" si="7">IFERROR(365/D28,0)</f>
        <v>94.513840695068566</v>
      </c>
      <c r="E35" s="33">
        <f t="shared" si="7"/>
        <v>91.792128447772782</v>
      </c>
      <c r="F35" s="33">
        <f t="shared" si="7"/>
        <v>91.559336659841151</v>
      </c>
      <c r="G35" s="33">
        <f t="shared" si="7"/>
        <v>97.255813049981541</v>
      </c>
      <c r="H35" s="33">
        <f t="shared" si="7"/>
        <v>90.25734029047598</v>
      </c>
      <c r="I35" s="33">
        <f t="shared" si="7"/>
        <v>92.833623500801423</v>
      </c>
      <c r="J35" s="33">
        <f t="shared" si="7"/>
        <v>101.56510121161098</v>
      </c>
      <c r="K35" s="33">
        <f t="shared" si="7"/>
        <v>96.287878787878782</v>
      </c>
      <c r="L35" s="33">
        <f t="shared" si="7"/>
        <v>110.96454085858582</v>
      </c>
      <c r="N35" s="33">
        <f t="shared" si="2"/>
        <v>96.77623056946689</v>
      </c>
      <c r="O35" s="33">
        <f t="shared" si="6"/>
        <v>95.400859741473681</v>
      </c>
    </row>
    <row r="36" spans="2:15" x14ac:dyDescent="0.25">
      <c r="B36" s="166" t="s">
        <v>108</v>
      </c>
      <c r="C36" s="33">
        <f>IFERROR(365/C29,0)</f>
        <v>50.291883674406222</v>
      </c>
      <c r="D36" s="33">
        <f t="shared" ref="D36:L36" si="8">IFERROR(365/D29,0)</f>
        <v>45.57039390724637</v>
      </c>
      <c r="E36" s="33">
        <f t="shared" si="8"/>
        <v>51.444728947023393</v>
      </c>
      <c r="F36" s="33">
        <f t="shared" si="8"/>
        <v>53.056330850492344</v>
      </c>
      <c r="G36" s="33">
        <f t="shared" si="8"/>
        <v>59.37770093954169</v>
      </c>
      <c r="H36" s="33">
        <f t="shared" si="8"/>
        <v>55.747975041661824</v>
      </c>
      <c r="I36" s="33">
        <f t="shared" si="8"/>
        <v>57.980877733561783</v>
      </c>
      <c r="J36" s="33">
        <f t="shared" si="8"/>
        <v>66.20323898071986</v>
      </c>
      <c r="K36" s="33">
        <f t="shared" si="8"/>
        <v>64.071131670689184</v>
      </c>
      <c r="L36" s="33">
        <f t="shared" si="8"/>
        <v>64.079796077846368</v>
      </c>
      <c r="N36" s="33">
        <f t="shared" si="2"/>
        <v>56.782405782318904</v>
      </c>
      <c r="O36" s="33">
        <f t="shared" si="6"/>
        <v>56.8644263876118</v>
      </c>
    </row>
    <row r="37" spans="2:15" x14ac:dyDescent="0.25">
      <c r="B37" s="173" t="s">
        <v>109</v>
      </c>
      <c r="C37" s="34">
        <f>IFERROR((SUM(C34,C36)-C35),0)</f>
        <v>-15.518700447144568</v>
      </c>
      <c r="D37" s="34">
        <f t="shared" ref="D37:L37" si="9">IFERROR((SUM(D34,D36)-D35),0)</f>
        <v>-15.660535771324192</v>
      </c>
      <c r="E37" s="34">
        <f t="shared" si="9"/>
        <v>-2.3819871305429814</v>
      </c>
      <c r="F37" s="34">
        <f t="shared" si="9"/>
        <v>-7.3214869726370893</v>
      </c>
      <c r="G37" s="34">
        <f t="shared" si="9"/>
        <v>-4.502794019567844</v>
      </c>
      <c r="H37" s="34">
        <f t="shared" si="9"/>
        <v>1.2216690800576373</v>
      </c>
      <c r="I37" s="34">
        <f t="shared" si="9"/>
        <v>-0.64639409347998367</v>
      </c>
      <c r="J37" s="34">
        <f t="shared" si="9"/>
        <v>-13.924484790804939</v>
      </c>
      <c r="K37" s="34">
        <f t="shared" si="9"/>
        <v>-10.55711987127917</v>
      </c>
      <c r="L37" s="34">
        <f t="shared" si="9"/>
        <v>-20.015993214159025</v>
      </c>
      <c r="M37" s="27"/>
      <c r="N37" s="34">
        <f t="shared" si="2"/>
        <v>-8.9307827230882157</v>
      </c>
      <c r="O37" s="34">
        <f t="shared" si="6"/>
        <v>-8.9393034219581295</v>
      </c>
    </row>
    <row r="38" spans="2:15" x14ac:dyDescent="0.25">
      <c r="N38" s="14"/>
    </row>
    <row r="39" spans="2:15" x14ac:dyDescent="0.25">
      <c r="B39" s="172" t="s">
        <v>110</v>
      </c>
      <c r="C39" s="25">
        <f>IFERROR('Historical FS'!C83/'Historical FS'!C6,0)</f>
        <v>0.15556550469530131</v>
      </c>
      <c r="D39" s="25">
        <f>IFERROR('Historical FS'!D83/'Historical FS'!D6,0)</f>
        <v>0.1343084270520519</v>
      </c>
      <c r="E39" s="25">
        <f>IFERROR('Historical FS'!E83/'Historical FS'!E6,0)</f>
        <v>0.15257736199268349</v>
      </c>
      <c r="F39" s="25">
        <f>IFERROR('Historical FS'!F83/'Historical FS'!F6,0)</f>
        <v>0.16129053442594099</v>
      </c>
      <c r="G39" s="25">
        <f>IFERROR('Historical FS'!G83/'Historical FS'!G6,0)</f>
        <v>0.14141688843994638</v>
      </c>
      <c r="H39" s="25">
        <f>IFERROR('Historical FS'!H83/'Historical FS'!H6,0)</f>
        <v>0.17604248507631837</v>
      </c>
      <c r="I39" s="25">
        <f>IFERROR('Historical FS'!I83/'Historical FS'!I6,0)</f>
        <v>0.18584535455701101</v>
      </c>
      <c r="J39" s="25">
        <f>IFERROR('Historical FS'!J83/'Historical FS'!J6,0)</f>
        <v>0.22130071692647191</v>
      </c>
      <c r="K39" s="25">
        <f>IFERROR('Historical FS'!K83/'Historical FS'!K6,0)</f>
        <v>0.16558480917797197</v>
      </c>
      <c r="L39" s="25">
        <f>IFERROR('Historical FS'!L83/'Historical FS'!L6,0)</f>
        <v>0.12905587130493007</v>
      </c>
      <c r="M39" s="24"/>
      <c r="N39" s="25">
        <f t="shared" si="2"/>
        <v>0.16229879536486272</v>
      </c>
      <c r="O39" s="25">
        <f t="shared" ref="O39:O41" si="10">IFERROR(MEDIAN(C39:L39),0)</f>
        <v>0.15842801956062114</v>
      </c>
    </row>
    <row r="40" spans="2:15" x14ac:dyDescent="0.25">
      <c r="B40" s="166" t="s">
        <v>111</v>
      </c>
      <c r="C40" s="26">
        <f>IFERROR('Historical FS'!C83/'Historical FS'!C70,0)</f>
        <v>0.20670180722891565</v>
      </c>
      <c r="D40" s="26">
        <f>IFERROR('Historical FS'!D83/'Historical FS'!D70,0)</f>
        <v>0.17146282188173484</v>
      </c>
      <c r="E40" s="26">
        <f>IFERROR('Historical FS'!E83/'Historical FS'!E70,0)</f>
        <v>0.17122744255153413</v>
      </c>
      <c r="F40" s="26">
        <f>IFERROR('Historical FS'!F83/'Historical FS'!F70,0)</f>
        <v>0.15881555668215161</v>
      </c>
      <c r="G40" s="26">
        <f>IFERROR('Historical FS'!G83/'Historical FS'!G70,0)</f>
        <v>0.12549372933576813</v>
      </c>
      <c r="H40" s="26">
        <f>IFERROR('Historical FS'!H83/'Historical FS'!H70,0)</f>
        <v>0.17767736918963001</v>
      </c>
      <c r="I40" s="26">
        <f>IFERROR('Historical FS'!I83/'Historical FS'!I70,0)</f>
        <v>0.1728684379076707</v>
      </c>
      <c r="J40" s="26">
        <f>IFERROR('Historical FS'!J83/'Historical FS'!J70,0)</f>
        <v>0.19532512032433569</v>
      </c>
      <c r="K40" s="26">
        <f>IFERROR('Historical FS'!K83/'Historical FS'!K70,0)</f>
        <v>0.1467779671862102</v>
      </c>
      <c r="L40" s="26">
        <f>IFERROR('Historical FS'!L83/'Historical FS'!L70,0)</f>
        <v>0.10899278362295529</v>
      </c>
      <c r="N40" s="26">
        <f t="shared" si="2"/>
        <v>0.16353430359109064</v>
      </c>
      <c r="O40" s="26">
        <f t="shared" si="10"/>
        <v>0.1713451322166345</v>
      </c>
    </row>
    <row r="41" spans="2:15" x14ac:dyDescent="0.25">
      <c r="B41" s="173" t="s">
        <v>112</v>
      </c>
      <c r="C41" s="28">
        <f>IFERROR('Historical FS'!C83/'Historical FS'!C55,0)</f>
        <v>1.5505408535035445</v>
      </c>
      <c r="D41" s="28">
        <f>IFERROR('Historical FS'!D83/'Historical FS'!D55,0)</f>
        <v>1.4272861115655162</v>
      </c>
      <c r="E41" s="28">
        <f>IFERROR('Historical FS'!E83/'Historical FS'!E55,0)</f>
        <v>1.4741312933111448</v>
      </c>
      <c r="F41" s="28">
        <f>IFERROR('Historical FS'!F83/'Historical FS'!F55,0)</f>
        <v>1.2594871794871796</v>
      </c>
      <c r="G41" s="28">
        <f>IFERROR('Historical FS'!G83/'Historical FS'!G55,0)</f>
        <v>1.1646881899337662</v>
      </c>
      <c r="H41" s="28">
        <f>IFERROR('Historical FS'!H83/'Historical FS'!H55,0)</f>
        <v>2.1433575932625075</v>
      </c>
      <c r="I41" s="28">
        <f>IFERROR('Historical FS'!I83/'Historical FS'!I55,0)</f>
        <v>3.0920132569589454</v>
      </c>
      <c r="J41" s="28">
        <f>IFERROR('Historical FS'!J83/'Historical FS'!J55,0)</f>
        <v>4.1566809413428674</v>
      </c>
      <c r="K41" s="28">
        <f>IFERROR('Historical FS'!K83/'Historical FS'!K55,0)</f>
        <v>1.7503155033491895</v>
      </c>
      <c r="L41" s="28">
        <f>IFERROR('Historical FS'!L83/'Historical FS'!L55,0)</f>
        <v>1.267688428083388</v>
      </c>
      <c r="M41" s="27"/>
      <c r="N41" s="28">
        <f t="shared" si="2"/>
        <v>1.9286189350798051</v>
      </c>
      <c r="O41" s="28">
        <f t="shared" si="10"/>
        <v>1.5123360734073445</v>
      </c>
    </row>
  </sheetData>
  <mergeCells count="1">
    <mergeCell ref="B2:O2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11C8910B-1E56-46C0-A863-BF65BD186D27}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'Ratio Analysis'!D5:L5</xm:f>
              <xm:sqref>M5</xm:sqref>
            </x14:sparkline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  <x14:sparkline>
              <xm:f>'Ratio Analysis'!D10:L10</xm:f>
              <xm:sqref>M10</xm:sqref>
            </x14:sparkline>
            <x14:sparkline>
              <xm:f>'Ratio Analysis'!D11:L11</xm:f>
              <xm:sqref>M11</xm:sqref>
            </x14:sparkline>
            <x14:sparkline>
              <xm:f>'Ratio Analysis'!D12:L12</xm:f>
              <xm:sqref>M12</xm:sqref>
            </x14:sparkline>
            <x14:sparkline>
              <xm:f>'Ratio Analysis'!D13:L13</xm:f>
              <xm:sqref>M13</xm:sqref>
            </x14:sparkline>
            <x14:sparkline>
              <xm:f>'Ratio Analysis'!D14:L14</xm:f>
              <xm:sqref>M14</xm:sqref>
            </x14:sparkline>
            <x14:sparkline>
              <xm:f>'Ratio Analysis'!D15:L15</xm:f>
              <xm:sqref>M15</xm:sqref>
            </x14:sparkline>
            <x14:sparkline>
              <xm:f>'Ratio Analysis'!D16:L16</xm:f>
              <xm:sqref>M16</xm:sqref>
            </x14:sparkline>
            <x14:sparkline>
              <xm:f>'Ratio Analysis'!D17:L17</xm:f>
              <xm:sqref>M17</xm:sqref>
            </x14:sparkline>
            <x14:sparkline>
              <xm:f>'Ratio Analysis'!D18:L18</xm:f>
              <xm:sqref>M18</xm:sqref>
            </x14:sparkline>
            <x14:sparkline>
              <xm:f>'Ratio Analysis'!D19:L19</xm:f>
              <xm:sqref>M19</xm:sqref>
            </x14:sparkline>
            <x14:sparkline>
              <xm:f>'Ratio Analysis'!D20:L20</xm:f>
              <xm:sqref>M20</xm:sqref>
            </x14:sparkline>
            <x14:sparkline>
              <xm:f>'Ratio Analysis'!D21:L21</xm:f>
              <xm:sqref>M21</xm:sqref>
            </x14:sparkline>
            <x14:sparkline>
              <xm:f>'Ratio Analysis'!D22:L22</xm:f>
              <xm:sqref>M22</xm:sqref>
            </x14:sparkline>
            <x14:sparkline>
              <xm:f>'Ratio Analysis'!D23:L23</xm:f>
              <xm:sqref>M23</xm:sqref>
            </x14:sparkline>
            <x14:sparkline>
              <xm:f>'Ratio Analysis'!D24:L24</xm:f>
              <xm:sqref>M24</xm:sqref>
            </x14:sparkline>
            <x14:sparkline>
              <xm:f>'Ratio Analysis'!D25:L25</xm:f>
              <xm:sqref>M25</xm:sqref>
            </x14:sparkline>
            <x14:sparkline>
              <xm:f>'Ratio Analysis'!D26:L26</xm:f>
              <xm:sqref>M26</xm:sqref>
            </x14:sparkline>
            <x14:sparkline>
              <xm:f>'Ratio Analysis'!D27:L27</xm:f>
              <xm:sqref>M27</xm:sqref>
            </x14:sparkline>
            <x14:sparkline>
              <xm:f>'Ratio Analysis'!D28:L28</xm:f>
              <xm:sqref>M28</xm:sqref>
            </x14:sparkline>
            <x14:sparkline>
              <xm:f>'Ratio Analysis'!D29:L29</xm:f>
              <xm:sqref>M29</xm:sqref>
            </x14:sparkline>
            <x14:sparkline>
              <xm:f>'Ratio Analysis'!D30:L30</xm:f>
              <xm:sqref>M30</xm:sqref>
            </x14:sparkline>
            <x14:sparkline>
              <xm:f>'Ratio Analysis'!D31:L31</xm:f>
              <xm:sqref>M31</xm:sqref>
            </x14:sparkline>
            <x14:sparkline>
              <xm:f>'Ratio Analysis'!D32:L32</xm:f>
              <xm:sqref>M32</xm:sqref>
            </x14:sparkline>
            <x14:sparkline>
              <xm:f>'Ratio Analysis'!D33:L33</xm:f>
              <xm:sqref>M33</xm:sqref>
            </x14:sparkline>
            <x14:sparkline>
              <xm:f>'Ratio Analysis'!D34:L34</xm:f>
              <xm:sqref>M34</xm:sqref>
            </x14:sparkline>
            <x14:sparkline>
              <xm:f>'Ratio Analysis'!D35:L35</xm:f>
              <xm:sqref>M35</xm:sqref>
            </x14:sparkline>
            <x14:sparkline>
              <xm:f>'Ratio Analysis'!D36:L36</xm:f>
              <xm:sqref>M36</xm:sqref>
            </x14:sparkline>
            <x14:sparkline>
              <xm:f>'Ratio Analysis'!D37:L37</xm:f>
              <xm:sqref>M37</xm:sqref>
            </x14:sparkline>
            <x14:sparkline>
              <xm:f>'Ratio Analysis'!D38:L38</xm:f>
              <xm:sqref>M38</xm:sqref>
            </x14:sparkline>
            <x14:sparkline>
              <xm:f>'Ratio Analysis'!D39:L39</xm:f>
              <xm:sqref>M39</xm:sqref>
            </x14:sparkline>
            <x14:sparkline>
              <xm:f>'Ratio Analysis'!D40:L40</xm:f>
              <xm:sqref>M40</xm:sqref>
            </x14:sparkline>
            <x14:sparkline>
              <xm:f>'Ratio Analysis'!D41:L41</xm:f>
              <xm:sqref>M41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944A1-21CE-4BB2-B32E-FA7AFD36045B}">
  <dimension ref="B2:L39"/>
  <sheetViews>
    <sheetView showGridLines="0" workbookViewId="0">
      <selection activeCell="B2" sqref="B2:L2 C4:L4 B6:L19 B21:L21 C23:L23 C25:L25 B26:L29 C31:L31 B32:L38"/>
    </sheetView>
  </sheetViews>
  <sheetFormatPr defaultRowHeight="15" x14ac:dyDescent="0.25"/>
  <cols>
    <col min="1" max="1" width="1.85546875" customWidth="1"/>
    <col min="2" max="2" width="19.85546875" bestFit="1" customWidth="1"/>
    <col min="3" max="3" width="9.85546875" bestFit="1" customWidth="1"/>
  </cols>
  <sheetData>
    <row r="2" spans="2:12" x14ac:dyDescent="0.25">
      <c r="B2" s="229" t="str">
        <f>"Common Size Income Statement"&amp;" "&amp;" - "&amp;'Data Sheet'!$B$1</f>
        <v>Common Size Income Statement  - DABUR INDIA LTD</v>
      </c>
      <c r="C2" s="229"/>
      <c r="D2" s="229"/>
      <c r="E2" s="229"/>
      <c r="F2" s="229"/>
      <c r="G2" s="229"/>
      <c r="H2" s="229"/>
      <c r="I2" s="229"/>
      <c r="J2" s="229"/>
      <c r="K2" s="229"/>
      <c r="L2" s="229"/>
    </row>
    <row r="4" spans="2:12" x14ac:dyDescent="0.25">
      <c r="B4" s="69" t="s">
        <v>254</v>
      </c>
      <c r="C4" s="104">
        <f>'Data Sheet'!B16</f>
        <v>41729</v>
      </c>
      <c r="D4" s="104">
        <f>'Data Sheet'!C16</f>
        <v>42094</v>
      </c>
      <c r="E4" s="104">
        <f>'Data Sheet'!D16</f>
        <v>42460</v>
      </c>
      <c r="F4" s="104">
        <f>'Data Sheet'!E16</f>
        <v>42825</v>
      </c>
      <c r="G4" s="104">
        <f>'Data Sheet'!F16</f>
        <v>43190</v>
      </c>
      <c r="H4" s="104">
        <f>'Data Sheet'!G16</f>
        <v>43555</v>
      </c>
      <c r="I4" s="104">
        <f>'Data Sheet'!H16</f>
        <v>43921</v>
      </c>
      <c r="J4" s="104">
        <f>'Data Sheet'!I16</f>
        <v>44286</v>
      </c>
      <c r="K4" s="104">
        <f>'Data Sheet'!J16</f>
        <v>44651</v>
      </c>
      <c r="L4" s="104">
        <f>'Data Sheet'!K16</f>
        <v>45016</v>
      </c>
    </row>
    <row r="6" spans="2:12" x14ac:dyDescent="0.25">
      <c r="B6" s="105" t="str">
        <f>'Data Sheet'!A17</f>
        <v>Sales</v>
      </c>
      <c r="C6" s="14">
        <f>'Data Sheet'!B17/'Data Sheet'!B$17</f>
        <v>1</v>
      </c>
      <c r="D6" s="14">
        <f>'Data Sheet'!C17/'Data Sheet'!C$17</f>
        <v>1</v>
      </c>
      <c r="E6" s="14">
        <f>'Data Sheet'!D17/'Data Sheet'!D$17</f>
        <v>1</v>
      </c>
      <c r="F6" s="14">
        <f>'Data Sheet'!E17/'Data Sheet'!E$17</f>
        <v>1</v>
      </c>
      <c r="G6" s="14">
        <f>'Data Sheet'!F17/'Data Sheet'!F$17</f>
        <v>1</v>
      </c>
      <c r="H6" s="14">
        <f>'Data Sheet'!G17/'Data Sheet'!G$17</f>
        <v>1</v>
      </c>
      <c r="I6" s="14">
        <f>'Data Sheet'!H17/'Data Sheet'!H$17</f>
        <v>1</v>
      </c>
      <c r="J6" s="14">
        <f>'Data Sheet'!I17/'Data Sheet'!I$17</f>
        <v>1</v>
      </c>
      <c r="K6" s="14">
        <f>'Data Sheet'!J17/'Data Sheet'!J$17</f>
        <v>1</v>
      </c>
      <c r="L6" s="14">
        <f>'Data Sheet'!K17/'Data Sheet'!K$17</f>
        <v>1</v>
      </c>
    </row>
    <row r="7" spans="2:12" x14ac:dyDescent="0.25">
      <c r="B7" s="105" t="str">
        <f>'Data Sheet'!A18</f>
        <v>Raw Material Cost</v>
      </c>
      <c r="C7" s="14">
        <f>'Data Sheet'!B18/'Data Sheet'!B$17</f>
        <v>0.34186298901123813</v>
      </c>
      <c r="D7" s="14">
        <f>'Data Sheet'!C18/'Data Sheet'!C$17</f>
        <v>0.33788382770037545</v>
      </c>
      <c r="E7" s="14">
        <f>'Data Sheet'!D18/'Data Sheet'!D$17</f>
        <v>0.35217091749510904</v>
      </c>
      <c r="F7" s="14">
        <f>'Data Sheet'!E18/'Data Sheet'!E$17</f>
        <v>0.3493161570297324</v>
      </c>
      <c r="G7" s="14">
        <f>'Data Sheet'!F18/'Data Sheet'!F$17</f>
        <v>0.35941516605476664</v>
      </c>
      <c r="H7" s="14">
        <f>'Data Sheet'!G18/'Data Sheet'!G$17</f>
        <v>0.36029989465636481</v>
      </c>
      <c r="I7" s="14">
        <f>'Data Sheet'!H18/'Data Sheet'!H$17</f>
        <v>0.36138400670609261</v>
      </c>
      <c r="J7" s="14">
        <f>'Data Sheet'!I18/'Data Sheet'!I$17</f>
        <v>0.39368728200676667</v>
      </c>
      <c r="K7" s="14">
        <f>'Data Sheet'!J18/'Data Sheet'!J$17</f>
        <v>0.37990830844510076</v>
      </c>
      <c r="L7" s="14">
        <f>'Data Sheet'!K18/'Data Sheet'!K$17</f>
        <v>0.41301608254718825</v>
      </c>
    </row>
    <row r="8" spans="2:12" x14ac:dyDescent="0.25">
      <c r="B8" s="105" t="str">
        <f>'Data Sheet'!A19</f>
        <v>Change in Inventory</v>
      </c>
      <c r="C8" s="14">
        <f>'Data Sheet'!B19/'Data Sheet'!B$17</f>
        <v>6.1560302176783622E-3</v>
      </c>
      <c r="D8" s="14">
        <f>'Data Sheet'!C19/'Data Sheet'!C$17</f>
        <v>3.3237166618134335E-3</v>
      </c>
      <c r="E8" s="14">
        <f>'Data Sheet'!D19/'Data Sheet'!D$17</f>
        <v>9.0659488975096594E-3</v>
      </c>
      <c r="F8" s="14">
        <f>'Data Sheet'!E19/'Data Sheet'!E$17</f>
        <v>3.0235408000693497E-3</v>
      </c>
      <c r="G8" s="14">
        <f>'Data Sheet'!F19/'Data Sheet'!F$17</f>
        <v>8.5381093908843096E-3</v>
      </c>
      <c r="H8" s="14">
        <f>'Data Sheet'!G19/'Data Sheet'!G$17</f>
        <v>-1.4844409682219239E-3</v>
      </c>
      <c r="I8" s="14">
        <f>'Data Sheet'!H19/'Data Sheet'!H$17</f>
        <v>7.4890841762007415E-3</v>
      </c>
      <c r="J8" s="14">
        <f>'Data Sheet'!I19/'Data Sheet'!I$17</f>
        <v>2.1669900069548664E-2</v>
      </c>
      <c r="K8" s="14">
        <f>'Data Sheet'!J19/'Data Sheet'!J$17</f>
        <v>7.8521914502033307E-4</v>
      </c>
      <c r="L8" s="14">
        <f>'Data Sheet'!K19/'Data Sheet'!K$17</f>
        <v>7.8743162337194892E-3</v>
      </c>
    </row>
    <row r="9" spans="2:12" x14ac:dyDescent="0.25">
      <c r="B9" s="105" t="str">
        <f>'Data Sheet'!A20</f>
        <v>Power and Fuel</v>
      </c>
      <c r="C9" s="14">
        <f>'Data Sheet'!B20/'Data Sheet'!B$17</f>
        <v>1.1401052971612837E-2</v>
      </c>
      <c r="D9" s="14">
        <f>'Data Sheet'!C20/'Data Sheet'!C$17</f>
        <v>1.1590034750862357E-2</v>
      </c>
      <c r="E9" s="14">
        <f>'Data Sheet'!D20/'Data Sheet'!D$17</f>
        <v>1.0797387032338174E-2</v>
      </c>
      <c r="F9" s="14">
        <f>'Data Sheet'!E20/'Data Sheet'!E$17</f>
        <v>1.1489980416597163E-2</v>
      </c>
      <c r="G9" s="14">
        <f>'Data Sheet'!F20/'Data Sheet'!F$17</f>
        <v>1.2161593400545205E-2</v>
      </c>
      <c r="H9" s="14">
        <f>'Data Sheet'!G20/'Data Sheet'!G$17</f>
        <v>1.2361729138848079E-2</v>
      </c>
      <c r="I9" s="14">
        <f>'Data Sheet'!H20/'Data Sheet'!H$17</f>
        <v>1.2334420309880434E-2</v>
      </c>
      <c r="J9" s="14">
        <f>'Data Sheet'!I20/'Data Sheet'!I$17</f>
        <v>1.0877829663290333E-2</v>
      </c>
      <c r="K9" s="14">
        <f>'Data Sheet'!J20/'Data Sheet'!J$17</f>
        <v>1.1815940958867373E-2</v>
      </c>
      <c r="L9" s="14">
        <f>'Data Sheet'!K20/'Data Sheet'!K$17</f>
        <v>1.3060835792882674E-2</v>
      </c>
    </row>
    <row r="10" spans="2:12" x14ac:dyDescent="0.25">
      <c r="B10" s="105" t="str">
        <f>'Data Sheet'!A21</f>
        <v>Other Mfr. Exp</v>
      </c>
      <c r="C10" s="14">
        <f>'Data Sheet'!B21/'Data Sheet'!B$17</f>
        <v>0.15870373413883584</v>
      </c>
      <c r="D10" s="14">
        <f>'Data Sheet'!C21/'Data Sheet'!C$17</f>
        <v>0.15500244372066413</v>
      </c>
      <c r="E10" s="14">
        <f>'Data Sheet'!D21/'Data Sheet'!D$17</f>
        <v>0.15171742723975085</v>
      </c>
      <c r="F10" s="14">
        <f>'Data Sheet'!E21/'Data Sheet'!E$17</f>
        <v>0.16384123652573884</v>
      </c>
      <c r="G10" s="14">
        <f>'Data Sheet'!F21/'Data Sheet'!F$17</f>
        <v>0.15786372436657017</v>
      </c>
      <c r="H10" s="14">
        <f>'Data Sheet'!G21/'Data Sheet'!G$17</f>
        <v>0.15591680084180959</v>
      </c>
      <c r="I10" s="14">
        <f>'Data Sheet'!H21/'Data Sheet'!H$17</f>
        <v>0.15982009616978943</v>
      </c>
      <c r="J10" s="14">
        <f>'Data Sheet'!I21/'Data Sheet'!I$17</f>
        <v>0.14091082606035568</v>
      </c>
      <c r="K10" s="14">
        <f>'Data Sheet'!J21/'Data Sheet'!J$17</f>
        <v>0.15213322459655348</v>
      </c>
      <c r="L10" s="14">
        <f>'Data Sheet'!K21/'Data Sheet'!K$17</f>
        <v>0.15437354562792882</v>
      </c>
    </row>
    <row r="11" spans="2:12" x14ac:dyDescent="0.25">
      <c r="B11" s="105" t="str">
        <f>'Data Sheet'!A22</f>
        <v>Employee Cost</v>
      </c>
      <c r="C11" s="14">
        <f>'Data Sheet'!B22/'Data Sheet'!B$17</f>
        <v>8.6112165845862634E-2</v>
      </c>
      <c r="D11" s="14">
        <f>'Data Sheet'!C22/'Data Sheet'!C$17</f>
        <v>8.8534524449393179E-2</v>
      </c>
      <c r="E11" s="14">
        <f>'Data Sheet'!D22/'Data Sheet'!D$17</f>
        <v>0.10207386955213982</v>
      </c>
      <c r="F11" s="14">
        <f>'Data Sheet'!E22/'Data Sheet'!E$17</f>
        <v>0.10380122911793253</v>
      </c>
      <c r="G11" s="14">
        <f>'Data Sheet'!F22/'Data Sheet'!F$17</f>
        <v>0.10274221850981306</v>
      </c>
      <c r="H11" s="14">
        <f>'Data Sheet'!G22/'Data Sheet'!G$17</f>
        <v>0.11022326508897838</v>
      </c>
      <c r="I11" s="14">
        <f>'Data Sheet'!H22/'Data Sheet'!H$17</f>
        <v>0.10929180714456789</v>
      </c>
      <c r="J11" s="14">
        <f>'Data Sheet'!I22/'Data Sheet'!I$17</f>
        <v>0.10823445744196872</v>
      </c>
      <c r="K11" s="14">
        <f>'Data Sheet'!J22/'Data Sheet'!J$17</f>
        <v>9.9313231723220818E-2</v>
      </c>
      <c r="L11" s="14">
        <f>'Data Sheet'!K22/'Data Sheet'!K$17</f>
        <v>9.8737281968865276E-2</v>
      </c>
    </row>
    <row r="12" spans="2:12" x14ac:dyDescent="0.25">
      <c r="B12" s="105" t="str">
        <f>'Data Sheet'!A23</f>
        <v>Selling and admin</v>
      </c>
      <c r="C12" s="14">
        <f>'Data Sheet'!B23/'Data Sheet'!B$17</f>
        <v>0.21125880546094428</v>
      </c>
      <c r="D12" s="14">
        <f>'Data Sheet'!C23/'Data Sheet'!C$17</f>
        <v>0.21050120005285108</v>
      </c>
      <c r="E12" s="14">
        <f>'Data Sheet'!D23/'Data Sheet'!D$17</f>
        <v>0.15649012938868795</v>
      </c>
      <c r="F12" s="14">
        <f>'Data Sheet'!E23/'Data Sheet'!E$17</f>
        <v>0.15254301847091845</v>
      </c>
      <c r="G12" s="14">
        <f>'Data Sheet'!F23/'Data Sheet'!F$17</f>
        <v>0.14703471318401679</v>
      </c>
      <c r="H12" s="14">
        <f>'Data Sheet'!G23/'Data Sheet'!G$17</f>
        <v>0.13899722724278007</v>
      </c>
      <c r="I12" s="14">
        <f>'Data Sheet'!H23/'Data Sheet'!H$17</f>
        <v>0.14100642053096041</v>
      </c>
      <c r="J12" s="14">
        <f>'Data Sheet'!I23/'Data Sheet'!I$17</f>
        <v>0.14519146799976992</v>
      </c>
      <c r="K12" s="14">
        <f>'Data Sheet'!J23/'Data Sheet'!J$17</f>
        <v>0.13598618014304764</v>
      </c>
      <c r="L12" s="14">
        <f>'Data Sheet'!K23/'Data Sheet'!K$17</f>
        <v>0.12376093787538303</v>
      </c>
    </row>
    <row r="13" spans="2:12" x14ac:dyDescent="0.25">
      <c r="B13" s="105" t="str">
        <f>'Data Sheet'!A24</f>
        <v>Other Expenses</v>
      </c>
      <c r="C13" s="14">
        <f>'Data Sheet'!B24/'Data Sheet'!B$17</f>
        <v>3.225079766283373E-2</v>
      </c>
      <c r="D13" s="14">
        <f>'Data Sheet'!C24/'Data Sheet'!C$17</f>
        <v>3.0454788602127639E-2</v>
      </c>
      <c r="E13" s="14">
        <f>'Data Sheet'!D24/'Data Sheet'!D$17</f>
        <v>4.0656018386407637E-2</v>
      </c>
      <c r="F13" s="14">
        <f>'Data Sheet'!E24/'Data Sheet'!E$17</f>
        <v>2.3490889317654352E-2</v>
      </c>
      <c r="G13" s="14">
        <f>'Data Sheet'!F24/'Data Sheet'!F$17</f>
        <v>1.9857935598334594E-2</v>
      </c>
      <c r="H13" s="14">
        <f>'Data Sheet'!G24/'Data Sheet'!G$17</f>
        <v>1.6422802610455211E-2</v>
      </c>
      <c r="I13" s="14">
        <f>'Data Sheet'!H24/'Data Sheet'!H$17</f>
        <v>1.7271873100093961E-2</v>
      </c>
      <c r="J13" s="14">
        <f>'Data Sheet'!I24/'Data Sheet'!I$17</f>
        <v>1.3424461259301482E-2</v>
      </c>
      <c r="K13" s="14">
        <f>'Data Sheet'!J24/'Data Sheet'!J$17</f>
        <v>1.4807120789664127E-2</v>
      </c>
      <c r="L13" s="14">
        <f>'Data Sheet'!K24/'Data Sheet'!K$17</f>
        <v>1.7370503968381312E-2</v>
      </c>
    </row>
    <row r="14" spans="2:12" x14ac:dyDescent="0.25">
      <c r="B14" s="105" t="str">
        <f>'Data Sheet'!A25</f>
        <v>Other Income</v>
      </c>
      <c r="C14" s="14">
        <f>'Data Sheet'!B25/'Data Sheet'!B$17</f>
        <v>1.7800774143823E-2</v>
      </c>
      <c r="D14" s="14">
        <f>'Data Sheet'!C25/'Data Sheet'!C$17</f>
        <v>1.9785799224936472E-2</v>
      </c>
      <c r="E14" s="14">
        <f>'Data Sheet'!D25/'Data Sheet'!D$17</f>
        <v>2.7917672494684857E-2</v>
      </c>
      <c r="F14" s="14">
        <f>'Data Sheet'!E25/'Data Sheet'!E$17</f>
        <v>3.8868654603150421E-2</v>
      </c>
      <c r="G14" s="14">
        <f>'Data Sheet'!F25/'Data Sheet'!F$17</f>
        <v>3.7669729404223078E-2</v>
      </c>
      <c r="H14" s="14">
        <f>'Data Sheet'!G25/'Data Sheet'!G$17</f>
        <v>2.6047006514394028E-2</v>
      </c>
      <c r="I14" s="14">
        <f>'Data Sheet'!H25/'Data Sheet'!H$17</f>
        <v>2.3638285524788593E-2</v>
      </c>
      <c r="J14" s="14">
        <f>'Data Sheet'!I25/'Data Sheet'!I$17</f>
        <v>3.4020278926754279E-2</v>
      </c>
      <c r="K14" s="14">
        <f>'Data Sheet'!J25/'Data Sheet'!J$17</f>
        <v>2.8300951079469689E-2</v>
      </c>
      <c r="L14" s="14">
        <f>'Data Sheet'!K25/'Data Sheet'!K$17</f>
        <v>3.8629162984208869E-2</v>
      </c>
    </row>
    <row r="15" spans="2:12" x14ac:dyDescent="0.25">
      <c r="B15" s="105" t="str">
        <f>'Data Sheet'!A26</f>
        <v>Depreciation</v>
      </c>
      <c r="C15" s="14">
        <f>'Data Sheet'!B26/'Data Sheet'!B$17</f>
        <v>1.3812459975177525E-2</v>
      </c>
      <c r="D15" s="14">
        <f>'Data Sheet'!C26/'Data Sheet'!C$17</f>
        <v>1.4749553908734411E-2</v>
      </c>
      <c r="E15" s="14">
        <f>'Data Sheet'!D26/'Data Sheet'!D$17</f>
        <v>1.7120285462346684E-2</v>
      </c>
      <c r="F15" s="14">
        <f>'Data Sheet'!E26/'Data Sheet'!E$17</f>
        <v>1.8763815755773558E-2</v>
      </c>
      <c r="G15" s="14">
        <f>'Data Sheet'!F26/'Data Sheet'!F$17</f>
        <v>2.1002738980943687E-2</v>
      </c>
      <c r="H15" s="14">
        <f>'Data Sheet'!G26/'Data Sheet'!G$17</f>
        <v>2.0775127158105883E-2</v>
      </c>
      <c r="I15" s="14">
        <f>'Data Sheet'!H26/'Data Sheet'!H$17</f>
        <v>2.5383896166104754E-2</v>
      </c>
      <c r="J15" s="14">
        <f>'Data Sheet'!I26/'Data Sheet'!I$17</f>
        <v>2.5113866330601937E-2</v>
      </c>
      <c r="K15" s="14">
        <f>'Data Sheet'!J26/'Data Sheet'!J$17</f>
        <v>2.322503737826807E-2</v>
      </c>
      <c r="L15" s="14">
        <f>'Data Sheet'!K26/'Data Sheet'!K$17</f>
        <v>2.6969901707648555E-2</v>
      </c>
    </row>
    <row r="16" spans="2:12" x14ac:dyDescent="0.25">
      <c r="B16" s="105" t="str">
        <f>'Data Sheet'!A27</f>
        <v>Interest</v>
      </c>
      <c r="C16" s="14">
        <f>'Data Sheet'!B27/'Data Sheet'!B$17</f>
        <v>7.6720146441261981E-3</v>
      </c>
      <c r="D16" s="14">
        <f>'Data Sheet'!C27/'Data Sheet'!C$17</f>
        <v>5.1465655141626756E-3</v>
      </c>
      <c r="E16" s="14">
        <f>'Data Sheet'!D27/'Data Sheet'!D$17</f>
        <v>6.2316348015208885E-3</v>
      </c>
      <c r="F16" s="14">
        <f>'Data Sheet'!E27/'Data Sheet'!E$17</f>
        <v>7.0965208265745859E-3</v>
      </c>
      <c r="G16" s="14">
        <f>'Data Sheet'!F27/'Data Sheet'!F$17</f>
        <v>6.870115322105453E-3</v>
      </c>
      <c r="H16" s="14">
        <f>'Data Sheet'!G27/'Data Sheet'!G$17</f>
        <v>6.9970722220460621E-3</v>
      </c>
      <c r="I16" s="14">
        <f>'Data Sheet'!H27/'Data Sheet'!H$17</f>
        <v>5.7043239558576984E-3</v>
      </c>
      <c r="J16" s="14">
        <f>'Data Sheet'!I27/'Data Sheet'!I$17</f>
        <v>3.2222472062876178E-3</v>
      </c>
      <c r="K16" s="14">
        <f>'Data Sheet'!J27/'Data Sheet'!J$17</f>
        <v>3.5449659646531995E-3</v>
      </c>
      <c r="L16" s="14">
        <f>'Data Sheet'!K27/'Data Sheet'!K$17</f>
        <v>6.7858409750656771E-3</v>
      </c>
    </row>
    <row r="17" spans="2:12" x14ac:dyDescent="0.25">
      <c r="B17" s="105" t="str">
        <f>'Data Sheet'!A28</f>
        <v>Profit before tax</v>
      </c>
      <c r="C17" s="14">
        <f>'Data Sheet'!B28/'Data Sheet'!B$17</f>
        <v>0.16088278465087019</v>
      </c>
      <c r="D17" s="14">
        <f>'Data Sheet'!C28/'Data Sheet'!C$17</f>
        <v>0.16924657718757896</v>
      </c>
      <c r="E17" s="14">
        <f>'Data Sheet'!D28/'Data Sheet'!D$17</f>
        <v>0.19972595203389351</v>
      </c>
      <c r="F17" s="14">
        <f>'Data Sheet'!E28/'Data Sheet'!E$17</f>
        <v>0.21154934794229793</v>
      </c>
      <c r="G17" s="14">
        <f>'Data Sheet'!F28/'Data Sheet'!F$17</f>
        <v>0.21925963337801171</v>
      </c>
      <c r="H17" s="14">
        <f>'Data Sheet'!G28/'Data Sheet'!G$17</f>
        <v>0.202568646586784</v>
      </c>
      <c r="I17" s="14">
        <f>'Data Sheet'!H28/'Data Sheet'!H$17</f>
        <v>0.19893052561764221</v>
      </c>
      <c r="J17" s="14">
        <f>'Data Sheet'!I28/'Data Sheet'!I$17</f>
        <v>0.21502774102796066</v>
      </c>
      <c r="K17" s="14">
        <f>'Data Sheet'!J28/'Data Sheet'!J$17</f>
        <v>0.20835216022511449</v>
      </c>
      <c r="L17" s="14">
        <f>'Data Sheet'!K28/'Data Sheet'!K$17</f>
        <v>0.19242854875458482</v>
      </c>
    </row>
    <row r="18" spans="2:12" x14ac:dyDescent="0.25">
      <c r="B18" s="105" t="str">
        <f>'Data Sheet'!A29</f>
        <v>Tax</v>
      </c>
      <c r="C18" s="14">
        <f>'Data Sheet'!B29/'Data Sheet'!B$17</f>
        <v>3.1039426929550647E-2</v>
      </c>
      <c r="D18" s="14">
        <f>'Data Sheet'!C29/'Data Sheet'!C$17</f>
        <v>3.2183993565510313E-2</v>
      </c>
      <c r="E18" s="14">
        <f>'Data Sheet'!D29/'Data Sheet'!D$17</f>
        <v>3.8549242511883554E-2</v>
      </c>
      <c r="F18" s="14">
        <f>'Data Sheet'!E29/'Data Sheet'!E$17</f>
        <v>4.338820451324539E-2</v>
      </c>
      <c r="G18" s="14">
        <f>'Data Sheet'!F29/'Data Sheet'!F$17</f>
        <v>4.3428712031443245E-2</v>
      </c>
      <c r="H18" s="14">
        <f>'Data Sheet'!G29/'Data Sheet'!G$17</f>
        <v>3.2721118873891807E-2</v>
      </c>
      <c r="I18" s="14">
        <f>'Data Sheet'!H29/'Data Sheet'!H$17</f>
        <v>3.2208588957055223E-2</v>
      </c>
      <c r="J18" s="14">
        <f>'Data Sheet'!I29/'Data Sheet'!I$17</f>
        <v>3.7762310898223635E-2</v>
      </c>
      <c r="K18" s="14">
        <f>'Data Sheet'!J29/'Data Sheet'!J$17</f>
        <v>4.834194778430443E-2</v>
      </c>
      <c r="L18" s="14">
        <f>'Data Sheet'!K29/'Data Sheet'!K$17</f>
        <v>4.4870332674466107E-2</v>
      </c>
    </row>
    <row r="19" spans="2:12" x14ac:dyDescent="0.25">
      <c r="B19" s="105" t="str">
        <f>'Data Sheet'!A30</f>
        <v>Net profit</v>
      </c>
      <c r="C19" s="14">
        <f>'Data Sheet'!B30/'Data Sheet'!B$17</f>
        <v>0.12948490532889778</v>
      </c>
      <c r="D19" s="14">
        <f>'Data Sheet'!C30/'Data Sheet'!C$17</f>
        <v>0.13672392627018956</v>
      </c>
      <c r="E19" s="14">
        <f>'Data Sheet'!D30/'Data Sheet'!D$17</f>
        <v>0.1608232236370227</v>
      </c>
      <c r="F19" s="14">
        <f>'Data Sheet'!E30/'Data Sheet'!E$17</f>
        <v>0.16771851386796505</v>
      </c>
      <c r="G19" s="14">
        <f>'Data Sheet'!F30/'Data Sheet'!F$17</f>
        <v>0.17539708748551189</v>
      </c>
      <c r="H19" s="14">
        <f>'Data Sheet'!G30/'Data Sheet'!G$17</f>
        <v>0.16938716310882337</v>
      </c>
      <c r="I19" s="14">
        <f>'Data Sheet'!H30/'Data Sheet'!H$17</f>
        <v>0.16638110503141179</v>
      </c>
      <c r="J19" s="14">
        <f>'Data Sheet'!I30/'Data Sheet'!I$17</f>
        <v>0.17709286577107508</v>
      </c>
      <c r="K19" s="14">
        <f>'Data Sheet'!J30/'Data Sheet'!J$17</f>
        <v>0.15972734987160978</v>
      </c>
      <c r="L19" s="14">
        <f>'Data Sheet'!K30/'Data Sheet'!K$17</f>
        <v>0.14806299106062593</v>
      </c>
    </row>
    <row r="20" spans="2:12" x14ac:dyDescent="0.25">
      <c r="B20" s="105"/>
    </row>
    <row r="21" spans="2:12" x14ac:dyDescent="0.25">
      <c r="B21" s="229" t="str">
        <f>"Common Size Balance Sheet"&amp;" "&amp;" - "&amp;'Data Sheet'!$B$1</f>
        <v>Common Size Balance Sheet  - DABUR INDIA LTD</v>
      </c>
      <c r="C21" s="229"/>
      <c r="D21" s="229"/>
      <c r="E21" s="229"/>
      <c r="F21" s="229"/>
      <c r="G21" s="229"/>
      <c r="H21" s="229"/>
      <c r="I21" s="229"/>
      <c r="J21" s="229"/>
      <c r="K21" s="229"/>
      <c r="L21" s="229"/>
    </row>
    <row r="22" spans="2:12" x14ac:dyDescent="0.25">
      <c r="B22" s="105"/>
    </row>
    <row r="23" spans="2:12" x14ac:dyDescent="0.25">
      <c r="B23" s="69" t="s">
        <v>254</v>
      </c>
      <c r="C23" s="104">
        <f>'Data Sheet'!B16</f>
        <v>41729</v>
      </c>
      <c r="D23" s="104">
        <f>'Data Sheet'!C16</f>
        <v>42094</v>
      </c>
      <c r="E23" s="104">
        <f>'Data Sheet'!D16</f>
        <v>42460</v>
      </c>
      <c r="F23" s="104">
        <f>'Data Sheet'!E16</f>
        <v>42825</v>
      </c>
      <c r="G23" s="104">
        <f>'Data Sheet'!F16</f>
        <v>43190</v>
      </c>
      <c r="H23" s="104">
        <f>'Data Sheet'!G16</f>
        <v>43555</v>
      </c>
      <c r="I23" s="104">
        <f>'Data Sheet'!H16</f>
        <v>43921</v>
      </c>
      <c r="J23" s="104">
        <f>'Data Sheet'!I16</f>
        <v>44286</v>
      </c>
      <c r="K23" s="104">
        <f>'Data Sheet'!J16</f>
        <v>44651</v>
      </c>
      <c r="L23" s="104">
        <f>'Data Sheet'!K16</f>
        <v>45016</v>
      </c>
    </row>
    <row r="24" spans="2:12" x14ac:dyDescent="0.25"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</row>
    <row r="25" spans="2:12" x14ac:dyDescent="0.25">
      <c r="B25" s="108" t="s">
        <v>36</v>
      </c>
      <c r="C25" s="109">
        <f>'Data Sheet'!B61/'Data Sheet'!B$61</f>
        <v>1</v>
      </c>
      <c r="D25" s="109">
        <f>'Data Sheet'!C61/'Data Sheet'!C$61</f>
        <v>1</v>
      </c>
      <c r="E25" s="109">
        <f>'Data Sheet'!D61/'Data Sheet'!D$61</f>
        <v>1</v>
      </c>
      <c r="F25" s="109">
        <f>'Data Sheet'!E61/'Data Sheet'!E$61</f>
        <v>1</v>
      </c>
      <c r="G25" s="109">
        <f>'Data Sheet'!F61/'Data Sheet'!F$61</f>
        <v>1</v>
      </c>
      <c r="H25" s="109">
        <f>'Data Sheet'!G61/'Data Sheet'!G$61</f>
        <v>1</v>
      </c>
      <c r="I25" s="109">
        <f>'Data Sheet'!H61/'Data Sheet'!H$61</f>
        <v>1</v>
      </c>
      <c r="J25" s="109">
        <f>'Data Sheet'!I61/'Data Sheet'!I$61</f>
        <v>1</v>
      </c>
      <c r="K25" s="109">
        <f>'Data Sheet'!J61/'Data Sheet'!J$61</f>
        <v>1</v>
      </c>
      <c r="L25" s="109">
        <f>'Data Sheet'!K61/'Data Sheet'!K$61</f>
        <v>1</v>
      </c>
    </row>
    <row r="26" spans="2:12" x14ac:dyDescent="0.25">
      <c r="B26" s="105" t="str">
        <f>'Data Sheet'!A57</f>
        <v>Equity Share Capital</v>
      </c>
      <c r="C26" s="14">
        <f>'Data Sheet'!B57/'Data Sheet'!B$61</f>
        <v>3.2827560240963852E-2</v>
      </c>
      <c r="D26" s="14">
        <f>'Data Sheet'!C57/'Data Sheet'!C$61</f>
        <v>2.8765467682451511E-2</v>
      </c>
      <c r="E26" s="14">
        <f>'Data Sheet'!D57/'Data Sheet'!D$61</f>
        <v>2.5375416528424909E-2</v>
      </c>
      <c r="F26" s="14">
        <f>'Data Sheet'!E57/'Data Sheet'!E$61</f>
        <v>2.27812380371018E-2</v>
      </c>
      <c r="G26" s="14">
        <f>'Data Sheet'!F57/'Data Sheet'!F$61</f>
        <v>2.0243333720234027E-2</v>
      </c>
      <c r="H26" s="14">
        <f>'Data Sheet'!G57/'Data Sheet'!G$61</f>
        <v>2.0936059853211706E-2</v>
      </c>
      <c r="I26" s="14">
        <f>'Data Sheet'!H57/'Data Sheet'!H$61</f>
        <v>1.8926630522096956E-2</v>
      </c>
      <c r="J26" s="14">
        <f>'Data Sheet'!I57/'Data Sheet'!I$61</f>
        <v>1.631463221461394E-2</v>
      </c>
      <c r="K26" s="14">
        <f>'Data Sheet'!J57/'Data Sheet'!J$61</f>
        <v>1.4392055917276816E-2</v>
      </c>
      <c r="L26" s="14">
        <f>'Data Sheet'!K57/'Data Sheet'!K$61</f>
        <v>1.2978052017684958E-2</v>
      </c>
    </row>
    <row r="27" spans="2:12" x14ac:dyDescent="0.25">
      <c r="B27" s="105" t="str">
        <f>'Data Sheet'!A58</f>
        <v>Reserves</v>
      </c>
      <c r="C27" s="14">
        <f>'Data Sheet'!B58/'Data Sheet'!B$61</f>
        <v>0.46716490963855423</v>
      </c>
      <c r="D27" s="14">
        <f>'Data Sheet'!C58/'Data Sheet'!C$61</f>
        <v>0.52052804653569762</v>
      </c>
      <c r="E27" s="14">
        <f>'Data Sheet'!D58/'Data Sheet'!D$61</f>
        <v>0.57624453644533558</v>
      </c>
      <c r="F27" s="14">
        <f>'Data Sheet'!E58/'Data Sheet'!E$61</f>
        <v>0.60412506595760085</v>
      </c>
      <c r="G27" s="14">
        <f>'Data Sheet'!F58/'Data Sheet'!F$61</f>
        <v>0.63555563727715392</v>
      </c>
      <c r="H27" s="14">
        <f>'Data Sheet'!G58/'Data Sheet'!G$61</f>
        <v>0.64659034876443711</v>
      </c>
      <c r="I27" s="14">
        <f>'Data Sheet'!H58/'Data Sheet'!H$61</f>
        <v>0.68858618466290655</v>
      </c>
      <c r="J27" s="14">
        <f>'Data Sheet'!I58/'Data Sheet'!I$61</f>
        <v>0.69109553761485509</v>
      </c>
      <c r="K27" s="14">
        <f>'Data Sheet'!J58/'Data Sheet'!J$61</f>
        <v>0.66790976126396751</v>
      </c>
      <c r="L27" s="14">
        <f>'Data Sheet'!K58/'Data Sheet'!K$61</f>
        <v>0.64429384688857827</v>
      </c>
    </row>
    <row r="28" spans="2:12" x14ac:dyDescent="0.25">
      <c r="B28" s="105" t="str">
        <f>'Data Sheet'!A59</f>
        <v>Borrowings</v>
      </c>
      <c r="C28" s="14">
        <f>'Data Sheet'!B59/'Data Sheet'!B$61</f>
        <v>0.13330948795180722</v>
      </c>
      <c r="D28" s="14">
        <f>'Data Sheet'!C59/'Data Sheet'!C$61</f>
        <v>0.1201320607636728</v>
      </c>
      <c r="E28" s="14">
        <f>'Data Sheet'!D59/'Data Sheet'!D$61</f>
        <v>0.11615481153441137</v>
      </c>
      <c r="F28" s="14">
        <f>'Data Sheet'!E59/'Data Sheet'!E$61</f>
        <v>0.12609541348949335</v>
      </c>
      <c r="G28" s="14">
        <f>'Data Sheet'!F59/'Data Sheet'!F$61</f>
        <v>0.10774877810249345</v>
      </c>
      <c r="H28" s="14">
        <f>'Data Sheet'!G59/'Data Sheet'!G$61</f>
        <v>8.2896745623850257E-2</v>
      </c>
      <c r="I28" s="14">
        <f>'Data Sheet'!H59/'Data Sheet'!H$61</f>
        <v>5.5908051984773867E-2</v>
      </c>
      <c r="J28" s="14">
        <f>'Data Sheet'!I59/'Data Sheet'!I$61</f>
        <v>4.6990645440598458E-2</v>
      </c>
      <c r="K28" s="14">
        <f>'Data Sheet'!J59/'Data Sheet'!J$61</f>
        <v>8.385800554548814E-2</v>
      </c>
      <c r="L28" s="14">
        <f>'Data Sheet'!K59/'Data Sheet'!K$61</f>
        <v>8.5977580301605294E-2</v>
      </c>
    </row>
    <row r="29" spans="2:12" x14ac:dyDescent="0.25">
      <c r="B29" s="105" t="str">
        <f>'Data Sheet'!A60</f>
        <v>Other Liabilities</v>
      </c>
      <c r="C29" s="14">
        <f>'Data Sheet'!B60/'Data Sheet'!B$61</f>
        <v>0.36669804216867474</v>
      </c>
      <c r="D29" s="14">
        <f>'Data Sheet'!C60/'Data Sheet'!C$61</f>
        <v>0.33057442501817802</v>
      </c>
      <c r="E29" s="14">
        <f>'Data Sheet'!D60/'Data Sheet'!D$61</f>
        <v>0.2822252354918281</v>
      </c>
      <c r="F29" s="14">
        <f>'Data Sheet'!E60/'Data Sheet'!E$61</f>
        <v>0.24699828251580394</v>
      </c>
      <c r="G29" s="14">
        <f>'Data Sheet'!F60/'Data Sheet'!F$61</f>
        <v>0.23645225090011873</v>
      </c>
      <c r="H29" s="14">
        <f>'Data Sheet'!G60/'Data Sheet'!G$61</f>
        <v>0.24957684575850106</v>
      </c>
      <c r="I29" s="14">
        <f>'Data Sheet'!H60/'Data Sheet'!H$61</f>
        <v>0.23657913283022264</v>
      </c>
      <c r="J29" s="14">
        <f>'Data Sheet'!I60/'Data Sheet'!I$61</f>
        <v>0.24559918472993258</v>
      </c>
      <c r="K29" s="14">
        <f>'Data Sheet'!J60/'Data Sheet'!J$61</f>
        <v>0.2338401772732675</v>
      </c>
      <c r="L29" s="14">
        <f>'Data Sheet'!K60/'Data Sheet'!K$61</f>
        <v>0.2567505207921314</v>
      </c>
    </row>
    <row r="31" spans="2:12" x14ac:dyDescent="0.25">
      <c r="B31" s="108" t="s">
        <v>46</v>
      </c>
      <c r="C31" s="109">
        <f>'Data Sheet'!B66/'Data Sheet'!B$66</f>
        <v>1</v>
      </c>
      <c r="D31" s="109">
        <f>'Data Sheet'!C66/'Data Sheet'!C$66</f>
        <v>1</v>
      </c>
      <c r="E31" s="109">
        <f>'Data Sheet'!D66/'Data Sheet'!D$66</f>
        <v>1</v>
      </c>
      <c r="F31" s="109">
        <f>'Data Sheet'!E66/'Data Sheet'!E$66</f>
        <v>1</v>
      </c>
      <c r="G31" s="109">
        <f>'Data Sheet'!F66/'Data Sheet'!F$66</f>
        <v>1</v>
      </c>
      <c r="H31" s="109">
        <f>'Data Sheet'!G66/'Data Sheet'!G$66</f>
        <v>1</v>
      </c>
      <c r="I31" s="109">
        <f>'Data Sheet'!H66/'Data Sheet'!H$66</f>
        <v>1</v>
      </c>
      <c r="J31" s="109">
        <f>'Data Sheet'!I66/'Data Sheet'!I$66</f>
        <v>1</v>
      </c>
      <c r="K31" s="109">
        <f>'Data Sheet'!J66/'Data Sheet'!J$66</f>
        <v>1</v>
      </c>
      <c r="L31" s="109">
        <f>'Data Sheet'!K66/'Data Sheet'!K$66</f>
        <v>1</v>
      </c>
    </row>
    <row r="32" spans="2:12" x14ac:dyDescent="0.25">
      <c r="B32" s="105" t="str">
        <f>'Data Sheet'!A62</f>
        <v>Net Block</v>
      </c>
      <c r="C32" s="14">
        <f>'Data Sheet'!B62/'Data Sheet'!B$66</f>
        <v>0.33262424698795184</v>
      </c>
      <c r="D32" s="14">
        <f>'Data Sheet'!C62/'Data Sheet'!C$66</f>
        <v>0.30740974865220727</v>
      </c>
      <c r="E32" s="14">
        <f>'Data Sheet'!D62/'Data Sheet'!D$66</f>
        <v>0.24052623227500253</v>
      </c>
      <c r="F32" s="14">
        <f>'Data Sheet'!E62/'Data Sheet'!E$66</f>
        <v>0.25327718746443467</v>
      </c>
      <c r="G32" s="14">
        <f>'Data Sheet'!F62/'Data Sheet'!F$66</f>
        <v>0.23307242436187245</v>
      </c>
      <c r="H32" s="14">
        <f>'Data Sheet'!G62/'Data Sheet'!G$66</f>
        <v>0.23339386295966166</v>
      </c>
      <c r="I32" s="14">
        <f>'Data Sheet'!H62/'Data Sheet'!H$66</f>
        <v>0.2412746423208498</v>
      </c>
      <c r="J32" s="14">
        <f>'Data Sheet'!I62/'Data Sheet'!I$66</f>
        <v>0.20704093519747593</v>
      </c>
      <c r="K32" s="14">
        <f>'Data Sheet'!J62/'Data Sheet'!J$66</f>
        <v>0.1878806824564917</v>
      </c>
      <c r="L32" s="14">
        <f>'Data Sheet'!K62/'Data Sheet'!K$66</f>
        <v>0.26212837709159204</v>
      </c>
    </row>
    <row r="33" spans="2:12" x14ac:dyDescent="0.25">
      <c r="B33" s="105" t="str">
        <f>'Data Sheet'!A63</f>
        <v>Capital Work in Progress</v>
      </c>
      <c r="C33" s="14">
        <f>'Data Sheet'!B63/'Data Sheet'!B$66</f>
        <v>4.0869728915662656E-3</v>
      </c>
      <c r="D33" s="14">
        <f>'Data Sheet'!C63/'Data Sheet'!C$66</f>
        <v>8.237421146753833E-3</v>
      </c>
      <c r="E33" s="14">
        <f>'Data Sheet'!D63/'Data Sheet'!D$66</f>
        <v>6.4625016228380188E-3</v>
      </c>
      <c r="F33" s="14">
        <f>'Data Sheet'!E63/'Data Sheet'!E$66</f>
        <v>5.4447352901617133E-3</v>
      </c>
      <c r="G33" s="14">
        <f>'Data Sheet'!F63/'Data Sheet'!F$66</f>
        <v>4.7703706087250325E-3</v>
      </c>
      <c r="H33" s="14">
        <f>'Data Sheet'!G63/'Data Sheet'!G$66</f>
        <v>7.5575110470519069E-3</v>
      </c>
      <c r="I33" s="14">
        <f>'Data Sheet'!H63/'Data Sheet'!H$66</f>
        <v>1.5698467747290765E-2</v>
      </c>
      <c r="J33" s="14">
        <f>'Data Sheet'!I63/'Data Sheet'!I$66</f>
        <v>1.3597065323144921E-2</v>
      </c>
      <c r="K33" s="14">
        <f>'Data Sheet'!J63/'Data Sheet'!J$66</f>
        <v>1.363577898152535E-2</v>
      </c>
      <c r="L33" s="14">
        <f>'Data Sheet'!K63/'Data Sheet'!K$66</f>
        <v>1.2827893948849568E-2</v>
      </c>
    </row>
    <row r="34" spans="2:12" x14ac:dyDescent="0.25">
      <c r="B34" s="105" t="str">
        <f>'Data Sheet'!A64</f>
        <v>Investments</v>
      </c>
      <c r="C34" s="14">
        <f>'Data Sheet'!B64/'Data Sheet'!B$66</f>
        <v>0.20264871987951807</v>
      </c>
      <c r="D34" s="14">
        <f>'Data Sheet'!C64/'Data Sheet'!C$66</f>
        <v>0.29696803946101391</v>
      </c>
      <c r="E34" s="14">
        <f>'Data Sheet'!D64/'Data Sheet'!D$66</f>
        <v>0.38814534858560645</v>
      </c>
      <c r="F34" s="14">
        <f>'Data Sheet'!E64/'Data Sheet'!E$66</f>
        <v>0.41904545125345305</v>
      </c>
      <c r="G34" s="14">
        <f>'Data Sheet'!F64/'Data Sheet'!F$66</f>
        <v>0.43729393228624985</v>
      </c>
      <c r="H34" s="14">
        <f>'Data Sheet'!G64/'Data Sheet'!G$66</f>
        <v>0.39811583758463093</v>
      </c>
      <c r="I34" s="14">
        <f>'Data Sheet'!H64/'Data Sheet'!H$66</f>
        <v>0.29992352660181781</v>
      </c>
      <c r="J34" s="14">
        <f>'Data Sheet'!I64/'Data Sheet'!I$66</f>
        <v>0.38396986306933678</v>
      </c>
      <c r="K34" s="14">
        <f>'Data Sheet'!J64/'Data Sheet'!J$66</f>
        <v>0.5063245592183564</v>
      </c>
      <c r="L34" s="14">
        <f>'Data Sheet'!K64/'Data Sheet'!K$66</f>
        <v>0.45891675236663765</v>
      </c>
    </row>
    <row r="35" spans="2:12" x14ac:dyDescent="0.25">
      <c r="B35" s="105" t="str">
        <f>'Data Sheet'!A65</f>
        <v>Other Assets</v>
      </c>
      <c r="C35" s="14">
        <f>'Data Sheet'!B74/'Data Sheet'!B$66</f>
        <v>5.2660015060240969E-2</v>
      </c>
      <c r="D35" s="14">
        <f>'Data Sheet'!C74/'Data Sheet'!C$66</f>
        <v>6.6379203049974772E-2</v>
      </c>
      <c r="E35" s="14">
        <f>'Data Sheet'!D74/'Data Sheet'!D$66</f>
        <v>5.8254836057297019E-2</v>
      </c>
      <c r="F35" s="14">
        <f>'Data Sheet'!E74/'Data Sheet'!E$66</f>
        <v>5.5564752258077853E-2</v>
      </c>
      <c r="G35" s="14">
        <f>'Data Sheet'!F74/'Data Sheet'!F$66</f>
        <v>6.4185675557338118E-2</v>
      </c>
      <c r="H35" s="14">
        <f>'Data Sheet'!G74/'Data Sheet'!G$66</f>
        <v>6.9080818904208308E-2</v>
      </c>
      <c r="I35" s="14">
        <f>'Data Sheet'!H74/'Data Sheet'!H$66</f>
        <v>0.12126924419862517</v>
      </c>
      <c r="J35" s="14">
        <f>'Data Sheet'!I74/'Data Sheet'!I$66</f>
        <v>6.0783405118699667E-2</v>
      </c>
      <c r="K35" s="14">
        <f>'Data Sheet'!J74/'Data Sheet'!J$66</f>
        <v>3.7543573437014123E-2</v>
      </c>
      <c r="L35" s="14">
        <f>'Data Sheet'!K74/'Data Sheet'!K$66</f>
        <v>3.1816663590257442E-2</v>
      </c>
    </row>
    <row r="36" spans="2:12" x14ac:dyDescent="0.25">
      <c r="B36" s="105" t="str">
        <f>'Data Sheet'!A67</f>
        <v>Receivables</v>
      </c>
      <c r="C36" s="14">
        <f>'Data Sheet'!B67/'Data Sheet'!B$66</f>
        <v>0.12712725903614458</v>
      </c>
      <c r="D36" s="14">
        <f>'Data Sheet'!C67/'Data Sheet'!C$66</f>
        <v>0.11641130115225637</v>
      </c>
      <c r="E36" s="14">
        <f>'Data Sheet'!D67/'Data Sheet'!D$66</f>
        <v>0.11672893556251172</v>
      </c>
      <c r="F36" s="14">
        <f>'Data Sheet'!E67/'Data Sheet'!E$66</f>
        <v>8.411792701726796E-2</v>
      </c>
      <c r="G36" s="14">
        <f>'Data Sheet'!F67/'Data Sheet'!F$66</f>
        <v>8.1143417957325242E-2</v>
      </c>
      <c r="H36" s="14">
        <f>'Data Sheet'!G67/'Data Sheet'!G$66</f>
        <v>9.8802366819017995E-2</v>
      </c>
      <c r="I36" s="14">
        <f>'Data Sheet'!H67/'Data Sheet'!H$66</f>
        <v>8.7172176535733642E-2</v>
      </c>
      <c r="J36" s="14">
        <f>'Data Sheet'!I67/'Data Sheet'!I$66</f>
        <v>5.1838696158667513E-2</v>
      </c>
      <c r="K36" s="14">
        <f>'Data Sheet'!J67/'Data Sheet'!J$66</f>
        <v>5.2601543814403615E-2</v>
      </c>
      <c r="L36" s="14">
        <f>'Data Sheet'!K67/'Data Sheet'!K$66</f>
        <v>6.2169102889773717E-2</v>
      </c>
    </row>
    <row r="37" spans="2:12" x14ac:dyDescent="0.25">
      <c r="B37" s="105" t="str">
        <f>'Data Sheet'!A68</f>
        <v>Inventory</v>
      </c>
      <c r="C37" s="14">
        <f>'Data Sheet'!B68/'Data Sheet'!B$66</f>
        <v>0.18307793674698794</v>
      </c>
      <c r="D37" s="14">
        <f>'Data Sheet'!C68/'Data Sheet'!C$66</f>
        <v>0.15938836738570783</v>
      </c>
      <c r="E37" s="14">
        <f>'Data Sheet'!D68/'Data Sheet'!D$66</f>
        <v>0.15817261226432786</v>
      </c>
      <c r="F37" s="14">
        <f>'Data Sheet'!E68/'Data Sheet'!E$66</f>
        <v>0.14312928724405866</v>
      </c>
      <c r="G37" s="14">
        <f>'Data Sheet'!F68/'Data Sheet'!F$66</f>
        <v>0.14436145871520625</v>
      </c>
      <c r="H37" s="14">
        <f>'Data Sheet'!G68/'Data Sheet'!G$66</f>
        <v>0.15415260103548334</v>
      </c>
      <c r="I37" s="14">
        <f>'Data Sheet'!H68/'Data Sheet'!H$66</f>
        <v>0.14775967217118044</v>
      </c>
      <c r="J37" s="14">
        <f>'Data Sheet'!I68/'Data Sheet'!I$66</f>
        <v>0.16008905939323673</v>
      </c>
      <c r="K37" s="14">
        <f>'Data Sheet'!J68/'Data Sheet'!J$66</f>
        <v>0.15560011266816781</v>
      </c>
      <c r="L37" s="14">
        <f>'Data Sheet'!K68/'Data Sheet'!K$66</f>
        <v>0.14826827460321645</v>
      </c>
    </row>
    <row r="38" spans="2:12" x14ac:dyDescent="0.25">
      <c r="B38" s="105" t="str">
        <f>'Data Sheet'!A69</f>
        <v>Cash &amp; Bank</v>
      </c>
      <c r="C38" s="14">
        <f>'Data Sheet'!B69/'Data Sheet'!B$66</f>
        <v>9.777484939759036E-2</v>
      </c>
      <c r="D38" s="14">
        <f>'Data Sheet'!C69/'Data Sheet'!C$66</f>
        <v>4.5205919152086056E-2</v>
      </c>
      <c r="E38" s="14">
        <f>'Data Sheet'!D69/'Data Sheet'!D$66</f>
        <v>3.1709533632416367E-2</v>
      </c>
      <c r="F38" s="14">
        <f>'Data Sheet'!E69/'Data Sheet'!E$66</f>
        <v>3.9420659472546117E-2</v>
      </c>
      <c r="G38" s="14">
        <f>'Data Sheet'!F69/'Data Sheet'!F$66</f>
        <v>3.517272051328315E-2</v>
      </c>
      <c r="H38" s="14">
        <f>'Data Sheet'!G69/'Data Sheet'!G$66</f>
        <v>3.8897001649945959E-2</v>
      </c>
      <c r="I38" s="14">
        <f>'Data Sheet'!H69/'Data Sheet'!H$66</f>
        <v>8.690227042450234E-2</v>
      </c>
      <c r="J38" s="14">
        <f>'Data Sheet'!I69/'Data Sheet'!I$66</f>
        <v>0.12268097573943851</v>
      </c>
      <c r="K38" s="14">
        <f>'Data Sheet'!J69/'Data Sheet'!J$66</f>
        <v>4.6413749424040973E-2</v>
      </c>
      <c r="L38" s="14">
        <f>'Data Sheet'!K69/'Data Sheet'!K$66</f>
        <v>2.3872935509673111E-2</v>
      </c>
    </row>
    <row r="39" spans="2:12" x14ac:dyDescent="0.25">
      <c r="B39" s="105"/>
    </row>
  </sheetData>
  <mergeCells count="2">
    <mergeCell ref="B2:L2"/>
    <mergeCell ref="B21:L2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DD3B-8424-4E6C-8975-D52B5E340906}">
  <dimension ref="B2:M50"/>
  <sheetViews>
    <sheetView showGridLines="0" workbookViewId="0">
      <pane ySplit="4" topLeftCell="A33" activePane="bottomLeft" state="frozen"/>
      <selection pane="bottomLeft" activeCell="L1" activeCellId="1" sqref="M1:M1048576 L1:L1048576"/>
    </sheetView>
  </sheetViews>
  <sheetFormatPr defaultRowHeight="15" x14ac:dyDescent="0.25"/>
  <cols>
    <col min="1" max="1" width="1.85546875" customWidth="1"/>
    <col min="2" max="2" width="19.7109375" bestFit="1" customWidth="1"/>
    <col min="3" max="3" width="11.5703125" bestFit="1" customWidth="1"/>
    <col min="4" max="11" width="11.28515625" bestFit="1" customWidth="1"/>
    <col min="13" max="13" width="9.7109375" bestFit="1" customWidth="1"/>
  </cols>
  <sheetData>
    <row r="2" spans="2:13" x14ac:dyDescent="0.25">
      <c r="B2" s="229" t="str">
        <f>'Data Sheet'!B1&amp; " - "&amp;'Data Sheet'!A15&amp; " FORECASTING"</f>
        <v>DABUR INDIA LTD - PROFIT &amp; LOSS FORECASTING</v>
      </c>
      <c r="C2" s="229"/>
      <c r="D2" s="229"/>
      <c r="E2" s="229"/>
      <c r="F2" s="229"/>
      <c r="G2" s="229"/>
      <c r="H2" s="229"/>
      <c r="I2" s="229"/>
      <c r="J2" s="229"/>
      <c r="K2" s="229"/>
    </row>
    <row r="3" spans="2:13" x14ac:dyDescent="0.25">
      <c r="B3" s="8" t="s">
        <v>113</v>
      </c>
      <c r="C3" s="8">
        <v>1</v>
      </c>
      <c r="D3" s="8">
        <v>2</v>
      </c>
      <c r="E3" s="8">
        <v>3</v>
      </c>
      <c r="F3" s="8">
        <v>4</v>
      </c>
      <c r="G3" s="43">
        <v>5</v>
      </c>
      <c r="H3" s="43">
        <v>6</v>
      </c>
      <c r="I3" s="43">
        <v>7</v>
      </c>
      <c r="J3" s="43">
        <v>8</v>
      </c>
      <c r="K3" s="43">
        <v>9</v>
      </c>
    </row>
    <row r="4" spans="2:13" x14ac:dyDescent="0.25">
      <c r="B4" s="8" t="s">
        <v>0</v>
      </c>
      <c r="C4" s="37">
        <f>'Historical FS'!I3</f>
        <v>43921</v>
      </c>
      <c r="D4" s="37">
        <f>'Historical FS'!J3</f>
        <v>44286</v>
      </c>
      <c r="E4" s="37">
        <f>'Historical FS'!K3</f>
        <v>44651</v>
      </c>
      <c r="F4" s="37">
        <f>'Historical FS'!L3</f>
        <v>45016</v>
      </c>
      <c r="G4" s="44">
        <f>F4+365</f>
        <v>45381</v>
      </c>
      <c r="H4" s="44">
        <f t="shared" ref="H4:K4" si="0">G4+365</f>
        <v>45746</v>
      </c>
      <c r="I4" s="44">
        <f t="shared" si="0"/>
        <v>46111</v>
      </c>
      <c r="J4" s="44">
        <f t="shared" si="0"/>
        <v>46476</v>
      </c>
      <c r="K4" s="44">
        <f t="shared" si="0"/>
        <v>46841</v>
      </c>
    </row>
    <row r="5" spans="2:13" x14ac:dyDescent="0.25">
      <c r="B5" s="50"/>
      <c r="C5" s="51"/>
      <c r="D5" s="51"/>
      <c r="E5" s="51"/>
      <c r="F5" s="51"/>
      <c r="G5" s="52"/>
      <c r="H5" s="52"/>
      <c r="I5" s="52"/>
      <c r="J5" s="52"/>
      <c r="K5" s="52"/>
    </row>
    <row r="6" spans="2:13" x14ac:dyDescent="0.25">
      <c r="B6" s="171" t="s">
        <v>4</v>
      </c>
      <c r="C6" s="53">
        <f>'Historical FS'!I6</f>
        <v>8684.64</v>
      </c>
      <c r="D6" s="53">
        <f>'Historical FS'!J6</f>
        <v>9561.65</v>
      </c>
      <c r="E6" s="53">
        <f>'Historical FS'!K6</f>
        <v>10888.68</v>
      </c>
      <c r="F6" s="53">
        <f>'Historical FS'!L6</f>
        <v>11529.89</v>
      </c>
      <c r="G6" s="54">
        <f t="shared" ref="G6:K6" si="1">FORECAST(G3,$C$6:$F$6,$C$3:$F$3)</f>
        <v>12631.91</v>
      </c>
      <c r="H6" s="54">
        <f t="shared" si="1"/>
        <v>13618.188</v>
      </c>
      <c r="I6" s="54">
        <f t="shared" si="1"/>
        <v>14604.466</v>
      </c>
      <c r="J6" s="54">
        <f t="shared" si="1"/>
        <v>15590.744000000001</v>
      </c>
      <c r="K6" s="54">
        <f t="shared" si="1"/>
        <v>16577.022000000001</v>
      </c>
    </row>
    <row r="7" spans="2:13" x14ac:dyDescent="0.25">
      <c r="B7" s="39" t="s">
        <v>5</v>
      </c>
      <c r="C7" s="46">
        <f>'Historical FS'!I7</f>
        <v>1.9923687520478461E-2</v>
      </c>
      <c r="D7" s="46">
        <f>'Historical FS'!J7</f>
        <v>0.10098403618342267</v>
      </c>
      <c r="E7" s="46">
        <f>'Historical FS'!K7</f>
        <v>0.13878671568191692</v>
      </c>
      <c r="F7" s="46">
        <f>'Historical FS'!L7</f>
        <v>5.8887762336665261E-2</v>
      </c>
      <c r="G7" s="42">
        <f t="shared" ref="G7:K7" si="2">G6/F6-1</f>
        <v>9.5579402752324683E-2</v>
      </c>
      <c r="H7" s="42">
        <f t="shared" si="2"/>
        <v>7.8078295364675698E-2</v>
      </c>
      <c r="I7" s="42">
        <f t="shared" si="2"/>
        <v>7.2423585281683689E-2</v>
      </c>
      <c r="J7" s="42">
        <f t="shared" si="2"/>
        <v>6.7532630087262291E-2</v>
      </c>
      <c r="K7" s="42">
        <f t="shared" si="2"/>
        <v>6.326048327135636E-2</v>
      </c>
    </row>
    <row r="8" spans="2:13" x14ac:dyDescent="0.25">
      <c r="G8" s="36"/>
      <c r="H8" s="36"/>
      <c r="I8" s="36"/>
      <c r="J8" s="36"/>
      <c r="K8" s="36"/>
    </row>
    <row r="9" spans="2:13" x14ac:dyDescent="0.25">
      <c r="B9" s="166" t="s">
        <v>7</v>
      </c>
      <c r="C9" s="38">
        <f>'Historical FS'!I9</f>
        <v>5517.71</v>
      </c>
      <c r="D9" s="38">
        <f>'Historical FS'!J9</f>
        <v>6043.3500000000013</v>
      </c>
      <c r="E9" s="38">
        <f>'Historical FS'!K9</f>
        <v>6994.73</v>
      </c>
      <c r="F9" s="38">
        <f>'Historical FS'!L9</f>
        <v>7740.17</v>
      </c>
      <c r="G9" s="41">
        <f t="shared" ref="G9:K9" si="3">FORECAST(G3,$C$9:$F$9,$C$3:$F$3)</f>
        <v>8478.68</v>
      </c>
      <c r="H9" s="41">
        <f t="shared" si="3"/>
        <v>9240.5560000000005</v>
      </c>
      <c r="I9" s="41">
        <f t="shared" si="3"/>
        <v>10002.431999999999</v>
      </c>
      <c r="J9" s="41">
        <f t="shared" si="3"/>
        <v>10764.307999999999</v>
      </c>
      <c r="K9" s="41">
        <f t="shared" si="3"/>
        <v>11526.183999999999</v>
      </c>
    </row>
    <row r="10" spans="2:13" x14ac:dyDescent="0.25">
      <c r="B10" s="39" t="s">
        <v>8</v>
      </c>
      <c r="C10" s="40">
        <f>C9/C6</f>
        <v>0.63534124615412968</v>
      </c>
      <c r="D10" s="40">
        <f t="shared" ref="D10:K10" si="4">D9/D6</f>
        <v>0.63204049510283278</v>
      </c>
      <c r="E10" s="40">
        <f t="shared" si="4"/>
        <v>0.64238548657872208</v>
      </c>
      <c r="F10" s="40">
        <f t="shared" si="4"/>
        <v>0.67131342970314556</v>
      </c>
      <c r="G10" s="42">
        <f t="shared" si="4"/>
        <v>0.67121124200536586</v>
      </c>
      <c r="H10" s="42">
        <f t="shared" si="4"/>
        <v>0.67854519264971236</v>
      </c>
      <c r="I10" s="42">
        <f t="shared" si="4"/>
        <v>0.6848885813421729</v>
      </c>
      <c r="J10" s="42">
        <f t="shared" si="4"/>
        <v>0.69042939836610739</v>
      </c>
      <c r="K10" s="42">
        <f t="shared" si="4"/>
        <v>0.69531089480366248</v>
      </c>
    </row>
    <row r="11" spans="2:13" x14ac:dyDescent="0.25">
      <c r="G11" s="36"/>
      <c r="H11" s="36"/>
      <c r="I11" s="36"/>
      <c r="J11" s="36"/>
      <c r="K11" s="36"/>
    </row>
    <row r="12" spans="2:13" x14ac:dyDescent="0.25">
      <c r="B12" s="175" t="s">
        <v>9</v>
      </c>
      <c r="C12" s="55">
        <f>C6-C9</f>
        <v>3166.9299999999994</v>
      </c>
      <c r="D12" s="55">
        <f t="shared" ref="D12:K12" si="5">D6-D9</f>
        <v>3518.2999999999984</v>
      </c>
      <c r="E12" s="55">
        <f t="shared" si="5"/>
        <v>3893.9500000000007</v>
      </c>
      <c r="F12" s="55">
        <f t="shared" si="5"/>
        <v>3789.7199999999993</v>
      </c>
      <c r="G12" s="56">
        <f t="shared" si="5"/>
        <v>4153.2299999999996</v>
      </c>
      <c r="H12" s="56">
        <f t="shared" si="5"/>
        <v>4377.6319999999996</v>
      </c>
      <c r="I12" s="56">
        <f t="shared" si="5"/>
        <v>4602.0340000000015</v>
      </c>
      <c r="J12" s="56">
        <f t="shared" si="5"/>
        <v>4826.4360000000015</v>
      </c>
      <c r="K12" s="56">
        <f t="shared" si="5"/>
        <v>5050.8380000000016</v>
      </c>
    </row>
    <row r="13" spans="2:13" x14ac:dyDescent="0.25">
      <c r="B13" s="39" t="s">
        <v>88</v>
      </c>
      <c r="C13" s="40">
        <f t="shared" ref="C13" si="6">C12/C6</f>
        <v>0.36465875384587038</v>
      </c>
      <c r="D13" s="40">
        <f>D12/D6</f>
        <v>0.36795950489716717</v>
      </c>
      <c r="E13" s="40">
        <f t="shared" ref="E13:K13" si="7">E12/E6</f>
        <v>0.35761451342127792</v>
      </c>
      <c r="F13" s="40">
        <f t="shared" si="7"/>
        <v>0.3286865702968545</v>
      </c>
      <c r="G13" s="42">
        <f t="shared" si="7"/>
        <v>0.3287887579946342</v>
      </c>
      <c r="H13" s="42">
        <f t="shared" si="7"/>
        <v>0.3214548073502877</v>
      </c>
      <c r="I13" s="42">
        <f t="shared" si="7"/>
        <v>0.3151114186578271</v>
      </c>
      <c r="J13" s="42">
        <f t="shared" si="7"/>
        <v>0.30957060163389261</v>
      </c>
      <c r="K13" s="42">
        <f t="shared" si="7"/>
        <v>0.30468910519633752</v>
      </c>
    </row>
    <row r="14" spans="2:13" x14ac:dyDescent="0.25">
      <c r="G14" s="36"/>
      <c r="H14" s="36"/>
      <c r="I14" s="36"/>
      <c r="J14" s="36"/>
      <c r="K14" s="36"/>
    </row>
    <row r="15" spans="2:13" x14ac:dyDescent="0.25">
      <c r="B15" s="166" t="s">
        <v>114</v>
      </c>
      <c r="C15" s="38">
        <f>'Historical FS'!I15</f>
        <v>1374.59</v>
      </c>
      <c r="D15" s="38">
        <f>'Historical FS'!J15</f>
        <v>1516.63</v>
      </c>
      <c r="E15" s="38">
        <f>'Historical FS'!K15</f>
        <v>1641.94</v>
      </c>
      <c r="F15" s="38">
        <f>'Historical FS'!L15</f>
        <v>1627.23</v>
      </c>
      <c r="G15" s="41">
        <f t="shared" ref="G15:K15" si="8">FORECAST(G3,$C$15:$F$15,$C$3:$F$3)</f>
        <v>1760.9049999999997</v>
      </c>
      <c r="H15" s="41">
        <f t="shared" si="8"/>
        <v>1849.2279999999998</v>
      </c>
      <c r="I15" s="41">
        <f t="shared" si="8"/>
        <v>1937.5509999999999</v>
      </c>
      <c r="J15" s="41">
        <f t="shared" si="8"/>
        <v>2025.8739999999998</v>
      </c>
      <c r="K15" s="41">
        <f t="shared" si="8"/>
        <v>2114.1970000000001</v>
      </c>
      <c r="M15" s="38"/>
    </row>
    <row r="16" spans="2:13" x14ac:dyDescent="0.25">
      <c r="B16" s="39" t="s">
        <v>12</v>
      </c>
      <c r="C16" s="40">
        <f>C15/C6</f>
        <v>0.15827829363105436</v>
      </c>
      <c r="D16" s="40">
        <f t="shared" ref="D16:K16" si="9">D15/D6</f>
        <v>0.15861592925907142</v>
      </c>
      <c r="E16" s="40">
        <f t="shared" si="9"/>
        <v>0.15079330093271176</v>
      </c>
      <c r="F16" s="40">
        <f t="shared" si="9"/>
        <v>0.14113144184376436</v>
      </c>
      <c r="G16" s="42">
        <f t="shared" si="9"/>
        <v>0.13940132569025585</v>
      </c>
      <c r="H16" s="42">
        <f t="shared" si="9"/>
        <v>0.13579104650339677</v>
      </c>
      <c r="I16" s="42">
        <f t="shared" si="9"/>
        <v>0.13266839061421348</v>
      </c>
      <c r="J16" s="42">
        <f t="shared" si="9"/>
        <v>0.12994081616630995</v>
      </c>
      <c r="K16" s="42">
        <f t="shared" si="9"/>
        <v>0.12753780504121912</v>
      </c>
    </row>
    <row r="17" spans="2:11" x14ac:dyDescent="0.25">
      <c r="G17" s="36"/>
      <c r="H17" s="36"/>
      <c r="I17" s="36"/>
      <c r="J17" s="36"/>
      <c r="K17" s="36"/>
    </row>
    <row r="18" spans="2:11" x14ac:dyDescent="0.25">
      <c r="B18" s="175" t="s">
        <v>13</v>
      </c>
      <c r="C18" s="55">
        <f>C12-C15</f>
        <v>1792.3399999999995</v>
      </c>
      <c r="D18" s="55">
        <f t="shared" ref="D18:K18" si="10">D12-D15</f>
        <v>2001.6699999999983</v>
      </c>
      <c r="E18" s="55">
        <f t="shared" si="10"/>
        <v>2252.0100000000007</v>
      </c>
      <c r="F18" s="55">
        <f t="shared" si="10"/>
        <v>2162.4899999999993</v>
      </c>
      <c r="G18" s="56">
        <f t="shared" si="10"/>
        <v>2392.3249999999998</v>
      </c>
      <c r="H18" s="56">
        <f t="shared" si="10"/>
        <v>2528.4039999999995</v>
      </c>
      <c r="I18" s="56">
        <f t="shared" si="10"/>
        <v>2664.4830000000015</v>
      </c>
      <c r="J18" s="56">
        <f t="shared" si="10"/>
        <v>2800.5620000000017</v>
      </c>
      <c r="K18" s="56">
        <f t="shared" si="10"/>
        <v>2936.6410000000014</v>
      </c>
    </row>
    <row r="19" spans="2:11" x14ac:dyDescent="0.25">
      <c r="B19" s="39" t="s">
        <v>14</v>
      </c>
      <c r="C19" s="40">
        <f>C18/C6</f>
        <v>0.20638046021481599</v>
      </c>
      <c r="D19" s="40">
        <f t="shared" ref="D19:K19" si="11">D18/D6</f>
        <v>0.20934357563809575</v>
      </c>
      <c r="E19" s="40">
        <f t="shared" si="11"/>
        <v>0.20682121248856616</v>
      </c>
      <c r="F19" s="40">
        <f t="shared" si="11"/>
        <v>0.18755512845309014</v>
      </c>
      <c r="G19" s="42">
        <f t="shared" si="11"/>
        <v>0.18938743230437835</v>
      </c>
      <c r="H19" s="42">
        <f t="shared" si="11"/>
        <v>0.1856637608468909</v>
      </c>
      <c r="I19" s="42">
        <f t="shared" si="11"/>
        <v>0.18244302804361362</v>
      </c>
      <c r="J19" s="42">
        <f t="shared" si="11"/>
        <v>0.17962978546758265</v>
      </c>
      <c r="K19" s="42">
        <f t="shared" si="11"/>
        <v>0.1771513001551184</v>
      </c>
    </row>
    <row r="20" spans="2:11" x14ac:dyDescent="0.25">
      <c r="G20" s="36"/>
      <c r="H20" s="36"/>
      <c r="I20" s="36"/>
      <c r="J20" s="36"/>
      <c r="K20" s="36"/>
    </row>
    <row r="21" spans="2:11" x14ac:dyDescent="0.25">
      <c r="B21" s="166" t="s">
        <v>17</v>
      </c>
      <c r="C21" s="38">
        <f>'Historical FS'!I21</f>
        <v>220.45</v>
      </c>
      <c r="D21" s="38">
        <f>'Historical FS'!J21</f>
        <v>240.13</v>
      </c>
      <c r="E21" s="38">
        <f>'Historical FS'!K21</f>
        <v>252.89</v>
      </c>
      <c r="F21" s="38">
        <f>'Historical FS'!L21</f>
        <v>310.95999999999998</v>
      </c>
      <c r="G21" s="41">
        <f t="shared" ref="G21:K21" si="12">FORECAST(G3,$C$21:$F$21,$C$3:$F$3)</f>
        <v>327.18</v>
      </c>
      <c r="H21" s="41">
        <f t="shared" si="12"/>
        <v>355.60899999999998</v>
      </c>
      <c r="I21" s="41">
        <f t="shared" si="12"/>
        <v>384.03800000000001</v>
      </c>
      <c r="J21" s="41">
        <f t="shared" si="12"/>
        <v>412.46699999999998</v>
      </c>
      <c r="K21" s="41">
        <f t="shared" si="12"/>
        <v>440.89599999999996</v>
      </c>
    </row>
    <row r="22" spans="2:11" x14ac:dyDescent="0.25">
      <c r="B22" s="39" t="s">
        <v>18</v>
      </c>
      <c r="C22" s="40">
        <f t="shared" ref="C22:K22" si="13">C21/C6</f>
        <v>2.5383896166104754E-2</v>
      </c>
      <c r="D22" s="40">
        <f t="shared" si="13"/>
        <v>2.5113866330601937E-2</v>
      </c>
      <c r="E22" s="40">
        <f t="shared" si="13"/>
        <v>2.322503737826807E-2</v>
      </c>
      <c r="F22" s="40">
        <f t="shared" si="13"/>
        <v>2.6969901707648555E-2</v>
      </c>
      <c r="G22" s="42">
        <f t="shared" si="13"/>
        <v>2.5901071176092926E-2</v>
      </c>
      <c r="H22" s="42">
        <f t="shared" si="13"/>
        <v>2.6112798560278355E-2</v>
      </c>
      <c r="I22" s="42">
        <f t="shared" si="13"/>
        <v>2.629592893023271E-2</v>
      </c>
      <c r="J22" s="42">
        <f t="shared" si="13"/>
        <v>2.6455889468777114E-2</v>
      </c>
      <c r="K22" s="42">
        <f t="shared" si="13"/>
        <v>2.6596815760997358E-2</v>
      </c>
    </row>
    <row r="23" spans="2:11" x14ac:dyDescent="0.25">
      <c r="B23" s="39"/>
      <c r="C23" s="40"/>
      <c r="D23" s="40"/>
      <c r="E23" s="40"/>
      <c r="F23" s="40"/>
      <c r="G23" s="42"/>
      <c r="H23" s="42"/>
      <c r="I23" s="42"/>
      <c r="J23" s="42"/>
      <c r="K23" s="42"/>
    </row>
    <row r="24" spans="2:11" x14ac:dyDescent="0.25">
      <c r="B24" s="175" t="s">
        <v>115</v>
      </c>
      <c r="C24" s="55">
        <f>C18-C21</f>
        <v>1571.8899999999994</v>
      </c>
      <c r="D24" s="55">
        <f t="shared" ref="D24:K24" si="14">D18-D21</f>
        <v>1761.5399999999981</v>
      </c>
      <c r="E24" s="55">
        <f t="shared" si="14"/>
        <v>1999.1200000000008</v>
      </c>
      <c r="F24" s="55">
        <f t="shared" si="14"/>
        <v>1851.5299999999993</v>
      </c>
      <c r="G24" s="56">
        <f t="shared" si="14"/>
        <v>2065.145</v>
      </c>
      <c r="H24" s="56">
        <f t="shared" si="14"/>
        <v>2172.7949999999996</v>
      </c>
      <c r="I24" s="56">
        <f t="shared" si="14"/>
        <v>2280.4450000000015</v>
      </c>
      <c r="J24" s="56">
        <f t="shared" si="14"/>
        <v>2388.0950000000016</v>
      </c>
      <c r="K24" s="56">
        <f t="shared" si="14"/>
        <v>2495.7450000000017</v>
      </c>
    </row>
    <row r="25" spans="2:11" x14ac:dyDescent="0.25">
      <c r="B25" s="39" t="s">
        <v>116</v>
      </c>
      <c r="C25" s="40">
        <f>C24/C6</f>
        <v>0.18099656404871123</v>
      </c>
      <c r="D25" s="40">
        <f t="shared" ref="D25:K25" si="15">D24/D6</f>
        <v>0.1842297093074938</v>
      </c>
      <c r="E25" s="40">
        <f t="shared" si="15"/>
        <v>0.1835961751102981</v>
      </c>
      <c r="F25" s="40">
        <f t="shared" si="15"/>
        <v>0.16058522674544157</v>
      </c>
      <c r="G25" s="42">
        <f t="shared" si="15"/>
        <v>0.16348636112828543</v>
      </c>
      <c r="H25" s="42">
        <f t="shared" si="15"/>
        <v>0.15955096228661256</v>
      </c>
      <c r="I25" s="42">
        <f t="shared" si="15"/>
        <v>0.1561470991133809</v>
      </c>
      <c r="J25" s="42">
        <f t="shared" si="15"/>
        <v>0.15317389599880554</v>
      </c>
      <c r="K25" s="42">
        <f t="shared" si="15"/>
        <v>0.15055448439412106</v>
      </c>
    </row>
    <row r="26" spans="2:11" x14ac:dyDescent="0.25">
      <c r="B26" s="39"/>
      <c r="C26" s="40"/>
      <c r="D26" s="40"/>
      <c r="E26" s="40"/>
      <c r="F26" s="40"/>
      <c r="G26" s="42"/>
      <c r="H26" s="42"/>
      <c r="I26" s="42"/>
      <c r="J26" s="42"/>
      <c r="K26" s="42"/>
    </row>
    <row r="27" spans="2:11" x14ac:dyDescent="0.25">
      <c r="B27" s="166" t="s">
        <v>15</v>
      </c>
      <c r="C27" s="38">
        <f>'Historical FS'!I30</f>
        <v>49.54</v>
      </c>
      <c r="D27" s="38">
        <f>'Historical FS'!J30</f>
        <v>30.81</v>
      </c>
      <c r="E27" s="38">
        <f>'Historical FS'!K30</f>
        <v>38.6</v>
      </c>
      <c r="F27" s="38">
        <f>'Historical FS'!L30</f>
        <v>78.239999999999995</v>
      </c>
      <c r="G27" s="41">
        <f t="shared" ref="G27:K27" si="16">FORECAST(G3,$C$27:$F$27,$C$3:$F$3)</f>
        <v>72.77</v>
      </c>
      <c r="H27" s="41">
        <f t="shared" si="16"/>
        <v>82.158999999999992</v>
      </c>
      <c r="I27" s="41">
        <f t="shared" si="16"/>
        <v>91.548000000000002</v>
      </c>
      <c r="J27" s="41">
        <f t="shared" si="16"/>
        <v>100.937</v>
      </c>
      <c r="K27" s="41">
        <f t="shared" si="16"/>
        <v>110.32599999999999</v>
      </c>
    </row>
    <row r="28" spans="2:11" x14ac:dyDescent="0.25">
      <c r="B28" s="39" t="s">
        <v>16</v>
      </c>
      <c r="C28" s="40">
        <f t="shared" ref="C28:K28" si="17">C27/C6</f>
        <v>5.7043239558576984E-3</v>
      </c>
      <c r="D28" s="40">
        <f t="shared" si="17"/>
        <v>3.2222472062876178E-3</v>
      </c>
      <c r="E28" s="40">
        <f t="shared" si="17"/>
        <v>3.5449659646531995E-3</v>
      </c>
      <c r="F28" s="40">
        <f t="shared" si="17"/>
        <v>6.7858409750656771E-3</v>
      </c>
      <c r="G28" s="42">
        <f t="shared" si="17"/>
        <v>5.7608073521739781E-3</v>
      </c>
      <c r="H28" s="42">
        <f t="shared" si="17"/>
        <v>6.0330346445503606E-3</v>
      </c>
      <c r="I28" s="42">
        <f t="shared" si="17"/>
        <v>6.2684934868553225E-3</v>
      </c>
      <c r="J28" s="42">
        <f t="shared" si="17"/>
        <v>6.4741618488508307E-3</v>
      </c>
      <c r="K28" s="42">
        <f t="shared" si="17"/>
        <v>6.6553570357812146E-3</v>
      </c>
    </row>
    <row r="29" spans="2:11" x14ac:dyDescent="0.25">
      <c r="B29" s="39"/>
      <c r="C29" s="40"/>
      <c r="D29" s="40"/>
      <c r="E29" s="40"/>
      <c r="F29" s="40"/>
      <c r="G29" s="42"/>
      <c r="H29" s="42"/>
      <c r="I29" s="42"/>
      <c r="J29" s="42"/>
      <c r="K29" s="42"/>
    </row>
    <row r="30" spans="2:11" x14ac:dyDescent="0.25">
      <c r="B30" s="166" t="s">
        <v>180</v>
      </c>
      <c r="C30" s="38">
        <f>'Historical FS'!I27</f>
        <v>205.29</v>
      </c>
      <c r="D30" s="38">
        <f>'Historical FS'!J27</f>
        <v>325.29000000000002</v>
      </c>
      <c r="E30" s="38">
        <f>'Historical FS'!K27</f>
        <v>308.16000000000003</v>
      </c>
      <c r="F30" s="38">
        <f>'Historical FS'!L27</f>
        <v>445.39</v>
      </c>
      <c r="G30" s="41">
        <f>FORECAST(G3,$C$30:$F$30,$C$3:$F$3)</f>
        <v>496.82500000000005</v>
      </c>
      <c r="H30" s="41">
        <f t="shared" ref="H30:K30" si="18">FORECAST(H3,$C$30:$F$30,$C$3:$F$3)</f>
        <v>567.14199999999994</v>
      </c>
      <c r="I30" s="41">
        <f t="shared" si="18"/>
        <v>637.45899999999995</v>
      </c>
      <c r="J30" s="41">
        <f t="shared" si="18"/>
        <v>707.77599999999995</v>
      </c>
      <c r="K30" s="41">
        <f t="shared" si="18"/>
        <v>778.09299999999996</v>
      </c>
    </row>
    <row r="31" spans="2:11" x14ac:dyDescent="0.25">
      <c r="B31" s="39" t="s">
        <v>387</v>
      </c>
      <c r="C31" s="40">
        <f>C30/C6</f>
        <v>2.3638285524788593E-2</v>
      </c>
      <c r="D31" s="40">
        <f t="shared" ref="D31:F31" si="19">D30/D6</f>
        <v>3.4020278926754279E-2</v>
      </c>
      <c r="E31" s="40">
        <f t="shared" si="19"/>
        <v>2.8300951079469689E-2</v>
      </c>
      <c r="F31" s="40">
        <f t="shared" si="19"/>
        <v>3.8629162984208869E-2</v>
      </c>
      <c r="G31" s="40">
        <f t="shared" ref="G31" si="20">G30/G6</f>
        <v>3.9330948368061523E-2</v>
      </c>
      <c r="H31" s="40">
        <f t="shared" ref="H31" si="21">H30/H6</f>
        <v>4.1645922350315619E-2</v>
      </c>
      <c r="I31" s="40">
        <f t="shared" ref="I31" si="22">I30/I6</f>
        <v>4.3648223769359312E-2</v>
      </c>
      <c r="J31" s="40">
        <f t="shared" ref="J31" si="23">J30/J6</f>
        <v>4.5397192077555756E-2</v>
      </c>
      <c r="K31" s="40">
        <f t="shared" ref="K31" si="24">K30/K6</f>
        <v>4.6938044722387405E-2</v>
      </c>
    </row>
    <row r="32" spans="2:11" x14ac:dyDescent="0.25">
      <c r="G32" s="36"/>
      <c r="H32" s="36"/>
      <c r="I32" s="36"/>
      <c r="J32" s="36"/>
      <c r="K32" s="36"/>
    </row>
    <row r="33" spans="2:11" x14ac:dyDescent="0.25">
      <c r="B33" s="175" t="s">
        <v>117</v>
      </c>
      <c r="C33" s="55">
        <f>C24-C27+C30</f>
        <v>1727.6399999999994</v>
      </c>
      <c r="D33" s="55">
        <f t="shared" ref="D33:K33" si="25">D24-D27+D30</f>
        <v>2056.0199999999982</v>
      </c>
      <c r="E33" s="55">
        <f t="shared" si="25"/>
        <v>2268.6800000000007</v>
      </c>
      <c r="F33" s="55">
        <f t="shared" si="25"/>
        <v>2218.6799999999994</v>
      </c>
      <c r="G33" s="55">
        <f t="shared" si="25"/>
        <v>2489.1999999999998</v>
      </c>
      <c r="H33" s="55">
        <f t="shared" si="25"/>
        <v>2657.7779999999993</v>
      </c>
      <c r="I33" s="55">
        <f t="shared" si="25"/>
        <v>2826.3560000000016</v>
      </c>
      <c r="J33" s="55">
        <f t="shared" si="25"/>
        <v>2994.9340000000016</v>
      </c>
      <c r="K33" s="55">
        <f t="shared" si="25"/>
        <v>3163.5120000000015</v>
      </c>
    </row>
    <row r="34" spans="2:11" x14ac:dyDescent="0.25">
      <c r="B34" s="39" t="s">
        <v>118</v>
      </c>
      <c r="C34" s="40">
        <f>C33/C6</f>
        <v>0.19893052561764213</v>
      </c>
      <c r="D34" s="40">
        <f t="shared" ref="D34:K34" si="26">D33/D6</f>
        <v>0.21502774102796046</v>
      </c>
      <c r="E34" s="40">
        <f t="shared" si="26"/>
        <v>0.20835216022511457</v>
      </c>
      <c r="F34" s="40">
        <f t="shared" si="26"/>
        <v>0.19242854875458479</v>
      </c>
      <c r="G34" s="42">
        <f t="shared" si="26"/>
        <v>0.19705650214417295</v>
      </c>
      <c r="H34" s="42">
        <f t="shared" si="26"/>
        <v>0.19516384999237779</v>
      </c>
      <c r="I34" s="42">
        <f t="shared" si="26"/>
        <v>0.19352682939588489</v>
      </c>
      <c r="J34" s="42">
        <f t="shared" si="26"/>
        <v>0.19209692622751046</v>
      </c>
      <c r="K34" s="42">
        <f t="shared" si="26"/>
        <v>0.19083717208072726</v>
      </c>
    </row>
    <row r="35" spans="2:11" x14ac:dyDescent="0.25">
      <c r="B35" s="39"/>
      <c r="C35" s="40"/>
      <c r="D35" s="40"/>
      <c r="E35" s="40"/>
      <c r="F35" s="40"/>
      <c r="G35" s="42"/>
      <c r="H35" s="42"/>
      <c r="I35" s="42"/>
      <c r="J35" s="42"/>
      <c r="K35" s="42"/>
    </row>
    <row r="36" spans="2:11" x14ac:dyDescent="0.25">
      <c r="B36" s="166" t="s">
        <v>21</v>
      </c>
      <c r="C36" s="38">
        <f>'Historical FS'!I36</f>
        <v>279.72000000000003</v>
      </c>
      <c r="D36" s="38">
        <f>'Historical FS'!J36</f>
        <v>361.07</v>
      </c>
      <c r="E36" s="38">
        <f>'Historical FS'!K36</f>
        <v>526.38</v>
      </c>
      <c r="F36" s="38">
        <f>'Historical FS'!L36</f>
        <v>517.35</v>
      </c>
      <c r="G36" s="41">
        <f>FORECAST(G3,$C$36:$F$36,$C$3:$F$3)</f>
        <v>640.68000000000006</v>
      </c>
      <c r="H36" s="41">
        <f t="shared" ref="H36:K36" si="27">FORECAST(H3,$C$36:$F$36,$C$3:$F$3)</f>
        <v>728.5</v>
      </c>
      <c r="I36" s="41">
        <f t="shared" si="27"/>
        <v>816.31999999999994</v>
      </c>
      <c r="J36" s="41">
        <f t="shared" si="27"/>
        <v>904.1400000000001</v>
      </c>
      <c r="K36" s="41">
        <f t="shared" si="27"/>
        <v>991.96</v>
      </c>
    </row>
    <row r="37" spans="2:11" x14ac:dyDescent="0.25">
      <c r="B37" s="39" t="s">
        <v>22</v>
      </c>
      <c r="C37" s="40">
        <f>C36/C33</f>
        <v>0.16190873098562208</v>
      </c>
      <c r="D37" s="40">
        <f t="shared" ref="D37:K37" si="28">D36/D33</f>
        <v>0.1756159959533469</v>
      </c>
      <c r="E37" s="40">
        <f t="shared" si="28"/>
        <v>0.23202038189608046</v>
      </c>
      <c r="F37" s="40">
        <f t="shared" si="28"/>
        <v>0.23317918762507445</v>
      </c>
      <c r="G37" s="42">
        <f t="shared" si="28"/>
        <v>0.2573838984412663</v>
      </c>
      <c r="H37" s="42">
        <f t="shared" si="28"/>
        <v>0.27410114765040577</v>
      </c>
      <c r="I37" s="42">
        <f t="shared" si="28"/>
        <v>0.28882419624420969</v>
      </c>
      <c r="J37" s="42">
        <f t="shared" si="28"/>
        <v>0.30188979122745263</v>
      </c>
      <c r="K37" s="42">
        <f t="shared" si="28"/>
        <v>0.31356290097840611</v>
      </c>
    </row>
    <row r="38" spans="2:11" x14ac:dyDescent="0.25">
      <c r="B38" s="39"/>
      <c r="C38" s="40"/>
      <c r="D38" s="40"/>
      <c r="E38" s="40"/>
      <c r="F38" s="40"/>
      <c r="G38" s="42"/>
      <c r="H38" s="42"/>
      <c r="I38" s="42"/>
      <c r="J38" s="42"/>
      <c r="K38" s="42"/>
    </row>
    <row r="39" spans="2:11" ht="15.75" thickBot="1" x14ac:dyDescent="0.3">
      <c r="B39" s="176" t="s">
        <v>23</v>
      </c>
      <c r="C39" s="58">
        <f>C33-C36</f>
        <v>1447.9199999999994</v>
      </c>
      <c r="D39" s="58">
        <f t="shared" ref="D39:K39" si="29">D33-D36</f>
        <v>1694.9499999999982</v>
      </c>
      <c r="E39" s="58">
        <f t="shared" si="29"/>
        <v>1742.3000000000006</v>
      </c>
      <c r="F39" s="58">
        <f t="shared" si="29"/>
        <v>1701.3299999999995</v>
      </c>
      <c r="G39" s="59">
        <f t="shared" si="29"/>
        <v>1848.5199999999998</v>
      </c>
      <c r="H39" s="59">
        <f t="shared" si="29"/>
        <v>1929.2779999999993</v>
      </c>
      <c r="I39" s="59">
        <f t="shared" si="29"/>
        <v>2010.0360000000016</v>
      </c>
      <c r="J39" s="59">
        <f t="shared" si="29"/>
        <v>2090.7940000000017</v>
      </c>
      <c r="K39" s="59">
        <f t="shared" si="29"/>
        <v>2171.5520000000015</v>
      </c>
    </row>
    <row r="40" spans="2:11" x14ac:dyDescent="0.25">
      <c r="B40" s="39" t="s">
        <v>24</v>
      </c>
      <c r="C40" s="40">
        <f>C39/C6</f>
        <v>0.16672193666058691</v>
      </c>
      <c r="D40" s="40">
        <f t="shared" ref="D40:K40" si="30">D39/D6</f>
        <v>0.17726543012973683</v>
      </c>
      <c r="E40" s="40">
        <f t="shared" si="30"/>
        <v>0.16001021244081015</v>
      </c>
      <c r="F40" s="40">
        <f t="shared" si="30"/>
        <v>0.14755821608011868</v>
      </c>
      <c r="G40" s="42">
        <f t="shared" si="30"/>
        <v>0.14633733140910596</v>
      </c>
      <c r="H40" s="42">
        <f t="shared" si="30"/>
        <v>0.1416692147295954</v>
      </c>
      <c r="I40" s="42">
        <f t="shared" si="30"/>
        <v>0.13763159844392814</v>
      </c>
      <c r="J40" s="42">
        <f t="shared" si="30"/>
        <v>0.13410482527325199</v>
      </c>
      <c r="K40" s="42">
        <f t="shared" si="30"/>
        <v>0.13099771478857911</v>
      </c>
    </row>
    <row r="41" spans="2:11" x14ac:dyDescent="0.25">
      <c r="G41" s="36"/>
      <c r="H41" s="36"/>
      <c r="I41" s="36"/>
      <c r="J41" s="36"/>
      <c r="K41" s="36"/>
    </row>
    <row r="42" spans="2:11" x14ac:dyDescent="0.25">
      <c r="B42" s="166" t="s">
        <v>25</v>
      </c>
      <c r="C42" s="45">
        <f>'Historical FS'!I42</f>
        <v>176.71</v>
      </c>
      <c r="D42" s="45">
        <f>'Historical FS'!J42</f>
        <v>176.74</v>
      </c>
      <c r="E42" s="45">
        <f>'Historical FS'!K42</f>
        <v>176.79</v>
      </c>
      <c r="F42" s="45">
        <f>'Historical FS'!L42</f>
        <v>177.18</v>
      </c>
      <c r="G42" s="47">
        <f>FORECAST(G3,$C$42:$F$42,$C$3:$F$3)</f>
        <v>177.22</v>
      </c>
      <c r="H42" s="47">
        <f t="shared" ref="H42:K42" si="31">FORECAST(H3,$C$42:$F$42,$C$3:$F$3)</f>
        <v>177.36599999999999</v>
      </c>
      <c r="I42" s="47">
        <f t="shared" si="31"/>
        <v>177.512</v>
      </c>
      <c r="J42" s="47">
        <f t="shared" si="31"/>
        <v>177.65799999999999</v>
      </c>
      <c r="K42" s="47">
        <f t="shared" si="31"/>
        <v>177.804</v>
      </c>
    </row>
    <row r="43" spans="2:11" x14ac:dyDescent="0.25">
      <c r="G43" s="36"/>
      <c r="H43" s="36"/>
      <c r="I43" s="36"/>
      <c r="J43" s="36"/>
      <c r="K43" s="36"/>
    </row>
    <row r="44" spans="2:11" x14ac:dyDescent="0.25">
      <c r="B44" s="166" t="s">
        <v>26</v>
      </c>
      <c r="C44" s="38">
        <f>C39/C42</f>
        <v>8.1937637937864256</v>
      </c>
      <c r="D44" s="38">
        <f t="shared" ref="D44:K44" si="32">D39/D42</f>
        <v>9.5900758175851433</v>
      </c>
      <c r="E44" s="38">
        <f t="shared" si="32"/>
        <v>9.8551954296057502</v>
      </c>
      <c r="F44" s="38">
        <f t="shared" si="32"/>
        <v>9.6022688791059903</v>
      </c>
      <c r="G44" s="41">
        <f t="shared" si="32"/>
        <v>10.430651168039724</v>
      </c>
      <c r="H44" s="41">
        <f t="shared" si="32"/>
        <v>10.877383489507569</v>
      </c>
      <c r="I44" s="41">
        <f t="shared" si="32"/>
        <v>11.323380954527027</v>
      </c>
      <c r="J44" s="41">
        <f t="shared" si="32"/>
        <v>11.768645374821297</v>
      </c>
      <c r="K44" s="41">
        <f t="shared" si="32"/>
        <v>12.213178556162974</v>
      </c>
    </row>
    <row r="45" spans="2:11" x14ac:dyDescent="0.25">
      <c r="B45" s="39" t="s">
        <v>119</v>
      </c>
      <c r="C45" s="40">
        <f>'Historical FS'!I45</f>
        <v>7.0146855418995457E-4</v>
      </c>
      <c r="D45" s="40">
        <f>D44/C44-1</f>
        <v>0.17041155431617194</v>
      </c>
      <c r="E45" s="40">
        <f t="shared" ref="E45:K45" si="33">E44/D44-1</f>
        <v>2.7645205008125284E-2</v>
      </c>
      <c r="F45" s="40">
        <f t="shared" si="33"/>
        <v>-2.5664285635569439E-2</v>
      </c>
      <c r="G45" s="42">
        <f t="shared" si="33"/>
        <v>8.6269432710455396E-2</v>
      </c>
      <c r="H45" s="42">
        <f t="shared" si="33"/>
        <v>4.2828804671051213E-2</v>
      </c>
      <c r="I45" s="42">
        <f t="shared" si="33"/>
        <v>4.1002274623274104E-2</v>
      </c>
      <c r="J45" s="42">
        <f t="shared" si="33"/>
        <v>3.9322568240208966E-2</v>
      </c>
      <c r="K45" s="42">
        <f t="shared" si="33"/>
        <v>3.7772671975718097E-2</v>
      </c>
    </row>
    <row r="46" spans="2:11" x14ac:dyDescent="0.25">
      <c r="G46" s="36"/>
      <c r="H46" s="36"/>
      <c r="I46" s="36"/>
      <c r="J46" s="36"/>
      <c r="K46" s="36"/>
    </row>
    <row r="47" spans="2:11" x14ac:dyDescent="0.25">
      <c r="B47" s="166" t="s">
        <v>28</v>
      </c>
      <c r="C47" s="38">
        <f>'Historical FS'!I47</f>
        <v>3</v>
      </c>
      <c r="D47" s="38">
        <f>'Historical FS'!J47</f>
        <v>4.7500282901437139</v>
      </c>
      <c r="E47" s="38">
        <f>'Historical FS'!K47</f>
        <v>5.200011312857062</v>
      </c>
      <c r="F47" s="38">
        <f>'Historical FS'!L47</f>
        <v>5.2000225759115022</v>
      </c>
      <c r="G47" s="41">
        <f>FORECAST(G3,$C$47:$F$47,$C$3:$F$3)</f>
        <v>6.3000282323400327</v>
      </c>
      <c r="H47" s="41">
        <f t="shared" ref="H47:K47" si="34">FORECAST(H3,$C$47:$F$47,$C$3:$F$3)</f>
        <v>7.005033307384819</v>
      </c>
      <c r="I47" s="41">
        <f t="shared" si="34"/>
        <v>7.7100383824296044</v>
      </c>
      <c r="J47" s="41">
        <f t="shared" si="34"/>
        <v>8.4150434574743898</v>
      </c>
      <c r="K47" s="41">
        <f t="shared" si="34"/>
        <v>9.1200485325191742</v>
      </c>
    </row>
    <row r="48" spans="2:11" x14ac:dyDescent="0.25">
      <c r="B48" s="39" t="s">
        <v>120</v>
      </c>
      <c r="C48" s="40">
        <f>'Historical FS'!I48</f>
        <v>0.36613210674622926</v>
      </c>
      <c r="D48" s="40">
        <f>IFERROR(D47/C47-1,0)</f>
        <v>0.58334276338123803</v>
      </c>
      <c r="E48" s="40">
        <f t="shared" ref="E48:K48" si="35">IFERROR(E47/D47-1,0)</f>
        <v>9.4732703728746426E-2</v>
      </c>
      <c r="F48" s="40">
        <f t="shared" si="35"/>
        <v>2.1659672955198772E-6</v>
      </c>
      <c r="G48" s="42">
        <f t="shared" si="35"/>
        <v>0.21153863091367686</v>
      </c>
      <c r="H48" s="42">
        <f t="shared" si="35"/>
        <v>0.11190506598458927</v>
      </c>
      <c r="I48" s="42">
        <f t="shared" si="35"/>
        <v>0.10064264424004343</v>
      </c>
      <c r="J48" s="42">
        <f t="shared" si="35"/>
        <v>9.1439891745729973E-2</v>
      </c>
      <c r="K48" s="42">
        <f t="shared" si="35"/>
        <v>8.3779136567451395E-2</v>
      </c>
    </row>
    <row r="49" spans="2:11" x14ac:dyDescent="0.25">
      <c r="G49" s="36"/>
      <c r="H49" s="36"/>
      <c r="I49" s="36"/>
      <c r="J49" s="36"/>
      <c r="K49" s="36"/>
    </row>
    <row r="50" spans="2:11" x14ac:dyDescent="0.25">
      <c r="B50" s="166" t="s">
        <v>30</v>
      </c>
      <c r="C50" s="72">
        <f>IFERROR(IF(C44&gt;C47,C44-C47,0),0)</f>
        <v>5.1937637937864256</v>
      </c>
      <c r="D50" s="72">
        <f t="shared" ref="D50:K50" si="36">IFERROR(IF(D44&gt;D47,D44-D47,0),0)</f>
        <v>4.8400475274414294</v>
      </c>
      <c r="E50" s="72">
        <f t="shared" si="36"/>
        <v>4.6551841167486883</v>
      </c>
      <c r="F50" s="72">
        <f t="shared" si="36"/>
        <v>4.4022463031944881</v>
      </c>
      <c r="G50" s="72">
        <f t="shared" si="36"/>
        <v>4.1306229356996909</v>
      </c>
      <c r="H50" s="72">
        <f t="shared" si="36"/>
        <v>3.8723501821227497</v>
      </c>
      <c r="I50" s="72">
        <f t="shared" si="36"/>
        <v>3.6133425720974222</v>
      </c>
      <c r="J50" s="72">
        <f t="shared" si="36"/>
        <v>3.3536019173469072</v>
      </c>
      <c r="K50" s="72">
        <f t="shared" si="36"/>
        <v>3.0931300236438002</v>
      </c>
    </row>
  </sheetData>
  <mergeCells count="1">
    <mergeCell ref="B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A0499-59F6-4F93-9DE0-F0796AC313D7}">
  <dimension ref="A2:K23"/>
  <sheetViews>
    <sheetView showGridLines="0" workbookViewId="0">
      <pane ySplit="4" topLeftCell="A11" activePane="bottomLeft" state="frozen"/>
      <selection pane="bottomLeft" activeCell="M1" activeCellId="1" sqref="L1:L1048576 M1:M1048576"/>
    </sheetView>
  </sheetViews>
  <sheetFormatPr defaultRowHeight="15" x14ac:dyDescent="0.25"/>
  <cols>
    <col min="1" max="1" width="1.85546875" customWidth="1"/>
    <col min="2" max="2" width="24.42578125" bestFit="1" customWidth="1"/>
    <col min="3" max="11" width="11.28515625" bestFit="1" customWidth="1"/>
  </cols>
  <sheetData>
    <row r="2" spans="1:11" x14ac:dyDescent="0.25">
      <c r="B2" s="229" t="str">
        <f>'Data Sheet'!B1&amp; " - "&amp;'Data Sheet'!A55&amp; " FORECASTING"</f>
        <v>DABUR INDIA LTD - BALANCE SHEET FORECASTING</v>
      </c>
      <c r="C2" s="229"/>
      <c r="D2" s="229"/>
      <c r="E2" s="229"/>
      <c r="F2" s="229"/>
      <c r="G2" s="229"/>
      <c r="H2" s="229"/>
      <c r="I2" s="229"/>
      <c r="J2" s="229"/>
      <c r="K2" s="229"/>
    </row>
    <row r="3" spans="1:11" x14ac:dyDescent="0.25">
      <c r="B3" s="8" t="s">
        <v>113</v>
      </c>
      <c r="C3" s="8">
        <v>1</v>
      </c>
      <c r="D3" s="8">
        <v>2</v>
      </c>
      <c r="E3" s="8">
        <v>3</v>
      </c>
      <c r="F3" s="8">
        <v>4</v>
      </c>
      <c r="G3" s="43">
        <v>5</v>
      </c>
      <c r="H3" s="43">
        <v>6</v>
      </c>
      <c r="I3" s="43">
        <v>7</v>
      </c>
      <c r="J3" s="43">
        <v>8</v>
      </c>
      <c r="K3" s="43">
        <v>9</v>
      </c>
    </row>
    <row r="4" spans="1:11" x14ac:dyDescent="0.25">
      <c r="B4" s="8" t="s">
        <v>0</v>
      </c>
      <c r="C4" s="37">
        <f>'Historical FS'!I3</f>
        <v>43921</v>
      </c>
      <c r="D4" s="37">
        <f>'Historical FS'!J3</f>
        <v>44286</v>
      </c>
      <c r="E4" s="37">
        <f>'Historical FS'!K3</f>
        <v>44651</v>
      </c>
      <c r="F4" s="37">
        <f>'Historical FS'!L3</f>
        <v>45016</v>
      </c>
      <c r="G4" s="44">
        <f>F4+365</f>
        <v>45381</v>
      </c>
      <c r="H4" s="44">
        <f t="shared" ref="H4:K4" si="0">G4+365</f>
        <v>45746</v>
      </c>
      <c r="I4" s="44">
        <f t="shared" si="0"/>
        <v>46111</v>
      </c>
      <c r="J4" s="44">
        <f t="shared" si="0"/>
        <v>46476</v>
      </c>
      <c r="K4" s="44">
        <f t="shared" si="0"/>
        <v>46841</v>
      </c>
    </row>
    <row r="5" spans="1:11" x14ac:dyDescent="0.25">
      <c r="B5" s="50"/>
      <c r="C5" s="51"/>
      <c r="D5" s="51"/>
      <c r="E5" s="51"/>
      <c r="F5" s="51"/>
      <c r="G5" s="52"/>
      <c r="H5" s="52"/>
      <c r="I5" s="52"/>
      <c r="J5" s="52"/>
      <c r="K5" s="52"/>
    </row>
    <row r="6" spans="1:11" x14ac:dyDescent="0.25">
      <c r="B6" s="168" t="s">
        <v>32</v>
      </c>
      <c r="C6" s="13">
        <f>'Historical FS'!I53</f>
        <v>176.71</v>
      </c>
      <c r="D6" s="13">
        <f>'Historical FS'!J53</f>
        <v>176.74</v>
      </c>
      <c r="E6" s="13">
        <f>'Historical FS'!K53</f>
        <v>176.79</v>
      </c>
      <c r="F6" s="13">
        <f>'Historical FS'!L53</f>
        <v>177.18</v>
      </c>
      <c r="G6" s="48">
        <f>FORECAST(G3,$C$6:$F$6,$C$3:$F$3)</f>
        <v>177.22</v>
      </c>
      <c r="H6" s="48">
        <f t="shared" ref="H6:K6" si="1">FORECAST(H3,$C$6:$F$6,$C$3:$F$3)</f>
        <v>177.36599999999999</v>
      </c>
      <c r="I6" s="48">
        <f t="shared" si="1"/>
        <v>177.512</v>
      </c>
      <c r="J6" s="48">
        <f t="shared" si="1"/>
        <v>177.65799999999999</v>
      </c>
      <c r="K6" s="48">
        <f t="shared" si="1"/>
        <v>177.804</v>
      </c>
    </row>
    <row r="7" spans="1:11" x14ac:dyDescent="0.25">
      <c r="B7" s="168" t="s">
        <v>33</v>
      </c>
      <c r="C7" s="13">
        <f>'Historical FS'!I54</f>
        <v>6429.04</v>
      </c>
      <c r="D7" s="13">
        <f>'Historical FS'!J54</f>
        <v>7486.79</v>
      </c>
      <c r="E7" s="13">
        <f>'Historical FS'!K54</f>
        <v>8204.51</v>
      </c>
      <c r="F7" s="13">
        <f>'Historical FS'!L54</f>
        <v>8796.08</v>
      </c>
      <c r="G7" s="48">
        <f>FORECAST(G3,$C$7:$F$7,$C$3:$F$3)</f>
        <v>9683.8149999999987</v>
      </c>
      <c r="H7" s="48">
        <f t="shared" ref="H7:K7" si="2">FORECAST(H3,$C$7:$F$7,$C$3:$F$3)</f>
        <v>10465.699000000001</v>
      </c>
      <c r="I7" s="48">
        <f t="shared" si="2"/>
        <v>11247.582999999999</v>
      </c>
      <c r="J7" s="48">
        <f t="shared" si="2"/>
        <v>12029.467000000001</v>
      </c>
      <c r="K7" s="48">
        <f t="shared" si="2"/>
        <v>12811.350999999999</v>
      </c>
    </row>
    <row r="8" spans="1:11" x14ac:dyDescent="0.25">
      <c r="B8" s="168" t="s">
        <v>34</v>
      </c>
      <c r="C8" s="13">
        <f>'Historical FS'!I55</f>
        <v>521.99</v>
      </c>
      <c r="D8" s="13">
        <f>'Historical FS'!J55</f>
        <v>509.06</v>
      </c>
      <c r="E8" s="13">
        <f>'Historical FS'!K55</f>
        <v>1030.0999999999999</v>
      </c>
      <c r="F8" s="13">
        <f>'Historical FS'!L55</f>
        <v>1173.79</v>
      </c>
      <c r="G8" s="48">
        <f>FORECAST(G3,$C$8:$F$8,$C$3:$F$3)</f>
        <v>1427.8449999999998</v>
      </c>
      <c r="H8" s="48">
        <f t="shared" ref="H8:K8" si="3">FORECAST(H3,$C$8:$F$8,$C$3:$F$3)</f>
        <v>1675.4889999999996</v>
      </c>
      <c r="I8" s="48">
        <f t="shared" si="3"/>
        <v>1923.1329999999996</v>
      </c>
      <c r="J8" s="48">
        <f t="shared" si="3"/>
        <v>2170.7769999999996</v>
      </c>
      <c r="K8" s="48">
        <f t="shared" si="3"/>
        <v>2418.4209999999994</v>
      </c>
    </row>
    <row r="9" spans="1:11" x14ac:dyDescent="0.25">
      <c r="B9" s="168" t="s">
        <v>35</v>
      </c>
      <c r="C9" s="13">
        <f>'Historical FS'!I56</f>
        <v>2208.84</v>
      </c>
      <c r="D9" s="13">
        <f>'Historical FS'!J56</f>
        <v>2660.63</v>
      </c>
      <c r="E9" s="13">
        <f>'Historical FS'!K56</f>
        <v>2872.46</v>
      </c>
      <c r="F9" s="13">
        <f>'Historical FS'!L56</f>
        <v>3505.23</v>
      </c>
      <c r="G9" s="48">
        <f>FORECAST(G3,$C$9:$F$9,$C$3:$F$3)</f>
        <v>3837.04</v>
      </c>
      <c r="H9" s="48">
        <f t="shared" ref="H9:K9" si="4">FORECAST(H3,$C$9:$F$9,$C$3:$F$3)</f>
        <v>4247.1400000000003</v>
      </c>
      <c r="I9" s="48">
        <f t="shared" si="4"/>
        <v>4657.24</v>
      </c>
      <c r="J9" s="48">
        <f t="shared" si="4"/>
        <v>5067.34</v>
      </c>
      <c r="K9" s="48">
        <f t="shared" si="4"/>
        <v>5477.4400000000005</v>
      </c>
    </row>
    <row r="10" spans="1:11" ht="15.75" thickBot="1" x14ac:dyDescent="0.3">
      <c r="A10" t="s">
        <v>2</v>
      </c>
      <c r="B10" s="179" t="s">
        <v>36</v>
      </c>
      <c r="C10" s="60">
        <f>SUM(C6:C9)</f>
        <v>9336.58</v>
      </c>
      <c r="D10" s="60">
        <f t="shared" ref="D10:K10" si="5">SUM(D6:D9)</f>
        <v>10833.220000000001</v>
      </c>
      <c r="E10" s="60">
        <f t="shared" si="5"/>
        <v>12283.86</v>
      </c>
      <c r="F10" s="60">
        <f t="shared" si="5"/>
        <v>13652.279999999999</v>
      </c>
      <c r="G10" s="61">
        <f t="shared" si="5"/>
        <v>15125.919999999998</v>
      </c>
      <c r="H10" s="61">
        <f t="shared" si="5"/>
        <v>16565.694</v>
      </c>
      <c r="I10" s="61">
        <f t="shared" si="5"/>
        <v>18005.468000000001</v>
      </c>
      <c r="J10" s="61">
        <f t="shared" si="5"/>
        <v>19445.241999999998</v>
      </c>
      <c r="K10" s="61">
        <f t="shared" si="5"/>
        <v>20885.015999999996</v>
      </c>
    </row>
    <row r="11" spans="1:11" x14ac:dyDescent="0.25">
      <c r="B11" s="1"/>
      <c r="G11" s="49"/>
      <c r="H11" s="49"/>
      <c r="I11" s="49"/>
      <c r="J11" s="49"/>
      <c r="K11" s="49"/>
    </row>
    <row r="12" spans="1:11" x14ac:dyDescent="0.25">
      <c r="B12" s="168" t="s">
        <v>37</v>
      </c>
      <c r="C12" s="13">
        <f>'Historical FS'!I59</f>
        <v>2252.6799999999998</v>
      </c>
      <c r="D12" s="13">
        <f>'Historical FS'!J59</f>
        <v>2242.92</v>
      </c>
      <c r="E12" s="13">
        <f>'Historical FS'!K59</f>
        <v>2307.9</v>
      </c>
      <c r="F12" s="13">
        <f>'Historical FS'!L59</f>
        <v>3578.65</v>
      </c>
      <c r="G12" s="48">
        <f>FORECAST(G3,$C$12:$F$12,$C$3:$F$3)</f>
        <v>3606.26</v>
      </c>
      <c r="H12" s="48">
        <f t="shared" ref="H12:K12" si="6">FORECAST(H3,$C$12:$F$12,$C$3:$F$3)</f>
        <v>4010.549</v>
      </c>
      <c r="I12" s="48">
        <f t="shared" si="6"/>
        <v>4414.8379999999997</v>
      </c>
      <c r="J12" s="48">
        <f t="shared" si="6"/>
        <v>4819.1270000000004</v>
      </c>
      <c r="K12" s="48">
        <f t="shared" si="6"/>
        <v>5223.4160000000011</v>
      </c>
    </row>
    <row r="13" spans="1:11" x14ac:dyDescent="0.25">
      <c r="B13" s="168" t="s">
        <v>38</v>
      </c>
      <c r="C13" s="13">
        <f>'Historical FS'!I60</f>
        <v>146.57</v>
      </c>
      <c r="D13" s="13">
        <f>'Historical FS'!J60</f>
        <v>147.30000000000001</v>
      </c>
      <c r="E13" s="13">
        <f>'Historical FS'!K60</f>
        <v>167.5</v>
      </c>
      <c r="F13" s="13">
        <f>'Historical FS'!L60</f>
        <v>175.13</v>
      </c>
      <c r="G13" s="48">
        <f>FORECAST(G3,$C$13:$F$13,$C$3:$F$3)</f>
        <v>185.595</v>
      </c>
      <c r="H13" s="48">
        <f t="shared" ref="H13:K13" si="7">FORECAST(H3,$C$13:$F$13,$C$3:$F$3)</f>
        <v>196.18299999999999</v>
      </c>
      <c r="I13" s="48">
        <f t="shared" si="7"/>
        <v>206.77100000000002</v>
      </c>
      <c r="J13" s="48">
        <f t="shared" si="7"/>
        <v>217.35899999999998</v>
      </c>
      <c r="K13" s="48">
        <f t="shared" si="7"/>
        <v>227.947</v>
      </c>
    </row>
    <row r="14" spans="1:11" x14ac:dyDescent="0.25">
      <c r="B14" s="168" t="s">
        <v>39</v>
      </c>
      <c r="C14" s="13">
        <f>'Historical FS'!I61</f>
        <v>2800.26</v>
      </c>
      <c r="D14" s="13">
        <f>'Historical FS'!J61</f>
        <v>4159.63</v>
      </c>
      <c r="E14" s="13">
        <f>'Historical FS'!K61</f>
        <v>6219.62</v>
      </c>
      <c r="F14" s="13">
        <f>'Historical FS'!L61</f>
        <v>6265.26</v>
      </c>
      <c r="G14" s="48">
        <f>FORECAST(G3,$C$14:$F$14,$C$3:$F$3)</f>
        <v>7974.94</v>
      </c>
      <c r="H14" s="48">
        <f t="shared" ref="H14:K14" si="8">FORECAST(H3,$C$14:$F$14,$C$3:$F$3)</f>
        <v>9220.4389999999985</v>
      </c>
      <c r="I14" s="48">
        <f t="shared" si="8"/>
        <v>10465.937999999998</v>
      </c>
      <c r="J14" s="48">
        <f t="shared" si="8"/>
        <v>11711.436999999998</v>
      </c>
      <c r="K14" s="48">
        <f t="shared" si="8"/>
        <v>12956.935999999998</v>
      </c>
    </row>
    <row r="15" spans="1:11" x14ac:dyDescent="0.25">
      <c r="B15" s="168" t="s">
        <v>40</v>
      </c>
      <c r="C15" s="13">
        <f>'Historical FS'!I62</f>
        <v>1132.2399999999998</v>
      </c>
      <c r="D15" s="13">
        <f>'Historical FS'!J62</f>
        <v>658.47999999999956</v>
      </c>
      <c r="E15" s="13">
        <f>'Historical FS'!K62</f>
        <v>461.18000000000029</v>
      </c>
      <c r="F15" s="13">
        <f>'Historical FS'!L62</f>
        <v>434.36999999999989</v>
      </c>
      <c r="G15" s="48">
        <f>FORECAST(G3,$C$15:$F$15,$C$3:$F$3)</f>
        <v>98.840000000000146</v>
      </c>
      <c r="H15" s="48">
        <f t="shared" ref="H15:K15" si="9">FORECAST(H3,$C$15:$F$15,$C$3:$F$3)</f>
        <v>-130.25099999999975</v>
      </c>
      <c r="I15" s="48">
        <f t="shared" si="9"/>
        <v>-359.34199999999964</v>
      </c>
      <c r="J15" s="48">
        <f t="shared" si="9"/>
        <v>-588.43299999999954</v>
      </c>
      <c r="K15" s="48">
        <f t="shared" si="9"/>
        <v>-817.52399999999943</v>
      </c>
    </row>
    <row r="16" spans="1:11" x14ac:dyDescent="0.25">
      <c r="A16" t="s">
        <v>2</v>
      </c>
      <c r="B16" s="178" t="s">
        <v>41</v>
      </c>
      <c r="C16" s="62">
        <f>SUM(C12:C15)</f>
        <v>6331.75</v>
      </c>
      <c r="D16" s="62">
        <f t="shared" ref="D16:K16" si="10">SUM(D12:D15)</f>
        <v>7208.33</v>
      </c>
      <c r="E16" s="62">
        <f t="shared" si="10"/>
        <v>9156.2000000000007</v>
      </c>
      <c r="F16" s="62">
        <f t="shared" si="10"/>
        <v>10453.41</v>
      </c>
      <c r="G16" s="63">
        <f t="shared" si="10"/>
        <v>11865.635</v>
      </c>
      <c r="H16" s="63">
        <f t="shared" si="10"/>
        <v>13296.919999999998</v>
      </c>
      <c r="I16" s="63">
        <f t="shared" si="10"/>
        <v>14728.204999999998</v>
      </c>
      <c r="J16" s="63">
        <f t="shared" si="10"/>
        <v>16159.49</v>
      </c>
      <c r="K16" s="63">
        <f t="shared" si="10"/>
        <v>17590.775000000001</v>
      </c>
    </row>
    <row r="17" spans="1:11" x14ac:dyDescent="0.25">
      <c r="B17" s="1"/>
      <c r="G17" s="49"/>
      <c r="H17" s="49"/>
      <c r="I17" s="49"/>
      <c r="J17" s="49"/>
      <c r="K17" s="49"/>
    </row>
    <row r="18" spans="1:11" x14ac:dyDescent="0.25">
      <c r="B18" s="168" t="s">
        <v>42</v>
      </c>
      <c r="C18" s="13">
        <f>'Historical FS'!I65</f>
        <v>813.89</v>
      </c>
      <c r="D18" s="13">
        <f>'Historical FS'!J65</f>
        <v>561.58000000000004</v>
      </c>
      <c r="E18" s="13">
        <f>'Historical FS'!K65</f>
        <v>646.15</v>
      </c>
      <c r="F18" s="13">
        <f>'Historical FS'!L65</f>
        <v>848.75</v>
      </c>
      <c r="G18" s="48">
        <f>FORECAST(G3,$C$18:$F$18,$C$3:$F$3)</f>
        <v>764.87999999999988</v>
      </c>
      <c r="H18" s="48">
        <f t="shared" ref="H18:K18" si="11">FORECAST(H3,$C$18:$F$18,$C$3:$F$3)</f>
        <v>783.79499999999996</v>
      </c>
      <c r="I18" s="48">
        <f t="shared" si="11"/>
        <v>802.70999999999992</v>
      </c>
      <c r="J18" s="48">
        <f t="shared" si="11"/>
        <v>821.625</v>
      </c>
      <c r="K18" s="48">
        <f t="shared" si="11"/>
        <v>840.54</v>
      </c>
    </row>
    <row r="19" spans="1:11" x14ac:dyDescent="0.25">
      <c r="B19" s="168" t="s">
        <v>43</v>
      </c>
      <c r="C19" s="13">
        <f>'Historical FS'!I66</f>
        <v>1379.57</v>
      </c>
      <c r="D19" s="13">
        <f>'Historical FS'!J66</f>
        <v>1734.28</v>
      </c>
      <c r="E19" s="13">
        <f>'Historical FS'!K66</f>
        <v>1911.37</v>
      </c>
      <c r="F19" s="13">
        <f>'Historical FS'!L66</f>
        <v>2024.2</v>
      </c>
      <c r="G19" s="48">
        <f>FORECAST(G3,$C$19:$F$19,$C$3:$F$3)</f>
        <v>2290.1</v>
      </c>
      <c r="H19" s="48">
        <f t="shared" ref="H19:K19" si="12">FORECAST(H3,$C$19:$F$19,$C$3:$F$3)</f>
        <v>2501.1979999999999</v>
      </c>
      <c r="I19" s="48">
        <f t="shared" si="12"/>
        <v>2712.2960000000003</v>
      </c>
      <c r="J19" s="48">
        <f t="shared" si="12"/>
        <v>2923.3940000000002</v>
      </c>
      <c r="K19" s="48">
        <f t="shared" si="12"/>
        <v>3134.4920000000002</v>
      </c>
    </row>
    <row r="20" spans="1:11" x14ac:dyDescent="0.25">
      <c r="B20" s="168" t="s">
        <v>44</v>
      </c>
      <c r="C20" s="13">
        <f>'Historical FS'!I67</f>
        <v>811.37</v>
      </c>
      <c r="D20" s="13">
        <f>'Historical FS'!J67</f>
        <v>1329.03</v>
      </c>
      <c r="E20" s="13">
        <f>'Historical FS'!K67</f>
        <v>570.14</v>
      </c>
      <c r="F20" s="13">
        <f>'Historical FS'!L67</f>
        <v>325.92</v>
      </c>
      <c r="G20" s="48">
        <f>FORECAST(G3,$C$20:$F$20,$C$3:$F$3)</f>
        <v>205.30500000000006</v>
      </c>
      <c r="H20" s="48">
        <f t="shared" ref="H20:K20" si="13">FORECAST(H3,$C$20:$F$20,$C$3:$F$3)</f>
        <v>-16.218999999999824</v>
      </c>
      <c r="I20" s="48">
        <f t="shared" si="13"/>
        <v>-237.74299999999994</v>
      </c>
      <c r="J20" s="48">
        <f t="shared" si="13"/>
        <v>-459.26699999999983</v>
      </c>
      <c r="K20" s="48">
        <f t="shared" si="13"/>
        <v>-680.79099999999971</v>
      </c>
    </row>
    <row r="21" spans="1:11" x14ac:dyDescent="0.25">
      <c r="A21" t="s">
        <v>2</v>
      </c>
      <c r="B21" s="178" t="s">
        <v>45</v>
      </c>
      <c r="C21" s="62">
        <f>SUM(C18:C20)</f>
        <v>3004.83</v>
      </c>
      <c r="D21" s="62">
        <f t="shared" ref="D21:K21" si="14">SUM(D18:D20)</f>
        <v>3624.8900000000003</v>
      </c>
      <c r="E21" s="62">
        <f t="shared" si="14"/>
        <v>3127.66</v>
      </c>
      <c r="F21" s="62">
        <f t="shared" si="14"/>
        <v>3198.87</v>
      </c>
      <c r="G21" s="63">
        <f t="shared" si="14"/>
        <v>3260.2849999999999</v>
      </c>
      <c r="H21" s="63">
        <f t="shared" si="14"/>
        <v>3268.7740000000003</v>
      </c>
      <c r="I21" s="63">
        <f t="shared" si="14"/>
        <v>3277.2630000000004</v>
      </c>
      <c r="J21" s="63">
        <f t="shared" si="14"/>
        <v>3285.7520000000004</v>
      </c>
      <c r="K21" s="63">
        <f t="shared" si="14"/>
        <v>3294.2410000000004</v>
      </c>
    </row>
    <row r="22" spans="1:11" x14ac:dyDescent="0.25">
      <c r="G22" s="49"/>
      <c r="H22" s="49"/>
      <c r="I22" s="49"/>
      <c r="J22" s="49"/>
      <c r="K22" s="49"/>
    </row>
    <row r="23" spans="1:11" ht="15.75" thickBot="1" x14ac:dyDescent="0.3">
      <c r="A23" t="s">
        <v>2</v>
      </c>
      <c r="B23" s="177" t="s">
        <v>46</v>
      </c>
      <c r="C23" s="60">
        <f>C21+C16</f>
        <v>9336.58</v>
      </c>
      <c r="D23" s="60">
        <f t="shared" ref="D23:K23" si="15">D21+D16</f>
        <v>10833.220000000001</v>
      </c>
      <c r="E23" s="60">
        <f t="shared" si="15"/>
        <v>12283.86</v>
      </c>
      <c r="F23" s="60">
        <f t="shared" si="15"/>
        <v>13652.279999999999</v>
      </c>
      <c r="G23" s="61">
        <f t="shared" si="15"/>
        <v>15125.92</v>
      </c>
      <c r="H23" s="61">
        <f t="shared" si="15"/>
        <v>16565.694</v>
      </c>
      <c r="I23" s="61">
        <f t="shared" si="15"/>
        <v>18005.467999999997</v>
      </c>
      <c r="J23" s="61">
        <f t="shared" si="15"/>
        <v>19445.241999999998</v>
      </c>
      <c r="K23" s="61">
        <f t="shared" si="15"/>
        <v>20885.016000000003</v>
      </c>
    </row>
  </sheetData>
  <mergeCells count="1">
    <mergeCell ref="B2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A1035-75F8-403D-9870-62A6224161F9}">
  <dimension ref="A2:K42"/>
  <sheetViews>
    <sheetView showGridLines="0" workbookViewId="0">
      <pane ySplit="4" topLeftCell="A24" activePane="bottomLeft" state="frozen"/>
      <selection pane="bottomLeft" activeCell="L27" sqref="L27"/>
    </sheetView>
  </sheetViews>
  <sheetFormatPr defaultRowHeight="15" x14ac:dyDescent="0.25"/>
  <cols>
    <col min="1" max="1" width="1.85546875" customWidth="1"/>
    <col min="2" max="2" width="28.7109375" bestFit="1" customWidth="1"/>
    <col min="3" max="9" width="11.140625" bestFit="1" customWidth="1"/>
    <col min="10" max="11" width="12.7109375" bestFit="1" customWidth="1"/>
  </cols>
  <sheetData>
    <row r="2" spans="1:11" x14ac:dyDescent="0.25">
      <c r="B2" s="229" t="str">
        <f>'Data Sheet'!B1&amp; " - "&amp;'Data Sheet'!A80&amp; " FORECASTING"</f>
        <v>DABUR INDIA LTD - CASH FLOW: FORECASTING</v>
      </c>
      <c r="C2" s="229"/>
      <c r="D2" s="229"/>
      <c r="E2" s="229"/>
      <c r="F2" s="229"/>
      <c r="G2" s="229"/>
      <c r="H2" s="229"/>
      <c r="I2" s="229"/>
      <c r="J2" s="229"/>
      <c r="K2" s="229"/>
    </row>
    <row r="3" spans="1:11" x14ac:dyDescent="0.25">
      <c r="B3" s="8" t="s">
        <v>113</v>
      </c>
      <c r="C3" s="8">
        <v>1</v>
      </c>
      <c r="D3" s="8">
        <v>2</v>
      </c>
      <c r="E3" s="8">
        <v>3</v>
      </c>
      <c r="F3" s="8">
        <v>4</v>
      </c>
      <c r="G3" s="43">
        <v>5</v>
      </c>
      <c r="H3" s="43">
        <v>6</v>
      </c>
      <c r="I3" s="43">
        <v>7</v>
      </c>
      <c r="J3" s="43">
        <v>8</v>
      </c>
      <c r="K3" s="43">
        <v>9</v>
      </c>
    </row>
    <row r="4" spans="1:11" x14ac:dyDescent="0.25">
      <c r="B4" s="8" t="s">
        <v>0</v>
      </c>
      <c r="C4" s="37">
        <f>'Historical FS'!I3</f>
        <v>43921</v>
      </c>
      <c r="D4" s="37">
        <f>'Historical FS'!J3</f>
        <v>44286</v>
      </c>
      <c r="E4" s="37">
        <f>'Historical FS'!K3</f>
        <v>44651</v>
      </c>
      <c r="F4" s="37">
        <f>'Historical FS'!L3</f>
        <v>45016</v>
      </c>
      <c r="G4" s="44">
        <f>F4+365</f>
        <v>45381</v>
      </c>
      <c r="H4" s="44">
        <f t="shared" ref="H4:K4" si="0">G4+365</f>
        <v>45746</v>
      </c>
      <c r="I4" s="44">
        <f t="shared" si="0"/>
        <v>46111</v>
      </c>
      <c r="J4" s="44">
        <f t="shared" si="0"/>
        <v>46476</v>
      </c>
      <c r="K4" s="44">
        <f t="shared" si="0"/>
        <v>46841</v>
      </c>
    </row>
    <row r="5" spans="1:11" x14ac:dyDescent="0.25">
      <c r="B5" s="50"/>
      <c r="C5" s="51"/>
      <c r="D5" s="51"/>
      <c r="E5" s="51"/>
      <c r="F5" s="51"/>
      <c r="G5" s="52"/>
      <c r="H5" s="52"/>
      <c r="I5" s="52"/>
      <c r="J5" s="52"/>
      <c r="K5" s="52"/>
    </row>
    <row r="6" spans="1:11" x14ac:dyDescent="0.25">
      <c r="A6" t="s">
        <v>2</v>
      </c>
      <c r="B6" s="171" t="s">
        <v>49</v>
      </c>
    </row>
    <row r="7" spans="1:11" x14ac:dyDescent="0.25">
      <c r="B7" s="166" t="s">
        <v>50</v>
      </c>
      <c r="C7" s="13">
        <f>'Historical FS'!I76</f>
        <v>1981</v>
      </c>
      <c r="D7" s="13">
        <f>'Historical FS'!J76</f>
        <v>2048</v>
      </c>
      <c r="E7" s="13">
        <f>'Historical FS'!K76</f>
        <v>2287</v>
      </c>
      <c r="F7" s="13">
        <f>'Historical FS'!L76</f>
        <v>2143</v>
      </c>
      <c r="G7" s="48">
        <f>FORECAST(G3,$C$7:$F$7,$C$3:$F$3)</f>
        <v>2296</v>
      </c>
      <c r="H7" s="48">
        <f t="shared" ref="H7:K7" si="1">FORECAST(H3,$C$7:$F$7,$C$3:$F$3)</f>
        <v>2368.5</v>
      </c>
      <c r="I7" s="48">
        <f t="shared" si="1"/>
        <v>2441</v>
      </c>
      <c r="J7" s="48">
        <f t="shared" si="1"/>
        <v>2513.5</v>
      </c>
      <c r="K7" s="48">
        <f t="shared" si="1"/>
        <v>2586</v>
      </c>
    </row>
    <row r="8" spans="1:11" x14ac:dyDescent="0.25">
      <c r="B8" s="166" t="s">
        <v>42</v>
      </c>
      <c r="C8" s="13">
        <f>'Historical FS'!I77</f>
        <v>14</v>
      </c>
      <c r="D8" s="13">
        <f>'Historical FS'!J77</f>
        <v>248</v>
      </c>
      <c r="E8" s="13">
        <f>'Historical FS'!K77</f>
        <v>-78</v>
      </c>
      <c r="F8" s="13">
        <f>'Historical FS'!L77</f>
        <v>-191</v>
      </c>
      <c r="G8" s="48">
        <f>FORECAST(G3,$C$8:$F$8,$C$3:$F$3)</f>
        <v>-237</v>
      </c>
      <c r="H8" s="48">
        <f t="shared" ref="H8:K8" si="2">FORECAST(H3,$C$8:$F$8,$C$3:$F$3)</f>
        <v>-331.09999999999991</v>
      </c>
      <c r="I8" s="48">
        <f t="shared" si="2"/>
        <v>-425.19999999999993</v>
      </c>
      <c r="J8" s="48">
        <f t="shared" si="2"/>
        <v>-519.29999999999995</v>
      </c>
      <c r="K8" s="48">
        <f t="shared" si="2"/>
        <v>-613.4</v>
      </c>
    </row>
    <row r="9" spans="1:11" x14ac:dyDescent="0.25">
      <c r="B9" s="166" t="s">
        <v>43</v>
      </c>
      <c r="C9" s="13">
        <f>'Historical FS'!I78</f>
        <v>-79</v>
      </c>
      <c r="D9" s="13">
        <f>'Historical FS'!J78</f>
        <v>-355</v>
      </c>
      <c r="E9" s="13">
        <f>'Historical FS'!K78</f>
        <v>-177</v>
      </c>
      <c r="F9" s="13">
        <f>'Historical FS'!L78</f>
        <v>-96</v>
      </c>
      <c r="G9" s="48">
        <f>FORECAST(G3,$C$9:$F$9,$C$3:$F$3)</f>
        <v>-145</v>
      </c>
      <c r="H9" s="48">
        <f t="shared" ref="H9:K9" si="3">FORECAST(H3,$C$9:$F$9,$C$3:$F$3)</f>
        <v>-132.30000000000001</v>
      </c>
      <c r="I9" s="48">
        <f t="shared" si="3"/>
        <v>-119.60000000000001</v>
      </c>
      <c r="J9" s="48">
        <f t="shared" si="3"/>
        <v>-106.9</v>
      </c>
      <c r="K9" s="48">
        <f t="shared" si="3"/>
        <v>-94.2</v>
      </c>
    </row>
    <row r="10" spans="1:11" x14ac:dyDescent="0.25">
      <c r="B10" s="166" t="s">
        <v>51</v>
      </c>
      <c r="C10" s="13">
        <f>'Historical FS'!I79</f>
        <v>26</v>
      </c>
      <c r="D10" s="13">
        <f>'Historical FS'!J79</f>
        <v>434</v>
      </c>
      <c r="E10" s="13">
        <f>'Historical FS'!K79</f>
        <v>108</v>
      </c>
      <c r="F10" s="13">
        <f>'Historical FS'!L79</f>
        <v>141</v>
      </c>
      <c r="G10" s="48">
        <f>FORECAST(G3,$C$10:$F$10,$C$3:$F$3)</f>
        <v>182</v>
      </c>
      <c r="H10" s="48">
        <f t="shared" ref="H10:K10" si="4">FORECAST(H3,$C$10:$F$10,$C$3:$F$3)</f>
        <v>183.9</v>
      </c>
      <c r="I10" s="48">
        <f t="shared" si="4"/>
        <v>185.8</v>
      </c>
      <c r="J10" s="48">
        <f t="shared" si="4"/>
        <v>187.7</v>
      </c>
      <c r="K10" s="48">
        <f t="shared" si="4"/>
        <v>189.6</v>
      </c>
    </row>
    <row r="11" spans="1:11" x14ac:dyDescent="0.25">
      <c r="B11" s="166" t="s">
        <v>52</v>
      </c>
      <c r="C11" s="13">
        <f>'Historical FS'!I80</f>
        <v>0</v>
      </c>
      <c r="D11" s="13">
        <f>'Historical FS'!J80</f>
        <v>0</v>
      </c>
      <c r="E11" s="13">
        <f>'Historical FS'!K80</f>
        <v>0</v>
      </c>
      <c r="F11" s="13">
        <f>'Historical FS'!L80</f>
        <v>0</v>
      </c>
      <c r="G11" s="48">
        <f>FORECAST(G3,$C$11:$F$11,$C$3:$F$3)</f>
        <v>0</v>
      </c>
      <c r="H11" s="48">
        <f t="shared" ref="H11:K11" si="5">FORECAST(H3,$C$11:$F$11,$C$3:$F$3)</f>
        <v>0</v>
      </c>
      <c r="I11" s="48">
        <f t="shared" si="5"/>
        <v>0</v>
      </c>
      <c r="J11" s="48">
        <f t="shared" si="5"/>
        <v>0</v>
      </c>
      <c r="K11" s="48">
        <f t="shared" si="5"/>
        <v>0</v>
      </c>
    </row>
    <row r="12" spans="1:11" x14ac:dyDescent="0.25">
      <c r="B12" s="166" t="s">
        <v>53</v>
      </c>
      <c r="C12" s="13">
        <f>'Historical FS'!I81</f>
        <v>-19</v>
      </c>
      <c r="D12" s="13">
        <f>'Historical FS'!J81</f>
        <v>62</v>
      </c>
      <c r="E12" s="13">
        <f>'Historical FS'!K81</f>
        <v>51</v>
      </c>
      <c r="F12" s="13">
        <f>'Historical FS'!L81</f>
        <v>-15</v>
      </c>
      <c r="G12" s="48">
        <f>FORECAST(G3,$C$12:$F$12,$C$3:$F$3)</f>
        <v>20</v>
      </c>
      <c r="H12" s="48">
        <f t="shared" ref="H12:K12" si="6">FORECAST(H3,$C$12:$F$12,$C$3:$F$3)</f>
        <v>20.100000000000001</v>
      </c>
      <c r="I12" s="48">
        <f t="shared" si="6"/>
        <v>20.2</v>
      </c>
      <c r="J12" s="48">
        <f t="shared" si="6"/>
        <v>20.3</v>
      </c>
      <c r="K12" s="48">
        <f t="shared" si="6"/>
        <v>20.399999999999999</v>
      </c>
    </row>
    <row r="13" spans="1:11" x14ac:dyDescent="0.25">
      <c r="B13" s="166" t="s">
        <v>54</v>
      </c>
      <c r="C13" s="13">
        <f>'Historical FS'!I82</f>
        <v>-309</v>
      </c>
      <c r="D13" s="13">
        <f>'Historical FS'!J82</f>
        <v>-321</v>
      </c>
      <c r="E13" s="13">
        <f>'Historical FS'!K82</f>
        <v>-388</v>
      </c>
      <c r="F13" s="13">
        <f>'Historical FS'!L82</f>
        <v>-494</v>
      </c>
      <c r="G13" s="48">
        <f t="shared" ref="G13:K13" si="7">FORECAST(G3,$C$13:$F$13,$C$3:$F$3)</f>
        <v>-533.5</v>
      </c>
      <c r="H13" s="48">
        <f t="shared" si="7"/>
        <v>-595.70000000000005</v>
      </c>
      <c r="I13" s="48">
        <f t="shared" si="7"/>
        <v>-657.90000000000009</v>
      </c>
      <c r="J13" s="48">
        <f t="shared" si="7"/>
        <v>-720.1</v>
      </c>
      <c r="K13" s="48">
        <f t="shared" si="7"/>
        <v>-782.30000000000007</v>
      </c>
    </row>
    <row r="14" spans="1:11" x14ac:dyDescent="0.25">
      <c r="B14" s="178" t="s">
        <v>55</v>
      </c>
      <c r="C14" s="62">
        <f t="shared" ref="C14:K14" si="8">SUM(C7:C13)</f>
        <v>1614</v>
      </c>
      <c r="D14" s="62">
        <f t="shared" si="8"/>
        <v>2116</v>
      </c>
      <c r="E14" s="62">
        <f t="shared" si="8"/>
        <v>1803</v>
      </c>
      <c r="F14" s="62">
        <f t="shared" si="8"/>
        <v>1488</v>
      </c>
      <c r="G14" s="63">
        <f t="shared" si="8"/>
        <v>1582.5</v>
      </c>
      <c r="H14" s="63">
        <f t="shared" si="8"/>
        <v>1513.3999999999999</v>
      </c>
      <c r="I14" s="63">
        <f t="shared" si="8"/>
        <v>1444.3000000000002</v>
      </c>
      <c r="J14" s="63">
        <f t="shared" si="8"/>
        <v>1375.2000000000003</v>
      </c>
      <c r="K14" s="63">
        <f t="shared" si="8"/>
        <v>1306.0999999999999</v>
      </c>
    </row>
    <row r="15" spans="1:11" x14ac:dyDescent="0.25">
      <c r="G15" s="49"/>
      <c r="H15" s="49"/>
      <c r="I15" s="49"/>
      <c r="J15" s="49"/>
      <c r="K15" s="49"/>
    </row>
    <row r="16" spans="1:11" x14ac:dyDescent="0.25">
      <c r="A16" t="s">
        <v>2</v>
      </c>
      <c r="B16" s="171" t="s">
        <v>56</v>
      </c>
      <c r="G16" s="49"/>
      <c r="H16" s="49"/>
      <c r="I16" s="49"/>
      <c r="J16" s="49"/>
      <c r="K16" s="49"/>
    </row>
    <row r="17" spans="1:11" x14ac:dyDescent="0.25">
      <c r="B17" s="166" t="s">
        <v>57</v>
      </c>
      <c r="C17" s="13">
        <f>'Historical FS'!I86</f>
        <v>-417</v>
      </c>
      <c r="D17" s="13">
        <f>'Historical FS'!J86</f>
        <v>-311</v>
      </c>
      <c r="E17" s="13">
        <f>'Historical FS'!K86</f>
        <v>-374</v>
      </c>
      <c r="F17" s="13">
        <f>'Historical FS'!L86</f>
        <v>-509</v>
      </c>
      <c r="G17" s="48">
        <f t="shared" ref="G17:K17" si="9">FORECAST(G3,$C$17:$F$17,$C$3:$F$3)</f>
        <v>-487.5</v>
      </c>
      <c r="H17" s="48">
        <f t="shared" si="9"/>
        <v>-521.4</v>
      </c>
      <c r="I17" s="48">
        <f t="shared" si="9"/>
        <v>-555.29999999999995</v>
      </c>
      <c r="J17" s="48">
        <f t="shared" si="9"/>
        <v>-589.20000000000005</v>
      </c>
      <c r="K17" s="48">
        <f t="shared" si="9"/>
        <v>-623.09999999999991</v>
      </c>
    </row>
    <row r="18" spans="1:11" x14ac:dyDescent="0.25">
      <c r="B18" s="166" t="s">
        <v>58</v>
      </c>
      <c r="C18" s="13">
        <f>'Historical FS'!I87</f>
        <v>17</v>
      </c>
      <c r="D18" s="13">
        <f>'Historical FS'!J87</f>
        <v>5</v>
      </c>
      <c r="E18" s="13">
        <f>'Historical FS'!K87</f>
        <v>5</v>
      </c>
      <c r="F18" s="13">
        <f>'Historical FS'!L87</f>
        <v>23</v>
      </c>
      <c r="G18" s="48">
        <f t="shared" ref="G18:K18" si="10">FORECAST(G3,$C$18:$F$18,$C$3:$F$3)</f>
        <v>17</v>
      </c>
      <c r="H18" s="48">
        <f t="shared" si="10"/>
        <v>18.8</v>
      </c>
      <c r="I18" s="48">
        <f t="shared" si="10"/>
        <v>20.6</v>
      </c>
      <c r="J18" s="48">
        <f t="shared" si="10"/>
        <v>22.4</v>
      </c>
      <c r="K18" s="48">
        <f t="shared" si="10"/>
        <v>24.2</v>
      </c>
    </row>
    <row r="19" spans="1:11" x14ac:dyDescent="0.25">
      <c r="B19" s="166" t="s">
        <v>59</v>
      </c>
      <c r="C19" s="13">
        <f>'Historical FS'!I88</f>
        <v>-8479</v>
      </c>
      <c r="D19" s="13">
        <f>'Historical FS'!J88</f>
        <v>-7635</v>
      </c>
      <c r="E19" s="13">
        <f>'Historical FS'!K88</f>
        <v>-7507</v>
      </c>
      <c r="F19" s="13">
        <f>'Historical FS'!L88</f>
        <v>-4177</v>
      </c>
      <c r="G19" s="48">
        <f t="shared" ref="G19:K19" si="11">FORECAST(G3,$C$19:$F$19,$C$3:$F$3)</f>
        <v>-3691</v>
      </c>
      <c r="H19" s="48">
        <f t="shared" si="11"/>
        <v>-2387.5999999999995</v>
      </c>
      <c r="I19" s="48">
        <f t="shared" si="11"/>
        <v>-1084.1999999999989</v>
      </c>
      <c r="J19" s="48">
        <f t="shared" si="11"/>
        <v>219.20000000000073</v>
      </c>
      <c r="K19" s="48">
        <f t="shared" si="11"/>
        <v>1522.6000000000004</v>
      </c>
    </row>
    <row r="20" spans="1:11" x14ac:dyDescent="0.25">
      <c r="B20" s="166" t="s">
        <v>60</v>
      </c>
      <c r="C20" s="13">
        <f>'Historical FS'!I89</f>
        <v>8114</v>
      </c>
      <c r="D20" s="13">
        <f>'Historical FS'!J89</f>
        <v>6274</v>
      </c>
      <c r="E20" s="13">
        <f>'Historical FS'!K89</f>
        <v>6234</v>
      </c>
      <c r="F20" s="13">
        <f>'Historical FS'!L89</f>
        <v>4164</v>
      </c>
      <c r="G20" s="48">
        <f t="shared" ref="G20:K20" si="12">FORECAST(G3,$C$20:$F$20,$C$3:$F$3)</f>
        <v>3224</v>
      </c>
      <c r="H20" s="48">
        <f t="shared" si="12"/>
        <v>2035</v>
      </c>
      <c r="I20" s="48">
        <f t="shared" si="12"/>
        <v>846</v>
      </c>
      <c r="J20" s="48">
        <f t="shared" si="12"/>
        <v>-343</v>
      </c>
      <c r="K20" s="48">
        <f t="shared" si="12"/>
        <v>-1532</v>
      </c>
    </row>
    <row r="21" spans="1:11" x14ac:dyDescent="0.25">
      <c r="B21" s="166" t="s">
        <v>61</v>
      </c>
      <c r="C21" s="13">
        <f>'Historical FS'!I90</f>
        <v>248</v>
      </c>
      <c r="D21" s="13">
        <f>'Historical FS'!J90</f>
        <v>262</v>
      </c>
      <c r="E21" s="13">
        <f>'Historical FS'!K90</f>
        <v>367</v>
      </c>
      <c r="F21" s="13">
        <f>'Historical FS'!L90</f>
        <v>394</v>
      </c>
      <c r="G21" s="48">
        <f t="shared" ref="G21:K21" si="13">FORECAST(G3,$C$21:$F$21,$C$3:$F$3)</f>
        <v>453.5</v>
      </c>
      <c r="H21" s="48">
        <f t="shared" si="13"/>
        <v>507.79999999999995</v>
      </c>
      <c r="I21" s="48">
        <f t="shared" si="13"/>
        <v>562.09999999999991</v>
      </c>
      <c r="J21" s="48">
        <f t="shared" si="13"/>
        <v>616.4</v>
      </c>
      <c r="K21" s="48">
        <f t="shared" si="13"/>
        <v>670.7</v>
      </c>
    </row>
    <row r="22" spans="1:11" x14ac:dyDescent="0.25">
      <c r="B22" s="166" t="s">
        <v>62</v>
      </c>
      <c r="C22" s="13">
        <f>'Historical FS'!I91</f>
        <v>0</v>
      </c>
      <c r="D22" s="13">
        <f>'Historical FS'!J91</f>
        <v>0</v>
      </c>
      <c r="E22" s="13">
        <f>'Historical FS'!K91</f>
        <v>0</v>
      </c>
      <c r="F22" s="13">
        <f>'Historical FS'!L91</f>
        <v>0</v>
      </c>
      <c r="G22" s="48">
        <f t="shared" ref="G22:K22" si="14">FORECAST(G3,$C$22:$F$22,$C$3:$F$3)</f>
        <v>0</v>
      </c>
      <c r="H22" s="48">
        <f t="shared" si="14"/>
        <v>0</v>
      </c>
      <c r="I22" s="48">
        <f t="shared" si="14"/>
        <v>0</v>
      </c>
      <c r="J22" s="48">
        <f t="shared" si="14"/>
        <v>0</v>
      </c>
      <c r="K22" s="48">
        <f t="shared" si="14"/>
        <v>0</v>
      </c>
    </row>
    <row r="23" spans="1:11" x14ac:dyDescent="0.25">
      <c r="B23" s="166" t="s">
        <v>63</v>
      </c>
      <c r="C23" s="13">
        <f>'Historical FS'!I92</f>
        <v>0</v>
      </c>
      <c r="D23" s="13">
        <f>'Historical FS'!J92</f>
        <v>0</v>
      </c>
      <c r="E23" s="13">
        <f>'Historical FS'!K92</f>
        <v>0</v>
      </c>
      <c r="F23" s="13">
        <f>'Historical FS'!L92</f>
        <v>0</v>
      </c>
      <c r="G23" s="48">
        <f t="shared" ref="G23:K23" si="15">FORECAST(G3,$C$23:$F$23,$C$3:$F$3)</f>
        <v>0</v>
      </c>
      <c r="H23" s="48">
        <f t="shared" si="15"/>
        <v>0</v>
      </c>
      <c r="I23" s="48">
        <f t="shared" si="15"/>
        <v>0</v>
      </c>
      <c r="J23" s="48">
        <f t="shared" si="15"/>
        <v>0</v>
      </c>
      <c r="K23" s="48">
        <f t="shared" si="15"/>
        <v>0</v>
      </c>
    </row>
    <row r="24" spans="1:11" x14ac:dyDescent="0.25">
      <c r="B24" s="166" t="s">
        <v>64</v>
      </c>
      <c r="C24" s="13">
        <f>'Historical FS'!I93</f>
        <v>0</v>
      </c>
      <c r="D24" s="13">
        <f>'Historical FS'!J93</f>
        <v>0</v>
      </c>
      <c r="E24" s="13">
        <f>'Historical FS'!K93</f>
        <v>0</v>
      </c>
      <c r="F24" s="13">
        <f>'Historical FS'!L93</f>
        <v>0</v>
      </c>
      <c r="G24" s="48">
        <f t="shared" ref="G24:K24" si="16">FORECAST(G3,$C$24:$F$24,$C$3:$F$3)</f>
        <v>0</v>
      </c>
      <c r="H24" s="48">
        <f t="shared" si="16"/>
        <v>0</v>
      </c>
      <c r="I24" s="48">
        <f t="shared" si="16"/>
        <v>0</v>
      </c>
      <c r="J24" s="48">
        <f t="shared" si="16"/>
        <v>0</v>
      </c>
      <c r="K24" s="48">
        <f t="shared" si="16"/>
        <v>0</v>
      </c>
    </row>
    <row r="25" spans="1:11" x14ac:dyDescent="0.25">
      <c r="B25" s="166" t="s">
        <v>65</v>
      </c>
      <c r="C25" s="13">
        <f>'Historical FS'!I94</f>
        <v>0</v>
      </c>
      <c r="D25" s="13">
        <f>'Historical FS'!J94</f>
        <v>0</v>
      </c>
      <c r="E25" s="13">
        <f>'Historical FS'!K94</f>
        <v>0</v>
      </c>
      <c r="F25" s="13">
        <f>'Historical FS'!L94</f>
        <v>0</v>
      </c>
      <c r="G25" s="48">
        <f t="shared" ref="G25:K25" si="17">FORECAST(G3,$C$25:$F$25,$C$3:$F$3)</f>
        <v>0</v>
      </c>
      <c r="H25" s="48">
        <f t="shared" si="17"/>
        <v>0</v>
      </c>
      <c r="I25" s="48">
        <f t="shared" si="17"/>
        <v>0</v>
      </c>
      <c r="J25" s="48">
        <f t="shared" si="17"/>
        <v>0</v>
      </c>
      <c r="K25" s="48">
        <f t="shared" si="17"/>
        <v>0</v>
      </c>
    </row>
    <row r="26" spans="1:11" x14ac:dyDescent="0.25">
      <c r="B26" s="166" t="s">
        <v>66</v>
      </c>
      <c r="C26" s="13">
        <f>'Historical FS'!I95</f>
        <v>0</v>
      </c>
      <c r="D26" s="13">
        <f>'Historical FS'!J95</f>
        <v>0</v>
      </c>
      <c r="E26" s="13">
        <f>'Historical FS'!K95</f>
        <v>0</v>
      </c>
      <c r="F26" s="13">
        <f>'Historical FS'!L95</f>
        <v>-481</v>
      </c>
      <c r="G26" s="48">
        <f t="shared" ref="G26:K26" si="18">FORECAST(G3,$C$26:$F$26,$C$3:$F$3)</f>
        <v>-481</v>
      </c>
      <c r="H26" s="48">
        <f t="shared" si="18"/>
        <v>-625.30000000000007</v>
      </c>
      <c r="I26" s="48">
        <f t="shared" si="18"/>
        <v>-769.60000000000014</v>
      </c>
      <c r="J26" s="48">
        <f t="shared" si="18"/>
        <v>-913.90000000000009</v>
      </c>
      <c r="K26" s="48">
        <f t="shared" si="18"/>
        <v>-1058.2</v>
      </c>
    </row>
    <row r="27" spans="1:11" x14ac:dyDescent="0.25">
      <c r="B27" s="166" t="s">
        <v>67</v>
      </c>
      <c r="C27" s="13">
        <f>'Historical FS'!I96</f>
        <v>0</v>
      </c>
      <c r="D27" s="13">
        <f>'Historical FS'!J96</f>
        <v>0</v>
      </c>
      <c r="E27" s="13">
        <f>'Historical FS'!K96</f>
        <v>0</v>
      </c>
      <c r="F27" s="13">
        <f>'Historical FS'!L96</f>
        <v>0</v>
      </c>
      <c r="G27" s="48">
        <f t="shared" ref="G27:K27" si="19">FORECAST(G3,$C$27:$F$27,$C$3:$F$3)</f>
        <v>0</v>
      </c>
      <c r="H27" s="48">
        <f t="shared" si="19"/>
        <v>0</v>
      </c>
      <c r="I27" s="48">
        <f t="shared" si="19"/>
        <v>0</v>
      </c>
      <c r="J27" s="48">
        <f t="shared" si="19"/>
        <v>0</v>
      </c>
      <c r="K27" s="48">
        <f t="shared" si="19"/>
        <v>0</v>
      </c>
    </row>
    <row r="28" spans="1:11" x14ac:dyDescent="0.25">
      <c r="B28" s="166" t="s">
        <v>68</v>
      </c>
      <c r="C28" s="13">
        <f>'Historical FS'!I97</f>
        <v>0</v>
      </c>
      <c r="D28" s="13">
        <f>'Historical FS'!J97</f>
        <v>2</v>
      </c>
      <c r="E28" s="13">
        <f>'Historical FS'!K97</f>
        <v>2</v>
      </c>
      <c r="F28" s="13">
        <f>'Historical FS'!L97</f>
        <v>4</v>
      </c>
      <c r="G28" s="48">
        <f t="shared" ref="G28:K28" si="20">FORECAST(G3,$C$28:$F$28,$C$3:$F$3)</f>
        <v>5</v>
      </c>
      <c r="H28" s="48">
        <f t="shared" si="20"/>
        <v>6.1999999999999993</v>
      </c>
      <c r="I28" s="48">
        <f t="shared" si="20"/>
        <v>7.4</v>
      </c>
      <c r="J28" s="48">
        <f t="shared" si="20"/>
        <v>8.6</v>
      </c>
      <c r="K28" s="48">
        <f t="shared" si="20"/>
        <v>9.7999999999999989</v>
      </c>
    </row>
    <row r="29" spans="1:11" x14ac:dyDescent="0.25">
      <c r="B29" s="178" t="s">
        <v>69</v>
      </c>
      <c r="C29" s="62">
        <f>SUM(C17:C28)</f>
        <v>-517</v>
      </c>
      <c r="D29" s="62">
        <f t="shared" ref="D29:F29" si="21">SUM(D17:D28)</f>
        <v>-1403</v>
      </c>
      <c r="E29" s="62">
        <f t="shared" si="21"/>
        <v>-1273</v>
      </c>
      <c r="F29" s="62">
        <f t="shared" si="21"/>
        <v>-582</v>
      </c>
      <c r="G29" s="63">
        <f>SUM(G17:G28)</f>
        <v>-960</v>
      </c>
      <c r="H29" s="63">
        <f t="shared" ref="H29:K29" si="22">SUM(H17:H28)</f>
        <v>-966.49999999999943</v>
      </c>
      <c r="I29" s="63">
        <f t="shared" si="22"/>
        <v>-972.99999999999898</v>
      </c>
      <c r="J29" s="63">
        <f t="shared" si="22"/>
        <v>-979.49999999999943</v>
      </c>
      <c r="K29" s="63">
        <f t="shared" si="22"/>
        <v>-985.99999999999955</v>
      </c>
    </row>
    <row r="30" spans="1:11" x14ac:dyDescent="0.25">
      <c r="G30" s="49"/>
      <c r="H30" s="49"/>
      <c r="I30" s="49"/>
      <c r="J30" s="49"/>
      <c r="K30" s="49"/>
    </row>
    <row r="31" spans="1:11" x14ac:dyDescent="0.25">
      <c r="A31" t="s">
        <v>2</v>
      </c>
      <c r="B31" s="171" t="s">
        <v>70</v>
      </c>
      <c r="G31" s="49"/>
      <c r="H31" s="49"/>
      <c r="I31" s="49"/>
      <c r="J31" s="49"/>
      <c r="K31" s="49"/>
    </row>
    <row r="32" spans="1:11" x14ac:dyDescent="0.25">
      <c r="B32" s="166" t="s">
        <v>71</v>
      </c>
      <c r="C32" s="13">
        <f>'Historical FS'!I101</f>
        <v>0</v>
      </c>
      <c r="D32" s="13">
        <f>'Historical FS'!J101</f>
        <v>0</v>
      </c>
      <c r="E32" s="13">
        <f>'Historical FS'!K101</f>
        <v>0</v>
      </c>
      <c r="F32" s="13">
        <f>'Historical FS'!L101</f>
        <v>0</v>
      </c>
      <c r="G32" s="48">
        <f t="shared" ref="G32:K32" si="23">FORECAST(G3,$C$32:$F$32,$C$3:$F$3)</f>
        <v>0</v>
      </c>
      <c r="H32" s="48">
        <f t="shared" si="23"/>
        <v>0</v>
      </c>
      <c r="I32" s="48">
        <f t="shared" si="23"/>
        <v>0</v>
      </c>
      <c r="J32" s="48">
        <f t="shared" si="23"/>
        <v>0</v>
      </c>
      <c r="K32" s="48">
        <f t="shared" si="23"/>
        <v>0</v>
      </c>
    </row>
    <row r="33" spans="1:11" x14ac:dyDescent="0.25">
      <c r="B33" s="166" t="s">
        <v>72</v>
      </c>
      <c r="C33" s="13">
        <f>'Historical FS'!I102</f>
        <v>0</v>
      </c>
      <c r="D33" s="13">
        <f>'Historical FS'!J102</f>
        <v>0</v>
      </c>
      <c r="E33" s="13">
        <f>'Historical FS'!K102</f>
        <v>0</v>
      </c>
      <c r="F33" s="13">
        <f>'Historical FS'!L102</f>
        <v>0</v>
      </c>
      <c r="G33" s="48">
        <f t="shared" ref="G33:K33" si="24">FORECAST(G3,$C$33:$F$33,$C$3:$F$3)</f>
        <v>0</v>
      </c>
      <c r="H33" s="48">
        <f t="shared" si="24"/>
        <v>0</v>
      </c>
      <c r="I33" s="48">
        <f t="shared" si="24"/>
        <v>0</v>
      </c>
      <c r="J33" s="48">
        <f t="shared" si="24"/>
        <v>0</v>
      </c>
      <c r="K33" s="48">
        <f t="shared" si="24"/>
        <v>0</v>
      </c>
    </row>
    <row r="34" spans="1:11" x14ac:dyDescent="0.25">
      <c r="B34" s="166" t="s">
        <v>73</v>
      </c>
      <c r="C34" s="13">
        <f>'Historical FS'!I103</f>
        <v>0</v>
      </c>
      <c r="D34" s="13">
        <f>'Historical FS'!J103</f>
        <v>65</v>
      </c>
      <c r="E34" s="13">
        <f>'Historical FS'!K103</f>
        <v>541</v>
      </c>
      <c r="F34" s="13">
        <f>'Historical FS'!L103</f>
        <v>50</v>
      </c>
      <c r="G34" s="48">
        <f t="shared" ref="G34:K34" si="25">FORECAST(G3,$C$34:$F$34,$C$3:$F$3)</f>
        <v>320.5</v>
      </c>
      <c r="H34" s="48">
        <f t="shared" si="25"/>
        <v>383.1</v>
      </c>
      <c r="I34" s="48">
        <f t="shared" si="25"/>
        <v>445.7</v>
      </c>
      <c r="J34" s="48">
        <f t="shared" si="25"/>
        <v>508.3</v>
      </c>
      <c r="K34" s="48">
        <f t="shared" si="25"/>
        <v>570.9</v>
      </c>
    </row>
    <row r="35" spans="1:11" x14ac:dyDescent="0.25">
      <c r="B35" s="166" t="s">
        <v>74</v>
      </c>
      <c r="C35" s="13">
        <f>'Historical FS'!I104</f>
        <v>-358</v>
      </c>
      <c r="D35" s="13">
        <f>'Historical FS'!J104</f>
        <v>-28</v>
      </c>
      <c r="E35" s="13">
        <f>'Historical FS'!K104</f>
        <v>0</v>
      </c>
      <c r="F35" s="13">
        <f>'Historical FS'!L104</f>
        <v>-1</v>
      </c>
      <c r="G35" s="48">
        <f t="shared" ref="G35:K35" si="26">FORECAST(G3,$C$35:$F$35,$C$3:$F$3)</f>
        <v>178</v>
      </c>
      <c r="H35" s="48">
        <f t="shared" si="26"/>
        <v>287.90000000000009</v>
      </c>
      <c r="I35" s="48">
        <f t="shared" si="26"/>
        <v>397.80000000000007</v>
      </c>
      <c r="J35" s="48">
        <f t="shared" si="26"/>
        <v>507.70000000000005</v>
      </c>
      <c r="K35" s="48">
        <f t="shared" si="26"/>
        <v>617.6</v>
      </c>
    </row>
    <row r="36" spans="1:11" x14ac:dyDescent="0.25">
      <c r="B36" s="166" t="s">
        <v>75</v>
      </c>
      <c r="C36" s="13">
        <f>'Historical FS'!I105</f>
        <v>-42</v>
      </c>
      <c r="D36" s="13">
        <f>'Historical FS'!J105</f>
        <v>-31</v>
      </c>
      <c r="E36" s="13">
        <f>'Historical FS'!K105</f>
        <v>-33</v>
      </c>
      <c r="F36" s="13">
        <f>'Historical FS'!L105</f>
        <v>-89</v>
      </c>
      <c r="G36" s="48">
        <f t="shared" ref="G36:K36" si="27">FORECAST(G3,$C$36:$F$36,$C$3:$F$3)</f>
        <v>-84.5</v>
      </c>
      <c r="H36" s="48">
        <f t="shared" si="27"/>
        <v>-98.800000000000011</v>
      </c>
      <c r="I36" s="48">
        <f t="shared" si="27"/>
        <v>-113.10000000000001</v>
      </c>
      <c r="J36" s="48">
        <f t="shared" si="27"/>
        <v>-127.4</v>
      </c>
      <c r="K36" s="48">
        <f t="shared" si="27"/>
        <v>-141.70000000000002</v>
      </c>
    </row>
    <row r="37" spans="1:11" x14ac:dyDescent="0.25">
      <c r="B37" s="166" t="s">
        <v>76</v>
      </c>
      <c r="C37" s="13">
        <f>'Historical FS'!I106</f>
        <v>-512</v>
      </c>
      <c r="D37" s="13">
        <f>'Historical FS'!J106</f>
        <v>-592</v>
      </c>
      <c r="E37" s="13">
        <f>'Historical FS'!K106</f>
        <v>-972</v>
      </c>
      <c r="F37" s="13">
        <f>'Historical FS'!L106</f>
        <v>-921</v>
      </c>
      <c r="G37" s="48">
        <f t="shared" ref="G37:K37" si="28">FORECAST(G3,$C$37:$F$37,$C$3:$F$3)</f>
        <v>-1151</v>
      </c>
      <c r="H37" s="48">
        <f t="shared" si="28"/>
        <v>-1311.6999999999998</v>
      </c>
      <c r="I37" s="48">
        <f t="shared" si="28"/>
        <v>-1472.3999999999999</v>
      </c>
      <c r="J37" s="48">
        <f t="shared" si="28"/>
        <v>-1633.1</v>
      </c>
      <c r="K37" s="48">
        <f t="shared" si="28"/>
        <v>-1793.8</v>
      </c>
    </row>
    <row r="38" spans="1:11" x14ac:dyDescent="0.25">
      <c r="B38" s="166" t="s">
        <v>77</v>
      </c>
      <c r="C38" s="13">
        <f>'Historical FS'!I107</f>
        <v>-25</v>
      </c>
      <c r="D38" s="13">
        <f>'Historical FS'!J107</f>
        <v>-28</v>
      </c>
      <c r="E38" s="13">
        <f>'Historical FS'!K107</f>
        <v>-26</v>
      </c>
      <c r="F38" s="13">
        <f>'Historical FS'!L107</f>
        <v>-25</v>
      </c>
      <c r="G38" s="48">
        <f t="shared" ref="G38:K38" si="29">FORECAST(G3,$C$38:$F$38,$C$3:$F$3)</f>
        <v>-25.5</v>
      </c>
      <c r="H38" s="48">
        <f t="shared" si="29"/>
        <v>-25.3</v>
      </c>
      <c r="I38" s="48">
        <f t="shared" si="29"/>
        <v>-25.1</v>
      </c>
      <c r="J38" s="48">
        <f t="shared" si="29"/>
        <v>-24.9</v>
      </c>
      <c r="K38" s="48">
        <f t="shared" si="29"/>
        <v>-24.7</v>
      </c>
    </row>
    <row r="39" spans="1:11" x14ac:dyDescent="0.25">
      <c r="B39" s="166" t="s">
        <v>78</v>
      </c>
      <c r="C39" s="13">
        <f>'Historical FS'!I108</f>
        <v>-105</v>
      </c>
      <c r="D39" s="13">
        <f>'Historical FS'!J108</f>
        <v>0</v>
      </c>
      <c r="E39" s="13">
        <f>'Historical FS'!K108</f>
        <v>0</v>
      </c>
      <c r="F39" s="13">
        <f>'Historical FS'!L108</f>
        <v>-49</v>
      </c>
      <c r="G39" s="48">
        <f t="shared" ref="G39:K39" si="30">FORECAST(G3,$C$39:$F$39,$C$3:$F$3)</f>
        <v>3.5</v>
      </c>
      <c r="H39" s="48">
        <f t="shared" si="30"/>
        <v>20.300000000000011</v>
      </c>
      <c r="I39" s="48">
        <f t="shared" si="30"/>
        <v>37.100000000000009</v>
      </c>
      <c r="J39" s="48">
        <f t="shared" si="30"/>
        <v>53.900000000000006</v>
      </c>
      <c r="K39" s="48">
        <f t="shared" si="30"/>
        <v>70.700000000000017</v>
      </c>
    </row>
    <row r="40" spans="1:11" x14ac:dyDescent="0.25">
      <c r="B40" s="178" t="s">
        <v>79</v>
      </c>
      <c r="C40" s="62">
        <f>SUM(C32:C39)</f>
        <v>-1042</v>
      </c>
      <c r="D40" s="62">
        <f t="shared" ref="D40:F40" si="31">SUM(D32:D39)</f>
        <v>-614</v>
      </c>
      <c r="E40" s="62">
        <f t="shared" si="31"/>
        <v>-490</v>
      </c>
      <c r="F40" s="62">
        <f t="shared" si="31"/>
        <v>-1035</v>
      </c>
      <c r="G40" s="63">
        <f>SUM(G32:G39)</f>
        <v>-759</v>
      </c>
      <c r="H40" s="63">
        <f t="shared" ref="H40:K40" si="32">SUM(H32:H39)</f>
        <v>-744.49999999999977</v>
      </c>
      <c r="I40" s="63">
        <f t="shared" si="32"/>
        <v>-729.99999999999989</v>
      </c>
      <c r="J40" s="63">
        <f t="shared" si="32"/>
        <v>-715.49999999999989</v>
      </c>
      <c r="K40" s="63">
        <f t="shared" si="32"/>
        <v>-701</v>
      </c>
    </row>
    <row r="41" spans="1:11" x14ac:dyDescent="0.25">
      <c r="G41" s="49"/>
      <c r="H41" s="49"/>
      <c r="I41" s="49"/>
      <c r="J41" s="49"/>
      <c r="K41" s="49"/>
    </row>
    <row r="42" spans="1:11" ht="15.75" thickBot="1" x14ac:dyDescent="0.3">
      <c r="A42" t="s">
        <v>2</v>
      </c>
      <c r="B42" s="176" t="s">
        <v>80</v>
      </c>
      <c r="C42" s="60">
        <f>SUM(C40,C29,C14)</f>
        <v>55</v>
      </c>
      <c r="D42" s="60">
        <f t="shared" ref="D42:K42" si="33">SUM(D40,D29,D14)</f>
        <v>99</v>
      </c>
      <c r="E42" s="60">
        <f t="shared" si="33"/>
        <v>40</v>
      </c>
      <c r="F42" s="60">
        <f t="shared" si="33"/>
        <v>-129</v>
      </c>
      <c r="G42" s="61">
        <f t="shared" si="33"/>
        <v>-136.5</v>
      </c>
      <c r="H42" s="61">
        <f t="shared" si="33"/>
        <v>-197.59999999999923</v>
      </c>
      <c r="I42" s="61">
        <f t="shared" si="33"/>
        <v>-258.69999999999868</v>
      </c>
      <c r="J42" s="61">
        <f t="shared" si="33"/>
        <v>-319.79999999999905</v>
      </c>
      <c r="K42" s="61">
        <f t="shared" si="33"/>
        <v>-380.89999999999964</v>
      </c>
    </row>
  </sheetData>
  <mergeCells count="1">
    <mergeCell ref="B2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E3162-78D0-4FB2-8EA2-B36A41335F60}">
  <sheetPr>
    <tabColor rgb="FF002060"/>
  </sheetPr>
  <dimension ref="D5:S9"/>
  <sheetViews>
    <sheetView showGridLines="0" workbookViewId="0">
      <selection activeCell="F10" sqref="F10"/>
    </sheetView>
  </sheetViews>
  <sheetFormatPr defaultRowHeight="15" x14ac:dyDescent="0.25"/>
  <cols>
    <col min="1" max="1" width="1.85546875" customWidth="1"/>
  </cols>
  <sheetData>
    <row r="5" spans="4:19" ht="15" customHeight="1" x14ac:dyDescent="0.25">
      <c r="D5" s="227" t="str">
        <f>"DISCOUNTED CASH FLOWS FOR "&amp;'Data Sheet'!B1</f>
        <v>DISCOUNTED CASH FLOWS FOR DABUR INDIA LTD</v>
      </c>
      <c r="E5" s="227"/>
      <c r="F5" s="227"/>
      <c r="G5" s="227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</row>
    <row r="6" spans="4:19" ht="15" customHeight="1" x14ac:dyDescent="0.25">
      <c r="D6" s="227"/>
      <c r="E6" s="227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</row>
    <row r="7" spans="4:19" ht="15" customHeight="1" x14ac:dyDescent="0.25"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</row>
    <row r="8" spans="4:19" ht="15" customHeight="1" x14ac:dyDescent="0.25">
      <c r="D8" s="165"/>
      <c r="E8" s="165"/>
      <c r="F8" s="228" t="s">
        <v>370</v>
      </c>
      <c r="G8" s="228"/>
      <c r="H8" s="228"/>
      <c r="I8" s="228"/>
      <c r="J8" s="228"/>
      <c r="K8" s="228"/>
      <c r="L8" s="228"/>
      <c r="M8" s="228"/>
      <c r="N8" s="228"/>
      <c r="O8" s="228"/>
      <c r="P8" s="228"/>
      <c r="Q8" s="228"/>
    </row>
    <row r="9" spans="4:19" x14ac:dyDescent="0.25">
      <c r="D9" s="165"/>
      <c r="E9" s="165"/>
      <c r="F9" s="228"/>
      <c r="G9" s="228"/>
      <c r="H9" s="228"/>
      <c r="I9" s="228"/>
      <c r="J9" s="228"/>
      <c r="K9" s="228"/>
      <c r="L9" s="228"/>
      <c r="M9" s="228"/>
      <c r="N9" s="228"/>
      <c r="O9" s="228"/>
      <c r="P9" s="228"/>
      <c r="Q9" s="228"/>
    </row>
  </sheetData>
  <mergeCells count="2">
    <mergeCell ref="D5:S7"/>
    <mergeCell ref="F8:Q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86C5-0839-4683-9674-84ED5CDE5854}">
  <dimension ref="B2:K40"/>
  <sheetViews>
    <sheetView showGridLines="0" topLeftCell="A4" zoomScaleNormal="100" workbookViewId="0">
      <selection activeCell="K19" sqref="K19"/>
    </sheetView>
  </sheetViews>
  <sheetFormatPr defaultRowHeight="15" x14ac:dyDescent="0.25"/>
  <cols>
    <col min="1" max="1" width="1.85546875" customWidth="1"/>
    <col min="2" max="2" width="29.85546875" customWidth="1"/>
    <col min="3" max="3" width="12.140625" bestFit="1" customWidth="1"/>
    <col min="4" max="4" width="13.5703125" customWidth="1"/>
    <col min="5" max="5" width="14.7109375" customWidth="1"/>
    <col min="6" max="6" width="18.140625" customWidth="1"/>
    <col min="7" max="7" width="17.28515625" customWidth="1"/>
    <col min="10" max="10" width="10" bestFit="1" customWidth="1"/>
    <col min="11" max="11" width="12.5703125" bestFit="1" customWidth="1"/>
  </cols>
  <sheetData>
    <row r="2" spans="2:11" x14ac:dyDescent="0.25">
      <c r="B2" s="65" t="str">
        <f>'Data Sheet'!B1&amp;" - "&amp;"WACC"</f>
        <v>DABUR INDIA LTD - WACC</v>
      </c>
      <c r="C2" s="65"/>
      <c r="D2" s="65"/>
      <c r="E2" s="65"/>
      <c r="F2" s="65"/>
      <c r="G2" s="65"/>
      <c r="H2" s="65"/>
      <c r="I2" s="65"/>
      <c r="J2" s="65"/>
      <c r="K2" s="65"/>
    </row>
    <row r="4" spans="2:11" x14ac:dyDescent="0.25">
      <c r="B4" s="171" t="s">
        <v>121</v>
      </c>
    </row>
    <row r="5" spans="2:11" x14ac:dyDescent="0.25">
      <c r="B5" s="78"/>
      <c r="C5" s="78"/>
      <c r="D5" s="78"/>
      <c r="E5" s="78"/>
      <c r="F5" s="78"/>
      <c r="G5" s="78"/>
      <c r="H5" s="184" t="s">
        <v>122</v>
      </c>
      <c r="I5" s="184" t="s">
        <v>122</v>
      </c>
      <c r="J5" s="184" t="s">
        <v>123</v>
      </c>
      <c r="K5" s="184" t="s">
        <v>124</v>
      </c>
    </row>
    <row r="6" spans="2:11" ht="17.25" x14ac:dyDescent="0.25">
      <c r="B6" s="182" t="s">
        <v>125</v>
      </c>
      <c r="C6" s="182"/>
      <c r="D6" s="183" t="s">
        <v>126</v>
      </c>
      <c r="E6" s="183" t="s">
        <v>127</v>
      </c>
      <c r="F6" s="183" t="s">
        <v>128</v>
      </c>
      <c r="G6" s="183" t="s">
        <v>372</v>
      </c>
      <c r="H6" s="182" t="s">
        <v>129</v>
      </c>
      <c r="I6" s="182" t="s">
        <v>130</v>
      </c>
      <c r="J6" s="182" t="s">
        <v>373</v>
      </c>
      <c r="K6" s="182" t="s">
        <v>374</v>
      </c>
    </row>
    <row r="8" spans="2:11" x14ac:dyDescent="0.25">
      <c r="B8" s="166" t="str">
        <f>Peers!C5</f>
        <v>Dabur India</v>
      </c>
      <c r="D8" s="185" t="s">
        <v>131</v>
      </c>
      <c r="E8" s="95">
        <f>Peers!F5</f>
        <v>1489.05</v>
      </c>
      <c r="F8" s="93">
        <f>Peers!E5</f>
        <v>95548.35</v>
      </c>
      <c r="G8" s="181">
        <v>0.3</v>
      </c>
      <c r="H8" s="80">
        <f>E8/F8</f>
        <v>1.5584256557020606E-2</v>
      </c>
      <c r="I8" s="80">
        <f>E8/(E8+F8)</f>
        <v>1.5345114357969194E-2</v>
      </c>
      <c r="J8" s="72">
        <f>'Beta - Regression'!K8</f>
        <v>0.37722178692976738</v>
      </c>
      <c r="K8" s="81">
        <f t="shared" ref="K8:K11" si="0">J8/(1+(1-G8)*H8)</f>
        <v>0.37315108931250296</v>
      </c>
    </row>
    <row r="9" spans="2:11" x14ac:dyDescent="0.25">
      <c r="B9" s="166" t="str">
        <f>Peers!C6</f>
        <v>Godrej Consumer</v>
      </c>
      <c r="D9" s="185" t="s">
        <v>131</v>
      </c>
      <c r="E9" s="95">
        <f>Peers!F6</f>
        <v>3274.76</v>
      </c>
      <c r="F9" s="93">
        <f>Peers!E6</f>
        <v>124638.45</v>
      </c>
      <c r="G9" s="181">
        <v>0.3</v>
      </c>
      <c r="H9" s="80">
        <f>E9/F9</f>
        <v>2.6274075134920246E-2</v>
      </c>
      <c r="I9" s="80">
        <f>E9/(E9+F9)</f>
        <v>2.5601421463819104E-2</v>
      </c>
      <c r="J9" s="72">
        <f>'Beta - Comps'!K8</f>
        <v>0.54988768470720872</v>
      </c>
      <c r="K9" s="81">
        <f t="shared" si="0"/>
        <v>0.53995687741051812</v>
      </c>
    </row>
    <row r="10" spans="2:11" x14ac:dyDescent="0.25">
      <c r="B10" s="166" t="str">
        <f>Peers!C7</f>
        <v>Emami</v>
      </c>
      <c r="D10" s="185" t="s">
        <v>131</v>
      </c>
      <c r="E10" s="95">
        <f>Peers!F7</f>
        <v>107.46</v>
      </c>
      <c r="F10" s="93">
        <f>Peers!E7</f>
        <v>21339.98</v>
      </c>
      <c r="G10" s="181">
        <v>0.3</v>
      </c>
      <c r="H10" s="80">
        <f>E10/F10</f>
        <v>5.0356185900830271E-3</v>
      </c>
      <c r="I10" s="80">
        <f>E10/(E10+F10)</f>
        <v>5.0103881861891207E-3</v>
      </c>
      <c r="J10" s="72">
        <f>'Beta - Comps'!X8</f>
        <v>1.068273267231548</v>
      </c>
      <c r="K10" s="81">
        <f t="shared" si="0"/>
        <v>1.0645209023597297</v>
      </c>
    </row>
    <row r="11" spans="2:11" x14ac:dyDescent="0.25">
      <c r="B11" s="166" t="str">
        <f>Peers!C8</f>
        <v>Jyothy Labs</v>
      </c>
      <c r="D11" s="185" t="s">
        <v>131</v>
      </c>
      <c r="E11" s="95">
        <f>Peers!F8</f>
        <v>44.84</v>
      </c>
      <c r="F11" s="93">
        <f>Peers!E8</f>
        <v>16362.82</v>
      </c>
      <c r="G11" s="181">
        <v>0.3</v>
      </c>
      <c r="H11" s="80">
        <f t="shared" ref="H11" si="1">E11/F11</f>
        <v>2.7403589356846804E-3</v>
      </c>
      <c r="I11" s="80">
        <f t="shared" ref="I11" si="2">E11/(E11+F11)</f>
        <v>2.7328698912581079E-3</v>
      </c>
      <c r="J11" s="72">
        <f>'Beta - Comps'!AJ8</f>
        <v>1.0699021151373458</v>
      </c>
      <c r="K11" s="81">
        <f t="shared" si="0"/>
        <v>1.0678537034306057</v>
      </c>
    </row>
    <row r="13" spans="2:11" x14ac:dyDescent="0.25">
      <c r="F13" s="187" t="s">
        <v>132</v>
      </c>
      <c r="G13" s="83">
        <f>AVERAGE(G8:G11)</f>
        <v>0.3</v>
      </c>
      <c r="H13" s="83">
        <f>AVERAGE(H8:H11)</f>
        <v>1.240857730442714E-2</v>
      </c>
      <c r="I13" s="83">
        <f>AVERAGE(I8:I11)</f>
        <v>1.2172448474808882E-2</v>
      </c>
      <c r="J13" s="85">
        <f>AVERAGE(J8:J11)</f>
        <v>0.76632121350146742</v>
      </c>
      <c r="K13" s="85">
        <f>AVERAGE(K8:K11)</f>
        <v>0.76137064312833913</v>
      </c>
    </row>
    <row r="14" spans="2:11" x14ac:dyDescent="0.25">
      <c r="F14" s="148" t="s">
        <v>83</v>
      </c>
      <c r="G14" s="84">
        <f>MEDIAN(G8:G11)</f>
        <v>0.3</v>
      </c>
      <c r="H14" s="84">
        <f>MEDIAN(H8:H11)</f>
        <v>1.0309937573551815E-2</v>
      </c>
      <c r="I14" s="84">
        <f>MEDIAN(I8:I11)</f>
        <v>1.0177751272079157E-2</v>
      </c>
      <c r="J14" s="86">
        <f>MEDIAN(J8:J11)</f>
        <v>0.80908047596937838</v>
      </c>
      <c r="K14" s="86">
        <f>MEDIAN(K8:K11)</f>
        <v>0.80223888988512393</v>
      </c>
    </row>
    <row r="17" spans="2:11" x14ac:dyDescent="0.25">
      <c r="B17" s="188" t="s">
        <v>133</v>
      </c>
      <c r="C17" s="88"/>
      <c r="D17" s="79"/>
      <c r="E17" s="79"/>
      <c r="G17" s="188" t="s">
        <v>134</v>
      </c>
      <c r="H17" s="79"/>
      <c r="I17" s="79"/>
      <c r="J17" s="79"/>
      <c r="K17" s="79"/>
    </row>
    <row r="19" spans="2:11" x14ac:dyDescent="0.25">
      <c r="G19" s="166" t="s">
        <v>135</v>
      </c>
      <c r="K19" s="180">
        <v>7.1139999999999995E-2</v>
      </c>
    </row>
    <row r="20" spans="2:11" x14ac:dyDescent="0.25">
      <c r="B20" s="166" t="s">
        <v>136</v>
      </c>
      <c r="E20" s="73">
        <f>Peers!J5</f>
        <v>2.3818539373877779E-2</v>
      </c>
      <c r="G20" s="166" t="s">
        <v>137</v>
      </c>
      <c r="K20" s="90">
        <f>Rm!F8-WACC!K19</f>
        <v>9.8851666666666657E-2</v>
      </c>
    </row>
    <row r="21" spans="2:11" ht="17.25" x14ac:dyDescent="0.25">
      <c r="B21" s="166" t="s">
        <v>138</v>
      </c>
      <c r="E21" s="181">
        <v>0.3</v>
      </c>
      <c r="G21" s="166" t="s">
        <v>375</v>
      </c>
      <c r="K21" s="72">
        <f>K31</f>
        <v>0.80915876985362256</v>
      </c>
    </row>
    <row r="22" spans="2:11" x14ac:dyDescent="0.25">
      <c r="B22" s="186" t="s">
        <v>139</v>
      </c>
      <c r="C22" s="87"/>
      <c r="D22" s="87"/>
      <c r="E22" s="91">
        <f>E20*(1-E21)</f>
        <v>1.6672977561714444E-2</v>
      </c>
      <c r="G22" s="186" t="s">
        <v>134</v>
      </c>
      <c r="H22" s="87"/>
      <c r="I22" s="87"/>
      <c r="J22" s="87"/>
      <c r="K22" s="91">
        <f>K19+K20*K21</f>
        <v>0.15112669299798032</v>
      </c>
    </row>
    <row r="26" spans="2:11" x14ac:dyDescent="0.25">
      <c r="B26" s="188" t="s">
        <v>140</v>
      </c>
      <c r="C26" s="88"/>
      <c r="D26" s="79"/>
      <c r="E26" s="79"/>
      <c r="G26" s="188" t="s">
        <v>141</v>
      </c>
      <c r="H26" s="88"/>
      <c r="I26" s="79"/>
      <c r="J26" s="79"/>
      <c r="K26" s="79"/>
    </row>
    <row r="28" spans="2:11" x14ac:dyDescent="0.25">
      <c r="D28" s="70" t="s">
        <v>142</v>
      </c>
      <c r="E28" s="70" t="s">
        <v>143</v>
      </c>
      <c r="G28" s="166" t="s">
        <v>144</v>
      </c>
      <c r="K28" s="72">
        <f>K14</f>
        <v>0.80223888988512393</v>
      </c>
    </row>
    <row r="29" spans="2:11" x14ac:dyDescent="0.25">
      <c r="B29" s="166" t="s">
        <v>127</v>
      </c>
      <c r="C29" s="93">
        <f>E8</f>
        <v>1489.05</v>
      </c>
      <c r="D29" s="73">
        <f>C29/$C$31</f>
        <v>1.5345114357969194E-2</v>
      </c>
      <c r="E29" s="73">
        <f>I13</f>
        <v>1.2172448474808882E-2</v>
      </c>
      <c r="G29" s="166" t="s">
        <v>145</v>
      </c>
      <c r="K29" s="73">
        <f>E33</f>
        <v>1.2322442774566069E-2</v>
      </c>
    </row>
    <row r="30" spans="2:11" x14ac:dyDescent="0.25">
      <c r="B30" s="166" t="s">
        <v>146</v>
      </c>
      <c r="C30" s="93">
        <f>F8</f>
        <v>95548.35</v>
      </c>
      <c r="D30" s="73">
        <f>C30/$C$31</f>
        <v>0.98465488564203074</v>
      </c>
      <c r="E30" s="73">
        <f>E31-E29</f>
        <v>0.98782755152519108</v>
      </c>
      <c r="G30" s="166" t="s">
        <v>138</v>
      </c>
      <c r="K30" s="73">
        <f>E21</f>
        <v>0.3</v>
      </c>
    </row>
    <row r="31" spans="2:11" x14ac:dyDescent="0.25">
      <c r="B31" s="186" t="s">
        <v>147</v>
      </c>
      <c r="C31" s="94">
        <f>SUM(C29:C30)</f>
        <v>97037.400000000009</v>
      </c>
      <c r="D31" s="89">
        <f>C31/$C$31</f>
        <v>1</v>
      </c>
      <c r="E31" s="89">
        <f>D31</f>
        <v>1</v>
      </c>
      <c r="G31" s="186" t="s">
        <v>148</v>
      </c>
      <c r="H31" s="87"/>
      <c r="I31" s="87"/>
      <c r="J31" s="87"/>
      <c r="K31" s="92">
        <f>K28*(1+(1-K30)*K29)</f>
        <v>0.80915876985362256</v>
      </c>
    </row>
    <row r="32" spans="2:11" x14ac:dyDescent="0.25">
      <c r="B32" s="166"/>
    </row>
    <row r="33" spans="2:11" x14ac:dyDescent="0.25">
      <c r="B33" s="166" t="s">
        <v>149</v>
      </c>
      <c r="D33" s="80">
        <f>D29/D30</f>
        <v>1.5584256557020608E-2</v>
      </c>
      <c r="E33" s="80">
        <f>E29/E30</f>
        <v>1.2322442774566069E-2</v>
      </c>
      <c r="G33" s="188" t="s">
        <v>150</v>
      </c>
      <c r="H33" s="88"/>
      <c r="I33" s="79"/>
      <c r="J33" s="79"/>
      <c r="K33" s="79"/>
    </row>
    <row r="35" spans="2:11" x14ac:dyDescent="0.25">
      <c r="J35" s="148" t="s">
        <v>151</v>
      </c>
      <c r="K35" s="148" t="s">
        <v>152</v>
      </c>
    </row>
    <row r="36" spans="2:11" x14ac:dyDescent="0.25">
      <c r="B36" s="189" t="s">
        <v>153</v>
      </c>
      <c r="G36" s="166" t="s">
        <v>154</v>
      </c>
      <c r="J36" s="73">
        <f>E22</f>
        <v>1.6672977561714444E-2</v>
      </c>
      <c r="K36" s="73">
        <f>E29</f>
        <v>1.2172448474808882E-2</v>
      </c>
    </row>
    <row r="37" spans="2:11" x14ac:dyDescent="0.25">
      <c r="B37" s="190" t="s">
        <v>155</v>
      </c>
      <c r="G37" s="166" t="s">
        <v>156</v>
      </c>
      <c r="J37" s="73">
        <f>K22</f>
        <v>0.15112669299798032</v>
      </c>
      <c r="K37" s="73">
        <f>E30</f>
        <v>0.98782755152519108</v>
      </c>
    </row>
    <row r="38" spans="2:11" x14ac:dyDescent="0.25">
      <c r="B38" s="190" t="s">
        <v>157</v>
      </c>
      <c r="G38" s="186" t="s">
        <v>158</v>
      </c>
      <c r="H38" s="87"/>
      <c r="I38" s="87"/>
      <c r="J38" s="87"/>
      <c r="K38" s="91">
        <f>SUMPRODUCT(J36:J37,K36:K37)</f>
        <v>0.14949006207458573</v>
      </c>
    </row>
    <row r="39" spans="2:11" x14ac:dyDescent="0.25">
      <c r="B39" s="190" t="s">
        <v>159</v>
      </c>
    </row>
    <row r="40" spans="2:11" x14ac:dyDescent="0.25">
      <c r="B40" s="190" t="s">
        <v>160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84FFD-6693-4AB1-9583-5A9980067C28}">
  <dimension ref="A2:K65"/>
  <sheetViews>
    <sheetView showGridLines="0" topLeftCell="A44" workbookViewId="0">
      <selection activeCell="K64" sqref="K64"/>
    </sheetView>
  </sheetViews>
  <sheetFormatPr defaultRowHeight="15" x14ac:dyDescent="0.25"/>
  <cols>
    <col min="1" max="1" width="1.85546875" customWidth="1"/>
    <col min="7" max="9" width="11.140625" bestFit="1" customWidth="1"/>
    <col min="10" max="10" width="15" customWidth="1"/>
    <col min="11" max="11" width="11.140625" bestFit="1" customWidth="1"/>
  </cols>
  <sheetData>
    <row r="2" spans="1:11" x14ac:dyDescent="0.25">
      <c r="B2" s="65" t="str">
        <f>'Data Sheet'!B1&amp; " - Intrinsic Growth"</f>
        <v>DABUR INDIA LTD - Intrinsic Growth</v>
      </c>
      <c r="C2" s="77"/>
      <c r="D2" s="77"/>
      <c r="E2" s="77"/>
      <c r="F2" s="77"/>
      <c r="G2" s="77"/>
      <c r="H2" s="77"/>
      <c r="I2" s="77"/>
      <c r="J2" s="77"/>
      <c r="K2" s="77"/>
    </row>
    <row r="4" spans="1:11" x14ac:dyDescent="0.25">
      <c r="A4" t="s">
        <v>2</v>
      </c>
      <c r="B4" s="65" t="s">
        <v>286</v>
      </c>
      <c r="C4" s="8"/>
      <c r="D4" s="8"/>
      <c r="E4" s="8"/>
      <c r="F4" s="8"/>
      <c r="G4" s="9">
        <f>'Raw BS (Manual)'!J2</f>
        <v>43525</v>
      </c>
      <c r="H4" s="9">
        <f>'Raw BS (Manual)'!K2</f>
        <v>43891</v>
      </c>
      <c r="I4" s="9">
        <f>'Raw BS (Manual)'!L2</f>
        <v>44256</v>
      </c>
      <c r="J4" s="9">
        <f>'Raw BS (Manual)'!M2</f>
        <v>44621</v>
      </c>
      <c r="K4" s="9">
        <f>'Raw BS (Manual)'!N2</f>
        <v>44986</v>
      </c>
    </row>
    <row r="6" spans="1:11" x14ac:dyDescent="0.25">
      <c r="B6" s="11" t="s">
        <v>287</v>
      </c>
    </row>
    <row r="7" spans="1:11" x14ac:dyDescent="0.25">
      <c r="B7" s="115" t="str">
        <f>'Raw BS (Manual)'!B36</f>
        <v>Inventories</v>
      </c>
      <c r="C7" s="115"/>
      <c r="D7" s="115"/>
      <c r="E7" s="115"/>
      <c r="F7" s="115"/>
      <c r="G7" s="122">
        <f>'Raw BS (Manual)'!J36</f>
        <v>1301</v>
      </c>
      <c r="H7" s="122">
        <f>'Raw BS (Manual)'!K36</f>
        <v>1380</v>
      </c>
      <c r="I7" s="122">
        <f>'Raw BS (Manual)'!L36</f>
        <v>1734</v>
      </c>
      <c r="J7" s="122">
        <f>'Raw BS (Manual)'!M36</f>
        <v>1911</v>
      </c>
      <c r="K7" s="122">
        <f>'Raw BS (Manual)'!N36</f>
        <v>2024</v>
      </c>
    </row>
    <row r="8" spans="1:11" x14ac:dyDescent="0.25">
      <c r="B8" s="115" t="str">
        <f>'Raw BS (Manual)'!B37</f>
        <v>Trade receivables</v>
      </c>
      <c r="C8" s="115"/>
      <c r="D8" s="115"/>
      <c r="E8" s="115"/>
      <c r="F8" s="115"/>
      <c r="G8" s="122">
        <f>'Raw BS (Manual)'!J37</f>
        <v>834</v>
      </c>
      <c r="H8" s="122">
        <f>'Raw BS (Manual)'!K37</f>
        <v>814</v>
      </c>
      <c r="I8" s="122">
        <f>'Raw BS (Manual)'!L37</f>
        <v>562</v>
      </c>
      <c r="J8" s="122">
        <f>'Raw BS (Manual)'!M37</f>
        <v>646</v>
      </c>
      <c r="K8" s="122">
        <f>'Raw BS (Manual)'!N37</f>
        <v>849</v>
      </c>
    </row>
    <row r="9" spans="1:11" x14ac:dyDescent="0.25">
      <c r="B9" s="115" t="str">
        <f>'Raw BS (Manual)'!B39</f>
        <v>Short term loans</v>
      </c>
      <c r="C9" s="115"/>
      <c r="D9" s="115"/>
      <c r="E9" s="115"/>
      <c r="F9" s="115"/>
      <c r="G9" s="122">
        <f>'Raw BS (Manual)'!J39</f>
        <v>22</v>
      </c>
      <c r="H9" s="122">
        <f>'Raw BS (Manual)'!K39</f>
        <v>23</v>
      </c>
      <c r="I9" s="122">
        <f>'Raw BS (Manual)'!L39</f>
        <v>20</v>
      </c>
      <c r="J9" s="122">
        <f>'Raw BS (Manual)'!M39</f>
        <v>24</v>
      </c>
      <c r="K9" s="122">
        <f>'Raw BS (Manual)'!N39</f>
        <v>33</v>
      </c>
    </row>
    <row r="10" spans="1:11" x14ac:dyDescent="0.25">
      <c r="B10" t="str">
        <f>'Raw BS (Manual)'!B40</f>
        <v>Other asset items</v>
      </c>
      <c r="G10" s="123">
        <f>'Raw BS (Manual)'!J40</f>
        <v>561</v>
      </c>
      <c r="H10" s="123">
        <f>'Raw BS (Manual)'!K40</f>
        <v>1109</v>
      </c>
      <c r="I10" s="123">
        <f>'Raw BS (Manual)'!L40</f>
        <v>639</v>
      </c>
      <c r="J10" s="123">
        <f>'Raw BS (Manual)'!M40</f>
        <v>437</v>
      </c>
      <c r="K10" s="123">
        <f>'Raw BS (Manual)'!N40</f>
        <v>401</v>
      </c>
    </row>
    <row r="11" spans="1:11" x14ac:dyDescent="0.25">
      <c r="B11" s="82" t="s">
        <v>45</v>
      </c>
      <c r="C11" s="120"/>
      <c r="D11" s="120"/>
      <c r="E11" s="120"/>
      <c r="F11" s="120"/>
      <c r="G11" s="124">
        <f>SUM(G7:G10)</f>
        <v>2718</v>
      </c>
      <c r="H11" s="124">
        <f t="shared" ref="H11:K11" si="0">SUM(H7:H10)</f>
        <v>3326</v>
      </c>
      <c r="I11" s="124">
        <f t="shared" si="0"/>
        <v>2955</v>
      </c>
      <c r="J11" s="124">
        <f t="shared" si="0"/>
        <v>3018</v>
      </c>
      <c r="K11" s="124">
        <f t="shared" si="0"/>
        <v>3307</v>
      </c>
    </row>
    <row r="12" spans="1:11" x14ac:dyDescent="0.25">
      <c r="G12" s="123"/>
      <c r="H12" s="123"/>
      <c r="I12" s="123"/>
      <c r="J12" s="123"/>
      <c r="K12" s="123"/>
    </row>
    <row r="13" spans="1:11" x14ac:dyDescent="0.25">
      <c r="B13" s="11" t="s">
        <v>288</v>
      </c>
      <c r="G13" s="123"/>
      <c r="H13" s="123"/>
      <c r="I13" s="123"/>
      <c r="J13" s="123"/>
      <c r="K13" s="123"/>
    </row>
    <row r="14" spans="1:11" x14ac:dyDescent="0.25">
      <c r="B14" s="115" t="str">
        <f>'Raw BS (Manual)'!B13</f>
        <v>Trade Payables</v>
      </c>
      <c r="C14" s="115"/>
      <c r="D14" s="115"/>
      <c r="E14" s="115"/>
      <c r="F14" s="115"/>
      <c r="G14" s="122">
        <f>'Raw BS (Manual)'!J13</f>
        <v>1455</v>
      </c>
      <c r="H14" s="122">
        <f>'Raw BS (Manual)'!K13</f>
        <v>1482</v>
      </c>
      <c r="I14" s="122">
        <f>'Raw BS (Manual)'!L13</f>
        <v>1915</v>
      </c>
      <c r="J14" s="122">
        <f>'Raw BS (Manual)'!M13</f>
        <v>2018</v>
      </c>
      <c r="K14" s="122">
        <f>'Raw BS (Manual)'!N13</f>
        <v>2187</v>
      </c>
    </row>
    <row r="15" spans="1:11" x14ac:dyDescent="0.25">
      <c r="B15" s="115" t="str">
        <f>'Raw BS (Manual)'!B14</f>
        <v>Advance from Customers</v>
      </c>
      <c r="C15" s="115"/>
      <c r="D15" s="115"/>
      <c r="E15" s="115"/>
      <c r="F15" s="115"/>
      <c r="G15" s="122">
        <f>'Raw BS (Manual)'!J14</f>
        <v>28</v>
      </c>
      <c r="H15" s="122">
        <f>'Raw BS (Manual)'!K14</f>
        <v>30</v>
      </c>
      <c r="I15" s="122">
        <f>'Raw BS (Manual)'!L14</f>
        <v>43</v>
      </c>
      <c r="J15" s="122">
        <f>'Raw BS (Manual)'!M14</f>
        <v>37</v>
      </c>
      <c r="K15" s="122">
        <f>'Raw BS (Manual)'!N14</f>
        <v>9</v>
      </c>
    </row>
    <row r="16" spans="1:11" x14ac:dyDescent="0.25">
      <c r="B16" s="115" t="str">
        <f>'Raw BS (Manual)'!B15</f>
        <v>Other liability items</v>
      </c>
      <c r="C16" s="115"/>
      <c r="D16" s="115"/>
      <c r="E16" s="115"/>
      <c r="F16" s="115"/>
      <c r="G16" s="122">
        <f>'Raw BS (Manual)'!J15</f>
        <v>591</v>
      </c>
      <c r="H16" s="122">
        <f>'Raw BS (Manual)'!K15</f>
        <v>660</v>
      </c>
      <c r="I16" s="122">
        <f>'Raw BS (Manual)'!L15</f>
        <v>666</v>
      </c>
      <c r="J16" s="122">
        <f>'Raw BS (Manual)'!M15</f>
        <v>777</v>
      </c>
      <c r="K16" s="122">
        <f>'Raw BS (Manual)'!N15</f>
        <v>842</v>
      </c>
    </row>
    <row r="17" spans="1:11" x14ac:dyDescent="0.25">
      <c r="B17" s="82" t="s">
        <v>289</v>
      </c>
      <c r="C17" s="120"/>
      <c r="D17" s="120"/>
      <c r="E17" s="120"/>
      <c r="F17" s="120"/>
      <c r="G17" s="124">
        <f>SUM(G14:G16)</f>
        <v>2074</v>
      </c>
      <c r="H17" s="124">
        <f>SUM(H14:H16)</f>
        <v>2172</v>
      </c>
      <c r="I17" s="124">
        <f>SUM(I14:I16)</f>
        <v>2624</v>
      </c>
      <c r="J17" s="124">
        <f>SUM(J14:J16)</f>
        <v>2832</v>
      </c>
      <c r="K17" s="124">
        <f>SUM(K14:K16)</f>
        <v>3038</v>
      </c>
    </row>
    <row r="18" spans="1:11" x14ac:dyDescent="0.25">
      <c r="G18" s="123"/>
      <c r="H18" s="123"/>
      <c r="I18" s="123"/>
      <c r="J18" s="123"/>
      <c r="K18" s="123"/>
    </row>
    <row r="19" spans="1:11" ht="15.75" thickBot="1" x14ac:dyDescent="0.3">
      <c r="A19" t="s">
        <v>2</v>
      </c>
      <c r="B19" s="57" t="s">
        <v>290</v>
      </c>
      <c r="C19" s="57"/>
      <c r="D19" s="57"/>
      <c r="E19" s="57"/>
      <c r="F19" s="57"/>
      <c r="G19" s="125">
        <f>G11-G17</f>
        <v>644</v>
      </c>
      <c r="H19" s="125">
        <f t="shared" ref="H19:K19" si="1">H11-H17</f>
        <v>1154</v>
      </c>
      <c r="I19" s="125">
        <f t="shared" si="1"/>
        <v>331</v>
      </c>
      <c r="J19" s="125">
        <f t="shared" si="1"/>
        <v>186</v>
      </c>
      <c r="K19" s="125">
        <f t="shared" si="1"/>
        <v>269</v>
      </c>
    </row>
    <row r="20" spans="1:11" x14ac:dyDescent="0.25">
      <c r="G20" s="123"/>
      <c r="H20" s="123"/>
      <c r="I20" s="123"/>
      <c r="J20" s="123"/>
      <c r="K20" s="123"/>
    </row>
    <row r="21" spans="1:11" x14ac:dyDescent="0.25">
      <c r="B21" s="11" t="s">
        <v>291</v>
      </c>
      <c r="G21" s="123"/>
      <c r="H21" s="123"/>
      <c r="I21" s="123"/>
      <c r="J21" s="123"/>
      <c r="K21" s="123"/>
    </row>
    <row r="22" spans="1:11" x14ac:dyDescent="0.25">
      <c r="B22" s="115" t="str">
        <f>'Raw BS (Manual)'!B19</f>
        <v>Land</v>
      </c>
      <c r="C22" s="115"/>
      <c r="D22" s="115"/>
      <c r="E22" s="115"/>
      <c r="F22" s="115"/>
      <c r="G22" s="122">
        <f>'Raw BS (Manual)'!J19</f>
        <v>108</v>
      </c>
      <c r="H22" s="122">
        <f>'Raw BS (Manual)'!K19</f>
        <v>103</v>
      </c>
      <c r="I22" s="122">
        <f>'Raw BS (Manual)'!L19</f>
        <v>93</v>
      </c>
      <c r="J22" s="122">
        <f>'Raw BS (Manual)'!M19</f>
        <v>123</v>
      </c>
      <c r="K22" s="122">
        <f>'Raw BS (Manual)'!N19</f>
        <v>141</v>
      </c>
    </row>
    <row r="23" spans="1:11" x14ac:dyDescent="0.25">
      <c r="B23" s="115" t="str">
        <f>'Raw BS (Manual)'!B20</f>
        <v>Building</v>
      </c>
      <c r="C23" s="115"/>
      <c r="D23" s="115"/>
      <c r="E23" s="115"/>
      <c r="F23" s="115"/>
      <c r="G23" s="122">
        <f>'Raw BS (Manual)'!J20</f>
        <v>788</v>
      </c>
      <c r="H23" s="122">
        <f>'Raw BS (Manual)'!K20</f>
        <v>1054</v>
      </c>
      <c r="I23" s="122">
        <f>'Raw BS (Manual)'!L20</f>
        <v>1057</v>
      </c>
      <c r="J23" s="122">
        <f>'Raw BS (Manual)'!M20</f>
        <v>1144</v>
      </c>
      <c r="K23" s="122">
        <f>'Raw BS (Manual)'!N20</f>
        <v>1279</v>
      </c>
    </row>
    <row r="24" spans="1:11" x14ac:dyDescent="0.25">
      <c r="B24" s="115" t="str">
        <f>'Raw BS (Manual)'!B21</f>
        <v>Plant Machinery</v>
      </c>
      <c r="C24" s="115"/>
      <c r="D24" s="115"/>
      <c r="E24" s="115"/>
      <c r="F24" s="115"/>
      <c r="G24" s="122">
        <f>'Raw BS (Manual)'!J21</f>
        <v>1527</v>
      </c>
      <c r="H24" s="122">
        <f>'Raw BS (Manual)'!K21</f>
        <v>1719</v>
      </c>
      <c r="I24" s="122">
        <f>'Raw BS (Manual)'!L21</f>
        <v>1862</v>
      </c>
      <c r="J24" s="122">
        <f>'Raw BS (Manual)'!M21</f>
        <v>2074</v>
      </c>
      <c r="K24" s="122">
        <f>'Raw BS (Manual)'!N21</f>
        <v>2408</v>
      </c>
    </row>
    <row r="25" spans="1:11" x14ac:dyDescent="0.25">
      <c r="B25" s="115" t="str">
        <f>'Raw BS (Manual)'!B22</f>
        <v>Equipments</v>
      </c>
      <c r="C25" s="115"/>
      <c r="D25" s="115"/>
      <c r="E25" s="115"/>
      <c r="F25" s="115"/>
      <c r="G25" s="122">
        <f>'Raw BS (Manual)'!J22</f>
        <v>68</v>
      </c>
      <c r="H25" s="122">
        <f>'Raw BS (Manual)'!K22</f>
        <v>69</v>
      </c>
      <c r="I25" s="122">
        <f>'Raw BS (Manual)'!L22</f>
        <v>73</v>
      </c>
      <c r="J25" s="122">
        <f>'Raw BS (Manual)'!M22</f>
        <v>78</v>
      </c>
      <c r="K25" s="122">
        <f>'Raw BS (Manual)'!N22</f>
        <v>88</v>
      </c>
    </row>
    <row r="26" spans="1:11" x14ac:dyDescent="0.25">
      <c r="B26" s="115" t="str">
        <f>'Raw BS (Manual)'!B23</f>
        <v>Computers</v>
      </c>
      <c r="C26" s="115"/>
      <c r="D26" s="115"/>
      <c r="E26" s="115"/>
      <c r="F26" s="115"/>
      <c r="G26" s="122">
        <f>'Raw BS (Manual)'!J23</f>
        <v>0</v>
      </c>
      <c r="H26" s="122">
        <f>'Raw BS (Manual)'!K23</f>
        <v>0</v>
      </c>
      <c r="I26" s="122">
        <f>'Raw BS (Manual)'!L23</f>
        <v>0</v>
      </c>
      <c r="J26" s="122">
        <f>'Raw BS (Manual)'!M23</f>
        <v>0</v>
      </c>
      <c r="K26" s="122">
        <f>'Raw BS (Manual)'!N23</f>
        <v>0</v>
      </c>
    </row>
    <row r="27" spans="1:11" x14ac:dyDescent="0.25">
      <c r="B27" s="115" t="str">
        <f>'Raw BS (Manual)'!B24</f>
        <v>Furniture n fittings</v>
      </c>
      <c r="C27" s="115"/>
      <c r="D27" s="115"/>
      <c r="E27" s="115"/>
      <c r="F27" s="115"/>
      <c r="G27" s="122">
        <f>'Raw BS (Manual)'!J24</f>
        <v>113</v>
      </c>
      <c r="H27" s="122">
        <f>'Raw BS (Manual)'!K24</f>
        <v>126</v>
      </c>
      <c r="I27" s="122">
        <f>'Raw BS (Manual)'!L24</f>
        <v>129</v>
      </c>
      <c r="J27" s="122">
        <f>'Raw BS (Manual)'!M24</f>
        <v>134</v>
      </c>
      <c r="K27" s="122">
        <f>'Raw BS (Manual)'!N24</f>
        <v>148</v>
      </c>
    </row>
    <row r="28" spans="1:11" x14ac:dyDescent="0.25">
      <c r="B28" s="115" t="str">
        <f>'Raw BS (Manual)'!B25</f>
        <v>Vehicles</v>
      </c>
      <c r="C28" s="115"/>
      <c r="D28" s="115"/>
      <c r="E28" s="115"/>
      <c r="F28" s="115"/>
      <c r="G28" s="122">
        <f>'Raw BS (Manual)'!J25</f>
        <v>44</v>
      </c>
      <c r="H28" s="122">
        <f>'Raw BS (Manual)'!K25</f>
        <v>45</v>
      </c>
      <c r="I28" s="122">
        <f>'Raw BS (Manual)'!L25</f>
        <v>45</v>
      </c>
      <c r="J28" s="122">
        <f>'Raw BS (Manual)'!M25</f>
        <v>47</v>
      </c>
      <c r="K28" s="122">
        <f>'Raw BS (Manual)'!N25</f>
        <v>43</v>
      </c>
    </row>
    <row r="29" spans="1:11" x14ac:dyDescent="0.25">
      <c r="B29" s="115" t="str">
        <f>'Raw BS (Manual)'!B26</f>
        <v>Intangible Assets</v>
      </c>
      <c r="C29" s="115"/>
      <c r="D29" s="115"/>
      <c r="E29" s="115"/>
      <c r="F29" s="115"/>
      <c r="G29" s="122">
        <f>'Raw BS (Manual)'!J26</f>
        <v>367</v>
      </c>
      <c r="H29" s="122">
        <f>'Raw BS (Manual)'!K26</f>
        <v>374</v>
      </c>
      <c r="I29" s="122">
        <f>'Raw BS (Manual)'!L26</f>
        <v>375</v>
      </c>
      <c r="J29" s="122">
        <f>'Raw BS (Manual)'!M26</f>
        <v>291</v>
      </c>
      <c r="K29" s="122">
        <f>'Raw BS (Manual)'!N26</f>
        <v>1322</v>
      </c>
    </row>
    <row r="30" spans="1:11" x14ac:dyDescent="0.25">
      <c r="B30" s="115" t="str">
        <f>'Raw BS (Manual)'!B27</f>
        <v>Other fixed assets</v>
      </c>
      <c r="C30" s="115"/>
      <c r="D30" s="115"/>
      <c r="E30" s="115"/>
      <c r="F30" s="115"/>
      <c r="G30" s="122">
        <f>'Raw BS (Manual)'!J27</f>
        <v>125</v>
      </c>
      <c r="H30" s="122">
        <f>'Raw BS (Manual)'!K27</f>
        <v>139</v>
      </c>
      <c r="I30" s="122">
        <f>'Raw BS (Manual)'!L27</f>
        <v>146</v>
      </c>
      <c r="J30" s="122">
        <f>'Raw BS (Manual)'!M27</f>
        <v>149</v>
      </c>
      <c r="K30" s="122">
        <f>'Raw BS (Manual)'!N27</f>
        <v>154</v>
      </c>
    </row>
    <row r="31" spans="1:11" ht="8.25" customHeight="1" x14ac:dyDescent="0.25">
      <c r="B31" s="100"/>
      <c r="C31" s="100"/>
      <c r="D31" s="100"/>
      <c r="E31" s="100"/>
      <c r="F31" s="100"/>
      <c r="G31" s="126"/>
      <c r="H31" s="126"/>
      <c r="I31" s="126"/>
      <c r="J31" s="126"/>
      <c r="K31" s="126"/>
    </row>
    <row r="32" spans="1:11" x14ac:dyDescent="0.25">
      <c r="B32" s="82" t="s">
        <v>277</v>
      </c>
      <c r="C32" s="120"/>
      <c r="D32" s="120"/>
      <c r="E32" s="120"/>
      <c r="F32" s="120"/>
      <c r="G32" s="124">
        <f>SUM(G22:G30)</f>
        <v>3140</v>
      </c>
      <c r="H32" s="124">
        <f>SUM(H22:H30)</f>
        <v>3629</v>
      </c>
      <c r="I32" s="124">
        <f>SUM(I22:I30)</f>
        <v>3780</v>
      </c>
      <c r="J32" s="124">
        <f>SUM(J22:J30)</f>
        <v>4040</v>
      </c>
      <c r="K32" s="124">
        <f>SUM(K22:K30)</f>
        <v>5583</v>
      </c>
    </row>
    <row r="33" spans="1:11" x14ac:dyDescent="0.25">
      <c r="B33" t="s">
        <v>278</v>
      </c>
      <c r="G33" s="123">
        <f>-'Raw BS (Manual)'!J29</f>
        <v>-1170</v>
      </c>
      <c r="H33" s="123">
        <f>-'Raw BS (Manual)'!K29</f>
        <v>-1377</v>
      </c>
      <c r="I33" s="123">
        <f>-'Raw BS (Manual)'!L29</f>
        <v>-1536</v>
      </c>
      <c r="J33" s="123">
        <f>-'Raw BS (Manual)'!M29</f>
        <v>-1733</v>
      </c>
      <c r="K33" s="123">
        <f>-'Raw BS (Manual)'!N29</f>
        <v>-2004</v>
      </c>
    </row>
    <row r="34" spans="1:11" ht="15.75" thickBot="1" x14ac:dyDescent="0.3">
      <c r="A34" s="111" t="s">
        <v>2</v>
      </c>
      <c r="B34" s="57" t="s">
        <v>292</v>
      </c>
      <c r="C34" s="57"/>
      <c r="D34" s="57"/>
      <c r="E34" s="57"/>
      <c r="F34" s="57"/>
      <c r="G34" s="125">
        <f>SUM(G32:G33)</f>
        <v>1970</v>
      </c>
      <c r="H34" s="125">
        <f t="shared" ref="H34:K34" si="2">SUM(H32:H33)</f>
        <v>2252</v>
      </c>
      <c r="I34" s="125">
        <f t="shared" si="2"/>
        <v>2244</v>
      </c>
      <c r="J34" s="125">
        <f t="shared" si="2"/>
        <v>2307</v>
      </c>
      <c r="K34" s="125">
        <f t="shared" si="2"/>
        <v>3579</v>
      </c>
    </row>
    <row r="35" spans="1:11" x14ac:dyDescent="0.25">
      <c r="G35" s="123"/>
      <c r="H35" s="123"/>
      <c r="I35" s="123"/>
      <c r="J35" s="123"/>
      <c r="K35" s="123"/>
    </row>
    <row r="36" spans="1:11" x14ac:dyDescent="0.25">
      <c r="A36" t="s">
        <v>2</v>
      </c>
      <c r="B36" s="11" t="s">
        <v>293</v>
      </c>
      <c r="C36" s="11"/>
      <c r="D36" s="11"/>
      <c r="E36" s="11"/>
      <c r="F36" s="11"/>
      <c r="G36" s="127">
        <f>G34+G19</f>
        <v>2614</v>
      </c>
      <c r="H36" s="127">
        <f t="shared" ref="H36:K36" si="3">H34+H19</f>
        <v>3406</v>
      </c>
      <c r="I36" s="127">
        <f t="shared" si="3"/>
        <v>2575</v>
      </c>
      <c r="J36" s="127">
        <f t="shared" si="3"/>
        <v>2493</v>
      </c>
      <c r="K36" s="127">
        <f t="shared" si="3"/>
        <v>3848</v>
      </c>
    </row>
    <row r="37" spans="1:11" x14ac:dyDescent="0.25">
      <c r="B37" t="s">
        <v>115</v>
      </c>
      <c r="G37" s="123">
        <f>'Historical FS'!H18-'Historical FS'!H21</f>
        <v>1562.6599999999992</v>
      </c>
      <c r="H37" s="123">
        <f>'Historical FS'!I18-'Historical FS'!I21</f>
        <v>1571.8899999999994</v>
      </c>
      <c r="I37" s="123">
        <f>'Historical FS'!J18-'Historical FS'!J21</f>
        <v>1761.5399999999981</v>
      </c>
      <c r="J37" s="123">
        <f>'Historical FS'!K18-'Historical FS'!K21</f>
        <v>1999.1200000000008</v>
      </c>
      <c r="K37" s="123">
        <f>'Historical FS'!L18-'Historical FS'!L21</f>
        <v>1851.5299999999993</v>
      </c>
    </row>
    <row r="39" spans="1:11" ht="15.75" thickBot="1" x14ac:dyDescent="0.3">
      <c r="A39" t="s">
        <v>2</v>
      </c>
      <c r="B39" s="57" t="s">
        <v>294</v>
      </c>
      <c r="C39" s="57"/>
      <c r="D39" s="57"/>
      <c r="E39" s="57"/>
      <c r="F39" s="57"/>
      <c r="G39" s="121">
        <f>G37/G36</f>
        <v>0.59780413159908152</v>
      </c>
      <c r="H39" s="121">
        <f t="shared" ref="H39:K39" si="4">H37/H36</f>
        <v>0.46150616559013491</v>
      </c>
      <c r="I39" s="121">
        <f t="shared" si="4"/>
        <v>0.68409320388349437</v>
      </c>
      <c r="J39" s="121">
        <f t="shared" si="4"/>
        <v>0.80189330124348202</v>
      </c>
      <c r="K39" s="121">
        <f t="shared" si="4"/>
        <v>0.48116683991683973</v>
      </c>
    </row>
    <row r="41" spans="1:11" x14ac:dyDescent="0.25">
      <c r="A41" t="s">
        <v>2</v>
      </c>
      <c r="B41" s="65" t="s">
        <v>295</v>
      </c>
      <c r="C41" s="8"/>
      <c r="D41" s="8"/>
      <c r="E41" s="8"/>
      <c r="F41" s="8"/>
      <c r="G41" s="9">
        <f>'Intrinsic Growth'!G4</f>
        <v>43525</v>
      </c>
      <c r="H41" s="9">
        <f>'Intrinsic Growth'!H4</f>
        <v>43891</v>
      </c>
      <c r="I41" s="9">
        <f>'Intrinsic Growth'!I4</f>
        <v>44256</v>
      </c>
      <c r="J41" s="9">
        <f>'Intrinsic Growth'!J4</f>
        <v>44621</v>
      </c>
      <c r="K41" s="9">
        <f>'Intrinsic Growth'!K4</f>
        <v>44986</v>
      </c>
    </row>
    <row r="43" spans="1:11" x14ac:dyDescent="0.25">
      <c r="B43" s="115" t="s">
        <v>296</v>
      </c>
      <c r="C43" s="115"/>
      <c r="D43" s="115"/>
      <c r="E43" s="115"/>
      <c r="F43" s="115"/>
      <c r="G43" s="122">
        <f>-SUM('Cash Flow Data (Manual)'!J15:J16)</f>
        <v>225</v>
      </c>
      <c r="H43" s="122">
        <f>-SUM('Cash Flow Data (Manual)'!K15:K16)</f>
        <v>400</v>
      </c>
      <c r="I43" s="122">
        <f>-SUM('Cash Flow Data (Manual)'!L15:L16)</f>
        <v>306</v>
      </c>
      <c r="J43" s="122">
        <f>-SUM('Cash Flow Data (Manual)'!M15:M16)</f>
        <v>369</v>
      </c>
      <c r="K43" s="122">
        <f>-SUM('Cash Flow Data (Manual)'!N15:N16)</f>
        <v>486</v>
      </c>
    </row>
    <row r="44" spans="1:11" x14ac:dyDescent="0.25">
      <c r="B44" s="115" t="s">
        <v>297</v>
      </c>
      <c r="C44" s="115"/>
      <c r="D44" s="115"/>
      <c r="E44" s="115"/>
      <c r="F44" s="115"/>
      <c r="G44" s="122"/>
      <c r="H44" s="122">
        <f>H19-G19</f>
        <v>510</v>
      </c>
      <c r="I44" s="122">
        <f t="shared" ref="I44:K44" si="5">I19-H19</f>
        <v>-823</v>
      </c>
      <c r="J44" s="122">
        <f t="shared" si="5"/>
        <v>-145</v>
      </c>
      <c r="K44" s="122">
        <f t="shared" si="5"/>
        <v>83</v>
      </c>
    </row>
    <row r="45" spans="1:11" x14ac:dyDescent="0.25">
      <c r="B45" s="115"/>
      <c r="C45" s="115"/>
      <c r="D45" s="115"/>
      <c r="E45" s="115"/>
      <c r="F45" s="115"/>
      <c r="G45" s="122"/>
      <c r="H45" s="122"/>
      <c r="I45" s="122"/>
      <c r="J45" s="122"/>
      <c r="K45" s="122"/>
    </row>
    <row r="46" spans="1:11" x14ac:dyDescent="0.25">
      <c r="B46" s="115" t="s">
        <v>115</v>
      </c>
      <c r="C46" s="115"/>
      <c r="D46" s="115"/>
      <c r="E46" s="115"/>
      <c r="F46" s="115"/>
      <c r="G46" s="122">
        <f>G37</f>
        <v>1562.6599999999992</v>
      </c>
      <c r="H46" s="122">
        <f t="shared" ref="H46:K46" si="6">H37</f>
        <v>1571.8899999999994</v>
      </c>
      <c r="I46" s="122">
        <f t="shared" si="6"/>
        <v>1761.5399999999981</v>
      </c>
      <c r="J46" s="122">
        <f t="shared" si="6"/>
        <v>1999.1200000000008</v>
      </c>
      <c r="K46" s="122">
        <f t="shared" si="6"/>
        <v>1851.5299999999993</v>
      </c>
    </row>
    <row r="47" spans="1:11" x14ac:dyDescent="0.25">
      <c r="B47" s="115" t="s">
        <v>298</v>
      </c>
      <c r="C47" s="115"/>
      <c r="D47" s="115"/>
      <c r="E47" s="115"/>
      <c r="F47" s="115"/>
      <c r="G47" s="128">
        <v>0.25</v>
      </c>
      <c r="H47" s="128">
        <v>0.25</v>
      </c>
      <c r="I47" s="128">
        <v>0.25</v>
      </c>
      <c r="J47" s="128">
        <v>0.25</v>
      </c>
      <c r="K47" s="128">
        <v>0.25</v>
      </c>
    </row>
    <row r="48" spans="1:11" x14ac:dyDescent="0.25">
      <c r="B48" s="115" t="s">
        <v>301</v>
      </c>
      <c r="C48" s="115"/>
      <c r="D48" s="115"/>
      <c r="E48" s="115"/>
      <c r="F48" s="115"/>
      <c r="G48" s="122">
        <f>G46*(1-G47)</f>
        <v>1171.9949999999994</v>
      </c>
      <c r="H48" s="122">
        <f t="shared" ref="H48:K48" si="7">H46*(1-H47)</f>
        <v>1178.9174999999996</v>
      </c>
      <c r="I48" s="122">
        <f t="shared" si="7"/>
        <v>1321.1549999999986</v>
      </c>
      <c r="J48" s="122">
        <f t="shared" si="7"/>
        <v>1499.3400000000006</v>
      </c>
      <c r="K48" s="122">
        <f t="shared" si="7"/>
        <v>1388.6474999999996</v>
      </c>
    </row>
    <row r="49" spans="1:11" x14ac:dyDescent="0.25">
      <c r="B49" s="115"/>
      <c r="C49" s="115"/>
      <c r="D49" s="115"/>
      <c r="E49" s="115"/>
      <c r="F49" s="115"/>
      <c r="G49" s="122"/>
      <c r="H49" s="122"/>
      <c r="I49" s="122"/>
      <c r="J49" s="122"/>
      <c r="K49" s="122"/>
    </row>
    <row r="50" spans="1:11" x14ac:dyDescent="0.25">
      <c r="B50" s="115" t="s">
        <v>299</v>
      </c>
      <c r="C50" s="115"/>
      <c r="D50" s="115"/>
      <c r="E50" s="115"/>
      <c r="F50" s="115"/>
      <c r="G50" s="122"/>
      <c r="H50" s="122">
        <f>SUM(H43:H44)</f>
        <v>910</v>
      </c>
      <c r="I50" s="122">
        <f t="shared" ref="I50:K50" si="8">SUM(I43:I44)</f>
        <v>-517</v>
      </c>
      <c r="J50" s="122">
        <f t="shared" si="8"/>
        <v>224</v>
      </c>
      <c r="K50" s="122">
        <f t="shared" si="8"/>
        <v>569</v>
      </c>
    </row>
    <row r="51" spans="1:11" ht="4.5" customHeight="1" x14ac:dyDescent="0.25">
      <c r="H51" s="21"/>
      <c r="I51" s="21"/>
      <c r="J51" s="21"/>
      <c r="K51" s="21"/>
    </row>
    <row r="52" spans="1:11" ht="15.75" thickBot="1" x14ac:dyDescent="0.3">
      <c r="B52" s="57" t="s">
        <v>300</v>
      </c>
      <c r="C52" s="57"/>
      <c r="D52" s="57"/>
      <c r="E52" s="57"/>
      <c r="F52" s="57"/>
      <c r="G52" s="57"/>
      <c r="H52" s="121">
        <f>H50/H48</f>
        <v>0.77189455581073341</v>
      </c>
      <c r="I52" s="121">
        <f t="shared" ref="I52:K52" si="9">I50/I48</f>
        <v>-0.39132425794096876</v>
      </c>
      <c r="J52" s="121">
        <f t="shared" si="9"/>
        <v>0.14939906892365967</v>
      </c>
      <c r="K52" s="121">
        <f t="shared" si="9"/>
        <v>0.40975121476112558</v>
      </c>
    </row>
    <row r="53" spans="1:11" x14ac:dyDescent="0.25">
      <c r="H53" s="14"/>
      <c r="I53" s="14"/>
      <c r="J53" s="14"/>
      <c r="K53" s="14"/>
    </row>
    <row r="54" spans="1:11" x14ac:dyDescent="0.25">
      <c r="J54" s="74" t="s">
        <v>302</v>
      </c>
      <c r="K54" s="129">
        <f>AVERAGE(H52:K52)</f>
        <v>0.23493014538863749</v>
      </c>
    </row>
    <row r="55" spans="1:11" x14ac:dyDescent="0.25">
      <c r="J55" s="74" t="s">
        <v>303</v>
      </c>
      <c r="K55" s="129">
        <f>MEDIAN(H52:K52)</f>
        <v>0.27957514184239263</v>
      </c>
    </row>
    <row r="57" spans="1:11" x14ac:dyDescent="0.25">
      <c r="A57" t="s">
        <v>2</v>
      </c>
      <c r="B57" s="65" t="s">
        <v>304</v>
      </c>
      <c r="C57" s="8"/>
      <c r="D57" s="8"/>
      <c r="E57" s="8"/>
      <c r="F57" s="8"/>
      <c r="G57" s="9">
        <f>G41</f>
        <v>43525</v>
      </c>
      <c r="H57" s="9">
        <f t="shared" ref="H57:K57" si="10">H41</f>
        <v>43891</v>
      </c>
      <c r="I57" s="9">
        <f t="shared" si="10"/>
        <v>44256</v>
      </c>
      <c r="J57" s="9">
        <f t="shared" si="10"/>
        <v>44621</v>
      </c>
      <c r="K57" s="9">
        <f t="shared" si="10"/>
        <v>44986</v>
      </c>
    </row>
    <row r="59" spans="1:11" x14ac:dyDescent="0.25">
      <c r="B59" s="115" t="s">
        <v>300</v>
      </c>
      <c r="C59" s="115"/>
      <c r="D59" s="115"/>
      <c r="E59" s="115"/>
      <c r="F59" s="115"/>
      <c r="G59" s="115"/>
      <c r="H59" s="128">
        <f>H52</f>
        <v>0.77189455581073341</v>
      </c>
      <c r="I59" s="128">
        <f t="shared" ref="I59:K59" si="11">I52</f>
        <v>-0.39132425794096876</v>
      </c>
      <c r="J59" s="128">
        <f t="shared" si="11"/>
        <v>0.14939906892365967</v>
      </c>
      <c r="K59" s="128">
        <f t="shared" si="11"/>
        <v>0.40975121476112558</v>
      </c>
    </row>
    <row r="60" spans="1:11" x14ac:dyDescent="0.25">
      <c r="B60" s="115" t="s">
        <v>294</v>
      </c>
      <c r="C60" s="115"/>
      <c r="D60" s="115"/>
      <c r="E60" s="115"/>
      <c r="F60" s="115"/>
      <c r="G60" s="115"/>
      <c r="H60" s="128">
        <f>H39</f>
        <v>0.46150616559013491</v>
      </c>
      <c r="I60" s="128">
        <f t="shared" ref="I60:K60" si="12">I39</f>
        <v>0.68409320388349437</v>
      </c>
      <c r="J60" s="128">
        <f t="shared" si="12"/>
        <v>0.80189330124348202</v>
      </c>
      <c r="K60" s="128">
        <f t="shared" si="12"/>
        <v>0.48116683991683973</v>
      </c>
    </row>
    <row r="61" spans="1:11" ht="6" customHeight="1" x14ac:dyDescent="0.25"/>
    <row r="62" spans="1:11" ht="15.75" thickBot="1" x14ac:dyDescent="0.3">
      <c r="B62" s="57" t="s">
        <v>305</v>
      </c>
      <c r="C62" s="57"/>
      <c r="D62" s="57"/>
      <c r="E62" s="57"/>
      <c r="F62" s="57"/>
      <c r="G62" s="57"/>
      <c r="H62" s="130">
        <f>H59*H60</f>
        <v>0.35623409669211198</v>
      </c>
      <c r="I62" s="130">
        <f t="shared" ref="I62:K62" si="13">I59*I60</f>
        <v>-0.26770226537216829</v>
      </c>
      <c r="J62" s="130">
        <f t="shared" si="13"/>
        <v>0.11980211258189596</v>
      </c>
      <c r="K62" s="130">
        <f t="shared" si="13"/>
        <v>0.19715869715869713</v>
      </c>
    </row>
    <row r="64" spans="1:11" x14ac:dyDescent="0.25">
      <c r="J64" s="74" t="s">
        <v>302</v>
      </c>
      <c r="K64" s="129">
        <f>AVERAGE(H62:K62)</f>
        <v>0.1013731602651342</v>
      </c>
    </row>
    <row r="65" spans="10:11" x14ac:dyDescent="0.25">
      <c r="J65" s="74" t="s">
        <v>303</v>
      </c>
      <c r="K65" s="129">
        <f>MEDIAN(H62:K62)</f>
        <v>0.15848040487029655</v>
      </c>
    </row>
  </sheetData>
  <pageMargins left="0.7" right="0.7" top="0.75" bottom="0.75" header="0.3" footer="0.3"/>
  <ignoredErrors>
    <ignoredError sqref="G43:K43" formulaRange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6FC14-F1B6-43CA-ABEE-C8B98359EF16}">
  <dimension ref="A2:K43"/>
  <sheetViews>
    <sheetView showGridLines="0" topLeftCell="A11" workbookViewId="0">
      <selection activeCell="D17" sqref="D17"/>
    </sheetView>
  </sheetViews>
  <sheetFormatPr defaultRowHeight="15" x14ac:dyDescent="0.25"/>
  <cols>
    <col min="1" max="1" width="1.85546875" customWidth="1"/>
    <col min="2" max="2" width="27.5703125" bestFit="1" customWidth="1"/>
    <col min="4" max="4" width="11.140625" bestFit="1" customWidth="1"/>
    <col min="6" max="6" width="10" bestFit="1" customWidth="1"/>
    <col min="7" max="11" width="10.7109375" bestFit="1" customWidth="1"/>
  </cols>
  <sheetData>
    <row r="2" spans="1:11" x14ac:dyDescent="0.25">
      <c r="B2" s="65" t="str">
        <f>"Discounted Cash Flows Valuation - "&amp;'Data Sheet'!B1</f>
        <v>Discounted Cash Flows Valuation - DABUR INDIA LTD</v>
      </c>
      <c r="C2" s="77"/>
      <c r="D2" s="77"/>
      <c r="E2" s="77"/>
      <c r="F2" s="77"/>
      <c r="G2" s="77"/>
      <c r="H2" s="77"/>
      <c r="I2" s="77"/>
      <c r="J2" s="77"/>
      <c r="K2" s="77"/>
    </row>
    <row r="4" spans="1:11" x14ac:dyDescent="0.25">
      <c r="A4" t="s">
        <v>2</v>
      </c>
      <c r="B4" s="65" t="s">
        <v>306</v>
      </c>
      <c r="C4" s="77"/>
      <c r="D4" s="77"/>
      <c r="E4" s="77"/>
      <c r="F4" s="132">
        <f>'Intrinsic Growth'!K4</f>
        <v>44986</v>
      </c>
      <c r="G4" s="131">
        <f>F4+366</f>
        <v>45352</v>
      </c>
      <c r="H4" s="131">
        <f t="shared" ref="H4:K4" si="0">G4+366</f>
        <v>45718</v>
      </c>
      <c r="I4" s="131">
        <f t="shared" si="0"/>
        <v>46084</v>
      </c>
      <c r="J4" s="131">
        <f t="shared" si="0"/>
        <v>46450</v>
      </c>
      <c r="K4" s="131">
        <f t="shared" si="0"/>
        <v>46816</v>
      </c>
    </row>
    <row r="6" spans="1:11" x14ac:dyDescent="0.25">
      <c r="B6" s="115" t="s">
        <v>115</v>
      </c>
      <c r="C6" s="115"/>
      <c r="D6" s="115"/>
      <c r="E6" s="115"/>
      <c r="F6" s="136">
        <f>'Data Sheet'!K33-'Data Sheet'!K26</f>
        <v>2296.9199999999996</v>
      </c>
      <c r="G6" s="115">
        <f>F6*(1+$D$16)</f>
        <v>2423.0209079999995</v>
      </c>
      <c r="H6" s="115">
        <f>G6*(1+$D$16)</f>
        <v>2556.0447558491992</v>
      </c>
      <c r="I6" s="115">
        <f>H6*(1+$D$16)</f>
        <v>2696.3716129453201</v>
      </c>
      <c r="J6" s="115">
        <f>I6*(1+$D$16)</f>
        <v>2844.4024144960181</v>
      </c>
      <c r="K6" s="115">
        <f>J6*(1+$D$16)</f>
        <v>3000.5601070518492</v>
      </c>
    </row>
    <row r="7" spans="1:11" x14ac:dyDescent="0.25">
      <c r="B7" s="115" t="s">
        <v>138</v>
      </c>
      <c r="C7" s="115"/>
      <c r="D7" s="115"/>
      <c r="E7" s="115"/>
      <c r="F7" s="137">
        <v>0.25</v>
      </c>
      <c r="G7" s="128">
        <f>F7</f>
        <v>0.25</v>
      </c>
      <c r="H7" s="128">
        <f t="shared" ref="H7:K7" si="1">G7</f>
        <v>0.25</v>
      </c>
      <c r="I7" s="128">
        <f t="shared" si="1"/>
        <v>0.25</v>
      </c>
      <c r="J7" s="128">
        <f t="shared" si="1"/>
        <v>0.25</v>
      </c>
      <c r="K7" s="128">
        <f t="shared" si="1"/>
        <v>0.25</v>
      </c>
    </row>
    <row r="8" spans="1:11" x14ac:dyDescent="0.25">
      <c r="B8" s="115" t="s">
        <v>301</v>
      </c>
      <c r="C8" s="115"/>
      <c r="D8" s="115"/>
      <c r="E8" s="115"/>
      <c r="F8" s="138">
        <f t="shared" ref="F8:K8" si="2">F6*(1-F7)</f>
        <v>1722.6899999999996</v>
      </c>
      <c r="G8" s="115">
        <f t="shared" si="2"/>
        <v>1817.2656809999996</v>
      </c>
      <c r="H8" s="115">
        <f t="shared" si="2"/>
        <v>1917.0335668868993</v>
      </c>
      <c r="I8" s="115">
        <f t="shared" si="2"/>
        <v>2022.2787097089899</v>
      </c>
      <c r="J8" s="115">
        <f t="shared" si="2"/>
        <v>2133.3018108720134</v>
      </c>
      <c r="K8" s="115">
        <f t="shared" si="2"/>
        <v>2250.4200802888868</v>
      </c>
    </row>
    <row r="9" spans="1:11" x14ac:dyDescent="0.25">
      <c r="B9" s="115" t="s">
        <v>307</v>
      </c>
      <c r="C9" s="115"/>
      <c r="D9" s="115"/>
      <c r="E9" s="115"/>
      <c r="F9" s="137">
        <f>'Intrinsic Growth'!K55</f>
        <v>0.27957514184239263</v>
      </c>
      <c r="G9" s="135">
        <f>F9</f>
        <v>0.27957514184239263</v>
      </c>
      <c r="H9" s="135">
        <f t="shared" ref="H9:K9" si="3">G9</f>
        <v>0.27957514184239263</v>
      </c>
      <c r="I9" s="135">
        <f t="shared" si="3"/>
        <v>0.27957514184239263</v>
      </c>
      <c r="J9" s="135">
        <f t="shared" si="3"/>
        <v>0.27957514184239263</v>
      </c>
      <c r="K9" s="135">
        <f t="shared" si="3"/>
        <v>0.27957514184239263</v>
      </c>
    </row>
    <row r="10" spans="1:11" x14ac:dyDescent="0.25">
      <c r="B10" s="115" t="s">
        <v>308</v>
      </c>
      <c r="C10" s="115"/>
      <c r="D10" s="115"/>
      <c r="E10" s="115"/>
      <c r="F10" s="138">
        <f t="shared" ref="F10:K10" si="4">F8*(1-F9)</f>
        <v>1241.0686988995283</v>
      </c>
      <c r="G10" s="115">
        <f t="shared" si="4"/>
        <v>1309.2033704691125</v>
      </c>
      <c r="H10" s="115">
        <f t="shared" si="4"/>
        <v>1381.0786355078665</v>
      </c>
      <c r="I10" s="115">
        <f t="shared" si="4"/>
        <v>1456.8998525972484</v>
      </c>
      <c r="J10" s="115">
        <f t="shared" si="4"/>
        <v>1536.8836545048373</v>
      </c>
      <c r="K10" s="115">
        <f t="shared" si="4"/>
        <v>1621.2585671371526</v>
      </c>
    </row>
    <row r="11" spans="1:11" x14ac:dyDescent="0.25">
      <c r="B11" s="115" t="s">
        <v>309</v>
      </c>
      <c r="C11" s="115"/>
      <c r="D11" s="115"/>
      <c r="E11" s="115"/>
      <c r="F11" s="138"/>
      <c r="G11" s="115">
        <v>0.5</v>
      </c>
      <c r="H11" s="115">
        <f>G11+1</f>
        <v>1.5</v>
      </c>
      <c r="I11" s="115">
        <f t="shared" ref="I11:K11" si="5">H11+1</f>
        <v>2.5</v>
      </c>
      <c r="J11" s="115">
        <f t="shared" si="5"/>
        <v>3.5</v>
      </c>
      <c r="K11" s="115">
        <f t="shared" si="5"/>
        <v>4.5</v>
      </c>
    </row>
    <row r="12" spans="1:11" x14ac:dyDescent="0.25">
      <c r="B12" s="115" t="s">
        <v>310</v>
      </c>
      <c r="C12" s="115"/>
      <c r="D12" s="115"/>
      <c r="E12" s="115"/>
      <c r="F12" s="138"/>
      <c r="G12" s="140">
        <f>1/(1+$D$18)^G11</f>
        <v>0.93271162466140278</v>
      </c>
      <c r="H12" s="140">
        <f t="shared" ref="H12:K12" si="6">1/(1+$D$18)^H11</f>
        <v>0.81141338706143851</v>
      </c>
      <c r="I12" s="140">
        <f t="shared" si="6"/>
        <v>0.70588986702243373</v>
      </c>
      <c r="J12" s="140">
        <f t="shared" si="6"/>
        <v>0.61408957790244156</v>
      </c>
      <c r="K12" s="140">
        <f t="shared" si="6"/>
        <v>0.53422782689755499</v>
      </c>
    </row>
    <row r="13" spans="1:11" ht="8.1" customHeight="1" x14ac:dyDescent="0.25">
      <c r="F13" s="139"/>
    </row>
    <row r="14" spans="1:11" ht="15.75" thickBot="1" x14ac:dyDescent="0.3">
      <c r="B14" s="57" t="s">
        <v>311</v>
      </c>
      <c r="C14" s="57"/>
      <c r="D14" s="57"/>
      <c r="E14" s="57"/>
      <c r="F14" s="141"/>
      <c r="G14" s="57">
        <f>G12*G10</f>
        <v>1221.1092026824304</v>
      </c>
      <c r="H14" s="57">
        <f t="shared" ref="H14:K14" si="7">H12*H10</f>
        <v>1120.6256934356279</v>
      </c>
      <c r="I14" s="57">
        <f t="shared" si="7"/>
        <v>1028.4108432148748</v>
      </c>
      <c r="J14" s="57">
        <f t="shared" si="7"/>
        <v>943.78423468003734</v>
      </c>
      <c r="K14" s="57">
        <f t="shared" si="7"/>
        <v>866.12144116072477</v>
      </c>
    </row>
    <row r="16" spans="1:11" x14ac:dyDescent="0.25">
      <c r="B16" s="36" t="s">
        <v>312</v>
      </c>
      <c r="C16" s="36"/>
      <c r="D16" s="133">
        <v>5.4899999999999997E-2</v>
      </c>
    </row>
    <row r="17" spans="1:11" x14ac:dyDescent="0.25">
      <c r="B17" s="36" t="s">
        <v>313</v>
      </c>
      <c r="C17" s="36"/>
      <c r="D17" s="134">
        <v>7.0000000000000007E-2</v>
      </c>
    </row>
    <row r="18" spans="1:11" x14ac:dyDescent="0.25">
      <c r="B18" s="36" t="s">
        <v>158</v>
      </c>
      <c r="C18" s="36"/>
      <c r="D18" s="133">
        <f>WACC!K38</f>
        <v>0.14949006207458573</v>
      </c>
    </row>
    <row r="21" spans="1:11" x14ac:dyDescent="0.25">
      <c r="A21" t="s">
        <v>2</v>
      </c>
      <c r="B21" s="65" t="s">
        <v>314</v>
      </c>
      <c r="C21" s="77"/>
      <c r="D21" s="77"/>
      <c r="F21" s="65" t="s">
        <v>366</v>
      </c>
      <c r="G21" s="77"/>
      <c r="H21" s="77"/>
      <c r="I21" s="77"/>
      <c r="J21" s="77"/>
      <c r="K21" s="77"/>
    </row>
    <row r="22" spans="1:11" x14ac:dyDescent="0.25">
      <c r="F22" s="161">
        <f>D33</f>
        <v>16674.211621302962</v>
      </c>
      <c r="G22" s="162">
        <v>0.12</v>
      </c>
      <c r="H22" s="103">
        <v>0.13500000000000001</v>
      </c>
      <c r="I22" s="103">
        <v>0.1492</v>
      </c>
      <c r="J22" s="162">
        <v>0.16</v>
      </c>
      <c r="K22" s="103">
        <v>0.17199999999999999</v>
      </c>
    </row>
    <row r="23" spans="1:11" x14ac:dyDescent="0.25">
      <c r="B23" t="s">
        <v>315</v>
      </c>
      <c r="D23">
        <f>K10*(1+D16)</f>
        <v>1710.2656624729821</v>
      </c>
      <c r="F23" s="163">
        <v>0.05</v>
      </c>
      <c r="G23" s="117">
        <f t="dataTable" ref="G23:K27" dt2D="1" dtr="1" r1="D24" r2="D25"/>
        <v>18232.501533465816</v>
      </c>
      <c r="H23" s="117">
        <v>15929.127983178971</v>
      </c>
      <c r="I23" s="117">
        <v>14390.44968412983</v>
      </c>
      <c r="J23" s="117">
        <v>13486.156035905045</v>
      </c>
      <c r="K23" s="117">
        <v>12669.16213878393</v>
      </c>
    </row>
    <row r="24" spans="1:11" x14ac:dyDescent="0.25">
      <c r="B24" t="s">
        <v>158</v>
      </c>
      <c r="D24" s="73">
        <f>D18</f>
        <v>0.14949006207458573</v>
      </c>
      <c r="F24" s="163">
        <v>0.06</v>
      </c>
      <c r="G24" s="117">
        <v>20407.909886514502</v>
      </c>
      <c r="H24" s="117">
        <v>17362.338192246338</v>
      </c>
      <c r="I24" s="117">
        <v>15423.005543878275</v>
      </c>
      <c r="J24" s="117">
        <v>14316.766497978178</v>
      </c>
      <c r="K24" s="117">
        <v>13337.83273910627</v>
      </c>
    </row>
    <row r="25" spans="1:11" x14ac:dyDescent="0.25">
      <c r="B25" t="s">
        <v>316</v>
      </c>
      <c r="D25" s="90">
        <f>D17</f>
        <v>7.0000000000000007E-2</v>
      </c>
      <c r="F25" s="163">
        <v>7.0000000000000007E-2</v>
      </c>
      <c r="G25" s="117">
        <v>23453.481580782667</v>
      </c>
      <c r="H25" s="117">
        <v>19236.536157949824</v>
      </c>
      <c r="I25" s="164">
        <v>16716.307832856124</v>
      </c>
      <c r="J25" s="117">
        <v>15331.957062734235</v>
      </c>
      <c r="K25" s="117">
        <v>14137.615221844761</v>
      </c>
    </row>
    <row r="26" spans="1:11" x14ac:dyDescent="0.25">
      <c r="F26" s="163">
        <v>0.08</v>
      </c>
      <c r="G26" s="117">
        <v>28021.839122184909</v>
      </c>
      <c r="H26" s="117">
        <v>21792.26065663639</v>
      </c>
      <c r="I26" s="117">
        <v>18383.396910555901</v>
      </c>
      <c r="J26" s="117">
        <v>16600.945268679301</v>
      </c>
      <c r="K26" s="117">
        <v>15111.263461700311</v>
      </c>
    </row>
    <row r="27" spans="1:11" ht="15.75" thickBot="1" x14ac:dyDescent="0.3">
      <c r="B27" s="57" t="s">
        <v>317</v>
      </c>
      <c r="C27" s="57"/>
      <c r="D27" s="57">
        <f>D23/(D24-D25)</f>
        <v>21515.465176869977</v>
      </c>
      <c r="F27" s="163">
        <v>0.09</v>
      </c>
      <c r="G27" s="117">
        <v>35635.768357855311</v>
      </c>
      <c r="H27" s="117">
        <v>25483.862710294765</v>
      </c>
      <c r="I27" s="117">
        <v>20613.691757748835</v>
      </c>
      <c r="J27" s="117">
        <v>18232.501533465816</v>
      </c>
      <c r="K27" s="117">
        <v>16322.386882008434</v>
      </c>
    </row>
    <row r="29" spans="1:11" x14ac:dyDescent="0.25">
      <c r="A29" t="s">
        <v>2</v>
      </c>
      <c r="B29" s="65" t="s">
        <v>322</v>
      </c>
      <c r="C29" s="77"/>
      <c r="D29" s="77"/>
      <c r="F29" s="65" t="s">
        <v>367</v>
      </c>
      <c r="G29" s="77"/>
      <c r="H29" s="77"/>
      <c r="I29" s="77"/>
      <c r="J29" s="77"/>
      <c r="K29" s="77"/>
    </row>
    <row r="30" spans="1:11" x14ac:dyDescent="0.25">
      <c r="F30" s="161">
        <f>D40</f>
        <v>90.297845752507044</v>
      </c>
      <c r="G30" s="162">
        <v>0.12</v>
      </c>
      <c r="H30" s="103">
        <v>0.13500000000000001</v>
      </c>
      <c r="I30" s="103">
        <v>0.1492</v>
      </c>
      <c r="J30" s="162">
        <v>0.16</v>
      </c>
      <c r="K30" s="103">
        <v>0.17199999999999999</v>
      </c>
    </row>
    <row r="31" spans="1:11" x14ac:dyDescent="0.25">
      <c r="B31" t="s">
        <v>311</v>
      </c>
      <c r="D31">
        <f>SUM(G14:K14)</f>
        <v>5180.0514151736952</v>
      </c>
      <c r="F31" s="163">
        <v>0.05</v>
      </c>
      <c r="G31">
        <f t="dataTable" ref="G31:K35" dt2D="1" dtr="1" r1="D24" r2="D25" ca="1"/>
        <v>99.091612684518012</v>
      </c>
      <c r="H31">
        <v>86.093177669003182</v>
      </c>
      <c r="I31">
        <v>77.410083310520847</v>
      </c>
      <c r="J31">
        <v>72.306958713154131</v>
      </c>
      <c r="K31">
        <v>67.696485488575107</v>
      </c>
    </row>
    <row r="32" spans="1:11" x14ac:dyDescent="0.25">
      <c r="B32" t="s">
        <v>318</v>
      </c>
      <c r="D32" s="72">
        <f>D27*K12</f>
        <v>11494.160206129267</v>
      </c>
      <c r="F32" s="163">
        <v>0.06</v>
      </c>
      <c r="G32">
        <v>111.36791242139313</v>
      </c>
      <c r="H32">
        <v>94.181092789767945</v>
      </c>
      <c r="I32">
        <v>83.237019302365411</v>
      </c>
      <c r="J32">
        <v>76.994273158142803</v>
      </c>
      <c r="K32">
        <v>71.469938276549001</v>
      </c>
    </row>
    <row r="33" spans="2:11" x14ac:dyDescent="0.25">
      <c r="B33" s="11" t="s">
        <v>319</v>
      </c>
      <c r="C33" s="11"/>
      <c r="D33" s="142">
        <f>SUM(D31:D32)</f>
        <v>16674.211621302962</v>
      </c>
      <c r="F33" s="163">
        <v>7.0000000000000007E-2</v>
      </c>
      <c r="G33">
        <v>128.55473205301831</v>
      </c>
      <c r="H33">
        <v>104.75759717846037</v>
      </c>
      <c r="I33" s="36">
        <v>90.53540377699899</v>
      </c>
      <c r="J33">
        <v>82.723213035351208</v>
      </c>
      <c r="K33">
        <v>75.983283768047215</v>
      </c>
    </row>
    <row r="34" spans="2:11" x14ac:dyDescent="0.25">
      <c r="D34" s="90"/>
      <c r="F34" s="163">
        <v>0.08</v>
      </c>
      <c r="G34">
        <v>154.33496150045607</v>
      </c>
      <c r="H34">
        <v>119.18010316304091</v>
      </c>
      <c r="I34">
        <v>99.943147926382196</v>
      </c>
      <c r="J34">
        <v>89.88438788186167</v>
      </c>
      <c r="K34">
        <v>81.477791322914612</v>
      </c>
    </row>
    <row r="35" spans="2:11" x14ac:dyDescent="0.25">
      <c r="B35" t="s">
        <v>320</v>
      </c>
      <c r="D35" s="72">
        <f>'Data Sheet'!K69</f>
        <v>325.92</v>
      </c>
      <c r="F35" s="163">
        <v>0.09</v>
      </c>
      <c r="G35">
        <v>197.30201057951899</v>
      </c>
      <c r="H35">
        <v>140.01261180743504</v>
      </c>
      <c r="I35">
        <v>112.52918401812455</v>
      </c>
      <c r="J35">
        <v>99.091612684518012</v>
      </c>
      <c r="K35">
        <v>88.312422671652072</v>
      </c>
    </row>
    <row r="36" spans="2:11" x14ac:dyDescent="0.25">
      <c r="B36" t="s">
        <v>321</v>
      </c>
      <c r="D36">
        <f>SUM('Raw BS (Manual)'!N7:N8)</f>
        <v>999</v>
      </c>
    </row>
    <row r="37" spans="2:11" x14ac:dyDescent="0.25">
      <c r="B37" s="11" t="s">
        <v>323</v>
      </c>
      <c r="C37" s="11"/>
      <c r="D37" s="142">
        <f>D33+D35-D36</f>
        <v>16001.13162130296</v>
      </c>
    </row>
    <row r="38" spans="2:11" x14ac:dyDescent="0.25">
      <c r="B38" s="11" t="s">
        <v>324</v>
      </c>
      <c r="C38" s="11"/>
      <c r="D38" s="142">
        <f>'Data Sheet'!B6</f>
        <v>177.20391320474778</v>
      </c>
    </row>
    <row r="39" spans="2:11" ht="8.1" customHeight="1" x14ac:dyDescent="0.25"/>
    <row r="40" spans="2:11" ht="15.75" thickBot="1" x14ac:dyDescent="0.3">
      <c r="B40" s="57" t="s">
        <v>325</v>
      </c>
      <c r="C40" s="57"/>
      <c r="D40" s="57">
        <f>D37/D38</f>
        <v>90.297845752507044</v>
      </c>
    </row>
    <row r="42" spans="2:11" x14ac:dyDescent="0.25">
      <c r="B42" s="143" t="s">
        <v>326</v>
      </c>
      <c r="D42">
        <f>'Data Sheet'!B8</f>
        <v>539.20000000000005</v>
      </c>
    </row>
    <row r="43" spans="2:11" x14ac:dyDescent="0.25">
      <c r="B43" t="s">
        <v>327</v>
      </c>
      <c r="D43" s="144">
        <f>D42/D40</f>
        <v>5.9713495433530825</v>
      </c>
    </row>
  </sheetData>
  <pageMargins left="0.7" right="0.7" top="0.75" bottom="0.75" header="0.3" footer="0.3"/>
  <pageSetup orientation="portrait" r:id="rId1"/>
  <ignoredErrors>
    <ignoredError sqref="D36" formulaRange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B901E-5487-4483-AA5A-60B60041BE25}">
  <sheetPr>
    <tabColor rgb="FF002060"/>
  </sheetPr>
  <dimension ref="D5:S9"/>
  <sheetViews>
    <sheetView showGridLines="0" workbookViewId="0">
      <selection activeCell="D5" sqref="D5:S9"/>
    </sheetView>
  </sheetViews>
  <sheetFormatPr defaultRowHeight="15" x14ac:dyDescent="0.25"/>
  <cols>
    <col min="1" max="1" width="1.85546875" customWidth="1"/>
  </cols>
  <sheetData>
    <row r="5" spans="4:19" x14ac:dyDescent="0.25">
      <c r="D5" s="227" t="str">
        <f>"COMPARABLE VALUATION FOR "&amp;'Data Sheet'!B1</f>
        <v>COMPARABLE VALUATION FOR DABUR INDIA LTD</v>
      </c>
      <c r="E5" s="227"/>
      <c r="F5" s="227"/>
      <c r="G5" s="227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</row>
    <row r="6" spans="4:19" x14ac:dyDescent="0.25">
      <c r="D6" s="227"/>
      <c r="E6" s="227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</row>
    <row r="7" spans="4:19" x14ac:dyDescent="0.25"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</row>
    <row r="8" spans="4:19" x14ac:dyDescent="0.25">
      <c r="D8" s="165"/>
      <c r="E8" s="165"/>
      <c r="F8" s="228" t="s">
        <v>371</v>
      </c>
      <c r="G8" s="228"/>
      <c r="H8" s="228"/>
      <c r="I8" s="228"/>
      <c r="J8" s="228"/>
      <c r="K8" s="228"/>
      <c r="L8" s="228"/>
      <c r="M8" s="228"/>
      <c r="N8" s="228"/>
      <c r="O8" s="228"/>
      <c r="P8" s="228"/>
      <c r="Q8" s="228"/>
    </row>
    <row r="9" spans="4:19" x14ac:dyDescent="0.25">
      <c r="D9" s="165"/>
      <c r="E9" s="165"/>
      <c r="F9" s="228"/>
      <c r="G9" s="228"/>
      <c r="H9" s="228"/>
      <c r="I9" s="228"/>
      <c r="J9" s="228"/>
      <c r="K9" s="228"/>
      <c r="L9" s="228"/>
      <c r="M9" s="228"/>
      <c r="N9" s="228"/>
      <c r="O9" s="228"/>
      <c r="P9" s="228"/>
      <c r="Q9" s="228"/>
    </row>
  </sheetData>
  <mergeCells count="2">
    <mergeCell ref="D5:S7"/>
    <mergeCell ref="F8:Q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02BEB-FFE8-406B-BEC7-9CD19FD823E7}">
  <dimension ref="B2:R31"/>
  <sheetViews>
    <sheetView showGridLines="0" topLeftCell="A4" zoomScaleNormal="100" workbookViewId="0">
      <selection activeCell="B16" sqref="B16"/>
    </sheetView>
  </sheetViews>
  <sheetFormatPr defaultRowHeight="15" x14ac:dyDescent="0.25"/>
  <cols>
    <col min="1" max="1" width="1.85546875" customWidth="1"/>
    <col min="2" max="2" width="21" customWidth="1"/>
    <col min="4" max="4" width="10" bestFit="1" customWidth="1"/>
    <col min="5" max="5" width="12.5703125" customWidth="1"/>
    <col min="6" max="6" width="11.5703125" bestFit="1" customWidth="1"/>
    <col min="7" max="7" width="10" bestFit="1" customWidth="1"/>
    <col min="8" max="8" width="11.5703125" bestFit="1" customWidth="1"/>
    <col min="9" max="9" width="5.28515625" customWidth="1"/>
    <col min="10" max="10" width="1.85546875" customWidth="1"/>
    <col min="11" max="11" width="11.5703125" bestFit="1" customWidth="1"/>
    <col min="12" max="12" width="10" bestFit="1" customWidth="1"/>
    <col min="13" max="13" width="11.42578125" bestFit="1" customWidth="1"/>
    <col min="14" max="14" width="1.85546875" customWidth="1"/>
    <col min="15" max="16" width="12.5703125" bestFit="1" customWidth="1"/>
    <col min="17" max="17" width="11.5703125" bestFit="1" customWidth="1"/>
  </cols>
  <sheetData>
    <row r="2" spans="2:18" x14ac:dyDescent="0.25">
      <c r="B2" s="65" t="str">
        <f>"Peer Pricing - "&amp;'Data Sheet'!B1</f>
        <v>Peer Pricing - DABUR INDIA LTD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</row>
    <row r="4" spans="2:18" x14ac:dyDescent="0.25">
      <c r="B4" s="148" t="s">
        <v>328</v>
      </c>
      <c r="C4" s="145"/>
      <c r="D4" s="145"/>
      <c r="E4" s="145"/>
      <c r="F4" s="145"/>
      <c r="G4" s="145"/>
      <c r="H4" s="145"/>
      <c r="I4" s="145"/>
      <c r="J4" s="145"/>
      <c r="K4" s="145"/>
    </row>
    <row r="5" spans="2:18" ht="6" customHeight="1" x14ac:dyDescent="0.25"/>
    <row r="6" spans="2:18" x14ac:dyDescent="0.25">
      <c r="B6" s="8"/>
      <c r="C6" s="8"/>
      <c r="D6" s="230" t="s">
        <v>336</v>
      </c>
      <c r="E6" s="230"/>
      <c r="F6" s="230"/>
      <c r="G6" s="230"/>
      <c r="H6" s="230"/>
      <c r="I6" s="8"/>
      <c r="J6" s="8"/>
      <c r="K6" s="230" t="s">
        <v>340</v>
      </c>
      <c r="L6" s="230"/>
      <c r="M6" s="230"/>
      <c r="N6" s="147"/>
      <c r="O6" s="230" t="s">
        <v>339</v>
      </c>
      <c r="P6" s="230"/>
      <c r="Q6" s="230"/>
      <c r="R6" s="150"/>
    </row>
    <row r="7" spans="2:18" ht="30" x14ac:dyDescent="0.25">
      <c r="B7" s="146" t="s">
        <v>329</v>
      </c>
      <c r="C7" s="149" t="s">
        <v>330</v>
      </c>
      <c r="D7" s="149" t="s">
        <v>331</v>
      </c>
      <c r="E7" s="149" t="s">
        <v>332</v>
      </c>
      <c r="F7" s="149" t="s">
        <v>333</v>
      </c>
      <c r="G7" s="149" t="s">
        <v>334</v>
      </c>
      <c r="H7" s="149" t="s">
        <v>335</v>
      </c>
      <c r="I7" s="10"/>
      <c r="J7" s="10"/>
      <c r="K7" s="10" t="s">
        <v>337</v>
      </c>
      <c r="L7" s="10" t="s">
        <v>13</v>
      </c>
      <c r="M7" s="10" t="s">
        <v>338</v>
      </c>
      <c r="N7" s="10"/>
      <c r="O7" s="149" t="s">
        <v>349</v>
      </c>
      <c r="P7" s="149" t="s">
        <v>350</v>
      </c>
      <c r="Q7" s="149" t="s">
        <v>351</v>
      </c>
      <c r="R7" s="151"/>
    </row>
    <row r="9" spans="2:18" x14ac:dyDescent="0.25">
      <c r="B9" s="152" t="str">
        <f>Peers!C17</f>
        <v>Dabur India</v>
      </c>
      <c r="C9" s="152"/>
      <c r="D9" s="156">
        <f>Peers!D17</f>
        <v>539.20000000000005</v>
      </c>
      <c r="E9" s="156">
        <f>Peers!E17</f>
        <v>177.2</v>
      </c>
      <c r="F9" s="156">
        <f>E9*D9</f>
        <v>95546.240000000005</v>
      </c>
      <c r="G9" s="156">
        <f>Peers!Q17</f>
        <v>1163.1299999999999</v>
      </c>
      <c r="H9" s="156">
        <f t="shared" ref="H9:H12" si="0">F9+G9</f>
        <v>96709.37000000001</v>
      </c>
      <c r="I9" s="156"/>
      <c r="J9" s="156"/>
      <c r="K9" s="156">
        <f>Peers!K17</f>
        <v>12267.17</v>
      </c>
      <c r="L9" s="156">
        <f>Peers!N17</f>
        <v>2817.043148688047</v>
      </c>
      <c r="M9" s="156">
        <f>Peers!L17</f>
        <v>1762.85</v>
      </c>
      <c r="N9" s="152"/>
      <c r="O9" s="153">
        <f>$H9/K9</f>
        <v>7.8835925482405482</v>
      </c>
      <c r="P9" s="153">
        <f t="shared" ref="P9:P12" si="1">$H9/L9</f>
        <v>34.330098935488259</v>
      </c>
      <c r="Q9" s="153">
        <f>F9/M9</f>
        <v>54.19986952945515</v>
      </c>
    </row>
    <row r="10" spans="2:18" x14ac:dyDescent="0.25">
      <c r="B10" s="115" t="str">
        <f>Peers!C18</f>
        <v>Godrej Consumer</v>
      </c>
      <c r="C10" s="115"/>
      <c r="D10" s="116">
        <f>Peers!D18</f>
        <v>1218.6500000000001</v>
      </c>
      <c r="E10" s="116">
        <f>Peers!E18</f>
        <v>102.28</v>
      </c>
      <c r="F10" s="116">
        <f t="shared" ref="F10:F12" si="2">E10*D10</f>
        <v>124643.52200000001</v>
      </c>
      <c r="G10" s="116">
        <f>Peers!Q18</f>
        <v>2884.04</v>
      </c>
      <c r="H10" s="116">
        <f t="shared" si="0"/>
        <v>127527.56200000001</v>
      </c>
      <c r="I10" s="116"/>
      <c r="J10" s="116"/>
      <c r="K10" s="116">
        <f>Peers!K18</f>
        <v>13910.66</v>
      </c>
      <c r="L10" s="116">
        <f>Peers!N18</f>
        <v>3091.4963592233007</v>
      </c>
      <c r="M10" s="116">
        <f>Peers!L18</f>
        <v>1784.79</v>
      </c>
      <c r="N10" s="115"/>
      <c r="O10" s="154">
        <f t="shared" ref="O10:O12" si="3">$H10/K10</f>
        <v>9.1676140456311934</v>
      </c>
      <c r="P10" s="154">
        <f t="shared" si="1"/>
        <v>41.251079471443951</v>
      </c>
      <c r="Q10" s="154">
        <f t="shared" ref="Q10:Q12" si="4">F10/M10</f>
        <v>69.836519702598068</v>
      </c>
    </row>
    <row r="11" spans="2:18" x14ac:dyDescent="0.25">
      <c r="B11" s="115" t="str">
        <f>Peers!C19</f>
        <v>Emami</v>
      </c>
      <c r="C11" s="115"/>
      <c r="D11" s="116">
        <f>Peers!D19</f>
        <v>484.55</v>
      </c>
      <c r="E11" s="116">
        <f>Peers!E19</f>
        <v>44.04</v>
      </c>
      <c r="F11" s="116">
        <f t="shared" si="2"/>
        <v>21339.581999999999</v>
      </c>
      <c r="G11" s="116">
        <f>Peers!Q19</f>
        <v>-77.280000000000015</v>
      </c>
      <c r="H11" s="116">
        <f t="shared" si="0"/>
        <v>21262.302</v>
      </c>
      <c r="I11" s="116"/>
      <c r="J11" s="116"/>
      <c r="K11" s="116">
        <f>Peers!K19</f>
        <v>3522.8</v>
      </c>
      <c r="L11" s="116">
        <f>Peers!N19</f>
        <v>985.76170607324991</v>
      </c>
      <c r="M11" s="116">
        <f>Peers!L19</f>
        <v>719.01</v>
      </c>
      <c r="N11" s="115"/>
      <c r="O11" s="154">
        <f t="shared" si="3"/>
        <v>6.0356256386964908</v>
      </c>
      <c r="P11" s="154">
        <f t="shared" si="1"/>
        <v>21.569413651396236</v>
      </c>
      <c r="Q11" s="154">
        <f t="shared" si="4"/>
        <v>29.679117119372467</v>
      </c>
    </row>
    <row r="12" spans="2:18" x14ac:dyDescent="0.25">
      <c r="B12" s="115" t="str">
        <f>Peers!C20</f>
        <v>Jyothy Labs</v>
      </c>
      <c r="C12" s="115"/>
      <c r="D12" s="116">
        <f>Peers!D20</f>
        <v>445.6</v>
      </c>
      <c r="E12" s="116">
        <f>Peers!E20</f>
        <v>36.72</v>
      </c>
      <c r="F12" s="116">
        <f t="shared" si="2"/>
        <v>16362.432000000001</v>
      </c>
      <c r="G12" s="116">
        <f>Peers!Q20</f>
        <v>-238.63000000000002</v>
      </c>
      <c r="H12" s="116">
        <f t="shared" si="0"/>
        <v>16123.802000000001</v>
      </c>
      <c r="I12" s="116"/>
      <c r="J12" s="116"/>
      <c r="K12" s="116">
        <f>Peers!K20</f>
        <v>2713.89</v>
      </c>
      <c r="L12" s="116">
        <f>Peers!N20</f>
        <v>509.15082908163265</v>
      </c>
      <c r="M12" s="116">
        <f>Peers!L20</f>
        <v>350.41</v>
      </c>
      <c r="N12" s="115"/>
      <c r="O12" s="154">
        <f t="shared" si="3"/>
        <v>5.9412142717648848</v>
      </c>
      <c r="P12" s="154">
        <f t="shared" si="1"/>
        <v>31.668026602417367</v>
      </c>
      <c r="Q12" s="154">
        <f t="shared" si="4"/>
        <v>46.695105733283867</v>
      </c>
    </row>
    <row r="13" spans="2:18" x14ac:dyDescent="0.25">
      <c r="B13" s="115"/>
      <c r="C13" s="115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5"/>
      <c r="O13" s="154"/>
      <c r="P13" s="154"/>
      <c r="Q13" s="154"/>
    </row>
    <row r="14" spans="2:18" ht="6" customHeight="1" x14ac:dyDescent="0.25"/>
    <row r="15" spans="2:18" x14ac:dyDescent="0.25">
      <c r="B15" s="152" t="s">
        <v>352</v>
      </c>
      <c r="C15" s="152"/>
      <c r="D15" s="152"/>
      <c r="E15" s="152"/>
      <c r="F15" s="152"/>
      <c r="G15" s="152"/>
      <c r="H15" s="152"/>
      <c r="I15" s="152"/>
      <c r="J15" s="152"/>
      <c r="K15" s="152"/>
      <c r="L15" s="152"/>
      <c r="M15" s="152"/>
      <c r="N15" s="152"/>
      <c r="O15" s="153">
        <f>MAX(O9:O13)</f>
        <v>9.1676140456311934</v>
      </c>
      <c r="P15" s="153">
        <f>MAX(P9:P13)</f>
        <v>41.251079471443951</v>
      </c>
      <c r="Q15" s="153">
        <f>MAX(Q9:Q13)</f>
        <v>69.836519702598068</v>
      </c>
    </row>
    <row r="16" spans="2:18" x14ac:dyDescent="0.25">
      <c r="B16" s="152" t="s">
        <v>353</v>
      </c>
      <c r="C16" s="152"/>
      <c r="D16" s="152"/>
      <c r="E16" s="152"/>
      <c r="F16" s="152"/>
      <c r="G16" s="152"/>
      <c r="H16" s="152"/>
      <c r="I16" s="152"/>
      <c r="J16" s="152"/>
      <c r="K16" s="152"/>
      <c r="L16" s="152"/>
      <c r="M16" s="152"/>
      <c r="N16" s="152"/>
      <c r="O16" s="153">
        <f>QUARTILE(O9:O13,3)</f>
        <v>8.20459792258821</v>
      </c>
      <c r="P16" s="153">
        <f>QUARTILE(P9:P13,3)</f>
        <v>36.060344069477182</v>
      </c>
      <c r="Q16" s="153">
        <f>QUARTILE(Q9:Q13,3)</f>
        <v>58.109032072740881</v>
      </c>
    </row>
    <row r="17" spans="2:17" x14ac:dyDescent="0.25">
      <c r="B17" s="159" t="s">
        <v>132</v>
      </c>
      <c r="C17" s="159"/>
      <c r="D17" s="159"/>
      <c r="E17" s="159"/>
      <c r="F17" s="159"/>
      <c r="G17" s="159"/>
      <c r="H17" s="159"/>
      <c r="I17" s="159"/>
      <c r="J17" s="159"/>
      <c r="K17" s="159"/>
      <c r="L17" s="159"/>
      <c r="M17" s="159"/>
      <c r="N17" s="159"/>
      <c r="O17" s="160">
        <f>AVERAGE(O9:O13)</f>
        <v>7.2570116260832789</v>
      </c>
      <c r="P17" s="160">
        <f>AVERAGE(P9:P13)</f>
        <v>32.204654665186453</v>
      </c>
      <c r="Q17" s="160">
        <f>AVERAGE(Q9:Q13)</f>
        <v>50.102653021177389</v>
      </c>
    </row>
    <row r="18" spans="2:17" x14ac:dyDescent="0.25">
      <c r="B18" s="159" t="s">
        <v>83</v>
      </c>
      <c r="C18" s="159"/>
      <c r="D18" s="159"/>
      <c r="E18" s="159"/>
      <c r="F18" s="159"/>
      <c r="G18" s="159"/>
      <c r="H18" s="159"/>
      <c r="I18" s="159"/>
      <c r="J18" s="159"/>
      <c r="K18" s="159"/>
      <c r="L18" s="159"/>
      <c r="M18" s="159"/>
      <c r="N18" s="159"/>
      <c r="O18" s="160">
        <f>MEDIAN(O9:O13)</f>
        <v>6.9596090934685195</v>
      </c>
      <c r="P18" s="160">
        <f>MEDIAN(P9:P13)</f>
        <v>32.999062768952811</v>
      </c>
      <c r="Q18" s="160">
        <f>MEDIAN(Q9:Q13)</f>
        <v>50.447487631369512</v>
      </c>
    </row>
    <row r="19" spans="2:17" x14ac:dyDescent="0.25">
      <c r="B19" s="152" t="s">
        <v>354</v>
      </c>
      <c r="C19" s="152"/>
      <c r="D19" s="152"/>
      <c r="E19" s="152"/>
      <c r="F19" s="152"/>
      <c r="G19" s="152"/>
      <c r="H19" s="152"/>
      <c r="I19" s="152"/>
      <c r="J19" s="152"/>
      <c r="K19" s="152"/>
      <c r="L19" s="152"/>
      <c r="M19" s="152"/>
      <c r="N19" s="152"/>
      <c r="O19" s="153">
        <f>QUARTILE(O9:O13,1)</f>
        <v>6.0120227969635893</v>
      </c>
      <c r="P19" s="153">
        <f>QUARTILE(P9:P13,1)</f>
        <v>29.143373364662082</v>
      </c>
      <c r="Q19" s="153">
        <f>QUARTILE(Q9:Q13,1)</f>
        <v>42.441108579806013</v>
      </c>
    </row>
    <row r="20" spans="2:17" x14ac:dyDescent="0.25">
      <c r="B20" s="152" t="s">
        <v>355</v>
      </c>
      <c r="C20" s="152"/>
      <c r="D20" s="152"/>
      <c r="E20" s="152"/>
      <c r="F20" s="152"/>
      <c r="G20" s="152"/>
      <c r="H20" s="152"/>
      <c r="I20" s="152"/>
      <c r="J20" s="152"/>
      <c r="K20" s="152"/>
      <c r="L20" s="152"/>
      <c r="M20" s="152"/>
      <c r="N20" s="152"/>
      <c r="O20" s="153">
        <f>MIN(O9:O13)</f>
        <v>5.9412142717648848</v>
      </c>
      <c r="P20" s="153">
        <f>MIN(P9:P13)</f>
        <v>21.569413651396236</v>
      </c>
      <c r="Q20" s="153">
        <f>MIN(Q9:Q13)</f>
        <v>29.679117119372467</v>
      </c>
    </row>
    <row r="22" spans="2:17" x14ac:dyDescent="0.25">
      <c r="B22" s="155" t="str">
        <f>'Data Sheet'!B1&amp; " Comparable Valuation"</f>
        <v>DABUR INDIA LTD Comparable Valuation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149" t="s">
        <v>349</v>
      </c>
      <c r="P22" s="149" t="s">
        <v>350</v>
      </c>
      <c r="Q22" s="149" t="s">
        <v>351</v>
      </c>
    </row>
    <row r="23" spans="2:17" ht="4.5" customHeight="1" x14ac:dyDescent="0.25"/>
    <row r="24" spans="2:17" x14ac:dyDescent="0.25">
      <c r="B24" s="115" t="s">
        <v>356</v>
      </c>
      <c r="C24" s="115"/>
      <c r="D24" s="115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6">
        <f>O$18*K9</f>
        <v>85374.707883124225</v>
      </c>
      <c r="P24" s="116">
        <f>P$18*L9</f>
        <v>92959.783686405324</v>
      </c>
      <c r="Q24" s="116">
        <f>Q25+Q26</f>
        <v>90094.483570959739</v>
      </c>
    </row>
    <row r="25" spans="2:17" x14ac:dyDescent="0.25">
      <c r="B25" s="115" t="s">
        <v>334</v>
      </c>
      <c r="C25" s="115"/>
      <c r="D25" s="115"/>
      <c r="E25" s="115"/>
      <c r="F25" s="115"/>
      <c r="G25" s="115"/>
      <c r="H25" s="115"/>
      <c r="I25" s="115"/>
      <c r="J25" s="115"/>
      <c r="K25" s="115"/>
      <c r="L25" s="115"/>
      <c r="M25" s="115"/>
      <c r="N25" s="115"/>
      <c r="O25" s="116">
        <f>$G$9</f>
        <v>1163.1299999999999</v>
      </c>
      <c r="P25" s="116">
        <f t="shared" ref="P25:Q25" si="5">$G$9</f>
        <v>1163.1299999999999</v>
      </c>
      <c r="Q25" s="116">
        <f t="shared" si="5"/>
        <v>1163.1299999999999</v>
      </c>
    </row>
    <row r="26" spans="2:17" x14ac:dyDescent="0.25">
      <c r="B26" s="115" t="s">
        <v>357</v>
      </c>
      <c r="C26" s="115"/>
      <c r="D26" s="115"/>
      <c r="E26" s="115"/>
      <c r="F26" s="115"/>
      <c r="G26" s="115"/>
      <c r="H26" s="115"/>
      <c r="I26" s="115"/>
      <c r="J26" s="115"/>
      <c r="K26" s="115"/>
      <c r="L26" s="115"/>
      <c r="M26" s="115"/>
      <c r="N26" s="115"/>
      <c r="O26" s="116">
        <f>O24-O25</f>
        <v>84211.577883124221</v>
      </c>
      <c r="P26" s="116">
        <f t="shared" ref="P26" si="6">P24-P25</f>
        <v>91796.65368640532</v>
      </c>
      <c r="Q26" s="116">
        <f>Q18*M9</f>
        <v>88931.353570959734</v>
      </c>
    </row>
    <row r="27" spans="2:17" x14ac:dyDescent="0.25">
      <c r="B27" s="115" t="s">
        <v>332</v>
      </c>
      <c r="C27" s="115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6">
        <f>$E$9</f>
        <v>177.2</v>
      </c>
      <c r="P27" s="116">
        <f t="shared" ref="P27:Q27" si="7">$E$9</f>
        <v>177.2</v>
      </c>
      <c r="Q27" s="116">
        <f t="shared" si="7"/>
        <v>177.2</v>
      </c>
    </row>
    <row r="28" spans="2:17" ht="6" customHeight="1" x14ac:dyDescent="0.25">
      <c r="O28" s="117"/>
      <c r="P28" s="117"/>
      <c r="Q28" s="117"/>
    </row>
    <row r="29" spans="2:17" x14ac:dyDescent="0.25">
      <c r="B29" s="157" t="s">
        <v>358</v>
      </c>
      <c r="C29" s="157"/>
      <c r="D29" s="157"/>
      <c r="E29" s="157"/>
      <c r="F29" s="157"/>
      <c r="G29" s="157"/>
      <c r="H29" s="157"/>
      <c r="I29" s="157"/>
      <c r="J29" s="157"/>
      <c r="K29" s="157"/>
      <c r="L29" s="157"/>
      <c r="M29" s="157"/>
      <c r="N29" s="157"/>
      <c r="O29" s="158">
        <f>O26/O27</f>
        <v>475.2346381666153</v>
      </c>
      <c r="P29" s="158">
        <f t="shared" ref="P29:Q29" si="8">P26/P27</f>
        <v>518.03980635668916</v>
      </c>
      <c r="Q29" s="158">
        <f t="shared" si="8"/>
        <v>501.869941145371</v>
      </c>
    </row>
    <row r="31" spans="2:17" x14ac:dyDescent="0.25">
      <c r="O31" t="str">
        <f>IF(O29&gt;$D$9,"Undervalued","Overvalued")</f>
        <v>Overvalued</v>
      </c>
      <c r="P31" t="str">
        <f t="shared" ref="P31:Q31" si="9">IF(P29&gt;$D$9,"Undervalued","Overvalued")</f>
        <v>Overvalued</v>
      </c>
      <c r="Q31" t="str">
        <f t="shared" si="9"/>
        <v>Overvalued</v>
      </c>
    </row>
  </sheetData>
  <mergeCells count="3">
    <mergeCell ref="D6:H6"/>
    <mergeCell ref="K6:M6"/>
    <mergeCell ref="O6:Q6"/>
  </mergeCells>
  <pageMargins left="0.7" right="0.7" top="0.75" bottom="0.75" header="0.3" footer="0.3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F6EA-6C8D-465F-8401-48FC1C71DE23}">
  <dimension ref="B2:Q10"/>
  <sheetViews>
    <sheetView showGridLines="0" workbookViewId="0">
      <selection activeCell="N2" sqref="B2:N2"/>
    </sheetView>
  </sheetViews>
  <sheetFormatPr defaultRowHeight="15" x14ac:dyDescent="0.25"/>
  <cols>
    <col min="1" max="1" width="1.85546875" customWidth="1"/>
  </cols>
  <sheetData>
    <row r="2" spans="2:17" x14ac:dyDescent="0.25">
      <c r="B2" s="65" t="str">
        <f>"Football Field Analysis - "&amp;'Data Sheet'!B1</f>
        <v>Football Field Analysis - DABUR INDIA LTD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</row>
    <row r="4" spans="2:17" x14ac:dyDescent="0.25">
      <c r="L4" s="65" t="s">
        <v>368</v>
      </c>
      <c r="M4" s="77"/>
      <c r="N4" s="77"/>
      <c r="O4" s="77"/>
      <c r="P4" s="77"/>
      <c r="Q4" s="77"/>
    </row>
    <row r="5" spans="2:17" x14ac:dyDescent="0.25">
      <c r="N5" t="s">
        <v>364</v>
      </c>
      <c r="O5" t="s">
        <v>355</v>
      </c>
      <c r="P5" t="s">
        <v>365</v>
      </c>
      <c r="Q5" t="s">
        <v>352</v>
      </c>
    </row>
    <row r="6" spans="2:17" x14ac:dyDescent="0.25">
      <c r="L6" t="s">
        <v>359</v>
      </c>
      <c r="N6">
        <v>352</v>
      </c>
      <c r="O6">
        <v>352</v>
      </c>
      <c r="P6">
        <v>2459</v>
      </c>
      <c r="Q6">
        <v>2459</v>
      </c>
    </row>
    <row r="7" spans="2:17" x14ac:dyDescent="0.25">
      <c r="L7" t="s">
        <v>360</v>
      </c>
      <c r="N7">
        <v>605</v>
      </c>
      <c r="O7">
        <v>605</v>
      </c>
      <c r="P7">
        <v>1528</v>
      </c>
      <c r="Q7">
        <v>1528</v>
      </c>
    </row>
    <row r="8" spans="2:17" x14ac:dyDescent="0.25">
      <c r="L8" t="s">
        <v>361</v>
      </c>
      <c r="N8">
        <v>918</v>
      </c>
      <c r="O8">
        <v>918</v>
      </c>
      <c r="P8">
        <v>1250</v>
      </c>
      <c r="Q8">
        <v>1250</v>
      </c>
    </row>
    <row r="9" spans="2:17" x14ac:dyDescent="0.25">
      <c r="L9" t="s">
        <v>362</v>
      </c>
      <c r="N9">
        <v>1632</v>
      </c>
      <c r="O9">
        <v>1632</v>
      </c>
      <c r="P9">
        <v>2840</v>
      </c>
      <c r="Q9">
        <v>2840</v>
      </c>
    </row>
    <row r="10" spans="2:17" x14ac:dyDescent="0.25">
      <c r="L10" t="s">
        <v>363</v>
      </c>
      <c r="N10">
        <v>400</v>
      </c>
      <c r="O10">
        <v>400</v>
      </c>
      <c r="P10">
        <v>950</v>
      </c>
      <c r="Q10">
        <v>950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8CB5-5DEA-4E6F-B920-C2E611CE4A87}">
  <sheetPr>
    <tabColor rgb="FF002060"/>
  </sheetPr>
  <dimension ref="D5:S9"/>
  <sheetViews>
    <sheetView showGridLines="0" workbookViewId="0">
      <selection activeCell="D5" sqref="D5:S9"/>
    </sheetView>
  </sheetViews>
  <sheetFormatPr defaultRowHeight="15" x14ac:dyDescent="0.25"/>
  <cols>
    <col min="1" max="1" width="1.85546875" customWidth="1"/>
  </cols>
  <sheetData>
    <row r="5" spans="4:19" x14ac:dyDescent="0.25">
      <c r="D5" s="227" t="str">
        <f>"DATA SOURCE FOR "&amp;'Data Sheet'!B1</f>
        <v>DATA SOURCE FOR DABUR INDIA LTD</v>
      </c>
      <c r="E5" s="227"/>
      <c r="F5" s="227"/>
      <c r="G5" s="227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</row>
    <row r="6" spans="4:19" x14ac:dyDescent="0.25">
      <c r="D6" s="227"/>
      <c r="E6" s="227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</row>
    <row r="7" spans="4:19" x14ac:dyDescent="0.25"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</row>
    <row r="8" spans="4:19" x14ac:dyDescent="0.25">
      <c r="D8" s="165"/>
      <c r="E8" s="165"/>
      <c r="F8" s="228" t="s">
        <v>376</v>
      </c>
      <c r="G8" s="228"/>
      <c r="H8" s="228"/>
      <c r="I8" s="228"/>
      <c r="J8" s="228"/>
      <c r="K8" s="228"/>
      <c r="L8" s="228"/>
      <c r="M8" s="228"/>
      <c r="N8" s="228"/>
      <c r="O8" s="228"/>
      <c r="P8" s="228"/>
      <c r="Q8" s="228"/>
    </row>
    <row r="9" spans="4:19" x14ac:dyDescent="0.25">
      <c r="D9" s="165"/>
      <c r="E9" s="165"/>
      <c r="F9" s="228"/>
      <c r="G9" s="228"/>
      <c r="H9" s="228"/>
      <c r="I9" s="228"/>
      <c r="J9" s="228"/>
      <c r="K9" s="228"/>
      <c r="L9" s="228"/>
      <c r="M9" s="228"/>
      <c r="N9" s="228"/>
      <c r="O9" s="228"/>
      <c r="P9" s="228"/>
      <c r="Q9" s="228"/>
    </row>
  </sheetData>
  <mergeCells count="2">
    <mergeCell ref="D5:S7"/>
    <mergeCell ref="F8:Q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Normal="100" zoomScalePageLayoutView="120" workbookViewId="0">
      <pane xSplit="1" ySplit="1" topLeftCell="B2" activePane="bottomRight" state="frozen"/>
      <selection pane="topRight" activeCell="C4" sqref="C4"/>
      <selection pane="bottomLeft" activeCell="C4" sqref="C4"/>
      <selection pane="bottomRight" activeCell="B25" sqref="B25"/>
    </sheetView>
  </sheetViews>
  <sheetFormatPr defaultColWidth="8.85546875" defaultRowHeight="15" x14ac:dyDescent="0.25"/>
  <cols>
    <col min="1" max="1" width="27.7109375" style="2" bestFit="1" customWidth="1"/>
    <col min="2" max="11" width="13.42578125" style="2" bestFit="1" customWidth="1"/>
    <col min="12" max="16384" width="8.85546875" style="2"/>
  </cols>
  <sheetData>
    <row r="1" spans="1:11" s="1" customFormat="1" x14ac:dyDescent="0.25">
      <c r="A1" s="1" t="s">
        <v>161</v>
      </c>
      <c r="B1" s="1" t="s">
        <v>162</v>
      </c>
      <c r="E1" s="231" t="str">
        <f>IF(B2&lt;&gt;B3, "A NEW VERSION OF THE WORKSHEET IS AVAILABLE", "")</f>
        <v/>
      </c>
      <c r="F1" s="231"/>
      <c r="G1" s="231"/>
      <c r="H1" s="231"/>
      <c r="I1" s="231"/>
      <c r="J1" s="231"/>
      <c r="K1" s="231"/>
    </row>
    <row r="2" spans="1:11" x14ac:dyDescent="0.25">
      <c r="A2" s="1" t="s">
        <v>163</v>
      </c>
      <c r="B2" s="2">
        <v>2.1</v>
      </c>
      <c r="E2" s="232" t="s">
        <v>164</v>
      </c>
      <c r="F2" s="232"/>
      <c r="G2" s="232"/>
      <c r="H2" s="232"/>
      <c r="I2" s="232"/>
      <c r="J2" s="232"/>
      <c r="K2" s="232"/>
    </row>
    <row r="3" spans="1:11" x14ac:dyDescent="0.25">
      <c r="A3" s="1" t="s">
        <v>165</v>
      </c>
      <c r="B3" s="2">
        <v>2.1</v>
      </c>
    </row>
    <row r="4" spans="1:11" x14ac:dyDescent="0.25">
      <c r="A4" s="1"/>
    </row>
    <row r="5" spans="1:11" x14ac:dyDescent="0.25">
      <c r="A5" s="1" t="s">
        <v>166</v>
      </c>
    </row>
    <row r="6" spans="1:11" x14ac:dyDescent="0.25">
      <c r="A6" s="2" t="s">
        <v>167</v>
      </c>
      <c r="B6" s="2">
        <f>IF(B9&gt;0, B9/B8, 0)</f>
        <v>177.20391320474778</v>
      </c>
    </row>
    <row r="7" spans="1:11" x14ac:dyDescent="0.25">
      <c r="A7" s="2" t="s">
        <v>168</v>
      </c>
      <c r="B7">
        <v>1</v>
      </c>
    </row>
    <row r="8" spans="1:11" x14ac:dyDescent="0.25">
      <c r="A8" s="2" t="s">
        <v>169</v>
      </c>
      <c r="B8">
        <v>539.20000000000005</v>
      </c>
    </row>
    <row r="9" spans="1:11" x14ac:dyDescent="0.25">
      <c r="A9" s="2" t="s">
        <v>170</v>
      </c>
      <c r="B9">
        <v>95548.35</v>
      </c>
    </row>
    <row r="15" spans="1:11" x14ac:dyDescent="0.25">
      <c r="A15" s="1" t="s">
        <v>171</v>
      </c>
    </row>
    <row r="16" spans="1:11" s="6" customFormat="1" x14ac:dyDescent="0.25">
      <c r="A16" s="5" t="s">
        <v>172</v>
      </c>
      <c r="B16" s="4">
        <v>41729</v>
      </c>
      <c r="C16" s="4">
        <v>42094</v>
      </c>
      <c r="D16" s="4">
        <v>42460</v>
      </c>
      <c r="E16" s="4">
        <v>42825</v>
      </c>
      <c r="F16" s="4">
        <v>43190</v>
      </c>
      <c r="G16" s="4">
        <v>43555</v>
      </c>
      <c r="H16" s="4">
        <v>43921</v>
      </c>
      <c r="I16" s="4">
        <v>44286</v>
      </c>
      <c r="J16" s="4">
        <v>44651</v>
      </c>
      <c r="K16" s="4">
        <v>45016</v>
      </c>
    </row>
    <row r="17" spans="1:11" s="3" customFormat="1" x14ac:dyDescent="0.25">
      <c r="A17" s="3" t="s">
        <v>4</v>
      </c>
      <c r="B17">
        <v>7058.12</v>
      </c>
      <c r="C17">
        <v>7795.49</v>
      </c>
      <c r="D17">
        <v>7779.66</v>
      </c>
      <c r="E17">
        <v>7613.59</v>
      </c>
      <c r="F17">
        <v>7721.85</v>
      </c>
      <c r="G17">
        <v>8514.99</v>
      </c>
      <c r="H17">
        <v>8684.64</v>
      </c>
      <c r="I17">
        <v>9561.65</v>
      </c>
      <c r="J17">
        <v>10888.68</v>
      </c>
      <c r="K17">
        <v>11529.89</v>
      </c>
    </row>
    <row r="18" spans="1:11" s="3" customFormat="1" x14ac:dyDescent="0.25">
      <c r="A18" s="2" t="s">
        <v>173</v>
      </c>
      <c r="B18">
        <v>2412.91</v>
      </c>
      <c r="C18">
        <v>2633.97</v>
      </c>
      <c r="D18">
        <v>2739.77</v>
      </c>
      <c r="E18">
        <v>2659.55</v>
      </c>
      <c r="F18">
        <v>2775.35</v>
      </c>
      <c r="G18">
        <v>3067.95</v>
      </c>
      <c r="H18">
        <v>3138.49</v>
      </c>
      <c r="I18">
        <v>3764.3</v>
      </c>
      <c r="J18">
        <v>4136.7</v>
      </c>
      <c r="K18">
        <v>4762.03</v>
      </c>
    </row>
    <row r="19" spans="1:11" s="3" customFormat="1" x14ac:dyDescent="0.25">
      <c r="A19" s="2" t="s">
        <v>174</v>
      </c>
      <c r="B19">
        <v>43.45</v>
      </c>
      <c r="C19">
        <v>25.91</v>
      </c>
      <c r="D19">
        <v>70.53</v>
      </c>
      <c r="E19">
        <v>23.02</v>
      </c>
      <c r="F19">
        <v>65.930000000000007</v>
      </c>
      <c r="G19">
        <v>-12.64</v>
      </c>
      <c r="H19">
        <v>65.040000000000006</v>
      </c>
      <c r="I19">
        <v>207.2</v>
      </c>
      <c r="J19">
        <v>8.5500000000000007</v>
      </c>
      <c r="K19">
        <v>90.79</v>
      </c>
    </row>
    <row r="20" spans="1:11" s="3" customFormat="1" x14ac:dyDescent="0.25">
      <c r="A20" s="2" t="s">
        <v>175</v>
      </c>
      <c r="B20">
        <v>80.47</v>
      </c>
      <c r="C20">
        <v>90.35</v>
      </c>
      <c r="D20">
        <v>84</v>
      </c>
      <c r="E20">
        <v>87.48</v>
      </c>
      <c r="F20">
        <v>93.91</v>
      </c>
      <c r="G20">
        <v>105.26</v>
      </c>
      <c r="H20">
        <v>107.12</v>
      </c>
      <c r="I20">
        <v>104.01</v>
      </c>
      <c r="J20">
        <v>128.66</v>
      </c>
      <c r="K20">
        <v>150.59</v>
      </c>
    </row>
    <row r="21" spans="1:11" s="3" customFormat="1" x14ac:dyDescent="0.25">
      <c r="A21" s="2" t="s">
        <v>176</v>
      </c>
      <c r="B21">
        <v>1120.1500000000001</v>
      </c>
      <c r="C21">
        <v>1208.32</v>
      </c>
      <c r="D21">
        <v>1180.31</v>
      </c>
      <c r="E21">
        <v>1247.42</v>
      </c>
      <c r="F21">
        <v>1219</v>
      </c>
      <c r="G21">
        <v>1327.63</v>
      </c>
      <c r="H21">
        <v>1387.98</v>
      </c>
      <c r="I21">
        <v>1347.34</v>
      </c>
      <c r="J21">
        <v>1656.53</v>
      </c>
      <c r="K21">
        <v>1779.91</v>
      </c>
    </row>
    <row r="22" spans="1:11" s="3" customFormat="1" x14ac:dyDescent="0.25">
      <c r="A22" s="2" t="s">
        <v>177</v>
      </c>
      <c r="B22">
        <v>607.79</v>
      </c>
      <c r="C22">
        <v>690.17</v>
      </c>
      <c r="D22">
        <v>794.1</v>
      </c>
      <c r="E22">
        <v>790.3</v>
      </c>
      <c r="F22">
        <v>793.36</v>
      </c>
      <c r="G22">
        <v>938.55</v>
      </c>
      <c r="H22">
        <v>949.16</v>
      </c>
      <c r="I22">
        <v>1034.9000000000001</v>
      </c>
      <c r="J22">
        <v>1081.3900000000001</v>
      </c>
      <c r="K22">
        <v>1138.43</v>
      </c>
    </row>
    <row r="23" spans="1:11" s="3" customFormat="1" x14ac:dyDescent="0.25">
      <c r="A23" s="2" t="s">
        <v>178</v>
      </c>
      <c r="B23">
        <v>1491.09</v>
      </c>
      <c r="C23">
        <v>1640.96</v>
      </c>
      <c r="D23">
        <v>1217.44</v>
      </c>
      <c r="E23">
        <v>1161.4000000000001</v>
      </c>
      <c r="F23">
        <v>1135.3800000000001</v>
      </c>
      <c r="G23">
        <v>1183.56</v>
      </c>
      <c r="H23">
        <v>1224.5899999999999</v>
      </c>
      <c r="I23">
        <v>1388.27</v>
      </c>
      <c r="J23">
        <v>1480.71</v>
      </c>
      <c r="K23">
        <v>1426.95</v>
      </c>
    </row>
    <row r="24" spans="1:11" s="3" customFormat="1" x14ac:dyDescent="0.25">
      <c r="A24" s="2" t="s">
        <v>179</v>
      </c>
      <c r="B24">
        <v>227.63</v>
      </c>
      <c r="C24">
        <v>237.41</v>
      </c>
      <c r="D24">
        <v>316.29000000000002</v>
      </c>
      <c r="E24">
        <v>178.85</v>
      </c>
      <c r="F24">
        <v>153.34</v>
      </c>
      <c r="G24">
        <v>139.84</v>
      </c>
      <c r="H24">
        <v>150</v>
      </c>
      <c r="I24">
        <v>128.36000000000001</v>
      </c>
      <c r="J24">
        <v>161.22999999999999</v>
      </c>
      <c r="K24">
        <v>200.28</v>
      </c>
    </row>
    <row r="25" spans="1:11" s="3" customFormat="1" x14ac:dyDescent="0.25">
      <c r="A25" s="3" t="s">
        <v>180</v>
      </c>
      <c r="B25">
        <v>125.64</v>
      </c>
      <c r="C25">
        <v>154.24</v>
      </c>
      <c r="D25">
        <v>217.19</v>
      </c>
      <c r="E25">
        <v>295.93</v>
      </c>
      <c r="F25">
        <v>290.88</v>
      </c>
      <c r="G25">
        <v>221.79</v>
      </c>
      <c r="H25">
        <v>205.29</v>
      </c>
      <c r="I25">
        <v>325.29000000000002</v>
      </c>
      <c r="J25">
        <v>308.16000000000003</v>
      </c>
      <c r="K25">
        <v>445.39</v>
      </c>
    </row>
    <row r="26" spans="1:11" s="3" customFormat="1" x14ac:dyDescent="0.25">
      <c r="A26" s="3" t="s">
        <v>17</v>
      </c>
      <c r="B26">
        <v>97.49</v>
      </c>
      <c r="C26">
        <v>114.98</v>
      </c>
      <c r="D26">
        <v>133.19</v>
      </c>
      <c r="E26">
        <v>142.86000000000001</v>
      </c>
      <c r="F26">
        <v>162.18</v>
      </c>
      <c r="G26">
        <v>176.9</v>
      </c>
      <c r="H26">
        <v>220.45</v>
      </c>
      <c r="I26">
        <v>240.13</v>
      </c>
      <c r="J26">
        <v>252.89</v>
      </c>
      <c r="K26">
        <v>310.95999999999998</v>
      </c>
    </row>
    <row r="27" spans="1:11" s="3" customFormat="1" x14ac:dyDescent="0.25">
      <c r="A27" s="3" t="s">
        <v>15</v>
      </c>
      <c r="B27">
        <v>54.15</v>
      </c>
      <c r="C27">
        <v>40.119999999999997</v>
      </c>
      <c r="D27">
        <v>48.48</v>
      </c>
      <c r="E27">
        <v>54.03</v>
      </c>
      <c r="F27">
        <v>53.05</v>
      </c>
      <c r="G27">
        <v>59.58</v>
      </c>
      <c r="H27">
        <v>49.54</v>
      </c>
      <c r="I27">
        <v>30.81</v>
      </c>
      <c r="J27">
        <v>38.6</v>
      </c>
      <c r="K27">
        <v>78.239999999999995</v>
      </c>
    </row>
    <row r="28" spans="1:11" s="3" customFormat="1" x14ac:dyDescent="0.25">
      <c r="A28" s="3" t="s">
        <v>181</v>
      </c>
      <c r="B28">
        <v>1135.53</v>
      </c>
      <c r="C28">
        <v>1319.36</v>
      </c>
      <c r="D28">
        <v>1553.8</v>
      </c>
      <c r="E28">
        <v>1610.65</v>
      </c>
      <c r="F28">
        <v>1693.09</v>
      </c>
      <c r="G28">
        <v>1724.87</v>
      </c>
      <c r="H28">
        <v>1727.64</v>
      </c>
      <c r="I28">
        <v>2056.02</v>
      </c>
      <c r="J28">
        <v>2268.6799999999998</v>
      </c>
      <c r="K28">
        <v>2218.6799999999998</v>
      </c>
    </row>
    <row r="29" spans="1:11" s="3" customFormat="1" x14ac:dyDescent="0.25">
      <c r="A29" s="3" t="s">
        <v>21</v>
      </c>
      <c r="B29">
        <v>219.08</v>
      </c>
      <c r="C29">
        <v>250.89</v>
      </c>
      <c r="D29">
        <v>299.89999999999998</v>
      </c>
      <c r="E29">
        <v>330.34</v>
      </c>
      <c r="F29">
        <v>335.35</v>
      </c>
      <c r="G29">
        <v>278.62</v>
      </c>
      <c r="H29">
        <v>279.72000000000003</v>
      </c>
      <c r="I29">
        <v>361.07</v>
      </c>
      <c r="J29">
        <v>526.38</v>
      </c>
      <c r="K29">
        <v>517.35</v>
      </c>
    </row>
    <row r="30" spans="1:11" s="3" customFormat="1" x14ac:dyDescent="0.25">
      <c r="A30" s="3" t="s">
        <v>182</v>
      </c>
      <c r="B30">
        <v>913.92</v>
      </c>
      <c r="C30">
        <v>1065.83</v>
      </c>
      <c r="D30">
        <v>1251.1500000000001</v>
      </c>
      <c r="E30">
        <v>1276.94</v>
      </c>
      <c r="F30">
        <v>1354.39</v>
      </c>
      <c r="G30">
        <v>1442.33</v>
      </c>
      <c r="H30">
        <v>1444.96</v>
      </c>
      <c r="I30">
        <v>1693.3</v>
      </c>
      <c r="J30">
        <v>1739.22</v>
      </c>
      <c r="K30">
        <v>1707.15</v>
      </c>
    </row>
    <row r="31" spans="1:11" s="3" customFormat="1" x14ac:dyDescent="0.25">
      <c r="A31" s="3" t="s">
        <v>183</v>
      </c>
      <c r="B31">
        <v>305.16000000000003</v>
      </c>
      <c r="C31">
        <v>351.3</v>
      </c>
      <c r="D31">
        <v>395.8</v>
      </c>
      <c r="E31">
        <v>396.34</v>
      </c>
      <c r="F31">
        <v>1100.94</v>
      </c>
      <c r="G31">
        <v>485.73</v>
      </c>
      <c r="H31">
        <v>530.13</v>
      </c>
      <c r="I31">
        <v>839.52</v>
      </c>
      <c r="J31">
        <v>919.31</v>
      </c>
      <c r="K31">
        <v>921.34</v>
      </c>
    </row>
    <row r="32" spans="1:11" s="3" customFormat="1" x14ac:dyDescent="0.25"/>
    <row r="33" spans="1:11" x14ac:dyDescent="0.25">
      <c r="A33" s="2" t="s">
        <v>13</v>
      </c>
      <c r="B33" s="2">
        <f>SUM(B26:B28)</f>
        <v>1287.17</v>
      </c>
      <c r="C33" s="2">
        <f t="shared" ref="C33:K33" si="0">SUM(C26:C28)</f>
        <v>1474.4599999999998</v>
      </c>
      <c r="D33" s="2">
        <f t="shared" si="0"/>
        <v>1735.47</v>
      </c>
      <c r="E33" s="2">
        <f t="shared" si="0"/>
        <v>1807.5400000000002</v>
      </c>
      <c r="F33" s="2">
        <f t="shared" si="0"/>
        <v>1908.32</v>
      </c>
      <c r="G33" s="2">
        <f t="shared" si="0"/>
        <v>1961.35</v>
      </c>
      <c r="H33" s="2">
        <f t="shared" si="0"/>
        <v>1997.63</v>
      </c>
      <c r="I33" s="2">
        <f t="shared" si="0"/>
        <v>2326.96</v>
      </c>
      <c r="J33" s="2">
        <f t="shared" si="0"/>
        <v>2560.17</v>
      </c>
      <c r="K33" s="2">
        <f t="shared" si="0"/>
        <v>2607.8799999999997</v>
      </c>
    </row>
    <row r="34" spans="1:11" x14ac:dyDescent="0.25">
      <c r="A34" s="3"/>
    </row>
    <row r="35" spans="1:11" x14ac:dyDescent="0.25">
      <c r="A35" s="3"/>
    </row>
    <row r="36" spans="1:11" x14ac:dyDescent="0.25">
      <c r="A36" s="3"/>
    </row>
    <row r="37" spans="1:11" x14ac:dyDescent="0.25">
      <c r="A37" s="3"/>
    </row>
    <row r="38" spans="1:11" x14ac:dyDescent="0.25">
      <c r="A38" s="3"/>
    </row>
    <row r="39" spans="1:11" x14ac:dyDescent="0.25">
      <c r="A39" s="3"/>
    </row>
    <row r="40" spans="1:11" x14ac:dyDescent="0.25">
      <c r="A40" s="1" t="s">
        <v>184</v>
      </c>
    </row>
    <row r="41" spans="1:11" s="6" customFormat="1" x14ac:dyDescent="0.25">
      <c r="A41" s="5" t="s">
        <v>172</v>
      </c>
      <c r="B41" s="4">
        <v>44469</v>
      </c>
      <c r="C41" s="4">
        <v>44561</v>
      </c>
      <c r="D41" s="4">
        <v>44651</v>
      </c>
      <c r="E41" s="4">
        <v>44742</v>
      </c>
      <c r="F41" s="4">
        <v>44834</v>
      </c>
      <c r="G41" s="4">
        <v>44926</v>
      </c>
      <c r="H41" s="4">
        <v>45016</v>
      </c>
      <c r="I41" s="4">
        <v>45107</v>
      </c>
      <c r="J41" s="4">
        <v>45199</v>
      </c>
      <c r="K41" s="4">
        <v>45291</v>
      </c>
    </row>
    <row r="42" spans="1:11" s="3" customFormat="1" x14ac:dyDescent="0.25">
      <c r="A42" s="3" t="s">
        <v>4</v>
      </c>
      <c r="B42">
        <v>2817.58</v>
      </c>
      <c r="C42">
        <v>2941.75</v>
      </c>
      <c r="D42">
        <v>2517.81</v>
      </c>
      <c r="E42">
        <v>2822.43</v>
      </c>
      <c r="F42">
        <v>2986.49</v>
      </c>
      <c r="G42">
        <v>3043.17</v>
      </c>
      <c r="H42">
        <v>2677.8</v>
      </c>
      <c r="I42">
        <v>3130.47</v>
      </c>
      <c r="J42">
        <v>3203.84</v>
      </c>
      <c r="K42">
        <v>3255.06</v>
      </c>
    </row>
    <row r="43" spans="1:11" s="3" customFormat="1" x14ac:dyDescent="0.25">
      <c r="A43" s="3" t="s">
        <v>185</v>
      </c>
      <c r="B43">
        <v>2197.29</v>
      </c>
      <c r="C43">
        <v>2314.36</v>
      </c>
      <c r="D43">
        <v>2065.44</v>
      </c>
      <c r="E43">
        <v>2279.11</v>
      </c>
      <c r="F43">
        <v>2386.09</v>
      </c>
      <c r="G43">
        <v>2434.0500000000002</v>
      </c>
      <c r="H43">
        <v>2268.15</v>
      </c>
      <c r="I43">
        <v>2525.94</v>
      </c>
      <c r="J43">
        <v>2542.9699999999998</v>
      </c>
      <c r="K43">
        <v>2587.64</v>
      </c>
    </row>
    <row r="44" spans="1:11" s="3" customFormat="1" x14ac:dyDescent="0.25">
      <c r="A44" s="3" t="s">
        <v>180</v>
      </c>
      <c r="B44">
        <v>112.44</v>
      </c>
      <c r="C44">
        <v>96.74</v>
      </c>
      <c r="D44">
        <v>14.14</v>
      </c>
      <c r="E44">
        <v>100.55</v>
      </c>
      <c r="F44">
        <v>123.28</v>
      </c>
      <c r="G44">
        <v>100.84</v>
      </c>
      <c r="H44">
        <v>120.72</v>
      </c>
      <c r="I44">
        <v>109.78</v>
      </c>
      <c r="J44">
        <v>116.9</v>
      </c>
      <c r="K44">
        <v>127.37</v>
      </c>
    </row>
    <row r="45" spans="1:11" s="3" customFormat="1" x14ac:dyDescent="0.25">
      <c r="A45" s="3" t="s">
        <v>17</v>
      </c>
      <c r="B45">
        <v>63.33</v>
      </c>
      <c r="C45">
        <v>63.2</v>
      </c>
      <c r="D45">
        <v>65.05</v>
      </c>
      <c r="E45">
        <v>67.599999999999994</v>
      </c>
      <c r="F45">
        <v>70.47</v>
      </c>
      <c r="G45">
        <v>70.89</v>
      </c>
      <c r="H45">
        <v>102</v>
      </c>
      <c r="I45">
        <v>96.64</v>
      </c>
      <c r="J45">
        <v>98.32</v>
      </c>
      <c r="K45">
        <v>96.89</v>
      </c>
    </row>
    <row r="46" spans="1:11" s="3" customFormat="1" x14ac:dyDescent="0.25">
      <c r="A46" s="3" t="s">
        <v>15</v>
      </c>
      <c r="B46">
        <v>8.27</v>
      </c>
      <c r="C46">
        <v>11.08</v>
      </c>
      <c r="D46">
        <v>11.75</v>
      </c>
      <c r="E46">
        <v>12.15</v>
      </c>
      <c r="F46">
        <v>15.06</v>
      </c>
      <c r="G46">
        <v>18.91</v>
      </c>
      <c r="H46">
        <v>32.119999999999997</v>
      </c>
      <c r="I46">
        <v>24.31</v>
      </c>
      <c r="J46">
        <v>28.14</v>
      </c>
      <c r="K46">
        <v>36.49</v>
      </c>
    </row>
    <row r="47" spans="1:11" s="3" customFormat="1" x14ac:dyDescent="0.25">
      <c r="A47" s="3" t="s">
        <v>181</v>
      </c>
      <c r="B47">
        <v>661.13</v>
      </c>
      <c r="C47">
        <v>649.85</v>
      </c>
      <c r="D47">
        <v>389.71</v>
      </c>
      <c r="E47">
        <v>564.12</v>
      </c>
      <c r="F47">
        <v>638.15</v>
      </c>
      <c r="G47">
        <v>620.16</v>
      </c>
      <c r="H47">
        <v>396.25</v>
      </c>
      <c r="I47">
        <v>593.36</v>
      </c>
      <c r="J47">
        <v>651.30999999999995</v>
      </c>
      <c r="K47">
        <v>661.41</v>
      </c>
    </row>
    <row r="48" spans="1:11" s="3" customFormat="1" x14ac:dyDescent="0.25">
      <c r="A48" s="3" t="s">
        <v>21</v>
      </c>
      <c r="B48">
        <v>155.82</v>
      </c>
      <c r="C48">
        <v>145.5</v>
      </c>
      <c r="D48">
        <v>95.37</v>
      </c>
      <c r="E48">
        <v>123.06</v>
      </c>
      <c r="F48">
        <v>147.29</v>
      </c>
      <c r="G48">
        <v>143.51</v>
      </c>
      <c r="H48">
        <v>103.49</v>
      </c>
      <c r="I48">
        <v>136.75</v>
      </c>
      <c r="J48">
        <v>144.27000000000001</v>
      </c>
      <c r="K48">
        <v>154.97</v>
      </c>
    </row>
    <row r="49" spans="1:11" s="3" customFormat="1" x14ac:dyDescent="0.25">
      <c r="A49" s="3" t="s">
        <v>182</v>
      </c>
      <c r="B49">
        <v>504.35</v>
      </c>
      <c r="C49">
        <v>503.32</v>
      </c>
      <c r="D49">
        <v>294.22000000000003</v>
      </c>
      <c r="E49">
        <v>440.32</v>
      </c>
      <c r="F49">
        <v>490.06</v>
      </c>
      <c r="G49">
        <v>475.94</v>
      </c>
      <c r="H49">
        <v>300.83</v>
      </c>
      <c r="I49">
        <v>463.88</v>
      </c>
      <c r="J49">
        <v>515.04999999999995</v>
      </c>
      <c r="K49">
        <v>514.22</v>
      </c>
    </row>
    <row r="50" spans="1:11" x14ac:dyDescent="0.25">
      <c r="A50" s="3" t="s">
        <v>186</v>
      </c>
      <c r="B50">
        <v>620.29</v>
      </c>
      <c r="C50">
        <v>627.39</v>
      </c>
      <c r="D50">
        <v>452.37</v>
      </c>
      <c r="E50">
        <v>543.32000000000005</v>
      </c>
      <c r="F50">
        <v>600.4</v>
      </c>
      <c r="G50">
        <v>609.12</v>
      </c>
      <c r="H50">
        <v>409.65</v>
      </c>
      <c r="I50">
        <v>604.53</v>
      </c>
      <c r="J50">
        <v>660.87</v>
      </c>
      <c r="K50">
        <v>667.42</v>
      </c>
    </row>
    <row r="51" spans="1:11" x14ac:dyDescent="0.25">
      <c r="A51" s="3"/>
    </row>
    <row r="52" spans="1:11" x14ac:dyDescent="0.25">
      <c r="A52" s="3"/>
    </row>
    <row r="53" spans="1:11" x14ac:dyDescent="0.25">
      <c r="A53" s="3"/>
    </row>
    <row r="54" spans="1:11" x14ac:dyDescent="0.25">
      <c r="A54" s="3"/>
    </row>
    <row r="55" spans="1:11" x14ac:dyDescent="0.25">
      <c r="A55" s="1" t="s">
        <v>187</v>
      </c>
    </row>
    <row r="56" spans="1:11" s="6" customFormat="1" x14ac:dyDescent="0.25">
      <c r="A56" s="5" t="s">
        <v>172</v>
      </c>
      <c r="B56" s="4">
        <v>41729</v>
      </c>
      <c r="C56" s="4">
        <v>42094</v>
      </c>
      <c r="D56" s="4">
        <v>42460</v>
      </c>
      <c r="E56" s="4">
        <v>42825</v>
      </c>
      <c r="F56" s="4">
        <v>43190</v>
      </c>
      <c r="G56" s="4">
        <v>43555</v>
      </c>
      <c r="H56" s="4">
        <v>43921</v>
      </c>
      <c r="I56" s="4">
        <v>44286</v>
      </c>
      <c r="J56" s="4">
        <v>44651</v>
      </c>
      <c r="K56" s="4">
        <v>45016</v>
      </c>
    </row>
    <row r="57" spans="1:11" x14ac:dyDescent="0.25">
      <c r="A57" s="3" t="s">
        <v>32</v>
      </c>
      <c r="B57">
        <v>174.38</v>
      </c>
      <c r="C57">
        <v>175.65</v>
      </c>
      <c r="D57">
        <v>175.91</v>
      </c>
      <c r="E57">
        <v>176.15</v>
      </c>
      <c r="F57">
        <v>176.15</v>
      </c>
      <c r="G57">
        <v>176.63</v>
      </c>
      <c r="H57">
        <v>176.71</v>
      </c>
      <c r="I57">
        <v>176.74</v>
      </c>
      <c r="J57">
        <v>176.79</v>
      </c>
      <c r="K57">
        <v>177.18</v>
      </c>
    </row>
    <row r="58" spans="1:11" x14ac:dyDescent="0.25">
      <c r="A58" s="3" t="s">
        <v>33</v>
      </c>
      <c r="B58">
        <v>2481.58</v>
      </c>
      <c r="C58">
        <v>3178.49</v>
      </c>
      <c r="D58">
        <v>3994.7</v>
      </c>
      <c r="E58">
        <v>4671.24</v>
      </c>
      <c r="F58">
        <v>5530.37</v>
      </c>
      <c r="G58">
        <v>5455.05</v>
      </c>
      <c r="H58">
        <v>6429.04</v>
      </c>
      <c r="I58">
        <v>7486.79</v>
      </c>
      <c r="J58">
        <v>8204.51</v>
      </c>
      <c r="K58">
        <v>8796.08</v>
      </c>
    </row>
    <row r="59" spans="1:11" x14ac:dyDescent="0.25">
      <c r="A59" s="3" t="s">
        <v>34</v>
      </c>
      <c r="B59">
        <v>708.14</v>
      </c>
      <c r="C59">
        <v>733.56</v>
      </c>
      <c r="D59">
        <v>805.22</v>
      </c>
      <c r="E59">
        <v>975</v>
      </c>
      <c r="F59">
        <v>937.59</v>
      </c>
      <c r="G59">
        <v>699.37</v>
      </c>
      <c r="H59">
        <v>521.99</v>
      </c>
      <c r="I59">
        <v>509.06</v>
      </c>
      <c r="J59">
        <v>1030.0999999999999</v>
      </c>
      <c r="K59">
        <v>1173.79</v>
      </c>
    </row>
    <row r="60" spans="1:11" x14ac:dyDescent="0.25">
      <c r="A60" s="3" t="s">
        <v>35</v>
      </c>
      <c r="B60">
        <v>1947.9</v>
      </c>
      <c r="C60">
        <v>2018.58</v>
      </c>
      <c r="D60">
        <v>1956.47</v>
      </c>
      <c r="E60">
        <v>1909.85</v>
      </c>
      <c r="F60">
        <v>2057.52</v>
      </c>
      <c r="G60">
        <v>2105.59</v>
      </c>
      <c r="H60">
        <v>2208.84</v>
      </c>
      <c r="I60">
        <v>2660.63</v>
      </c>
      <c r="J60">
        <v>2872.46</v>
      </c>
      <c r="K60">
        <v>3505.23</v>
      </c>
    </row>
    <row r="61" spans="1:11" s="1" customFormat="1" x14ac:dyDescent="0.25">
      <c r="A61" s="1" t="s">
        <v>188</v>
      </c>
      <c r="B61">
        <v>5312</v>
      </c>
      <c r="C61">
        <v>6106.28</v>
      </c>
      <c r="D61">
        <v>6932.3</v>
      </c>
      <c r="E61">
        <v>7732.24</v>
      </c>
      <c r="F61">
        <v>8701.6299999999992</v>
      </c>
      <c r="G61">
        <v>8436.64</v>
      </c>
      <c r="H61">
        <v>9336.58</v>
      </c>
      <c r="I61">
        <v>10833.22</v>
      </c>
      <c r="J61">
        <v>12283.86</v>
      </c>
      <c r="K61">
        <v>13652.28</v>
      </c>
    </row>
    <row r="62" spans="1:11" x14ac:dyDescent="0.25">
      <c r="A62" s="3" t="s">
        <v>189</v>
      </c>
      <c r="B62">
        <v>1766.9</v>
      </c>
      <c r="C62">
        <v>1877.13</v>
      </c>
      <c r="D62">
        <v>1667.4</v>
      </c>
      <c r="E62">
        <v>1958.4</v>
      </c>
      <c r="F62">
        <v>2028.11</v>
      </c>
      <c r="G62">
        <v>1969.06</v>
      </c>
      <c r="H62">
        <v>2252.6799999999998</v>
      </c>
      <c r="I62">
        <v>2242.92</v>
      </c>
      <c r="J62">
        <v>2307.9</v>
      </c>
      <c r="K62">
        <v>3578.65</v>
      </c>
    </row>
    <row r="63" spans="1:11" x14ac:dyDescent="0.25">
      <c r="A63" s="3" t="s">
        <v>38</v>
      </c>
      <c r="B63">
        <v>21.71</v>
      </c>
      <c r="C63">
        <v>50.3</v>
      </c>
      <c r="D63">
        <v>44.8</v>
      </c>
      <c r="E63">
        <v>42.1</v>
      </c>
      <c r="F63">
        <v>41.51</v>
      </c>
      <c r="G63">
        <v>63.76</v>
      </c>
      <c r="H63">
        <v>146.57</v>
      </c>
      <c r="I63">
        <v>147.30000000000001</v>
      </c>
      <c r="J63">
        <v>167.5</v>
      </c>
      <c r="K63">
        <v>175.13</v>
      </c>
    </row>
    <row r="64" spans="1:11" x14ac:dyDescent="0.25">
      <c r="A64" s="3" t="s">
        <v>39</v>
      </c>
      <c r="B64">
        <v>1076.47</v>
      </c>
      <c r="C64">
        <v>1813.37</v>
      </c>
      <c r="D64">
        <v>2690.74</v>
      </c>
      <c r="E64">
        <v>3240.16</v>
      </c>
      <c r="F64">
        <v>3805.17</v>
      </c>
      <c r="G64">
        <v>3358.76</v>
      </c>
      <c r="H64">
        <v>2800.26</v>
      </c>
      <c r="I64">
        <v>4159.63</v>
      </c>
      <c r="J64">
        <v>6219.62</v>
      </c>
      <c r="K64">
        <v>6265.26</v>
      </c>
    </row>
    <row r="65" spans="1:11" x14ac:dyDescent="0.25">
      <c r="A65" s="3" t="s">
        <v>40</v>
      </c>
      <c r="B65">
        <v>2446.92</v>
      </c>
      <c r="C65">
        <v>2365.48</v>
      </c>
      <c r="D65">
        <v>2529.36</v>
      </c>
      <c r="E65">
        <v>2491.58</v>
      </c>
      <c r="F65">
        <v>2826.84</v>
      </c>
      <c r="G65">
        <v>3045.06</v>
      </c>
      <c r="H65">
        <v>4137.07</v>
      </c>
      <c r="I65">
        <v>4283.37</v>
      </c>
      <c r="J65">
        <v>3588.84</v>
      </c>
      <c r="K65">
        <v>3633.24</v>
      </c>
    </row>
    <row r="66" spans="1:11" s="1" customFormat="1" x14ac:dyDescent="0.25">
      <c r="A66" s="1" t="s">
        <v>188</v>
      </c>
      <c r="B66">
        <v>5312</v>
      </c>
      <c r="C66">
        <v>6106.28</v>
      </c>
      <c r="D66">
        <v>6932.3</v>
      </c>
      <c r="E66">
        <v>7732.24</v>
      </c>
      <c r="F66">
        <v>8701.6299999999992</v>
      </c>
      <c r="G66">
        <v>8436.64</v>
      </c>
      <c r="H66">
        <v>9336.58</v>
      </c>
      <c r="I66">
        <v>10833.22</v>
      </c>
      <c r="J66">
        <v>12283.86</v>
      </c>
      <c r="K66">
        <v>13652.28</v>
      </c>
    </row>
    <row r="67" spans="1:11" s="3" customFormat="1" x14ac:dyDescent="0.25">
      <c r="A67" s="3" t="s">
        <v>42</v>
      </c>
      <c r="B67">
        <v>675.3</v>
      </c>
      <c r="C67">
        <v>710.84</v>
      </c>
      <c r="D67">
        <v>809.2</v>
      </c>
      <c r="E67">
        <v>650.41999999999996</v>
      </c>
      <c r="F67">
        <v>706.08</v>
      </c>
      <c r="G67">
        <v>833.56</v>
      </c>
      <c r="H67">
        <v>813.89</v>
      </c>
      <c r="I67">
        <v>561.58000000000004</v>
      </c>
      <c r="J67">
        <v>646.15</v>
      </c>
      <c r="K67">
        <v>848.75</v>
      </c>
    </row>
    <row r="68" spans="1:11" x14ac:dyDescent="0.25">
      <c r="A68" s="3" t="s">
        <v>43</v>
      </c>
      <c r="B68">
        <v>972.51</v>
      </c>
      <c r="C68">
        <v>973.27</v>
      </c>
      <c r="D68">
        <v>1096.5</v>
      </c>
      <c r="E68">
        <v>1106.71</v>
      </c>
      <c r="F68">
        <v>1256.18</v>
      </c>
      <c r="G68">
        <v>1300.53</v>
      </c>
      <c r="H68">
        <v>1379.57</v>
      </c>
      <c r="I68">
        <v>1734.28</v>
      </c>
      <c r="J68">
        <v>1911.37</v>
      </c>
      <c r="K68">
        <v>2024.2</v>
      </c>
    </row>
    <row r="69" spans="1:11" x14ac:dyDescent="0.25">
      <c r="A69" s="2" t="s">
        <v>44</v>
      </c>
      <c r="B69">
        <v>519.38</v>
      </c>
      <c r="C69">
        <v>276.04000000000002</v>
      </c>
      <c r="D69">
        <v>219.82</v>
      </c>
      <c r="E69">
        <v>304.81</v>
      </c>
      <c r="F69">
        <v>306.06</v>
      </c>
      <c r="G69">
        <v>328.16</v>
      </c>
      <c r="H69">
        <v>811.37</v>
      </c>
      <c r="I69">
        <v>1329.03</v>
      </c>
      <c r="J69">
        <v>570.14</v>
      </c>
      <c r="K69">
        <v>325.92</v>
      </c>
    </row>
    <row r="70" spans="1:11" x14ac:dyDescent="0.25">
      <c r="A70" s="2" t="s">
        <v>190</v>
      </c>
      <c r="B70">
        <v>1743813100</v>
      </c>
      <c r="C70">
        <v>1756511990</v>
      </c>
      <c r="D70">
        <v>1759141170</v>
      </c>
      <c r="E70">
        <v>1761520510</v>
      </c>
      <c r="F70">
        <v>1761520510</v>
      </c>
      <c r="G70">
        <v>1766291141</v>
      </c>
      <c r="H70">
        <v>1767063892</v>
      </c>
      <c r="I70">
        <v>1767425349</v>
      </c>
      <c r="J70">
        <v>1767856483</v>
      </c>
      <c r="K70">
        <v>1767856483</v>
      </c>
    </row>
    <row r="71" spans="1:11" x14ac:dyDescent="0.25">
      <c r="A71" s="2" t="s">
        <v>191</v>
      </c>
    </row>
    <row r="72" spans="1:11" x14ac:dyDescent="0.25">
      <c r="A72" s="2" t="s">
        <v>192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4" spans="1:11" x14ac:dyDescent="0.25">
      <c r="A74" s="2" t="s">
        <v>255</v>
      </c>
      <c r="B74" s="2">
        <f>B65-SUM(B67:B69)</f>
        <v>279.73</v>
      </c>
      <c r="C74" s="2">
        <f t="shared" ref="C74:K74" si="1">C65-SUM(C67:C69)</f>
        <v>405.32999999999993</v>
      </c>
      <c r="D74" s="2">
        <f t="shared" si="1"/>
        <v>403.84000000000015</v>
      </c>
      <c r="E74" s="2">
        <f t="shared" si="1"/>
        <v>429.63999999999987</v>
      </c>
      <c r="F74" s="2">
        <f t="shared" si="1"/>
        <v>558.52</v>
      </c>
      <c r="G74" s="2">
        <f t="shared" si="1"/>
        <v>582.80999999999995</v>
      </c>
      <c r="H74" s="2">
        <f t="shared" si="1"/>
        <v>1132.2399999999998</v>
      </c>
      <c r="I74" s="2">
        <f t="shared" si="1"/>
        <v>658.47999999999956</v>
      </c>
      <c r="J74" s="2">
        <f t="shared" si="1"/>
        <v>461.18000000000029</v>
      </c>
      <c r="K74" s="2">
        <f t="shared" si="1"/>
        <v>434.36999999999989</v>
      </c>
    </row>
    <row r="75" spans="1:11" x14ac:dyDescent="0.25">
      <c r="A75" s="3"/>
    </row>
    <row r="76" spans="1:11" x14ac:dyDescent="0.25">
      <c r="A76" s="3"/>
    </row>
    <row r="77" spans="1:11" x14ac:dyDescent="0.25">
      <c r="A77" s="3"/>
    </row>
    <row r="78" spans="1:11" x14ac:dyDescent="0.25">
      <c r="A78" s="3"/>
    </row>
    <row r="79" spans="1:11" x14ac:dyDescent="0.25">
      <c r="A79" s="3"/>
    </row>
    <row r="80" spans="1:11" x14ac:dyDescent="0.25">
      <c r="A80" s="1" t="s">
        <v>193</v>
      </c>
    </row>
    <row r="81" spans="1:11" s="6" customFormat="1" x14ac:dyDescent="0.25">
      <c r="A81" s="5" t="s">
        <v>172</v>
      </c>
      <c r="B81" s="4">
        <v>41729</v>
      </c>
      <c r="C81" s="4">
        <v>42094</v>
      </c>
      <c r="D81" s="4">
        <v>42460</v>
      </c>
      <c r="E81" s="4">
        <v>42825</v>
      </c>
      <c r="F81" s="4">
        <v>43190</v>
      </c>
      <c r="G81" s="4">
        <v>43555</v>
      </c>
      <c r="H81" s="4">
        <v>43921</v>
      </c>
      <c r="I81" s="4">
        <v>44286</v>
      </c>
      <c r="J81" s="4">
        <v>44651</v>
      </c>
      <c r="K81" s="4">
        <v>45016</v>
      </c>
    </row>
    <row r="82" spans="1:11" s="1" customFormat="1" x14ac:dyDescent="0.25">
      <c r="A82" s="3" t="s">
        <v>194</v>
      </c>
      <c r="B82">
        <v>1098.3</v>
      </c>
      <c r="C82">
        <v>1047.21</v>
      </c>
      <c r="D82">
        <v>1186.99</v>
      </c>
      <c r="E82">
        <v>1226.94</v>
      </c>
      <c r="F82">
        <v>1091.5</v>
      </c>
      <c r="G82">
        <v>1499.13</v>
      </c>
      <c r="H82">
        <v>1613.62</v>
      </c>
      <c r="I82">
        <v>2114.67</v>
      </c>
      <c r="J82">
        <v>1802.33</v>
      </c>
      <c r="K82">
        <v>1488.43</v>
      </c>
    </row>
    <row r="83" spans="1:11" s="3" customFormat="1" x14ac:dyDescent="0.25">
      <c r="A83" s="3" t="s">
        <v>195</v>
      </c>
      <c r="B83">
        <v>-104.5</v>
      </c>
      <c r="C83">
        <v>-875.9</v>
      </c>
      <c r="D83">
        <v>-730.33</v>
      </c>
      <c r="E83">
        <v>-807.07</v>
      </c>
      <c r="F83">
        <v>-540.92999999999995</v>
      </c>
      <c r="G83">
        <v>337.58</v>
      </c>
      <c r="H83">
        <v>-516.63</v>
      </c>
      <c r="I83">
        <v>-1404.22</v>
      </c>
      <c r="J83">
        <v>-1273.45</v>
      </c>
      <c r="K83">
        <v>-582.79</v>
      </c>
    </row>
    <row r="84" spans="1:11" s="3" customFormat="1" x14ac:dyDescent="0.25">
      <c r="A84" s="3" t="s">
        <v>196</v>
      </c>
      <c r="B84">
        <v>-803.69</v>
      </c>
      <c r="C84">
        <v>-416.77</v>
      </c>
      <c r="D84">
        <v>-374.31</v>
      </c>
      <c r="E84">
        <v>-338.97</v>
      </c>
      <c r="F84">
        <v>-577.11</v>
      </c>
      <c r="G84">
        <v>-1888.2</v>
      </c>
      <c r="H84">
        <v>-1042.97</v>
      </c>
      <c r="I84">
        <v>-613.41</v>
      </c>
      <c r="J84">
        <v>-490.49</v>
      </c>
      <c r="K84">
        <v>-1035.24</v>
      </c>
    </row>
    <row r="85" spans="1:11" s="1" customFormat="1" x14ac:dyDescent="0.25">
      <c r="A85" s="3" t="s">
        <v>80</v>
      </c>
      <c r="B85">
        <v>190.11</v>
      </c>
      <c r="C85">
        <v>-245.46</v>
      </c>
      <c r="D85">
        <v>82.35</v>
      </c>
      <c r="E85">
        <v>80.900000000000006</v>
      </c>
      <c r="F85">
        <v>-26.54</v>
      </c>
      <c r="G85">
        <v>-51.49</v>
      </c>
      <c r="H85">
        <v>54.02</v>
      </c>
      <c r="I85">
        <v>97.04</v>
      </c>
      <c r="J85">
        <v>38.39</v>
      </c>
      <c r="K85">
        <v>-129.6</v>
      </c>
    </row>
    <row r="86" spans="1:11" x14ac:dyDescent="0.25">
      <c r="A86" s="3"/>
    </row>
    <row r="87" spans="1:11" x14ac:dyDescent="0.25">
      <c r="A87" s="3"/>
    </row>
    <row r="88" spans="1:11" x14ac:dyDescent="0.25">
      <c r="A88" s="3"/>
    </row>
    <row r="89" spans="1:11" x14ac:dyDescent="0.25">
      <c r="A89" s="3"/>
    </row>
    <row r="90" spans="1:11" s="1" customFormat="1" x14ac:dyDescent="0.25">
      <c r="A90" s="1" t="s">
        <v>197</v>
      </c>
      <c r="B90">
        <v>179.65</v>
      </c>
      <c r="C90">
        <v>265.55</v>
      </c>
      <c r="D90">
        <v>249.9</v>
      </c>
      <c r="E90">
        <v>277.35000000000002</v>
      </c>
      <c r="F90">
        <v>328.4</v>
      </c>
      <c r="G90">
        <v>408.8</v>
      </c>
      <c r="H90">
        <v>450.05</v>
      </c>
      <c r="I90">
        <v>540.5</v>
      </c>
      <c r="J90">
        <v>536.20000000000005</v>
      </c>
      <c r="K90">
        <v>544.9</v>
      </c>
    </row>
    <row r="92" spans="1:11" s="1" customFormat="1" x14ac:dyDescent="0.25">
      <c r="A92" s="1" t="s">
        <v>198</v>
      </c>
    </row>
    <row r="93" spans="1:11" x14ac:dyDescent="0.25">
      <c r="A93" s="2" t="s">
        <v>199</v>
      </c>
      <c r="B93" s="7">
        <v>174.38</v>
      </c>
      <c r="C93" s="7">
        <v>175.65</v>
      </c>
      <c r="D93" s="7">
        <v>175.91</v>
      </c>
      <c r="E93" s="7">
        <v>176.15</v>
      </c>
      <c r="F93" s="7">
        <v>176.15</v>
      </c>
      <c r="G93" s="7">
        <v>176.63</v>
      </c>
      <c r="H93" s="7">
        <v>176.71</v>
      </c>
      <c r="I93" s="7">
        <v>176.74</v>
      </c>
      <c r="J93" s="7">
        <v>176.79</v>
      </c>
      <c r="K93" s="7">
        <v>177.18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  <ignoredErrors>
    <ignoredError sqref="B33:K33" formulaRange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F0508-B5DB-46BD-8576-6AE0E2180EF5}">
  <dimension ref="B2:N62"/>
  <sheetViews>
    <sheetView showGridLines="0" workbookViewId="0">
      <selection activeCell="P8" sqref="P8"/>
    </sheetView>
  </sheetViews>
  <sheetFormatPr defaultRowHeight="15" x14ac:dyDescent="0.25"/>
  <cols>
    <col min="1" max="1" width="1.85546875" customWidth="1"/>
    <col min="2" max="2" width="28" bestFit="1" customWidth="1"/>
  </cols>
  <sheetData>
    <row r="2" spans="2:14" x14ac:dyDescent="0.25">
      <c r="B2" s="65" t="str">
        <f>"Cash Flows from Screener - "&amp;'Data Sheet'!B1</f>
        <v>Cash Flows from Screener - DABUR INDIA LTD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</row>
    <row r="4" spans="2:14" x14ac:dyDescent="0.25">
      <c r="B4" s="171" t="s">
        <v>254</v>
      </c>
      <c r="C4" s="191">
        <v>40969</v>
      </c>
      <c r="D4" s="191">
        <v>41334</v>
      </c>
      <c r="E4" s="191">
        <v>41699</v>
      </c>
      <c r="F4" s="191">
        <v>42064</v>
      </c>
      <c r="G4" s="191">
        <v>42430</v>
      </c>
      <c r="H4" s="191">
        <v>42795</v>
      </c>
      <c r="I4" s="191">
        <v>43160</v>
      </c>
      <c r="J4" s="191">
        <v>43525</v>
      </c>
      <c r="K4" s="191">
        <v>43891</v>
      </c>
      <c r="L4" s="191">
        <v>44256</v>
      </c>
      <c r="M4" s="191">
        <v>44621</v>
      </c>
      <c r="N4" s="191">
        <v>44986</v>
      </c>
    </row>
    <row r="5" spans="2:14" x14ac:dyDescent="0.25">
      <c r="B5" s="166" t="s">
        <v>200</v>
      </c>
      <c r="C5" s="192">
        <v>597</v>
      </c>
      <c r="D5" s="192">
        <v>870</v>
      </c>
      <c r="E5" s="192">
        <v>1098</v>
      </c>
      <c r="F5" s="192">
        <v>1047</v>
      </c>
      <c r="G5" s="192">
        <v>1187</v>
      </c>
      <c r="H5" s="192">
        <v>1227</v>
      </c>
      <c r="I5" s="192">
        <v>1092</v>
      </c>
      <c r="J5" s="192">
        <v>1499</v>
      </c>
      <c r="K5" s="192">
        <v>1614</v>
      </c>
      <c r="L5" s="192">
        <v>2115</v>
      </c>
      <c r="M5" s="192">
        <v>1802</v>
      </c>
      <c r="N5" s="192">
        <v>1488</v>
      </c>
    </row>
    <row r="6" spans="2:14" x14ac:dyDescent="0.25">
      <c r="B6" s="166" t="s">
        <v>50</v>
      </c>
      <c r="C6" s="192">
        <v>809</v>
      </c>
      <c r="D6" s="192">
        <v>994</v>
      </c>
      <c r="E6" s="192">
        <v>1202</v>
      </c>
      <c r="F6" s="192">
        <v>1394</v>
      </c>
      <c r="G6" s="192">
        <v>1543</v>
      </c>
      <c r="H6" s="192">
        <v>1462</v>
      </c>
      <c r="I6" s="192">
        <v>1678</v>
      </c>
      <c r="J6" s="192">
        <v>1868</v>
      </c>
      <c r="K6" s="192">
        <v>1981</v>
      </c>
      <c r="L6" s="192">
        <v>2048</v>
      </c>
      <c r="M6" s="192">
        <v>2287</v>
      </c>
      <c r="N6" s="192">
        <v>2143</v>
      </c>
    </row>
    <row r="7" spans="2:14" x14ac:dyDescent="0.25">
      <c r="B7" s="166" t="s">
        <v>42</v>
      </c>
      <c r="C7" s="192">
        <v>-143</v>
      </c>
      <c r="D7" s="192">
        <v>-41</v>
      </c>
      <c r="E7" s="192">
        <v>-187</v>
      </c>
      <c r="F7" s="192">
        <v>-142</v>
      </c>
      <c r="G7" s="192">
        <v>-14</v>
      </c>
      <c r="H7" s="192">
        <v>115</v>
      </c>
      <c r="I7" s="192">
        <v>-60</v>
      </c>
      <c r="J7" s="192">
        <v>-130</v>
      </c>
      <c r="K7" s="192">
        <v>14</v>
      </c>
      <c r="L7" s="192">
        <v>248</v>
      </c>
      <c r="M7" s="192">
        <v>-78</v>
      </c>
      <c r="N7" s="192">
        <v>-191</v>
      </c>
    </row>
    <row r="8" spans="2:14" x14ac:dyDescent="0.25">
      <c r="B8" s="166" t="s">
        <v>43</v>
      </c>
      <c r="C8" s="192">
        <v>-115</v>
      </c>
      <c r="D8" s="192">
        <v>-20</v>
      </c>
      <c r="E8" s="192">
        <v>-128</v>
      </c>
      <c r="F8" s="192">
        <v>-1</v>
      </c>
      <c r="G8" s="192">
        <v>-123</v>
      </c>
      <c r="H8" s="192">
        <v>-10</v>
      </c>
      <c r="I8" s="192">
        <v>-149</v>
      </c>
      <c r="J8" s="192">
        <v>-44</v>
      </c>
      <c r="K8" s="192">
        <v>-79</v>
      </c>
      <c r="L8" s="192">
        <v>-355</v>
      </c>
      <c r="M8" s="192">
        <v>-177</v>
      </c>
      <c r="N8" s="192">
        <v>-96</v>
      </c>
    </row>
    <row r="9" spans="2:14" x14ac:dyDescent="0.25">
      <c r="B9" s="166" t="s">
        <v>51</v>
      </c>
      <c r="C9" s="192">
        <v>182</v>
      </c>
      <c r="D9" s="192">
        <v>105</v>
      </c>
      <c r="E9" s="192">
        <v>397</v>
      </c>
      <c r="F9" s="192">
        <v>26</v>
      </c>
      <c r="G9" s="192">
        <v>62</v>
      </c>
      <c r="H9" s="192">
        <v>-16</v>
      </c>
      <c r="I9" s="192">
        <v>86</v>
      </c>
      <c r="J9" s="192">
        <v>45</v>
      </c>
      <c r="K9" s="192">
        <v>26</v>
      </c>
      <c r="L9" s="192">
        <v>434</v>
      </c>
      <c r="M9" s="192">
        <v>108</v>
      </c>
      <c r="N9" s="192">
        <v>141</v>
      </c>
    </row>
    <row r="10" spans="2:14" x14ac:dyDescent="0.25">
      <c r="B10" s="166" t="s">
        <v>52</v>
      </c>
      <c r="C10" s="192">
        <v>0</v>
      </c>
      <c r="D10" s="192">
        <v>0</v>
      </c>
      <c r="E10" s="192">
        <v>0</v>
      </c>
      <c r="F10" s="192">
        <v>0</v>
      </c>
      <c r="G10" s="192">
        <v>0</v>
      </c>
      <c r="H10" s="192">
        <v>0</v>
      </c>
      <c r="I10" s="192">
        <v>0</v>
      </c>
      <c r="J10" s="192">
        <v>0</v>
      </c>
      <c r="K10" s="192">
        <v>0</v>
      </c>
      <c r="L10" s="192">
        <v>0</v>
      </c>
      <c r="M10" s="192">
        <v>0</v>
      </c>
      <c r="N10" s="192">
        <v>0</v>
      </c>
    </row>
    <row r="11" spans="2:14" x14ac:dyDescent="0.25">
      <c r="B11" s="166" t="s">
        <v>53</v>
      </c>
      <c r="C11" s="192">
        <v>0</v>
      </c>
      <c r="D11" s="192">
        <v>0</v>
      </c>
      <c r="E11" s="192">
        <v>0</v>
      </c>
      <c r="F11" s="192">
        <v>0</v>
      </c>
      <c r="G11" s="192">
        <v>0</v>
      </c>
      <c r="H11" s="192">
        <v>-1</v>
      </c>
      <c r="I11" s="192">
        <v>-138</v>
      </c>
      <c r="J11" s="192">
        <v>111</v>
      </c>
      <c r="K11" s="192">
        <v>-19</v>
      </c>
      <c r="L11" s="192">
        <v>62</v>
      </c>
      <c r="M11" s="192">
        <v>51</v>
      </c>
      <c r="N11" s="192">
        <v>-15</v>
      </c>
    </row>
    <row r="12" spans="2:14" x14ac:dyDescent="0.25">
      <c r="B12" s="166" t="s">
        <v>201</v>
      </c>
      <c r="C12" s="192">
        <v>-76</v>
      </c>
      <c r="D12" s="192">
        <v>44</v>
      </c>
      <c r="E12" s="192">
        <v>82</v>
      </c>
      <c r="F12" s="192">
        <v>-117</v>
      </c>
      <c r="G12" s="192">
        <v>-75</v>
      </c>
      <c r="H12" s="192">
        <v>87</v>
      </c>
      <c r="I12" s="192">
        <v>-262</v>
      </c>
      <c r="J12" s="192">
        <v>-18</v>
      </c>
      <c r="K12" s="192">
        <v>-58</v>
      </c>
      <c r="L12" s="192">
        <v>388</v>
      </c>
      <c r="M12" s="192">
        <v>-97</v>
      </c>
      <c r="N12" s="192">
        <v>-160</v>
      </c>
    </row>
    <row r="13" spans="2:14" x14ac:dyDescent="0.25">
      <c r="B13" s="166" t="s">
        <v>54</v>
      </c>
      <c r="C13" s="192">
        <v>-136</v>
      </c>
      <c r="D13" s="192">
        <v>-169</v>
      </c>
      <c r="E13" s="192">
        <v>-186</v>
      </c>
      <c r="F13" s="192">
        <v>-230</v>
      </c>
      <c r="G13" s="192">
        <v>-281</v>
      </c>
      <c r="H13" s="192">
        <v>-322</v>
      </c>
      <c r="I13" s="192">
        <v>-325</v>
      </c>
      <c r="J13" s="192">
        <v>-351</v>
      </c>
      <c r="K13" s="192">
        <v>-309</v>
      </c>
      <c r="L13" s="192">
        <v>-321</v>
      </c>
      <c r="M13" s="192">
        <v>-388</v>
      </c>
      <c r="N13" s="192">
        <v>-494</v>
      </c>
    </row>
    <row r="14" spans="2:14" x14ac:dyDescent="0.25">
      <c r="B14" s="166" t="s">
        <v>202</v>
      </c>
      <c r="C14" s="192">
        <v>-260</v>
      </c>
      <c r="D14" s="192">
        <v>-622</v>
      </c>
      <c r="E14" s="192">
        <v>-104</v>
      </c>
      <c r="F14" s="192">
        <v>-876</v>
      </c>
      <c r="G14" s="192">
        <v>-730</v>
      </c>
      <c r="H14" s="192">
        <v>-807</v>
      </c>
      <c r="I14" s="192">
        <v>-541</v>
      </c>
      <c r="J14" s="192">
        <v>338</v>
      </c>
      <c r="K14" s="192">
        <v>-517</v>
      </c>
      <c r="L14" s="192">
        <v>-1404</v>
      </c>
      <c r="M14" s="192">
        <v>-1273</v>
      </c>
      <c r="N14" s="192">
        <v>-583</v>
      </c>
    </row>
    <row r="15" spans="2:14" x14ac:dyDescent="0.25">
      <c r="B15" s="166" t="s">
        <v>57</v>
      </c>
      <c r="C15" s="192">
        <v>-233</v>
      </c>
      <c r="D15" s="192">
        <v>-241</v>
      </c>
      <c r="E15" s="192">
        <v>-215</v>
      </c>
      <c r="F15" s="192">
        <v>-267</v>
      </c>
      <c r="G15" s="192">
        <v>-200</v>
      </c>
      <c r="H15" s="192">
        <v>-490</v>
      </c>
      <c r="I15" s="192">
        <v>-207</v>
      </c>
      <c r="J15" s="192">
        <v>-234</v>
      </c>
      <c r="K15" s="192">
        <v>-417</v>
      </c>
      <c r="L15" s="192">
        <v>-311</v>
      </c>
      <c r="M15" s="192">
        <v>-374</v>
      </c>
      <c r="N15" s="192">
        <v>-509</v>
      </c>
    </row>
    <row r="16" spans="2:14" x14ac:dyDescent="0.25">
      <c r="B16" s="166" t="s">
        <v>58</v>
      </c>
      <c r="C16" s="192">
        <v>9</v>
      </c>
      <c r="D16" s="192">
        <v>17</v>
      </c>
      <c r="E16" s="192">
        <v>2</v>
      </c>
      <c r="F16" s="192">
        <v>16</v>
      </c>
      <c r="G16" s="192">
        <v>11</v>
      </c>
      <c r="H16" s="192">
        <v>4</v>
      </c>
      <c r="I16" s="192">
        <v>7</v>
      </c>
      <c r="J16" s="192">
        <v>9</v>
      </c>
      <c r="K16" s="192">
        <v>17</v>
      </c>
      <c r="L16" s="192">
        <v>5</v>
      </c>
      <c r="M16" s="192">
        <v>5</v>
      </c>
      <c r="N16" s="192">
        <v>23</v>
      </c>
    </row>
    <row r="17" spans="2:14" x14ac:dyDescent="0.25">
      <c r="B17" s="166" t="s">
        <v>59</v>
      </c>
      <c r="C17" s="192">
        <v>-3361</v>
      </c>
      <c r="D17" s="192">
        <v>-4784</v>
      </c>
      <c r="E17" s="192">
        <v>-6446</v>
      </c>
      <c r="F17" s="192">
        <v>-6317</v>
      </c>
      <c r="G17" s="192">
        <v>-7341</v>
      </c>
      <c r="H17" s="192">
        <v>-9111</v>
      </c>
      <c r="I17" s="192">
        <v>-9001</v>
      </c>
      <c r="J17" s="192">
        <v>-5393</v>
      </c>
      <c r="K17" s="192">
        <v>-8479</v>
      </c>
      <c r="L17" s="192">
        <v>-7635</v>
      </c>
      <c r="M17" s="192">
        <v>-7507</v>
      </c>
      <c r="N17" s="192">
        <v>-4177</v>
      </c>
    </row>
    <row r="18" spans="2:14" x14ac:dyDescent="0.25">
      <c r="B18" s="166" t="s">
        <v>60</v>
      </c>
      <c r="C18" s="192">
        <v>3276</v>
      </c>
      <c r="D18" s="192">
        <v>4330</v>
      </c>
      <c r="E18" s="192">
        <v>6456</v>
      </c>
      <c r="F18" s="192">
        <v>5596</v>
      </c>
      <c r="G18" s="192">
        <v>6653</v>
      </c>
      <c r="H18" s="192">
        <v>8600</v>
      </c>
      <c r="I18" s="192">
        <v>8418</v>
      </c>
      <c r="J18" s="192">
        <v>5710</v>
      </c>
      <c r="K18" s="192">
        <v>8114</v>
      </c>
      <c r="L18" s="192">
        <v>6274</v>
      </c>
      <c r="M18" s="192">
        <v>6234</v>
      </c>
      <c r="N18" s="192">
        <v>4164</v>
      </c>
    </row>
    <row r="19" spans="2:14" x14ac:dyDescent="0.25">
      <c r="B19" s="166" t="s">
        <v>61</v>
      </c>
      <c r="C19" s="192">
        <v>49</v>
      </c>
      <c r="D19" s="192">
        <v>54</v>
      </c>
      <c r="E19" s="192">
        <v>95</v>
      </c>
      <c r="F19" s="192">
        <v>96</v>
      </c>
      <c r="G19" s="192">
        <v>148</v>
      </c>
      <c r="H19" s="192">
        <v>190</v>
      </c>
      <c r="I19" s="192">
        <v>244</v>
      </c>
      <c r="J19" s="192">
        <v>244</v>
      </c>
      <c r="K19" s="192">
        <v>248</v>
      </c>
      <c r="L19" s="192">
        <v>262</v>
      </c>
      <c r="M19" s="192">
        <v>367</v>
      </c>
      <c r="N19" s="192">
        <v>394</v>
      </c>
    </row>
    <row r="20" spans="2:14" x14ac:dyDescent="0.25">
      <c r="B20" s="166" t="s">
        <v>62</v>
      </c>
      <c r="C20" s="192">
        <v>0</v>
      </c>
      <c r="D20" s="192">
        <v>0</v>
      </c>
      <c r="E20" s="192">
        <v>0</v>
      </c>
      <c r="F20" s="192">
        <v>0</v>
      </c>
      <c r="G20" s="192">
        <v>0</v>
      </c>
      <c r="H20" s="192">
        <v>0</v>
      </c>
      <c r="I20" s="192">
        <v>0</v>
      </c>
      <c r="J20" s="192">
        <v>0</v>
      </c>
      <c r="K20" s="192">
        <v>0</v>
      </c>
      <c r="L20" s="192">
        <v>0</v>
      </c>
      <c r="M20" s="192">
        <v>0</v>
      </c>
      <c r="N20" s="192">
        <v>0</v>
      </c>
    </row>
    <row r="21" spans="2:14" x14ac:dyDescent="0.25">
      <c r="B21" s="166" t="s">
        <v>63</v>
      </c>
      <c r="C21" s="192">
        <v>0</v>
      </c>
      <c r="D21" s="192">
        <v>0</v>
      </c>
      <c r="E21" s="192">
        <v>0</v>
      </c>
      <c r="F21" s="192">
        <v>0</v>
      </c>
      <c r="G21" s="192">
        <v>0</v>
      </c>
      <c r="H21" s="192">
        <v>0</v>
      </c>
      <c r="I21" s="192">
        <v>0</v>
      </c>
      <c r="J21" s="192">
        <v>0</v>
      </c>
      <c r="K21" s="192">
        <v>0</v>
      </c>
      <c r="L21" s="192">
        <v>0</v>
      </c>
      <c r="M21" s="192">
        <v>0</v>
      </c>
      <c r="N21" s="192">
        <v>0</v>
      </c>
    </row>
    <row r="22" spans="2:14" x14ac:dyDescent="0.25">
      <c r="B22" s="166" t="s">
        <v>64</v>
      </c>
      <c r="C22" s="192">
        <v>0</v>
      </c>
      <c r="D22" s="192">
        <v>0</v>
      </c>
      <c r="E22" s="192">
        <v>0</v>
      </c>
      <c r="F22" s="192">
        <v>0</v>
      </c>
      <c r="G22" s="192">
        <v>0</v>
      </c>
      <c r="H22" s="192">
        <v>0</v>
      </c>
      <c r="I22" s="192">
        <v>0</v>
      </c>
      <c r="J22" s="192">
        <v>0</v>
      </c>
      <c r="K22" s="192">
        <v>0</v>
      </c>
      <c r="L22" s="192">
        <v>0</v>
      </c>
      <c r="M22" s="192">
        <v>0</v>
      </c>
      <c r="N22" s="192">
        <v>0</v>
      </c>
    </row>
    <row r="23" spans="2:14" x14ac:dyDescent="0.25">
      <c r="B23" s="166" t="s">
        <v>65</v>
      </c>
      <c r="C23" s="192">
        <v>0</v>
      </c>
      <c r="D23" s="192">
        <v>0</v>
      </c>
      <c r="E23" s="192">
        <v>0</v>
      </c>
      <c r="F23" s="192">
        <v>0</v>
      </c>
      <c r="G23" s="192">
        <v>0</v>
      </c>
      <c r="H23" s="192">
        <v>0</v>
      </c>
      <c r="I23" s="192">
        <v>0</v>
      </c>
      <c r="J23" s="192">
        <v>0</v>
      </c>
      <c r="K23" s="192">
        <v>0</v>
      </c>
      <c r="L23" s="192">
        <v>0</v>
      </c>
      <c r="M23" s="192">
        <v>0</v>
      </c>
      <c r="N23" s="192">
        <v>0</v>
      </c>
    </row>
    <row r="24" spans="2:14" x14ac:dyDescent="0.25">
      <c r="B24" s="166" t="s">
        <v>66</v>
      </c>
      <c r="C24" s="192">
        <v>0</v>
      </c>
      <c r="D24" s="192">
        <v>0</v>
      </c>
      <c r="E24" s="192">
        <v>0</v>
      </c>
      <c r="F24" s="192">
        <v>0</v>
      </c>
      <c r="G24" s="192">
        <v>0</v>
      </c>
      <c r="H24" s="192">
        <v>0</v>
      </c>
      <c r="I24" s="192">
        <v>0</v>
      </c>
      <c r="J24" s="192">
        <v>0</v>
      </c>
      <c r="K24" s="192">
        <v>0</v>
      </c>
      <c r="L24" s="192">
        <v>0</v>
      </c>
      <c r="M24" s="192">
        <v>0</v>
      </c>
      <c r="N24" s="192">
        <v>-481</v>
      </c>
    </row>
    <row r="25" spans="2:14" x14ac:dyDescent="0.25">
      <c r="B25" s="166" t="s">
        <v>67</v>
      </c>
      <c r="C25" s="192">
        <v>0</v>
      </c>
      <c r="D25" s="192">
        <v>0</v>
      </c>
      <c r="E25" s="192">
        <v>0</v>
      </c>
      <c r="F25" s="192">
        <v>0</v>
      </c>
      <c r="G25" s="192">
        <v>0</v>
      </c>
      <c r="H25" s="192">
        <v>0</v>
      </c>
      <c r="I25" s="192">
        <v>0</v>
      </c>
      <c r="J25" s="192">
        <v>0</v>
      </c>
      <c r="K25" s="192">
        <v>0</v>
      </c>
      <c r="L25" s="192">
        <v>0</v>
      </c>
      <c r="M25" s="192">
        <v>0</v>
      </c>
      <c r="N25" s="192">
        <v>0</v>
      </c>
    </row>
    <row r="26" spans="2:14" x14ac:dyDescent="0.25">
      <c r="B26" s="166" t="s">
        <v>68</v>
      </c>
      <c r="C26" s="192">
        <v>0</v>
      </c>
      <c r="D26" s="192">
        <v>2</v>
      </c>
      <c r="E26" s="192">
        <v>3</v>
      </c>
      <c r="F26" s="192">
        <v>0</v>
      </c>
      <c r="G26" s="192">
        <v>-1</v>
      </c>
      <c r="H26" s="192">
        <v>0</v>
      </c>
      <c r="I26" s="192">
        <v>-1</v>
      </c>
      <c r="J26" s="192">
        <v>1</v>
      </c>
      <c r="K26" s="192">
        <v>0</v>
      </c>
      <c r="L26" s="192">
        <v>2</v>
      </c>
      <c r="M26" s="192">
        <v>2</v>
      </c>
      <c r="N26" s="192">
        <v>4</v>
      </c>
    </row>
    <row r="27" spans="2:14" x14ac:dyDescent="0.25">
      <c r="B27" s="166" t="s">
        <v>203</v>
      </c>
      <c r="C27" s="192">
        <v>-198</v>
      </c>
      <c r="D27" s="192">
        <v>-234</v>
      </c>
      <c r="E27" s="192">
        <v>-804</v>
      </c>
      <c r="F27" s="192">
        <v>-417</v>
      </c>
      <c r="G27" s="192">
        <v>-374</v>
      </c>
      <c r="H27" s="192">
        <v>-339</v>
      </c>
      <c r="I27" s="192">
        <v>-577</v>
      </c>
      <c r="J27" s="192">
        <v>-1888</v>
      </c>
      <c r="K27" s="192">
        <v>-1043</v>
      </c>
      <c r="L27" s="192">
        <v>-613</v>
      </c>
      <c r="M27" s="192">
        <v>-490</v>
      </c>
      <c r="N27" s="192">
        <v>-1035</v>
      </c>
    </row>
    <row r="28" spans="2:14" x14ac:dyDescent="0.25">
      <c r="B28" s="166" t="s">
        <v>71</v>
      </c>
      <c r="C28" s="192">
        <v>0</v>
      </c>
      <c r="D28" s="192">
        <v>0</v>
      </c>
      <c r="E28" s="192">
        <v>0</v>
      </c>
      <c r="F28" s="192">
        <v>46</v>
      </c>
      <c r="G28" s="192">
        <v>17</v>
      </c>
      <c r="H28" s="192">
        <v>15</v>
      </c>
      <c r="I28" s="192">
        <v>0</v>
      </c>
      <c r="J28" s="192">
        <v>0</v>
      </c>
      <c r="K28" s="192">
        <v>0</v>
      </c>
      <c r="L28" s="192">
        <v>0</v>
      </c>
      <c r="M28" s="192">
        <v>0</v>
      </c>
      <c r="N28" s="192">
        <v>0</v>
      </c>
    </row>
    <row r="29" spans="2:14" x14ac:dyDescent="0.25">
      <c r="B29" s="166" t="s">
        <v>72</v>
      </c>
      <c r="C29" s="192">
        <v>0</v>
      </c>
      <c r="D29" s="192">
        <v>0</v>
      </c>
      <c r="E29" s="192">
        <v>0</v>
      </c>
      <c r="F29" s="192">
        <v>0</v>
      </c>
      <c r="G29" s="192">
        <v>0</v>
      </c>
      <c r="H29" s="192">
        <v>0</v>
      </c>
      <c r="I29" s="192">
        <v>0</v>
      </c>
      <c r="J29" s="192">
        <v>0</v>
      </c>
      <c r="K29" s="192">
        <v>0</v>
      </c>
      <c r="L29" s="192">
        <v>0</v>
      </c>
      <c r="M29" s="192">
        <v>0</v>
      </c>
      <c r="N29" s="192">
        <v>0</v>
      </c>
    </row>
    <row r="30" spans="2:14" x14ac:dyDescent="0.25">
      <c r="B30" s="166" t="s">
        <v>73</v>
      </c>
      <c r="C30" s="192">
        <v>399</v>
      </c>
      <c r="D30" s="192">
        <v>135</v>
      </c>
      <c r="E30" s="192">
        <v>0</v>
      </c>
      <c r="F30" s="192">
        <v>75</v>
      </c>
      <c r="G30" s="192">
        <v>131</v>
      </c>
      <c r="H30" s="192">
        <v>168</v>
      </c>
      <c r="I30" s="192">
        <v>4</v>
      </c>
      <c r="J30" s="192">
        <v>32</v>
      </c>
      <c r="K30" s="192">
        <v>0</v>
      </c>
      <c r="L30" s="192">
        <v>65</v>
      </c>
      <c r="M30" s="192">
        <v>541</v>
      </c>
      <c r="N30" s="192">
        <v>50</v>
      </c>
    </row>
    <row r="31" spans="2:14" x14ac:dyDescent="0.25">
      <c r="B31" s="166" t="s">
        <v>74</v>
      </c>
      <c r="C31" s="192">
        <v>-326</v>
      </c>
      <c r="D31" s="192">
        <v>-52</v>
      </c>
      <c r="E31" s="192">
        <v>-443</v>
      </c>
      <c r="F31" s="192">
        <v>-50</v>
      </c>
      <c r="G31" s="192">
        <v>-60</v>
      </c>
      <c r="H31" s="192">
        <v>0</v>
      </c>
      <c r="I31" s="192">
        <v>-62</v>
      </c>
      <c r="J31" s="192">
        <v>-272</v>
      </c>
      <c r="K31" s="192">
        <v>-358</v>
      </c>
      <c r="L31" s="192">
        <v>-28</v>
      </c>
      <c r="M31" s="192">
        <v>0</v>
      </c>
      <c r="N31" s="192">
        <v>-1</v>
      </c>
    </row>
    <row r="32" spans="2:14" x14ac:dyDescent="0.25">
      <c r="B32" s="166" t="s">
        <v>75</v>
      </c>
      <c r="C32" s="192">
        <v>-29</v>
      </c>
      <c r="D32" s="192">
        <v>-34</v>
      </c>
      <c r="E32" s="192">
        <v>-34</v>
      </c>
      <c r="F32" s="192">
        <v>-26</v>
      </c>
      <c r="G32" s="192">
        <v>-40</v>
      </c>
      <c r="H32" s="192">
        <v>-45</v>
      </c>
      <c r="I32" s="192">
        <v>-43</v>
      </c>
      <c r="J32" s="192">
        <v>-52</v>
      </c>
      <c r="K32" s="192">
        <v>-42</v>
      </c>
      <c r="L32" s="192">
        <v>-31</v>
      </c>
      <c r="M32" s="192">
        <v>-33</v>
      </c>
      <c r="N32" s="192">
        <v>-89</v>
      </c>
    </row>
    <row r="33" spans="2:14" x14ac:dyDescent="0.25">
      <c r="B33" s="166" t="s">
        <v>76</v>
      </c>
      <c r="C33" s="192">
        <v>-209</v>
      </c>
      <c r="D33" s="192">
        <v>-243</v>
      </c>
      <c r="E33" s="192">
        <v>-279</v>
      </c>
      <c r="F33" s="192">
        <v>-395</v>
      </c>
      <c r="G33" s="192">
        <v>-352</v>
      </c>
      <c r="H33" s="192">
        <v>-396</v>
      </c>
      <c r="I33" s="192">
        <v>-396</v>
      </c>
      <c r="J33" s="192">
        <v>-1325</v>
      </c>
      <c r="K33" s="192">
        <v>-512</v>
      </c>
      <c r="L33" s="192">
        <v>-592</v>
      </c>
      <c r="M33" s="192">
        <v>-972</v>
      </c>
      <c r="N33" s="192">
        <v>-921</v>
      </c>
    </row>
    <row r="34" spans="2:14" x14ac:dyDescent="0.25">
      <c r="B34" s="166" t="s">
        <v>77</v>
      </c>
      <c r="C34" s="192">
        <v>0</v>
      </c>
      <c r="D34" s="192">
        <v>0</v>
      </c>
      <c r="E34" s="192">
        <v>0</v>
      </c>
      <c r="F34" s="192">
        <v>0</v>
      </c>
      <c r="G34" s="192">
        <v>0</v>
      </c>
      <c r="H34" s="192">
        <v>0</v>
      </c>
      <c r="I34" s="192">
        <v>0</v>
      </c>
      <c r="J34" s="192">
        <v>0</v>
      </c>
      <c r="K34" s="192">
        <v>-25</v>
      </c>
      <c r="L34" s="192">
        <v>-28</v>
      </c>
      <c r="M34" s="192">
        <v>-26</v>
      </c>
      <c r="N34" s="192">
        <v>-25</v>
      </c>
    </row>
    <row r="35" spans="2:14" x14ac:dyDescent="0.25">
      <c r="B35" s="166" t="s">
        <v>78</v>
      </c>
      <c r="C35" s="192">
        <v>-34</v>
      </c>
      <c r="D35" s="192">
        <v>-40</v>
      </c>
      <c r="E35" s="192">
        <v>-47</v>
      </c>
      <c r="F35" s="192">
        <v>-67</v>
      </c>
      <c r="G35" s="192">
        <v>-72</v>
      </c>
      <c r="H35" s="192">
        <v>-81</v>
      </c>
      <c r="I35" s="192">
        <v>-81</v>
      </c>
      <c r="J35" s="192">
        <v>-272</v>
      </c>
      <c r="K35" s="192">
        <v>-105</v>
      </c>
      <c r="L35" s="192">
        <v>0</v>
      </c>
      <c r="M35" s="192">
        <v>0</v>
      </c>
      <c r="N35" s="192">
        <v>-49</v>
      </c>
    </row>
    <row r="36" spans="2:14" x14ac:dyDescent="0.25">
      <c r="B36" s="166" t="s">
        <v>80</v>
      </c>
      <c r="C36" s="192">
        <v>138</v>
      </c>
      <c r="D36" s="192">
        <v>13</v>
      </c>
      <c r="E36" s="192">
        <v>190</v>
      </c>
      <c r="F36" s="192">
        <v>-245</v>
      </c>
      <c r="G36" s="192">
        <v>82</v>
      </c>
      <c r="H36" s="192">
        <v>81</v>
      </c>
      <c r="I36" s="192">
        <v>-27</v>
      </c>
      <c r="J36" s="192">
        <v>-51</v>
      </c>
      <c r="K36" s="192">
        <v>54</v>
      </c>
      <c r="L36" s="192">
        <v>97</v>
      </c>
      <c r="M36" s="192">
        <v>38</v>
      </c>
      <c r="N36" s="192">
        <v>-130</v>
      </c>
    </row>
    <row r="40" spans="2:14" x14ac:dyDescent="0.25">
      <c r="C40" s="213"/>
      <c r="D40" s="213"/>
      <c r="E40" s="213"/>
      <c r="F40" s="213"/>
      <c r="G40" s="213"/>
      <c r="H40" s="213"/>
      <c r="I40" s="213"/>
      <c r="J40" s="213"/>
      <c r="K40" s="213"/>
      <c r="L40" s="213"/>
      <c r="M40" s="213"/>
      <c r="N40" s="213"/>
    </row>
    <row r="41" spans="2:14" x14ac:dyDescent="0.25">
      <c r="E41" s="21"/>
      <c r="F41" s="21"/>
      <c r="G41" s="21"/>
      <c r="H41" s="21"/>
      <c r="I41" s="21"/>
      <c r="J41" s="21"/>
      <c r="K41" s="21"/>
      <c r="L41" s="21"/>
      <c r="M41" s="21"/>
      <c r="N41" s="21"/>
    </row>
    <row r="42" spans="2:14" x14ac:dyDescent="0.25">
      <c r="E42" s="21"/>
      <c r="F42" s="21"/>
      <c r="G42" s="21"/>
      <c r="H42" s="21"/>
      <c r="I42" s="21"/>
      <c r="J42" s="21"/>
      <c r="K42" s="21"/>
      <c r="L42" s="21"/>
      <c r="M42" s="21"/>
      <c r="N42" s="21"/>
    </row>
    <row r="49" spans="3:14" x14ac:dyDescent="0.25">
      <c r="L49" s="21"/>
      <c r="M49" s="21"/>
    </row>
    <row r="52" spans="3:14" x14ac:dyDescent="0.25"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</row>
    <row r="53" spans="3:14" x14ac:dyDescent="0.25"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</row>
    <row r="57" spans="3:14" x14ac:dyDescent="0.25">
      <c r="J57" s="21"/>
      <c r="K57" s="21"/>
      <c r="N57" s="21"/>
    </row>
    <row r="62" spans="3:14" x14ac:dyDescent="0.25">
      <c r="J62" s="2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72A3-2779-4D26-B149-11DFBC4437BC}">
  <sheetPr>
    <tabColor rgb="FF002060"/>
  </sheetPr>
  <dimension ref="D5:S9"/>
  <sheetViews>
    <sheetView showGridLines="0" workbookViewId="0">
      <selection activeCell="F10" sqref="F10"/>
    </sheetView>
  </sheetViews>
  <sheetFormatPr defaultRowHeight="15" x14ac:dyDescent="0.25"/>
  <cols>
    <col min="1" max="1" width="1.85546875" customWidth="1"/>
  </cols>
  <sheetData>
    <row r="5" spans="4:19" x14ac:dyDescent="0.25">
      <c r="D5" s="227" t="str">
        <f>"DATA ROOM CREATED FOR "&amp;'Data Sheet'!B1</f>
        <v>DATA ROOM CREATED FOR DABUR INDIA LTD</v>
      </c>
      <c r="E5" s="227"/>
      <c r="F5" s="227"/>
      <c r="G5" s="227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</row>
    <row r="6" spans="4:19" x14ac:dyDescent="0.25">
      <c r="D6" s="227"/>
      <c r="E6" s="227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</row>
    <row r="7" spans="4:19" x14ac:dyDescent="0.25"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</row>
    <row r="8" spans="4:19" ht="15" customHeight="1" x14ac:dyDescent="0.25">
      <c r="D8" s="165"/>
      <c r="E8" s="165"/>
      <c r="F8" s="228" t="s">
        <v>377</v>
      </c>
      <c r="G8" s="228"/>
      <c r="H8" s="228"/>
      <c r="I8" s="228"/>
      <c r="J8" s="228"/>
      <c r="K8" s="228"/>
      <c r="L8" s="228"/>
      <c r="M8" s="228"/>
      <c r="N8" s="228"/>
      <c r="O8" s="228"/>
      <c r="P8" s="228"/>
      <c r="Q8" s="228"/>
    </row>
    <row r="9" spans="4:19" x14ac:dyDescent="0.25">
      <c r="D9" s="165"/>
      <c r="E9" s="165"/>
      <c r="F9" s="228" t="s">
        <v>378</v>
      </c>
      <c r="G9" s="228"/>
      <c r="H9" s="228"/>
      <c r="I9" s="228"/>
      <c r="J9" s="228"/>
      <c r="K9" s="228"/>
      <c r="L9" s="228"/>
      <c r="M9" s="228"/>
      <c r="N9" s="228"/>
      <c r="O9" s="228"/>
      <c r="P9" s="228"/>
      <c r="Q9" s="228"/>
    </row>
  </sheetData>
  <mergeCells count="3">
    <mergeCell ref="D5:S7"/>
    <mergeCell ref="F8:Q8"/>
    <mergeCell ref="F9:Q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6B6B-5664-44E1-BC16-C902C063B532}">
  <dimension ref="A2:O78"/>
  <sheetViews>
    <sheetView showGridLines="0" workbookViewId="0">
      <pane ySplit="2" topLeftCell="A3" activePane="bottomLeft" state="frozen"/>
      <selection pane="bottomLeft" activeCell="Q6" sqref="Q6"/>
    </sheetView>
  </sheetViews>
  <sheetFormatPr defaultRowHeight="15" x14ac:dyDescent="0.25"/>
  <cols>
    <col min="1" max="1" width="1.85546875" customWidth="1"/>
    <col min="2" max="2" width="24.85546875" bestFit="1" customWidth="1"/>
    <col min="3" max="14" width="10.28515625" customWidth="1"/>
  </cols>
  <sheetData>
    <row r="2" spans="2:14" x14ac:dyDescent="0.25">
      <c r="B2" s="65" t="s">
        <v>254</v>
      </c>
      <c r="C2" s="110">
        <v>40969</v>
      </c>
      <c r="D2" s="110">
        <v>41334</v>
      </c>
      <c r="E2" s="110">
        <v>41699</v>
      </c>
      <c r="F2" s="110">
        <v>42064</v>
      </c>
      <c r="G2" s="110">
        <v>42430</v>
      </c>
      <c r="H2" s="110">
        <v>42795</v>
      </c>
      <c r="I2" s="110">
        <v>43160</v>
      </c>
      <c r="J2" s="110">
        <v>43525</v>
      </c>
      <c r="K2" s="110">
        <v>43891</v>
      </c>
      <c r="L2" s="110">
        <v>44256</v>
      </c>
      <c r="M2" s="110">
        <v>44621</v>
      </c>
      <c r="N2" s="110">
        <v>44986</v>
      </c>
    </row>
    <row r="3" spans="2:14" s="114" customFormat="1" x14ac:dyDescent="0.25">
      <c r="B3" s="112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</row>
    <row r="4" spans="2:14" x14ac:dyDescent="0.25">
      <c r="B4" s="171" t="s">
        <v>256</v>
      </c>
      <c r="C4" s="193">
        <v>174</v>
      </c>
      <c r="D4" s="193">
        <v>174</v>
      </c>
      <c r="E4" s="193">
        <v>174</v>
      </c>
      <c r="F4" s="193">
        <v>176</v>
      </c>
      <c r="G4" s="193">
        <v>176</v>
      </c>
      <c r="H4" s="193">
        <v>176</v>
      </c>
      <c r="I4" s="193">
        <v>176</v>
      </c>
      <c r="J4" s="193">
        <v>177</v>
      </c>
      <c r="K4" s="193">
        <v>177</v>
      </c>
      <c r="L4" s="193">
        <v>177</v>
      </c>
      <c r="M4" s="193">
        <v>177</v>
      </c>
      <c r="N4" s="193">
        <v>177</v>
      </c>
    </row>
    <row r="5" spans="2:14" x14ac:dyDescent="0.25">
      <c r="B5" s="171" t="s">
        <v>33</v>
      </c>
      <c r="C5" s="193">
        <v>1543</v>
      </c>
      <c r="D5" s="193">
        <v>1921</v>
      </c>
      <c r="E5" s="193">
        <v>2482</v>
      </c>
      <c r="F5" s="193">
        <v>3178</v>
      </c>
      <c r="G5" s="193">
        <v>3995</v>
      </c>
      <c r="H5" s="193">
        <v>4671</v>
      </c>
      <c r="I5" s="193">
        <v>5530</v>
      </c>
      <c r="J5" s="193">
        <v>5455</v>
      </c>
      <c r="K5" s="193">
        <v>6429</v>
      </c>
      <c r="L5" s="193">
        <v>7487</v>
      </c>
      <c r="M5" s="193">
        <v>8205</v>
      </c>
      <c r="N5" s="193">
        <v>8796</v>
      </c>
    </row>
    <row r="6" spans="2:14" x14ac:dyDescent="0.25">
      <c r="B6" s="171" t="s">
        <v>257</v>
      </c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</row>
    <row r="7" spans="2:14" x14ac:dyDescent="0.25">
      <c r="B7" s="166" t="s">
        <v>258</v>
      </c>
      <c r="C7" s="193">
        <v>727</v>
      </c>
      <c r="D7" s="193">
        <v>540</v>
      </c>
      <c r="E7" s="193">
        <v>260</v>
      </c>
      <c r="F7" s="193">
        <v>211</v>
      </c>
      <c r="G7" s="193">
        <v>342</v>
      </c>
      <c r="H7" s="193">
        <v>470</v>
      </c>
      <c r="I7" s="193">
        <v>364</v>
      </c>
      <c r="J7" s="193">
        <v>26</v>
      </c>
      <c r="K7" s="193">
        <v>163</v>
      </c>
      <c r="L7" s="193">
        <v>1</v>
      </c>
      <c r="M7" s="193">
        <v>250</v>
      </c>
      <c r="N7" s="193">
        <v>299</v>
      </c>
    </row>
    <row r="8" spans="2:14" x14ac:dyDescent="0.25">
      <c r="B8" s="166" t="s">
        <v>259</v>
      </c>
      <c r="C8" s="193">
        <v>341</v>
      </c>
      <c r="D8" s="193">
        <v>611</v>
      </c>
      <c r="E8" s="193">
        <v>448</v>
      </c>
      <c r="F8" s="193">
        <v>523</v>
      </c>
      <c r="G8" s="193">
        <v>450</v>
      </c>
      <c r="H8" s="193">
        <v>440</v>
      </c>
      <c r="I8" s="193">
        <v>464</v>
      </c>
      <c r="J8" s="193">
        <v>498</v>
      </c>
      <c r="K8" s="193">
        <v>304</v>
      </c>
      <c r="L8" s="193">
        <v>349</v>
      </c>
      <c r="M8" s="193">
        <v>617</v>
      </c>
      <c r="N8" s="193">
        <v>700</v>
      </c>
    </row>
    <row r="9" spans="2:14" x14ac:dyDescent="0.25">
      <c r="B9" s="166" t="s">
        <v>260</v>
      </c>
      <c r="C9" s="193">
        <v>0</v>
      </c>
      <c r="D9" s="193">
        <v>0</v>
      </c>
      <c r="E9" s="193">
        <v>0</v>
      </c>
      <c r="F9" s="193">
        <v>0</v>
      </c>
      <c r="G9" s="193">
        <v>0</v>
      </c>
      <c r="H9" s="193">
        <v>0</v>
      </c>
      <c r="I9" s="193">
        <v>0</v>
      </c>
      <c r="J9" s="193">
        <v>0</v>
      </c>
      <c r="K9" s="193">
        <v>0</v>
      </c>
      <c r="L9" s="193">
        <v>159</v>
      </c>
      <c r="M9" s="193">
        <v>162</v>
      </c>
      <c r="N9" s="193">
        <v>175</v>
      </c>
    </row>
    <row r="10" spans="2:14" x14ac:dyDescent="0.25">
      <c r="B10" s="166" t="s">
        <v>261</v>
      </c>
      <c r="C10" s="193">
        <v>0</v>
      </c>
      <c r="D10" s="193">
        <v>0</v>
      </c>
      <c r="E10" s="193">
        <v>0</v>
      </c>
      <c r="F10" s="193">
        <v>0</v>
      </c>
      <c r="G10" s="193">
        <v>13</v>
      </c>
      <c r="H10" s="193">
        <v>64</v>
      </c>
      <c r="I10" s="193">
        <v>109</v>
      </c>
      <c r="J10" s="193">
        <v>175</v>
      </c>
      <c r="K10" s="193">
        <v>55</v>
      </c>
      <c r="L10" s="193">
        <v>0</v>
      </c>
      <c r="M10" s="193">
        <v>0</v>
      </c>
      <c r="N10" s="193">
        <v>0</v>
      </c>
    </row>
    <row r="11" spans="2:14" x14ac:dyDescent="0.25">
      <c r="B11" s="171" t="s">
        <v>262</v>
      </c>
      <c r="C11" s="193"/>
      <c r="D11" s="193"/>
      <c r="E11" s="193"/>
      <c r="F11" s="193"/>
      <c r="G11" s="193"/>
      <c r="H11" s="193"/>
      <c r="I11" s="193"/>
      <c r="J11" s="193"/>
      <c r="K11" s="193"/>
      <c r="L11" s="193"/>
      <c r="M11" s="193"/>
      <c r="N11" s="193"/>
    </row>
    <row r="12" spans="2:14" x14ac:dyDescent="0.25">
      <c r="B12" s="166" t="s">
        <v>263</v>
      </c>
      <c r="C12" s="193">
        <v>3</v>
      </c>
      <c r="D12" s="193">
        <v>12</v>
      </c>
      <c r="E12" s="193">
        <v>16</v>
      </c>
      <c r="F12" s="193">
        <v>18</v>
      </c>
      <c r="G12" s="193">
        <v>22</v>
      </c>
      <c r="H12" s="193">
        <v>25</v>
      </c>
      <c r="I12" s="193">
        <v>27</v>
      </c>
      <c r="J12" s="193">
        <v>31</v>
      </c>
      <c r="K12" s="193">
        <v>36</v>
      </c>
      <c r="L12" s="193">
        <v>37</v>
      </c>
      <c r="M12" s="193">
        <v>41</v>
      </c>
      <c r="N12" s="193">
        <v>468</v>
      </c>
    </row>
    <row r="13" spans="2:14" x14ac:dyDescent="0.25">
      <c r="B13" s="166" t="s">
        <v>264</v>
      </c>
      <c r="C13" s="193">
        <v>477</v>
      </c>
      <c r="D13" s="193">
        <v>717</v>
      </c>
      <c r="E13" s="193">
        <v>1097</v>
      </c>
      <c r="F13" s="193">
        <v>1096</v>
      </c>
      <c r="G13" s="193">
        <v>1330</v>
      </c>
      <c r="H13" s="193">
        <v>1310</v>
      </c>
      <c r="I13" s="193">
        <v>1410</v>
      </c>
      <c r="J13" s="193">
        <v>1455</v>
      </c>
      <c r="K13" s="193">
        <v>1482</v>
      </c>
      <c r="L13" s="193">
        <v>1915</v>
      </c>
      <c r="M13" s="193">
        <v>2018</v>
      </c>
      <c r="N13" s="193">
        <v>2187</v>
      </c>
    </row>
    <row r="14" spans="2:14" x14ac:dyDescent="0.25">
      <c r="B14" s="166" t="s">
        <v>265</v>
      </c>
      <c r="C14" s="193">
        <v>13</v>
      </c>
      <c r="D14" s="193">
        <v>13</v>
      </c>
      <c r="E14" s="193">
        <v>11</v>
      </c>
      <c r="F14" s="193">
        <v>42</v>
      </c>
      <c r="G14" s="193">
        <v>35</v>
      </c>
      <c r="H14" s="193">
        <v>18</v>
      </c>
      <c r="I14" s="193">
        <v>25</v>
      </c>
      <c r="J14" s="193">
        <v>28</v>
      </c>
      <c r="K14" s="193">
        <v>30</v>
      </c>
      <c r="L14" s="193">
        <v>43</v>
      </c>
      <c r="M14" s="193">
        <v>37</v>
      </c>
      <c r="N14" s="193">
        <v>9</v>
      </c>
    </row>
    <row r="15" spans="2:14" x14ac:dyDescent="0.25">
      <c r="B15" s="166" t="s">
        <v>266</v>
      </c>
      <c r="C15" s="197">
        <v>922</v>
      </c>
      <c r="D15" s="197">
        <v>720</v>
      </c>
      <c r="E15" s="197">
        <v>824</v>
      </c>
      <c r="F15" s="197">
        <v>863</v>
      </c>
      <c r="G15" s="197">
        <v>569</v>
      </c>
      <c r="H15" s="197">
        <v>557</v>
      </c>
      <c r="I15" s="197">
        <v>596</v>
      </c>
      <c r="J15" s="197">
        <v>591</v>
      </c>
      <c r="K15" s="197">
        <v>660</v>
      </c>
      <c r="L15" s="197">
        <v>666</v>
      </c>
      <c r="M15" s="197">
        <v>777</v>
      </c>
      <c r="N15" s="197">
        <v>842</v>
      </c>
    </row>
    <row r="16" spans="2:14" x14ac:dyDescent="0.25">
      <c r="B16" s="175" t="s">
        <v>36</v>
      </c>
      <c r="C16" s="198">
        <v>4200</v>
      </c>
      <c r="D16" s="198">
        <v>4709</v>
      </c>
      <c r="E16" s="198">
        <v>5312</v>
      </c>
      <c r="F16" s="198">
        <v>6106</v>
      </c>
      <c r="G16" s="198">
        <v>6932</v>
      </c>
      <c r="H16" s="198">
        <v>7732</v>
      </c>
      <c r="I16" s="198">
        <v>8702</v>
      </c>
      <c r="J16" s="198">
        <v>8437</v>
      </c>
      <c r="K16" s="198">
        <v>9337</v>
      </c>
      <c r="L16" s="198">
        <v>10833</v>
      </c>
      <c r="M16" s="198">
        <v>12284</v>
      </c>
      <c r="N16" s="198">
        <v>13652</v>
      </c>
    </row>
    <row r="17" spans="2:14" x14ac:dyDescent="0.25">
      <c r="B17" s="166"/>
      <c r="C17" s="192"/>
      <c r="D17" s="192"/>
      <c r="E17" s="192"/>
      <c r="F17" s="192"/>
      <c r="G17" s="192"/>
      <c r="H17" s="192"/>
      <c r="I17" s="192"/>
      <c r="J17" s="192"/>
      <c r="K17" s="192"/>
      <c r="L17" s="192"/>
      <c r="M17" s="192"/>
      <c r="N17" s="192"/>
    </row>
    <row r="18" spans="2:14" s="111" customFormat="1" x14ac:dyDescent="0.25">
      <c r="B18" s="171" t="s">
        <v>267</v>
      </c>
      <c r="C18" s="192"/>
      <c r="D18" s="192"/>
      <c r="E18" s="192"/>
      <c r="F18" s="192"/>
      <c r="G18" s="192"/>
      <c r="H18" s="192"/>
      <c r="I18" s="192"/>
      <c r="J18" s="192"/>
      <c r="K18" s="192"/>
      <c r="L18" s="192"/>
      <c r="M18" s="192"/>
      <c r="N18" s="192"/>
    </row>
    <row r="19" spans="2:14" x14ac:dyDescent="0.25">
      <c r="B19" s="166" t="s">
        <v>268</v>
      </c>
      <c r="C19" s="193">
        <v>74</v>
      </c>
      <c r="D19" s="193">
        <v>76</v>
      </c>
      <c r="E19" s="193">
        <v>85</v>
      </c>
      <c r="F19" s="193">
        <v>92</v>
      </c>
      <c r="G19" s="193">
        <v>80</v>
      </c>
      <c r="H19" s="193">
        <v>98</v>
      </c>
      <c r="I19" s="193">
        <v>108</v>
      </c>
      <c r="J19" s="193">
        <v>108</v>
      </c>
      <c r="K19" s="193">
        <v>103</v>
      </c>
      <c r="L19" s="193">
        <v>93</v>
      </c>
      <c r="M19" s="193">
        <v>123</v>
      </c>
      <c r="N19" s="193">
        <v>141</v>
      </c>
    </row>
    <row r="20" spans="2:14" x14ac:dyDescent="0.25">
      <c r="B20" s="166" t="s">
        <v>269</v>
      </c>
      <c r="C20" s="193">
        <v>473</v>
      </c>
      <c r="D20" s="193">
        <v>513</v>
      </c>
      <c r="E20" s="193">
        <v>605</v>
      </c>
      <c r="F20" s="193">
        <v>622</v>
      </c>
      <c r="G20" s="193">
        <v>629</v>
      </c>
      <c r="H20" s="193">
        <v>714</v>
      </c>
      <c r="I20" s="193">
        <v>763</v>
      </c>
      <c r="J20" s="193">
        <v>788</v>
      </c>
      <c r="K20" s="193">
        <v>1054</v>
      </c>
      <c r="L20" s="193">
        <v>1057</v>
      </c>
      <c r="M20" s="193">
        <v>1144</v>
      </c>
      <c r="N20" s="193">
        <v>1279</v>
      </c>
    </row>
    <row r="21" spans="2:14" x14ac:dyDescent="0.25">
      <c r="B21" s="166" t="s">
        <v>270</v>
      </c>
      <c r="C21" s="193">
        <v>653</v>
      </c>
      <c r="D21" s="193">
        <v>748</v>
      </c>
      <c r="E21" s="193">
        <v>900</v>
      </c>
      <c r="F21" s="193">
        <v>985</v>
      </c>
      <c r="G21" s="193">
        <v>1122</v>
      </c>
      <c r="H21" s="193">
        <v>1303</v>
      </c>
      <c r="I21" s="193">
        <v>1431</v>
      </c>
      <c r="J21" s="193">
        <v>1527</v>
      </c>
      <c r="K21" s="193">
        <v>1719</v>
      </c>
      <c r="L21" s="193">
        <v>1862</v>
      </c>
      <c r="M21" s="193">
        <v>2074</v>
      </c>
      <c r="N21" s="193">
        <v>2408</v>
      </c>
    </row>
    <row r="22" spans="2:14" x14ac:dyDescent="0.25">
      <c r="B22" s="166" t="s">
        <v>271</v>
      </c>
      <c r="C22" s="193">
        <v>44</v>
      </c>
      <c r="D22" s="193">
        <v>46</v>
      </c>
      <c r="E22" s="193">
        <v>48</v>
      </c>
      <c r="F22" s="193">
        <v>53</v>
      </c>
      <c r="G22" s="193">
        <v>58</v>
      </c>
      <c r="H22" s="193">
        <v>62</v>
      </c>
      <c r="I22" s="193">
        <v>59</v>
      </c>
      <c r="J22" s="193">
        <v>68</v>
      </c>
      <c r="K22" s="193">
        <v>69</v>
      </c>
      <c r="L22" s="193">
        <v>73</v>
      </c>
      <c r="M22" s="193">
        <v>78</v>
      </c>
      <c r="N22" s="193">
        <v>88</v>
      </c>
    </row>
    <row r="23" spans="2:14" x14ac:dyDescent="0.25">
      <c r="B23" s="166" t="s">
        <v>272</v>
      </c>
      <c r="C23" s="193">
        <v>0</v>
      </c>
      <c r="D23" s="193">
        <v>0</v>
      </c>
      <c r="E23" s="193">
        <v>0</v>
      </c>
      <c r="F23" s="193">
        <v>0</v>
      </c>
      <c r="G23" s="193">
        <v>0</v>
      </c>
      <c r="H23" s="193">
        <v>0</v>
      </c>
      <c r="I23" s="193">
        <v>0</v>
      </c>
      <c r="J23" s="193">
        <v>0</v>
      </c>
      <c r="K23" s="193">
        <v>0</v>
      </c>
      <c r="L23" s="193">
        <v>0</v>
      </c>
      <c r="M23" s="193">
        <v>0</v>
      </c>
      <c r="N23" s="193">
        <v>0</v>
      </c>
    </row>
    <row r="24" spans="2:14" x14ac:dyDescent="0.25">
      <c r="B24" s="166" t="s">
        <v>273</v>
      </c>
      <c r="C24" s="193">
        <v>55</v>
      </c>
      <c r="D24" s="193">
        <v>60</v>
      </c>
      <c r="E24" s="193">
        <v>79</v>
      </c>
      <c r="F24" s="193">
        <v>81</v>
      </c>
      <c r="G24" s="193">
        <v>89</v>
      </c>
      <c r="H24" s="193">
        <v>94</v>
      </c>
      <c r="I24" s="193">
        <v>104</v>
      </c>
      <c r="J24" s="193">
        <v>113</v>
      </c>
      <c r="K24" s="193">
        <v>126</v>
      </c>
      <c r="L24" s="193">
        <v>129</v>
      </c>
      <c r="M24" s="193">
        <v>134</v>
      </c>
      <c r="N24" s="193">
        <v>148</v>
      </c>
    </row>
    <row r="25" spans="2:14" x14ac:dyDescent="0.25">
      <c r="B25" s="166" t="s">
        <v>274</v>
      </c>
      <c r="C25" s="193">
        <v>23</v>
      </c>
      <c r="D25" s="193">
        <v>24</v>
      </c>
      <c r="E25" s="193">
        <v>27</v>
      </c>
      <c r="F25" s="193">
        <v>31</v>
      </c>
      <c r="G25" s="193">
        <v>35</v>
      </c>
      <c r="H25" s="193">
        <v>35</v>
      </c>
      <c r="I25" s="193">
        <v>42</v>
      </c>
      <c r="J25" s="193">
        <v>44</v>
      </c>
      <c r="K25" s="193">
        <v>45</v>
      </c>
      <c r="L25" s="193">
        <v>45</v>
      </c>
      <c r="M25" s="193">
        <v>47</v>
      </c>
      <c r="N25" s="193">
        <v>43</v>
      </c>
    </row>
    <row r="26" spans="2:14" x14ac:dyDescent="0.25">
      <c r="B26" s="166" t="s">
        <v>275</v>
      </c>
      <c r="C26" s="193">
        <v>802</v>
      </c>
      <c r="D26" s="193">
        <v>637</v>
      </c>
      <c r="E26" s="193">
        <v>636</v>
      </c>
      <c r="F26" s="193">
        <v>634</v>
      </c>
      <c r="G26" s="193">
        <v>425</v>
      </c>
      <c r="H26" s="193">
        <v>425</v>
      </c>
      <c r="I26" s="193">
        <v>426</v>
      </c>
      <c r="J26" s="193">
        <v>367</v>
      </c>
      <c r="K26" s="193">
        <v>374</v>
      </c>
      <c r="L26" s="193">
        <v>375</v>
      </c>
      <c r="M26" s="193">
        <v>291</v>
      </c>
      <c r="N26" s="193">
        <v>1322</v>
      </c>
    </row>
    <row r="27" spans="2:14" x14ac:dyDescent="0.25">
      <c r="B27" s="166" t="s">
        <v>276</v>
      </c>
      <c r="C27" s="194">
        <v>21</v>
      </c>
      <c r="D27" s="194">
        <v>29</v>
      </c>
      <c r="E27" s="194">
        <v>31</v>
      </c>
      <c r="F27" s="194">
        <v>43</v>
      </c>
      <c r="G27" s="194">
        <v>46</v>
      </c>
      <c r="H27" s="194">
        <v>112</v>
      </c>
      <c r="I27" s="194">
        <v>113</v>
      </c>
      <c r="J27" s="194">
        <v>125</v>
      </c>
      <c r="K27" s="194">
        <v>139</v>
      </c>
      <c r="L27" s="194">
        <v>146</v>
      </c>
      <c r="M27" s="194">
        <v>149</v>
      </c>
      <c r="N27" s="194">
        <v>154</v>
      </c>
    </row>
    <row r="28" spans="2:14" x14ac:dyDescent="0.25">
      <c r="B28" s="171" t="s">
        <v>277</v>
      </c>
      <c r="C28" s="199">
        <v>2145</v>
      </c>
      <c r="D28" s="199">
        <v>2133</v>
      </c>
      <c r="E28" s="199">
        <v>2413</v>
      </c>
      <c r="F28" s="199">
        <v>2541</v>
      </c>
      <c r="G28" s="199">
        <v>2484</v>
      </c>
      <c r="H28" s="199">
        <v>2843</v>
      </c>
      <c r="I28" s="199">
        <v>3046</v>
      </c>
      <c r="J28" s="199">
        <v>3139</v>
      </c>
      <c r="K28" s="199">
        <v>3629</v>
      </c>
      <c r="L28" s="199">
        <v>3779</v>
      </c>
      <c r="M28" s="199">
        <v>4041</v>
      </c>
      <c r="N28" s="199">
        <v>5583</v>
      </c>
    </row>
    <row r="29" spans="2:14" x14ac:dyDescent="0.25">
      <c r="B29" s="171" t="s">
        <v>278</v>
      </c>
      <c r="C29" s="194">
        <v>503</v>
      </c>
      <c r="D29" s="194">
        <v>551</v>
      </c>
      <c r="E29" s="194">
        <v>646</v>
      </c>
      <c r="F29" s="194">
        <v>664</v>
      </c>
      <c r="G29" s="194">
        <v>816</v>
      </c>
      <c r="H29" s="194">
        <v>884</v>
      </c>
      <c r="I29" s="194">
        <v>1018</v>
      </c>
      <c r="J29" s="194">
        <v>1170</v>
      </c>
      <c r="K29" s="194">
        <v>1377</v>
      </c>
      <c r="L29" s="194">
        <v>1536</v>
      </c>
      <c r="M29" s="194">
        <v>1733</v>
      </c>
      <c r="N29" s="194">
        <v>2004</v>
      </c>
    </row>
    <row r="30" spans="2:14" x14ac:dyDescent="0.25">
      <c r="B30" s="82" t="s">
        <v>189</v>
      </c>
      <c r="C30" s="119">
        <f>C28-C29</f>
        <v>1642</v>
      </c>
      <c r="D30" s="119">
        <f t="shared" ref="D30:N30" si="0">D28-D29</f>
        <v>1582</v>
      </c>
      <c r="E30" s="119">
        <f t="shared" si="0"/>
        <v>1767</v>
      </c>
      <c r="F30" s="119">
        <f t="shared" si="0"/>
        <v>1877</v>
      </c>
      <c r="G30" s="119">
        <f t="shared" si="0"/>
        <v>1668</v>
      </c>
      <c r="H30" s="119">
        <f t="shared" si="0"/>
        <v>1959</v>
      </c>
      <c r="I30" s="119">
        <f t="shared" si="0"/>
        <v>2028</v>
      </c>
      <c r="J30" s="119">
        <f t="shared" si="0"/>
        <v>1969</v>
      </c>
      <c r="K30" s="119">
        <f t="shared" si="0"/>
        <v>2252</v>
      </c>
      <c r="L30" s="119">
        <f t="shared" si="0"/>
        <v>2243</v>
      </c>
      <c r="M30" s="119">
        <f t="shared" si="0"/>
        <v>2308</v>
      </c>
      <c r="N30" s="119">
        <f t="shared" si="0"/>
        <v>3579</v>
      </c>
    </row>
    <row r="31" spans="2:14" x14ac:dyDescent="0.25">
      <c r="B31" s="11"/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</row>
    <row r="32" spans="2:14" x14ac:dyDescent="0.25">
      <c r="B32" s="171" t="s">
        <v>279</v>
      </c>
      <c r="C32" s="193">
        <v>27</v>
      </c>
      <c r="D32" s="193">
        <v>93</v>
      </c>
      <c r="E32" s="193">
        <v>22</v>
      </c>
      <c r="F32" s="193">
        <v>50</v>
      </c>
      <c r="G32" s="193">
        <v>45</v>
      </c>
      <c r="H32" s="193">
        <v>42</v>
      </c>
      <c r="I32" s="193">
        <v>42</v>
      </c>
      <c r="J32" s="193">
        <v>64</v>
      </c>
      <c r="K32" s="193">
        <v>147</v>
      </c>
      <c r="L32" s="193">
        <v>147</v>
      </c>
      <c r="M32" s="193">
        <v>168</v>
      </c>
      <c r="N32" s="193">
        <v>175</v>
      </c>
    </row>
    <row r="33" spans="1:15" x14ac:dyDescent="0.25">
      <c r="B33" s="171" t="s">
        <v>39</v>
      </c>
      <c r="C33" s="193">
        <v>483</v>
      </c>
      <c r="D33" s="193">
        <v>929</v>
      </c>
      <c r="E33" s="193">
        <v>1076</v>
      </c>
      <c r="F33" s="193">
        <v>1813</v>
      </c>
      <c r="G33" s="193">
        <v>2691</v>
      </c>
      <c r="H33" s="193">
        <v>3240</v>
      </c>
      <c r="I33" s="193">
        <v>3805</v>
      </c>
      <c r="J33" s="193">
        <v>3359</v>
      </c>
      <c r="K33" s="193">
        <v>2800</v>
      </c>
      <c r="L33" s="193">
        <v>4160</v>
      </c>
      <c r="M33" s="193">
        <v>6220</v>
      </c>
      <c r="N33" s="193">
        <v>6265</v>
      </c>
    </row>
    <row r="34" spans="1:15" x14ac:dyDescent="0.25">
      <c r="B34" s="171"/>
      <c r="C34" s="194"/>
      <c r="D34" s="194"/>
      <c r="E34" s="194"/>
      <c r="F34" s="194"/>
      <c r="G34" s="194"/>
      <c r="H34" s="194"/>
      <c r="I34" s="194"/>
      <c r="J34" s="194"/>
      <c r="K34" s="194"/>
      <c r="L34" s="194"/>
      <c r="M34" s="194"/>
      <c r="N34" s="194"/>
    </row>
    <row r="35" spans="1:15" s="100" customFormat="1" x14ac:dyDescent="0.25">
      <c r="A35"/>
      <c r="B35" s="171" t="s">
        <v>280</v>
      </c>
      <c r="C35" s="195"/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</row>
    <row r="36" spans="1:15" x14ac:dyDescent="0.25">
      <c r="B36" s="166" t="s">
        <v>281</v>
      </c>
      <c r="C36" s="193">
        <v>824</v>
      </c>
      <c r="D36" s="193">
        <v>844</v>
      </c>
      <c r="E36" s="193">
        <v>973</v>
      </c>
      <c r="F36" s="193">
        <v>973</v>
      </c>
      <c r="G36" s="193">
        <v>1096</v>
      </c>
      <c r="H36" s="193">
        <v>1107</v>
      </c>
      <c r="I36" s="193">
        <v>1256</v>
      </c>
      <c r="J36" s="193">
        <v>1301</v>
      </c>
      <c r="K36" s="193">
        <v>1380</v>
      </c>
      <c r="L36" s="193">
        <v>1734</v>
      </c>
      <c r="M36" s="193">
        <v>1911</v>
      </c>
      <c r="N36" s="193">
        <v>2024</v>
      </c>
    </row>
    <row r="37" spans="1:15" x14ac:dyDescent="0.25">
      <c r="B37" s="166" t="s">
        <v>282</v>
      </c>
      <c r="C37" s="193">
        <v>462</v>
      </c>
      <c r="D37" s="193">
        <v>484</v>
      </c>
      <c r="E37" s="193">
        <v>675</v>
      </c>
      <c r="F37" s="193">
        <v>711</v>
      </c>
      <c r="G37" s="193">
        <v>809</v>
      </c>
      <c r="H37" s="193">
        <v>650</v>
      </c>
      <c r="I37" s="193">
        <v>706</v>
      </c>
      <c r="J37" s="193">
        <v>834</v>
      </c>
      <c r="K37" s="193">
        <v>814</v>
      </c>
      <c r="L37" s="193">
        <v>562</v>
      </c>
      <c r="M37" s="193">
        <v>646</v>
      </c>
      <c r="N37" s="193">
        <v>849</v>
      </c>
    </row>
    <row r="38" spans="1:15" x14ac:dyDescent="0.25">
      <c r="B38" s="166" t="s">
        <v>283</v>
      </c>
      <c r="C38" s="193">
        <v>418</v>
      </c>
      <c r="D38" s="193">
        <v>362</v>
      </c>
      <c r="E38" s="193">
        <v>519</v>
      </c>
      <c r="F38" s="193">
        <v>276</v>
      </c>
      <c r="G38" s="193">
        <v>220</v>
      </c>
      <c r="H38" s="193">
        <v>305</v>
      </c>
      <c r="I38" s="193">
        <v>306</v>
      </c>
      <c r="J38" s="193">
        <v>328</v>
      </c>
      <c r="K38" s="193">
        <v>811</v>
      </c>
      <c r="L38" s="193">
        <v>1329</v>
      </c>
      <c r="M38" s="193">
        <v>570</v>
      </c>
      <c r="N38" s="193">
        <v>326</v>
      </c>
    </row>
    <row r="39" spans="1:15" x14ac:dyDescent="0.25">
      <c r="B39" s="166" t="s">
        <v>284</v>
      </c>
      <c r="C39" s="193">
        <v>5</v>
      </c>
      <c r="D39" s="193">
        <v>7</v>
      </c>
      <c r="E39" s="193">
        <v>47</v>
      </c>
      <c r="F39" s="193">
        <v>63</v>
      </c>
      <c r="G39" s="193">
        <v>19</v>
      </c>
      <c r="H39" s="193">
        <v>14</v>
      </c>
      <c r="I39" s="193">
        <v>17</v>
      </c>
      <c r="J39" s="193">
        <v>22</v>
      </c>
      <c r="K39" s="193">
        <v>23</v>
      </c>
      <c r="L39" s="193">
        <v>20</v>
      </c>
      <c r="M39" s="193">
        <v>24</v>
      </c>
      <c r="N39" s="193">
        <v>33</v>
      </c>
    </row>
    <row r="40" spans="1:15" x14ac:dyDescent="0.25">
      <c r="B40" s="166" t="s">
        <v>285</v>
      </c>
      <c r="C40" s="193">
        <v>341</v>
      </c>
      <c r="D40" s="193">
        <v>408</v>
      </c>
      <c r="E40" s="193">
        <v>233</v>
      </c>
      <c r="F40" s="193">
        <v>343</v>
      </c>
      <c r="G40" s="193">
        <v>385</v>
      </c>
      <c r="H40" s="193">
        <v>416</v>
      </c>
      <c r="I40" s="193">
        <v>542</v>
      </c>
      <c r="J40" s="193">
        <v>561</v>
      </c>
      <c r="K40" s="193">
        <v>1109</v>
      </c>
      <c r="L40" s="193">
        <v>639</v>
      </c>
      <c r="M40" s="193">
        <v>437</v>
      </c>
      <c r="N40" s="193">
        <v>401</v>
      </c>
    </row>
    <row r="41" spans="1:15" x14ac:dyDescent="0.25">
      <c r="B41" s="175" t="s">
        <v>46</v>
      </c>
      <c r="C41" s="196">
        <v>4200</v>
      </c>
      <c r="D41" s="196">
        <v>4709</v>
      </c>
      <c r="E41" s="196">
        <v>5312</v>
      </c>
      <c r="F41" s="196">
        <v>6106</v>
      </c>
      <c r="G41" s="196">
        <v>6932</v>
      </c>
      <c r="H41" s="196">
        <v>7732</v>
      </c>
      <c r="I41" s="196">
        <v>8702</v>
      </c>
      <c r="J41" s="196">
        <v>8437</v>
      </c>
      <c r="K41" s="196">
        <v>9337</v>
      </c>
      <c r="L41" s="196">
        <v>10833</v>
      </c>
      <c r="M41" s="196">
        <v>12284</v>
      </c>
      <c r="N41" s="196">
        <v>13652</v>
      </c>
    </row>
    <row r="45" spans="1:15" x14ac:dyDescent="0.25">
      <c r="C45" s="213"/>
      <c r="D45" s="213"/>
      <c r="E45" s="213"/>
      <c r="F45" s="213"/>
      <c r="G45" s="213"/>
      <c r="H45" s="213"/>
      <c r="I45" s="213"/>
      <c r="J45" s="213"/>
      <c r="K45" s="213"/>
      <c r="L45" s="213"/>
      <c r="M45" s="213"/>
      <c r="N45" s="213"/>
      <c r="O45" s="213"/>
    </row>
    <row r="47" spans="1:15" x14ac:dyDescent="0.25"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5" x14ac:dyDescent="0.25">
      <c r="C48" s="21"/>
      <c r="D48" s="21"/>
      <c r="M48" s="21"/>
      <c r="N48" s="21"/>
      <c r="O48" s="21"/>
    </row>
    <row r="53" spans="3:15" x14ac:dyDescent="0.25"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</row>
    <row r="55" spans="3:15" x14ac:dyDescent="0.25"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</row>
    <row r="58" spans="3:15" x14ac:dyDescent="0.25"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</row>
    <row r="59" spans="3:15" x14ac:dyDescent="0.25"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</row>
    <row r="61" spans="3:15" x14ac:dyDescent="0.25">
      <c r="K61" s="21"/>
      <c r="L61" s="21"/>
      <c r="M61" s="21"/>
      <c r="N61" s="21"/>
    </row>
    <row r="62" spans="3:15" x14ac:dyDescent="0.25">
      <c r="G62" s="21"/>
      <c r="H62" s="21"/>
      <c r="I62" s="21"/>
      <c r="J62" s="21"/>
      <c r="K62" s="21"/>
      <c r="L62" s="21"/>
      <c r="M62" s="21"/>
      <c r="N62" s="21"/>
    </row>
    <row r="66" spans="3:15" x14ac:dyDescent="0.25">
      <c r="N66" s="21"/>
      <c r="O66" s="21"/>
    </row>
    <row r="68" spans="3:15" x14ac:dyDescent="0.25"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</row>
    <row r="69" spans="3:15" x14ac:dyDescent="0.25">
      <c r="I69" s="21"/>
      <c r="J69" s="21"/>
      <c r="K69" s="21"/>
      <c r="L69" s="21"/>
      <c r="M69" s="21"/>
      <c r="N69" s="21"/>
    </row>
    <row r="71" spans="3:15" x14ac:dyDescent="0.25"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</row>
    <row r="72" spans="3:15" x14ac:dyDescent="0.25"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</row>
    <row r="73" spans="3:15" x14ac:dyDescent="0.25">
      <c r="G73" s="21"/>
      <c r="H73" s="21"/>
      <c r="I73" s="21"/>
      <c r="J73" s="21"/>
      <c r="K73" s="21"/>
      <c r="L73" s="21"/>
      <c r="M73" s="21"/>
      <c r="N73" s="21"/>
      <c r="O73" s="21"/>
    </row>
    <row r="74" spans="3:15" x14ac:dyDescent="0.25">
      <c r="O74" s="21"/>
    </row>
    <row r="75" spans="3:15" x14ac:dyDescent="0.25">
      <c r="L75" s="21"/>
    </row>
    <row r="77" spans="3:15" x14ac:dyDescent="0.25">
      <c r="K77" s="21"/>
    </row>
    <row r="78" spans="3:15" x14ac:dyDescent="0.25"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4DED2-DEC3-4CB8-A8AB-C3C7B5A2DCE1}">
  <dimension ref="A2:AF68"/>
  <sheetViews>
    <sheetView showGridLines="0" workbookViewId="0">
      <selection activeCell="N6" sqref="N6"/>
    </sheetView>
  </sheetViews>
  <sheetFormatPr defaultRowHeight="15" x14ac:dyDescent="0.25"/>
  <cols>
    <col min="1" max="1" width="1.85546875" customWidth="1"/>
    <col min="2" max="2" width="16" bestFit="1" customWidth="1"/>
    <col min="3" max="3" width="2.7109375" customWidth="1"/>
    <col min="4" max="4" width="12" bestFit="1" customWidth="1"/>
    <col min="6" max="6" width="2.7109375" customWidth="1"/>
    <col min="7" max="7" width="12.28515625" bestFit="1" customWidth="1"/>
    <col min="9" max="9" width="2.7109375" customWidth="1"/>
    <col min="10" max="10" width="16.85546875" bestFit="1" customWidth="1"/>
    <col min="14" max="14" width="18" bestFit="1" customWidth="1"/>
  </cols>
  <sheetData>
    <row r="2" spans="1:25" x14ac:dyDescent="0.25">
      <c r="B2" s="229" t="s">
        <v>204</v>
      </c>
      <c r="C2" s="229"/>
      <c r="D2" s="229"/>
      <c r="E2" s="229"/>
      <c r="F2" s="229"/>
      <c r="G2" s="229"/>
      <c r="H2" s="229"/>
      <c r="I2" s="229"/>
      <c r="J2" s="229"/>
      <c r="K2" s="229"/>
    </row>
    <row r="3" spans="1:25" x14ac:dyDescent="0.25">
      <c r="B3" s="67"/>
      <c r="C3" s="67"/>
      <c r="D3" s="67"/>
      <c r="E3" s="67"/>
      <c r="F3" s="67"/>
      <c r="G3" s="67"/>
      <c r="H3" s="67"/>
      <c r="I3" s="67"/>
      <c r="J3" s="67"/>
      <c r="K3" s="67"/>
    </row>
    <row r="4" spans="1:25" x14ac:dyDescent="0.25">
      <c r="B4" s="234" t="s">
        <v>205</v>
      </c>
      <c r="C4" s="234"/>
      <c r="D4" s="234"/>
      <c r="E4" s="234"/>
      <c r="F4" s="67"/>
      <c r="G4" s="67"/>
      <c r="H4" s="67"/>
      <c r="I4" s="67"/>
      <c r="J4" s="67"/>
      <c r="K4" s="67"/>
    </row>
    <row r="6" spans="1:25" x14ac:dyDescent="0.25">
      <c r="B6" s="65" t="s">
        <v>206</v>
      </c>
      <c r="C6" s="68"/>
      <c r="D6" s="229" t="s">
        <v>207</v>
      </c>
      <c r="E6" s="229"/>
      <c r="F6" s="67"/>
      <c r="G6" s="233" t="str">
        <f>'Data Sheet'!B1</f>
        <v>DABUR INDIA LTD</v>
      </c>
      <c r="H6" s="229"/>
      <c r="J6" s="229" t="s">
        <v>208</v>
      </c>
      <c r="K6" s="229"/>
    </row>
    <row r="8" spans="1:25" x14ac:dyDescent="0.25">
      <c r="B8" s="148" t="s">
        <v>209</v>
      </c>
      <c r="C8" s="11"/>
      <c r="D8" s="148" t="s">
        <v>210</v>
      </c>
      <c r="E8" s="201" t="s">
        <v>211</v>
      </c>
      <c r="F8" s="71"/>
      <c r="G8" s="201" t="s">
        <v>210</v>
      </c>
      <c r="H8" s="201" t="s">
        <v>211</v>
      </c>
      <c r="J8" s="203" t="s">
        <v>212</v>
      </c>
      <c r="K8" s="72">
        <f>O27</f>
        <v>0.37722178692976738</v>
      </c>
      <c r="N8" s="214"/>
      <c r="O8" s="214"/>
      <c r="P8" s="214"/>
      <c r="Q8" s="214"/>
      <c r="R8" s="214"/>
      <c r="S8" s="214"/>
      <c r="T8" s="214"/>
      <c r="U8" s="214"/>
      <c r="V8" s="214"/>
    </row>
    <row r="9" spans="1:25" x14ac:dyDescent="0.25">
      <c r="B9" s="202">
        <v>43525</v>
      </c>
      <c r="C9" s="66"/>
      <c r="D9" s="200">
        <v>11623.900390999999</v>
      </c>
      <c r="G9" s="200">
        <v>390.86978099999999</v>
      </c>
      <c r="J9" s="166" t="s">
        <v>214</v>
      </c>
      <c r="K9" s="181">
        <v>0.75</v>
      </c>
      <c r="N9" s="214"/>
      <c r="O9" s="214"/>
      <c r="P9" s="214"/>
      <c r="Q9" s="214"/>
      <c r="R9" s="214"/>
      <c r="S9" s="214"/>
      <c r="T9" s="214"/>
      <c r="U9" s="214"/>
      <c r="V9" s="214"/>
    </row>
    <row r="10" spans="1:25" s="100" customFormat="1" x14ac:dyDescent="0.25">
      <c r="A10"/>
      <c r="B10" s="202">
        <v>43556</v>
      </c>
      <c r="C10" s="66"/>
      <c r="D10" s="200">
        <v>11748.150390999999</v>
      </c>
      <c r="E10" s="64">
        <f>D10/D9-1</f>
        <v>1.0689183133073099E-2</v>
      </c>
      <c r="F10" s="64"/>
      <c r="G10" s="200">
        <v>380.63906900000001</v>
      </c>
      <c r="H10" s="64">
        <f>G10/G9-1</f>
        <v>-2.6174220922952296E-2</v>
      </c>
      <c r="I10"/>
      <c r="J10" s="166"/>
      <c r="K10"/>
      <c r="L10"/>
      <c r="M10"/>
      <c r="N10" t="s">
        <v>213</v>
      </c>
      <c r="O10"/>
      <c r="P10"/>
      <c r="Q10"/>
      <c r="R10"/>
      <c r="S10"/>
      <c r="T10"/>
      <c r="U10"/>
      <c r="V10"/>
      <c r="W10"/>
    </row>
    <row r="11" spans="1:25" s="100" customFormat="1" ht="15.75" thickBot="1" x14ac:dyDescent="0.3">
      <c r="A11"/>
      <c r="B11" s="202">
        <v>43586</v>
      </c>
      <c r="C11" s="66"/>
      <c r="D11" s="200">
        <v>11922.799805000001</v>
      </c>
      <c r="E11" s="64">
        <f t="shared" ref="E11:E68" si="0">D11/D10-1</f>
        <v>1.4866120043355524E-2</v>
      </c>
      <c r="F11" s="64"/>
      <c r="G11" s="200">
        <v>378.58337399999999</v>
      </c>
      <c r="H11" s="64">
        <f t="shared" ref="H11:H68" si="1">G11/G10-1</f>
        <v>-5.4006410991931375E-3</v>
      </c>
      <c r="I11"/>
      <c r="J11" s="166" t="s">
        <v>216</v>
      </c>
      <c r="K11" s="166">
        <v>1</v>
      </c>
      <c r="L11"/>
      <c r="M11"/>
      <c r="N11"/>
      <c r="O11"/>
      <c r="P11"/>
      <c r="Q11"/>
      <c r="R11"/>
      <c r="S11"/>
      <c r="T11"/>
      <c r="U11"/>
      <c r="V11"/>
      <c r="W11"/>
    </row>
    <row r="12" spans="1:25" s="100" customFormat="1" x14ac:dyDescent="0.25">
      <c r="A12"/>
      <c r="B12" s="202">
        <v>43617</v>
      </c>
      <c r="C12" s="66"/>
      <c r="D12" s="200">
        <v>11788.849609000001</v>
      </c>
      <c r="E12" s="64">
        <f t="shared" si="0"/>
        <v>-1.1234793688628897E-2</v>
      </c>
      <c r="F12" s="64"/>
      <c r="G12" s="200">
        <v>382.93383799999998</v>
      </c>
      <c r="H12" s="64">
        <f t="shared" si="1"/>
        <v>1.1491429097993056E-2</v>
      </c>
      <c r="I12"/>
      <c r="J12" s="166" t="s">
        <v>218</v>
      </c>
      <c r="K12" s="181">
        <v>0.25</v>
      </c>
      <c r="L12"/>
      <c r="M12"/>
      <c r="N12" s="99" t="s">
        <v>215</v>
      </c>
      <c r="O12" s="99"/>
      <c r="P12"/>
      <c r="Q12"/>
      <c r="R12"/>
      <c r="S12"/>
      <c r="T12"/>
      <c r="U12"/>
      <c r="V12"/>
      <c r="W12"/>
      <c r="X12" s="101"/>
      <c r="Y12" s="101"/>
    </row>
    <row r="13" spans="1:25" s="100" customFormat="1" x14ac:dyDescent="0.25">
      <c r="A13"/>
      <c r="B13" s="202">
        <v>43647</v>
      </c>
      <c r="C13" s="66"/>
      <c r="D13" s="200">
        <v>11118</v>
      </c>
      <c r="E13" s="64">
        <f t="shared" si="0"/>
        <v>-5.6905434478343953E-2</v>
      </c>
      <c r="F13" s="64"/>
      <c r="G13" s="200">
        <v>407.74566700000003</v>
      </c>
      <c r="H13" s="64">
        <f t="shared" si="1"/>
        <v>6.4794036300338753E-2</v>
      </c>
      <c r="I13"/>
      <c r="J13"/>
      <c r="K13"/>
      <c r="L13"/>
      <c r="M13"/>
      <c r="N13" s="96" t="s">
        <v>217</v>
      </c>
      <c r="O13" s="96">
        <v>0.40697675954677842</v>
      </c>
      <c r="P13"/>
      <c r="Q13"/>
      <c r="R13"/>
      <c r="S13"/>
      <c r="T13"/>
      <c r="U13"/>
      <c r="V13"/>
      <c r="W13"/>
      <c r="X13" s="96"/>
      <c r="Y13" s="96"/>
    </row>
    <row r="14" spans="1:25" s="100" customFormat="1" x14ac:dyDescent="0.25">
      <c r="A14"/>
      <c r="B14" s="202">
        <v>43678</v>
      </c>
      <c r="C14" s="66"/>
      <c r="D14" s="200">
        <v>11023.25</v>
      </c>
      <c r="E14" s="64">
        <f t="shared" si="0"/>
        <v>-8.5222162259399603E-3</v>
      </c>
      <c r="F14" s="64"/>
      <c r="G14" s="200">
        <v>429.11532599999998</v>
      </c>
      <c r="H14" s="64">
        <f t="shared" si="1"/>
        <v>5.2409285320498489E-2</v>
      </c>
      <c r="I14"/>
      <c r="J14" s="204" t="s">
        <v>221</v>
      </c>
      <c r="K14" s="75">
        <f>(K8*K9)+(K11*K12)</f>
        <v>0.53291634019732559</v>
      </c>
      <c r="L14"/>
      <c r="M14"/>
      <c r="N14" s="96" t="s">
        <v>219</v>
      </c>
      <c r="O14" s="96">
        <v>0.16563008281119629</v>
      </c>
      <c r="P14"/>
      <c r="Q14"/>
      <c r="R14"/>
      <c r="S14"/>
      <c r="T14"/>
      <c r="U14"/>
      <c r="V14"/>
      <c r="W14"/>
      <c r="X14" s="96"/>
      <c r="Y14" s="96"/>
    </row>
    <row r="15" spans="1:25" s="100" customFormat="1" x14ac:dyDescent="0.25">
      <c r="A15"/>
      <c r="B15" s="202">
        <v>43709</v>
      </c>
      <c r="C15" s="66"/>
      <c r="D15" s="200">
        <v>11474.450194999999</v>
      </c>
      <c r="E15" s="64">
        <f t="shared" si="0"/>
        <v>4.0931684847935079E-2</v>
      </c>
      <c r="F15" s="64"/>
      <c r="G15" s="200">
        <v>430.61810300000002</v>
      </c>
      <c r="H15" s="64">
        <f t="shared" si="1"/>
        <v>3.5020352547372458E-3</v>
      </c>
      <c r="I15"/>
      <c r="J15"/>
      <c r="K15"/>
      <c r="L15"/>
      <c r="M15"/>
      <c r="N15" s="96" t="s">
        <v>220</v>
      </c>
      <c r="O15" s="96">
        <v>0.1509920140885857</v>
      </c>
      <c r="P15"/>
      <c r="Q15"/>
      <c r="R15"/>
      <c r="S15"/>
      <c r="T15"/>
      <c r="U15"/>
      <c r="V15"/>
      <c r="W15"/>
      <c r="X15" s="96"/>
      <c r="Y15" s="96"/>
    </row>
    <row r="16" spans="1:25" s="100" customFormat="1" x14ac:dyDescent="0.25">
      <c r="A16"/>
      <c r="B16" s="202">
        <v>43739</v>
      </c>
      <c r="C16" s="66"/>
      <c r="D16" s="200">
        <v>11877.450194999999</v>
      </c>
      <c r="E16" s="64">
        <f t="shared" si="0"/>
        <v>3.5121508495074449E-2</v>
      </c>
      <c r="F16" s="64"/>
      <c r="G16" s="200">
        <v>444.77145400000001</v>
      </c>
      <c r="H16" s="64">
        <f t="shared" si="1"/>
        <v>3.286752438273588E-2</v>
      </c>
      <c r="I16"/>
      <c r="J16"/>
      <c r="K16"/>
      <c r="L16"/>
      <c r="M16"/>
      <c r="N16" s="96" t="s">
        <v>222</v>
      </c>
      <c r="O16" s="96">
        <v>4.6257015682556996E-2</v>
      </c>
      <c r="P16"/>
      <c r="Q16"/>
      <c r="R16"/>
      <c r="S16"/>
      <c r="T16"/>
      <c r="U16"/>
      <c r="V16"/>
      <c r="W16"/>
      <c r="X16" s="96"/>
      <c r="Y16" s="96"/>
    </row>
    <row r="17" spans="1:32" s="100" customFormat="1" ht="15.75" thickBot="1" x14ac:dyDescent="0.3">
      <c r="A17"/>
      <c r="B17" s="202">
        <v>43770</v>
      </c>
      <c r="C17" s="66"/>
      <c r="D17" s="200">
        <v>12056.049805000001</v>
      </c>
      <c r="E17" s="64">
        <f t="shared" si="0"/>
        <v>1.5036864568389152E-2</v>
      </c>
      <c r="F17" s="64"/>
      <c r="G17" s="200">
        <v>442.02740499999999</v>
      </c>
      <c r="H17" s="64">
        <f t="shared" si="1"/>
        <v>-6.1695708555972173E-3</v>
      </c>
      <c r="I17"/>
      <c r="J17"/>
      <c r="K17"/>
      <c r="L17"/>
      <c r="M17"/>
      <c r="N17" s="97" t="s">
        <v>223</v>
      </c>
      <c r="O17" s="97">
        <v>59</v>
      </c>
      <c r="P17"/>
      <c r="Q17"/>
      <c r="R17"/>
      <c r="S17"/>
      <c r="T17"/>
      <c r="U17"/>
      <c r="V17"/>
      <c r="W17"/>
      <c r="X17" s="96"/>
      <c r="Y17" s="96"/>
    </row>
    <row r="18" spans="1:32" s="100" customFormat="1" x14ac:dyDescent="0.25">
      <c r="A18"/>
      <c r="B18" s="202">
        <v>43800</v>
      </c>
      <c r="C18" s="66"/>
      <c r="D18" s="200">
        <v>12168.450194999999</v>
      </c>
      <c r="E18" s="64">
        <f t="shared" si="0"/>
        <v>9.3231524270398491E-3</v>
      </c>
      <c r="F18" s="64"/>
      <c r="G18" s="200">
        <v>442.65136699999999</v>
      </c>
      <c r="H18" s="64">
        <f t="shared" si="1"/>
        <v>1.4115912111829498E-3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32" s="100" customFormat="1" ht="15.75" thickBot="1" x14ac:dyDescent="0.3">
      <c r="A19"/>
      <c r="B19" s="202">
        <v>43831</v>
      </c>
      <c r="C19" s="66"/>
      <c r="D19" s="200">
        <v>11962.099609000001</v>
      </c>
      <c r="E19" s="64">
        <f t="shared" si="0"/>
        <v>-1.6957836264538284E-2</v>
      </c>
      <c r="F19" s="64"/>
      <c r="G19" s="200">
        <v>478.71820100000002</v>
      </c>
      <c r="H19" s="64">
        <f t="shared" si="1"/>
        <v>8.1479097747821916E-2</v>
      </c>
      <c r="I19"/>
      <c r="J19"/>
      <c r="K19"/>
      <c r="L19"/>
      <c r="M19"/>
      <c r="N19" t="s">
        <v>224</v>
      </c>
      <c r="O19"/>
      <c r="P19"/>
      <c r="Q19"/>
      <c r="R19"/>
      <c r="S19"/>
      <c r="T19"/>
      <c r="U19"/>
      <c r="V19"/>
      <c r="W19"/>
    </row>
    <row r="20" spans="1:32" s="100" customFormat="1" x14ac:dyDescent="0.25">
      <c r="A20"/>
      <c r="B20" s="202">
        <v>43862</v>
      </c>
      <c r="C20" s="66"/>
      <c r="D20" s="200">
        <v>11201.75</v>
      </c>
      <c r="E20" s="64">
        <f t="shared" si="0"/>
        <v>-6.35632233348008E-2</v>
      </c>
      <c r="F20" s="64"/>
      <c r="G20" s="200">
        <v>479.05618299999998</v>
      </c>
      <c r="H20" s="64">
        <f t="shared" si="1"/>
        <v>7.060145181319033E-4</v>
      </c>
      <c r="I20"/>
      <c r="J20"/>
      <c r="K20"/>
      <c r="L20"/>
      <c r="M20"/>
      <c r="N20" s="98"/>
      <c r="O20" s="98" t="s">
        <v>225</v>
      </c>
      <c r="P20" s="98" t="s">
        <v>226</v>
      </c>
      <c r="Q20" s="98" t="s">
        <v>227</v>
      </c>
      <c r="R20" s="98" t="s">
        <v>228</v>
      </c>
      <c r="S20" s="98" t="s">
        <v>229</v>
      </c>
      <c r="T20"/>
      <c r="U20"/>
      <c r="V20"/>
      <c r="W20"/>
      <c r="X20" s="102"/>
      <c r="Y20" s="102"/>
      <c r="Z20" s="102"/>
      <c r="AA20" s="102"/>
      <c r="AB20" s="102"/>
      <c r="AC20" s="102"/>
    </row>
    <row r="21" spans="1:32" s="100" customFormat="1" x14ac:dyDescent="0.25">
      <c r="A21"/>
      <c r="B21" s="202">
        <v>43891</v>
      </c>
      <c r="C21" s="66"/>
      <c r="D21" s="200">
        <v>8597.75</v>
      </c>
      <c r="E21" s="64">
        <f t="shared" si="0"/>
        <v>-0.23246367755038277</v>
      </c>
      <c r="F21" s="64"/>
      <c r="G21" s="200">
        <v>434.58822600000002</v>
      </c>
      <c r="H21" s="64">
        <f t="shared" si="1"/>
        <v>-9.2824095749119984E-2</v>
      </c>
      <c r="I21"/>
      <c r="J21"/>
      <c r="K21"/>
      <c r="L21"/>
      <c r="M21"/>
      <c r="N21" s="96" t="s">
        <v>230</v>
      </c>
      <c r="O21" s="96">
        <v>1</v>
      </c>
      <c r="P21" s="96">
        <v>2.4210884620718409E-2</v>
      </c>
      <c r="Q21" s="96">
        <v>2.4210884620718409E-2</v>
      </c>
      <c r="R21" s="96">
        <v>11.315022900210664</v>
      </c>
      <c r="S21" s="96">
        <v>1.3797275785627193E-3</v>
      </c>
      <c r="T21"/>
      <c r="U21"/>
      <c r="V21"/>
      <c r="W21"/>
      <c r="X21" s="96"/>
      <c r="Y21" s="96"/>
      <c r="Z21" s="96"/>
      <c r="AA21" s="96"/>
      <c r="AB21" s="96"/>
      <c r="AC21" s="96"/>
    </row>
    <row r="22" spans="1:32" s="100" customFormat="1" x14ac:dyDescent="0.25">
      <c r="A22"/>
      <c r="B22" s="202">
        <v>43922</v>
      </c>
      <c r="C22" s="66"/>
      <c r="D22" s="200">
        <v>9859.9003909999992</v>
      </c>
      <c r="E22" s="64">
        <f t="shared" si="0"/>
        <v>0.14680008036986414</v>
      </c>
      <c r="F22" s="64"/>
      <c r="G22" s="200">
        <v>472.48983800000002</v>
      </c>
      <c r="H22" s="64">
        <f t="shared" si="1"/>
        <v>8.7212698670764199E-2</v>
      </c>
      <c r="I22"/>
      <c r="J22"/>
      <c r="K22"/>
      <c r="L22"/>
      <c r="M22"/>
      <c r="N22" s="96" t="s">
        <v>231</v>
      </c>
      <c r="O22" s="96">
        <v>57</v>
      </c>
      <c r="P22" s="96">
        <v>0.12196355549181045</v>
      </c>
      <c r="Q22" s="96">
        <v>2.1397114998563237E-3</v>
      </c>
      <c r="R22" s="96"/>
      <c r="S22" s="96"/>
      <c r="T22"/>
      <c r="U22"/>
      <c r="V22"/>
      <c r="W22"/>
      <c r="X22" s="96"/>
      <c r="Y22" s="96"/>
      <c r="Z22" s="96"/>
      <c r="AA22" s="96"/>
      <c r="AB22" s="96"/>
      <c r="AC22" s="96"/>
    </row>
    <row r="23" spans="1:32" s="100" customFormat="1" ht="15.75" thickBot="1" x14ac:dyDescent="0.3">
      <c r="A23"/>
      <c r="B23" s="202">
        <v>43952</v>
      </c>
      <c r="C23" s="66"/>
      <c r="D23" s="200">
        <v>9580.2998050000006</v>
      </c>
      <c r="E23" s="64">
        <f t="shared" si="0"/>
        <v>-2.8357343878972152E-2</v>
      </c>
      <c r="F23" s="64"/>
      <c r="G23" s="200">
        <v>450.42486600000001</v>
      </c>
      <c r="H23" s="64">
        <f t="shared" si="1"/>
        <v>-4.6699357796558649E-2</v>
      </c>
      <c r="I23"/>
      <c r="J23"/>
      <c r="K23"/>
      <c r="L23"/>
      <c r="M23"/>
      <c r="N23" s="97" t="s">
        <v>188</v>
      </c>
      <c r="O23" s="97">
        <v>58</v>
      </c>
      <c r="P23" s="97">
        <v>0.14617444011252886</v>
      </c>
      <c r="Q23" s="97"/>
      <c r="R23" s="97"/>
      <c r="S23" s="97"/>
      <c r="T23"/>
      <c r="U23"/>
      <c r="V23"/>
      <c r="W23"/>
      <c r="X23" s="96"/>
      <c r="Y23" s="96"/>
      <c r="Z23" s="96"/>
      <c r="AA23" s="96"/>
      <c r="AB23" s="96"/>
      <c r="AC23" s="96"/>
    </row>
    <row r="24" spans="1:32" s="100" customFormat="1" ht="15.75" thickBot="1" x14ac:dyDescent="0.3">
      <c r="A24"/>
      <c r="B24" s="202">
        <v>43983</v>
      </c>
      <c r="C24" s="66"/>
      <c r="D24" s="200">
        <v>10302.099609000001</v>
      </c>
      <c r="E24" s="64">
        <f t="shared" si="0"/>
        <v>7.5342089359592856E-2</v>
      </c>
      <c r="F24" s="64"/>
      <c r="G24" s="200">
        <v>449.94201700000002</v>
      </c>
      <c r="H24" s="64">
        <f t="shared" si="1"/>
        <v>-1.0719856660843519E-3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32" s="100" customFormat="1" x14ac:dyDescent="0.25">
      <c r="A25"/>
      <c r="B25" s="202">
        <v>44013</v>
      </c>
      <c r="C25" s="66"/>
      <c r="D25" s="200">
        <v>11073.450194999999</v>
      </c>
      <c r="E25" s="64">
        <f t="shared" si="0"/>
        <v>7.4873143851777568E-2</v>
      </c>
      <c r="F25" s="64"/>
      <c r="G25" s="200">
        <v>495.906677</v>
      </c>
      <c r="H25" s="64">
        <f t="shared" si="1"/>
        <v>0.10215685191276536</v>
      </c>
      <c r="I25"/>
      <c r="J25"/>
      <c r="K25"/>
      <c r="L25"/>
      <c r="M25"/>
      <c r="N25" s="98"/>
      <c r="O25" s="98" t="s">
        <v>232</v>
      </c>
      <c r="P25" s="98" t="s">
        <v>222</v>
      </c>
      <c r="Q25" s="98" t="s">
        <v>233</v>
      </c>
      <c r="R25" s="98" t="s">
        <v>234</v>
      </c>
      <c r="S25" s="98" t="s">
        <v>235</v>
      </c>
      <c r="T25" s="98" t="s">
        <v>236</v>
      </c>
      <c r="U25" s="98" t="s">
        <v>237</v>
      </c>
      <c r="V25" s="98" t="s">
        <v>238</v>
      </c>
      <c r="W25"/>
      <c r="X25" s="102"/>
      <c r="Y25" s="102"/>
      <c r="Z25" s="102"/>
      <c r="AA25" s="102"/>
      <c r="AB25" s="102"/>
      <c r="AC25" s="102"/>
      <c r="AD25" s="102"/>
      <c r="AE25" s="102"/>
      <c r="AF25" s="102"/>
    </row>
    <row r="26" spans="1:32" s="100" customFormat="1" x14ac:dyDescent="0.25">
      <c r="A26"/>
      <c r="B26" s="202">
        <v>44044</v>
      </c>
      <c r="C26" s="66"/>
      <c r="D26" s="200">
        <v>11387.5</v>
      </c>
      <c r="E26" s="64">
        <f t="shared" si="0"/>
        <v>2.8360610240682149E-2</v>
      </c>
      <c r="F26" s="64"/>
      <c r="G26" s="200">
        <v>458.29486100000003</v>
      </c>
      <c r="H26" s="64">
        <f t="shared" si="1"/>
        <v>-7.5844544436331485E-2</v>
      </c>
      <c r="I26"/>
      <c r="J26"/>
      <c r="K26"/>
      <c r="L26"/>
      <c r="M26"/>
      <c r="N26" s="96" t="s">
        <v>239</v>
      </c>
      <c r="O26" s="96">
        <v>2.0285985156280805E-3</v>
      </c>
      <c r="P26" s="96">
        <v>6.1786083802364425E-3</v>
      </c>
      <c r="Q26" s="96">
        <v>0.32832611986171073</v>
      </c>
      <c r="R26" s="96">
        <v>0.74386821007347481</v>
      </c>
      <c r="S26" s="96">
        <v>-1.0343851352281348E-2</v>
      </c>
      <c r="T26" s="96">
        <v>1.440104838353751E-2</v>
      </c>
      <c r="U26" s="96">
        <v>-1.0343851352281348E-2</v>
      </c>
      <c r="V26" s="96">
        <v>1.440104838353751E-2</v>
      </c>
      <c r="W26"/>
      <c r="X26" s="96"/>
      <c r="Y26" s="96"/>
      <c r="Z26" s="96"/>
      <c r="AA26" s="96"/>
      <c r="AB26" s="96"/>
      <c r="AC26" s="96"/>
      <c r="AD26" s="96"/>
      <c r="AE26" s="96"/>
      <c r="AF26" s="96"/>
    </row>
    <row r="27" spans="1:32" s="100" customFormat="1" ht="15.75" thickBot="1" x14ac:dyDescent="0.3">
      <c r="A27"/>
      <c r="B27" s="202">
        <v>44075</v>
      </c>
      <c r="C27" s="66"/>
      <c r="D27" s="200">
        <v>11247.549805000001</v>
      </c>
      <c r="E27" s="64">
        <f t="shared" si="0"/>
        <v>-1.2289808562019666E-2</v>
      </c>
      <c r="F27" s="64"/>
      <c r="G27" s="200">
        <v>494.58105499999999</v>
      </c>
      <c r="H27" s="64">
        <f t="shared" si="1"/>
        <v>7.9176523866803628E-2</v>
      </c>
      <c r="I27"/>
      <c r="J27"/>
      <c r="K27"/>
      <c r="L27"/>
      <c r="M27"/>
      <c r="N27" s="97" t="s">
        <v>240</v>
      </c>
      <c r="O27" s="97">
        <v>0.37722178692976738</v>
      </c>
      <c r="P27" s="97">
        <v>0.1121421942128784</v>
      </c>
      <c r="Q27" s="97">
        <v>3.3637810422515102</v>
      </c>
      <c r="R27" s="97">
        <v>1.3797275785627193E-3</v>
      </c>
      <c r="S27" s="97">
        <v>0.15266091648937458</v>
      </c>
      <c r="T27" s="97">
        <v>0.60178265737016012</v>
      </c>
      <c r="U27" s="97">
        <v>0.15266091648937458</v>
      </c>
      <c r="V27" s="97">
        <v>0.60178265737016012</v>
      </c>
      <c r="W27"/>
      <c r="X27" s="96"/>
      <c r="Y27" s="96"/>
      <c r="Z27" s="96"/>
      <c r="AA27" s="96"/>
      <c r="AB27" s="96"/>
      <c r="AC27" s="96"/>
      <c r="AD27" s="96"/>
      <c r="AE27" s="96"/>
      <c r="AF27" s="96"/>
    </row>
    <row r="28" spans="1:32" x14ac:dyDescent="0.25">
      <c r="B28" s="202">
        <v>44105</v>
      </c>
      <c r="C28" s="66"/>
      <c r="D28" s="200">
        <v>11642.400390999999</v>
      </c>
      <c r="E28" s="64">
        <f t="shared" si="0"/>
        <v>3.5105475667640107E-2</v>
      </c>
      <c r="F28" s="64"/>
      <c r="G28" s="200">
        <v>495.45297199999999</v>
      </c>
      <c r="H28" s="64">
        <f t="shared" si="1"/>
        <v>1.7629405558206024E-3</v>
      </c>
    </row>
    <row r="29" spans="1:32" x14ac:dyDescent="0.25">
      <c r="B29" s="202">
        <v>44136</v>
      </c>
      <c r="C29" s="66"/>
      <c r="D29" s="200">
        <v>12968.950194999999</v>
      </c>
      <c r="E29" s="64">
        <f t="shared" si="0"/>
        <v>0.1139412629225045</v>
      </c>
      <c r="F29" s="64"/>
      <c r="G29" s="200">
        <v>484.16726699999998</v>
      </c>
      <c r="H29" s="64">
        <f t="shared" si="1"/>
        <v>-2.2778559495652773E-2</v>
      </c>
    </row>
    <row r="30" spans="1:32" x14ac:dyDescent="0.25">
      <c r="B30" s="202">
        <v>44166</v>
      </c>
      <c r="C30" s="66"/>
      <c r="D30" s="200">
        <v>13981.75</v>
      </c>
      <c r="E30" s="64">
        <f t="shared" si="0"/>
        <v>7.8094201132060226E-2</v>
      </c>
      <c r="F30" s="64"/>
      <c r="G30" s="200">
        <v>519.06140100000005</v>
      </c>
      <c r="H30" s="64">
        <f t="shared" si="1"/>
        <v>7.2070411154003144E-2</v>
      </c>
    </row>
    <row r="31" spans="1:32" x14ac:dyDescent="0.25">
      <c r="B31" s="202">
        <v>44197</v>
      </c>
      <c r="C31" s="66"/>
      <c r="D31" s="200">
        <v>13634.599609000001</v>
      </c>
      <c r="E31" s="64">
        <f t="shared" si="0"/>
        <v>-2.4828822643803483E-2</v>
      </c>
      <c r="F31" s="64"/>
      <c r="G31" s="200">
        <v>500.15557899999999</v>
      </c>
      <c r="H31" s="64">
        <f t="shared" si="1"/>
        <v>-3.6423093613928814E-2</v>
      </c>
    </row>
    <row r="32" spans="1:32" x14ac:dyDescent="0.25">
      <c r="B32" s="202">
        <v>44228</v>
      </c>
      <c r="C32" s="66"/>
      <c r="D32" s="200">
        <v>14529.150390999999</v>
      </c>
      <c r="E32" s="64">
        <f t="shared" si="0"/>
        <v>6.5608877976109925E-2</v>
      </c>
      <c r="F32" s="64"/>
      <c r="G32" s="200">
        <v>489.025848</v>
      </c>
      <c r="H32" s="64">
        <f t="shared" si="1"/>
        <v>-2.2252537944798201E-2</v>
      </c>
    </row>
    <row r="33" spans="2:8" x14ac:dyDescent="0.25">
      <c r="B33" s="202">
        <v>44256</v>
      </c>
      <c r="C33" s="66"/>
      <c r="D33" s="200">
        <v>14690.700194999999</v>
      </c>
      <c r="E33" s="64">
        <f t="shared" si="0"/>
        <v>1.1119012444118725E-2</v>
      </c>
      <c r="F33" s="64"/>
      <c r="G33" s="200">
        <v>525.37957800000004</v>
      </c>
      <c r="H33" s="64">
        <f t="shared" si="1"/>
        <v>7.4339076653469727E-2</v>
      </c>
    </row>
    <row r="34" spans="2:8" x14ac:dyDescent="0.25">
      <c r="B34" s="202">
        <v>44287</v>
      </c>
      <c r="C34" s="66"/>
      <c r="D34" s="200">
        <v>14631.099609000001</v>
      </c>
      <c r="E34" s="64">
        <f t="shared" si="0"/>
        <v>-4.057028270189833E-3</v>
      </c>
      <c r="F34" s="64"/>
      <c r="G34" s="200">
        <v>522.99816899999996</v>
      </c>
      <c r="H34" s="64">
        <f t="shared" si="1"/>
        <v>-4.5327399459750284E-3</v>
      </c>
    </row>
    <row r="35" spans="2:8" x14ac:dyDescent="0.25">
      <c r="B35" s="202">
        <v>44317</v>
      </c>
      <c r="C35" s="66"/>
      <c r="D35" s="200">
        <v>15582.799805000001</v>
      </c>
      <c r="E35" s="64">
        <f t="shared" si="0"/>
        <v>6.504638895456516E-2</v>
      </c>
      <c r="F35" s="64"/>
      <c r="G35" s="200">
        <v>525.33105499999999</v>
      </c>
      <c r="H35" s="64">
        <f t="shared" si="1"/>
        <v>4.4606007024090566E-3</v>
      </c>
    </row>
    <row r="36" spans="2:8" x14ac:dyDescent="0.25">
      <c r="B36" s="202">
        <v>44348</v>
      </c>
      <c r="C36" s="66"/>
      <c r="D36" s="200">
        <v>15721.5</v>
      </c>
      <c r="E36" s="64">
        <f t="shared" si="0"/>
        <v>8.9008520121971468E-3</v>
      </c>
      <c r="F36" s="64"/>
      <c r="G36" s="200">
        <v>552.839294</v>
      </c>
      <c r="H36" s="64">
        <f t="shared" si="1"/>
        <v>5.2363626209000813E-2</v>
      </c>
    </row>
    <row r="37" spans="2:8" x14ac:dyDescent="0.25">
      <c r="B37" s="202">
        <v>44378</v>
      </c>
      <c r="C37" s="66"/>
      <c r="D37" s="200">
        <v>15763.049805000001</v>
      </c>
      <c r="E37" s="64">
        <f t="shared" si="0"/>
        <v>2.6428651846197582E-3</v>
      </c>
      <c r="F37" s="64"/>
      <c r="G37" s="200">
        <v>583.89544699999999</v>
      </c>
      <c r="H37" s="64">
        <f t="shared" si="1"/>
        <v>5.6175733774813663E-2</v>
      </c>
    </row>
    <row r="38" spans="2:8" x14ac:dyDescent="0.25">
      <c r="B38" s="202">
        <v>44409</v>
      </c>
      <c r="C38" s="66"/>
      <c r="D38" s="200">
        <v>17132.199218999998</v>
      </c>
      <c r="E38" s="64">
        <f t="shared" si="0"/>
        <v>8.6858154414110045E-2</v>
      </c>
      <c r="F38" s="64"/>
      <c r="G38" s="200">
        <v>607.20056199999999</v>
      </c>
      <c r="H38" s="64">
        <f t="shared" si="1"/>
        <v>3.9913164453909467E-2</v>
      </c>
    </row>
    <row r="39" spans="2:8" x14ac:dyDescent="0.25">
      <c r="B39" s="202">
        <v>44440</v>
      </c>
      <c r="C39" s="66"/>
      <c r="D39" s="200">
        <v>17618.150390999999</v>
      </c>
      <c r="E39" s="64">
        <f t="shared" si="0"/>
        <v>2.8364786434485811E-2</v>
      </c>
      <c r="F39" s="64"/>
      <c r="G39" s="200">
        <v>602.85296600000004</v>
      </c>
      <c r="H39" s="64">
        <f t="shared" si="1"/>
        <v>-7.1600658366979264E-3</v>
      </c>
    </row>
    <row r="40" spans="2:8" x14ac:dyDescent="0.25">
      <c r="B40" s="202">
        <v>44470</v>
      </c>
      <c r="C40" s="66"/>
      <c r="D40" s="200">
        <v>17671.650390999999</v>
      </c>
      <c r="E40" s="64">
        <f t="shared" si="0"/>
        <v>3.0366411236522062E-3</v>
      </c>
      <c r="F40" s="64"/>
      <c r="G40" s="200">
        <v>572.37078899999995</v>
      </c>
      <c r="H40" s="64">
        <f t="shared" si="1"/>
        <v>-5.0563203167520054E-2</v>
      </c>
    </row>
    <row r="41" spans="2:8" x14ac:dyDescent="0.25">
      <c r="B41" s="202">
        <v>44501</v>
      </c>
      <c r="C41" s="66"/>
      <c r="D41" s="200">
        <v>16983.199218999998</v>
      </c>
      <c r="E41" s="64">
        <f t="shared" si="0"/>
        <v>-3.8957944321409976E-2</v>
      </c>
      <c r="F41" s="64"/>
      <c r="G41" s="200">
        <v>581.26147500000002</v>
      </c>
      <c r="H41" s="64">
        <f t="shared" si="1"/>
        <v>1.5533088289731101E-2</v>
      </c>
    </row>
    <row r="42" spans="2:8" x14ac:dyDescent="0.25">
      <c r="B42" s="202">
        <v>44531</v>
      </c>
      <c r="C42" s="66"/>
      <c r="D42" s="200">
        <v>17354.050781000002</v>
      </c>
      <c r="E42" s="64">
        <f t="shared" si="0"/>
        <v>2.1836378247575006E-2</v>
      </c>
      <c r="F42" s="64"/>
      <c r="G42" s="200">
        <v>569.05480999999997</v>
      </c>
      <c r="H42" s="64">
        <f t="shared" si="1"/>
        <v>-2.1000299391938926E-2</v>
      </c>
    </row>
    <row r="43" spans="2:8" x14ac:dyDescent="0.25">
      <c r="B43" s="202">
        <v>44562</v>
      </c>
      <c r="C43" s="66"/>
      <c r="D43" s="200">
        <v>17339.849609000001</v>
      </c>
      <c r="E43" s="64">
        <f t="shared" si="0"/>
        <v>-8.183202976188575E-4</v>
      </c>
      <c r="F43" s="64"/>
      <c r="G43" s="200">
        <v>526.57556199999999</v>
      </c>
      <c r="H43" s="64">
        <f t="shared" si="1"/>
        <v>-7.4648781195611025E-2</v>
      </c>
    </row>
    <row r="44" spans="2:8" x14ac:dyDescent="0.25">
      <c r="B44" s="202">
        <v>44593</v>
      </c>
      <c r="C44" s="66"/>
      <c r="D44" s="200">
        <v>16793.900390999999</v>
      </c>
      <c r="E44" s="64">
        <f t="shared" si="0"/>
        <v>-3.1485233742548413E-2</v>
      </c>
      <c r="F44" s="64"/>
      <c r="G44" s="200">
        <v>552.67126499999995</v>
      </c>
      <c r="H44" s="64">
        <f t="shared" si="1"/>
        <v>4.9557375775064916E-2</v>
      </c>
    </row>
    <row r="45" spans="2:8" x14ac:dyDescent="0.25">
      <c r="B45" s="202">
        <v>44621</v>
      </c>
      <c r="C45" s="66"/>
      <c r="D45" s="200">
        <v>17464.75</v>
      </c>
      <c r="E45" s="64">
        <f t="shared" si="0"/>
        <v>3.9946027627954406E-2</v>
      </c>
      <c r="F45" s="64"/>
      <c r="G45" s="200">
        <v>526.03594999999996</v>
      </c>
      <c r="H45" s="64">
        <f t="shared" si="1"/>
        <v>-4.8193775733934685E-2</v>
      </c>
    </row>
    <row r="46" spans="2:8" x14ac:dyDescent="0.25">
      <c r="B46" s="202">
        <v>44652</v>
      </c>
      <c r="C46" s="66"/>
      <c r="D46" s="200">
        <v>17102.550781000002</v>
      </c>
      <c r="E46" s="64">
        <f t="shared" si="0"/>
        <v>-2.0738872242660134E-2</v>
      </c>
      <c r="F46" s="64"/>
      <c r="G46" s="200">
        <v>546.14733899999999</v>
      </c>
      <c r="H46" s="64">
        <f t="shared" si="1"/>
        <v>3.8231966845612142E-2</v>
      </c>
    </row>
    <row r="47" spans="2:8" x14ac:dyDescent="0.25">
      <c r="B47" s="202">
        <v>44682</v>
      </c>
      <c r="C47" s="66"/>
      <c r="D47" s="200">
        <v>16584.550781000002</v>
      </c>
      <c r="E47" s="64">
        <f t="shared" si="0"/>
        <v>-3.0287879663861039E-2</v>
      </c>
      <c r="F47" s="64"/>
      <c r="G47" s="200">
        <v>509.16198700000001</v>
      </c>
      <c r="H47" s="64">
        <f t="shared" si="1"/>
        <v>-6.7720465447511757E-2</v>
      </c>
    </row>
    <row r="48" spans="2:8" x14ac:dyDescent="0.25">
      <c r="B48" s="202">
        <v>44713</v>
      </c>
      <c r="C48" s="66"/>
      <c r="D48" s="200">
        <v>15780.25</v>
      </c>
      <c r="E48" s="64">
        <f t="shared" si="0"/>
        <v>-4.8496989253483114E-2</v>
      </c>
      <c r="F48" s="64"/>
      <c r="G48" s="200">
        <v>486.54892000000001</v>
      </c>
      <c r="H48" s="64">
        <f t="shared" si="1"/>
        <v>-4.4412323734607462E-2</v>
      </c>
    </row>
    <row r="49" spans="2:8" x14ac:dyDescent="0.25">
      <c r="B49" s="202">
        <v>44743</v>
      </c>
      <c r="C49" s="66"/>
      <c r="D49" s="200">
        <v>17158.25</v>
      </c>
      <c r="E49" s="64">
        <f t="shared" si="0"/>
        <v>8.7324345305048956E-2</v>
      </c>
      <c r="F49" s="64"/>
      <c r="G49" s="200">
        <v>573.02795400000002</v>
      </c>
      <c r="H49" s="64">
        <f t="shared" si="1"/>
        <v>0.17773964846124835</v>
      </c>
    </row>
    <row r="50" spans="2:8" x14ac:dyDescent="0.25">
      <c r="B50" s="202">
        <v>44774</v>
      </c>
      <c r="C50" s="66"/>
      <c r="D50" s="200">
        <v>17759.300781000002</v>
      </c>
      <c r="E50" s="64">
        <f t="shared" si="0"/>
        <v>3.5029841679658613E-2</v>
      </c>
      <c r="F50" s="64"/>
      <c r="G50" s="200">
        <v>575.31994599999996</v>
      </c>
      <c r="H50" s="64">
        <f t="shared" si="1"/>
        <v>3.9997909072337912E-3</v>
      </c>
    </row>
    <row r="51" spans="2:8" x14ac:dyDescent="0.25">
      <c r="B51" s="202">
        <v>44805</v>
      </c>
      <c r="C51" s="66"/>
      <c r="D51" s="200">
        <v>17094.349609000001</v>
      </c>
      <c r="E51" s="64">
        <f t="shared" si="0"/>
        <v>-3.7442418493829788E-2</v>
      </c>
      <c r="F51" s="64"/>
      <c r="G51" s="200">
        <v>564.82116699999995</v>
      </c>
      <c r="H51" s="64">
        <f t="shared" si="1"/>
        <v>-1.8248592062546032E-2</v>
      </c>
    </row>
    <row r="52" spans="2:8" x14ac:dyDescent="0.25">
      <c r="B52" s="202">
        <v>44835</v>
      </c>
      <c r="C52" s="66"/>
      <c r="D52" s="200">
        <v>18012.199218999998</v>
      </c>
      <c r="E52" s="64">
        <f t="shared" si="0"/>
        <v>5.3693157738903263E-2</v>
      </c>
      <c r="F52" s="64"/>
      <c r="G52" s="200">
        <v>546.83007799999996</v>
      </c>
      <c r="H52" s="64">
        <f t="shared" si="1"/>
        <v>-3.1852717375232431E-2</v>
      </c>
    </row>
    <row r="53" spans="2:8" x14ac:dyDescent="0.25">
      <c r="B53" s="202">
        <v>44866</v>
      </c>
      <c r="C53" s="66"/>
      <c r="D53" s="200">
        <v>18758.349609000001</v>
      </c>
      <c r="E53" s="64">
        <f t="shared" si="0"/>
        <v>4.1424724484111497E-2</v>
      </c>
      <c r="F53" s="64"/>
      <c r="G53" s="200">
        <v>580.00262499999997</v>
      </c>
      <c r="H53" s="64">
        <f t="shared" si="1"/>
        <v>6.0663354732290342E-2</v>
      </c>
    </row>
    <row r="54" spans="2:8" x14ac:dyDescent="0.25">
      <c r="B54" s="202">
        <v>44896</v>
      </c>
      <c r="C54" s="66"/>
      <c r="D54" s="200">
        <v>18105.300781000002</v>
      </c>
      <c r="E54" s="64">
        <f t="shared" si="0"/>
        <v>-3.4813767821379904E-2</v>
      </c>
      <c r="F54" s="64"/>
      <c r="G54" s="200">
        <v>555.95629899999994</v>
      </c>
      <c r="H54" s="64">
        <f t="shared" si="1"/>
        <v>-4.1458995120927322E-2</v>
      </c>
    </row>
    <row r="55" spans="2:8" x14ac:dyDescent="0.25">
      <c r="B55" s="202">
        <v>44927</v>
      </c>
      <c r="C55" s="66"/>
      <c r="D55" s="200">
        <v>17662.150390999999</v>
      </c>
      <c r="E55" s="64">
        <f t="shared" si="0"/>
        <v>-2.4476278818027275E-2</v>
      </c>
      <c r="F55" s="64"/>
      <c r="G55" s="200">
        <v>552.29247999999995</v>
      </c>
      <c r="H55" s="64">
        <f t="shared" si="1"/>
        <v>-6.5901204943448199E-3</v>
      </c>
    </row>
    <row r="56" spans="2:8" x14ac:dyDescent="0.25">
      <c r="B56" s="202">
        <v>44958</v>
      </c>
      <c r="C56" s="66"/>
      <c r="D56" s="200">
        <v>17303.949218999998</v>
      </c>
      <c r="E56" s="64">
        <f t="shared" si="0"/>
        <v>-2.0280722566065723E-2</v>
      </c>
      <c r="F56" s="64"/>
      <c r="G56" s="200">
        <v>527.38861099999997</v>
      </c>
      <c r="H56" s="64">
        <f t="shared" si="1"/>
        <v>-4.5091812584520441E-2</v>
      </c>
    </row>
    <row r="57" spans="2:8" x14ac:dyDescent="0.25">
      <c r="B57" s="202">
        <v>44986</v>
      </c>
      <c r="C57" s="66"/>
      <c r="D57" s="200">
        <v>17359.75</v>
      </c>
      <c r="E57" s="64">
        <f t="shared" si="0"/>
        <v>3.2247425309555044E-3</v>
      </c>
      <c r="F57" s="64"/>
      <c r="G57" s="200">
        <v>539.56823699999995</v>
      </c>
      <c r="H57" s="64">
        <f t="shared" si="1"/>
        <v>2.3094215055015743E-2</v>
      </c>
    </row>
    <row r="58" spans="2:8" x14ac:dyDescent="0.25">
      <c r="B58" s="202">
        <v>45017</v>
      </c>
      <c r="C58" s="66"/>
      <c r="D58" s="200">
        <v>18065</v>
      </c>
      <c r="E58" s="64">
        <f t="shared" si="0"/>
        <v>4.0625585045867663E-2</v>
      </c>
      <c r="F58" s="64"/>
      <c r="G58" s="200">
        <v>527.68566899999996</v>
      </c>
      <c r="H58" s="64">
        <f t="shared" si="1"/>
        <v>-2.2022363781209697E-2</v>
      </c>
    </row>
    <row r="59" spans="2:8" x14ac:dyDescent="0.25">
      <c r="B59" s="202">
        <v>45047</v>
      </c>
      <c r="C59" s="66"/>
      <c r="D59" s="200">
        <v>18534.400390999999</v>
      </c>
      <c r="E59" s="64">
        <f t="shared" si="0"/>
        <v>2.5983968502629295E-2</v>
      </c>
      <c r="F59" s="64"/>
      <c r="G59" s="200">
        <v>549.96551499999998</v>
      </c>
      <c r="H59" s="64">
        <f t="shared" si="1"/>
        <v>4.2221813683554821E-2</v>
      </c>
    </row>
    <row r="60" spans="2:8" x14ac:dyDescent="0.25">
      <c r="B60" s="202">
        <v>45078</v>
      </c>
      <c r="C60" s="66"/>
      <c r="D60" s="200">
        <v>19189.050781000002</v>
      </c>
      <c r="E60" s="64">
        <f t="shared" si="0"/>
        <v>3.5320829171138879E-2</v>
      </c>
      <c r="F60" s="64"/>
      <c r="G60" s="200">
        <v>567.34381099999996</v>
      </c>
      <c r="H60" s="64">
        <f t="shared" si="1"/>
        <v>3.1598883068150174E-2</v>
      </c>
    </row>
    <row r="61" spans="2:8" x14ac:dyDescent="0.25">
      <c r="B61" s="202">
        <v>45108</v>
      </c>
      <c r="C61" s="66"/>
      <c r="D61" s="200">
        <v>19753.800781000002</v>
      </c>
      <c r="E61" s="64">
        <f t="shared" si="0"/>
        <v>2.9430846082245221E-2</v>
      </c>
      <c r="F61" s="64"/>
      <c r="G61" s="200">
        <v>569.96777299999997</v>
      </c>
      <c r="H61" s="64">
        <f t="shared" si="1"/>
        <v>4.6249944903338225E-3</v>
      </c>
    </row>
    <row r="62" spans="2:8" x14ac:dyDescent="0.25">
      <c r="B62" s="202">
        <v>45139</v>
      </c>
      <c r="C62" s="66"/>
      <c r="D62" s="200">
        <v>19253.800781000002</v>
      </c>
      <c r="E62" s="64">
        <f t="shared" si="0"/>
        <v>-2.5311584618233018E-2</v>
      </c>
      <c r="F62" s="64"/>
      <c r="G62" s="200">
        <v>550.25616500000001</v>
      </c>
      <c r="H62" s="64">
        <f t="shared" si="1"/>
        <v>-3.4583723736254068E-2</v>
      </c>
    </row>
    <row r="63" spans="2:8" x14ac:dyDescent="0.25">
      <c r="B63" s="202">
        <v>45170</v>
      </c>
      <c r="C63" s="66"/>
      <c r="D63" s="200">
        <v>19638.300781000002</v>
      </c>
      <c r="E63" s="64">
        <f t="shared" si="0"/>
        <v>1.9970083017553097E-2</v>
      </c>
      <c r="F63" s="64"/>
      <c r="G63" s="200">
        <v>548.76385500000004</v>
      </c>
      <c r="H63" s="64">
        <f t="shared" si="1"/>
        <v>-2.7120277698297057E-3</v>
      </c>
    </row>
    <row r="64" spans="2:8" x14ac:dyDescent="0.25">
      <c r="B64" s="202">
        <v>45200</v>
      </c>
      <c r="C64" s="66"/>
      <c r="D64" s="200">
        <v>19079.599609000001</v>
      </c>
      <c r="E64" s="64">
        <f t="shared" si="0"/>
        <v>-2.8449567924967445E-2</v>
      </c>
      <c r="F64" s="64"/>
      <c r="G64" s="200">
        <v>526.18060300000002</v>
      </c>
      <c r="H64" s="64">
        <f t="shared" si="1"/>
        <v>-4.1152950935516741E-2</v>
      </c>
    </row>
    <row r="65" spans="2:8" x14ac:dyDescent="0.25">
      <c r="B65" s="202">
        <v>45231</v>
      </c>
      <c r="C65" s="66"/>
      <c r="D65" s="200">
        <v>20133.150390999999</v>
      </c>
      <c r="E65" s="64">
        <f t="shared" si="0"/>
        <v>5.5218704982835654E-2</v>
      </c>
      <c r="F65" s="64"/>
      <c r="G65" s="200">
        <v>535.28356900000006</v>
      </c>
      <c r="H65" s="64">
        <f t="shared" si="1"/>
        <v>1.7300078999681556E-2</v>
      </c>
    </row>
    <row r="66" spans="2:8" x14ac:dyDescent="0.25">
      <c r="B66" s="202">
        <v>45261</v>
      </c>
      <c r="C66" s="66"/>
      <c r="D66" s="200">
        <v>21731.400390999999</v>
      </c>
      <c r="E66" s="64">
        <f t="shared" si="0"/>
        <v>7.9383999471560829E-2</v>
      </c>
      <c r="F66" s="64"/>
      <c r="G66" s="200">
        <v>557.20001200000002</v>
      </c>
      <c r="H66" s="64">
        <f t="shared" si="1"/>
        <v>4.0943612450020872E-2</v>
      </c>
    </row>
    <row r="67" spans="2:8" x14ac:dyDescent="0.25">
      <c r="B67" s="202">
        <v>45292</v>
      </c>
      <c r="C67" s="66"/>
      <c r="D67" s="200">
        <v>21725.699218999998</v>
      </c>
      <c r="E67" s="64">
        <f t="shared" si="0"/>
        <v>-2.6234719794504535E-4</v>
      </c>
      <c r="F67" s="64"/>
      <c r="G67" s="200">
        <v>539.59997599999997</v>
      </c>
      <c r="H67" s="64">
        <f t="shared" si="1"/>
        <v>-3.1586567876814797E-2</v>
      </c>
    </row>
    <row r="68" spans="2:8" x14ac:dyDescent="0.25">
      <c r="B68" s="202">
        <v>45323</v>
      </c>
      <c r="C68" s="66"/>
      <c r="D68" s="200">
        <v>21930.5</v>
      </c>
      <c r="E68" s="64">
        <f t="shared" si="0"/>
        <v>9.4266600552443958E-3</v>
      </c>
      <c r="F68" s="64"/>
      <c r="G68" s="200">
        <v>539.20001200000002</v>
      </c>
      <c r="H68" s="64">
        <f t="shared" si="1"/>
        <v>-7.4122316121072451E-4</v>
      </c>
    </row>
  </sheetData>
  <mergeCells count="5">
    <mergeCell ref="G6:H6"/>
    <mergeCell ref="D6:E6"/>
    <mergeCell ref="J6:K6"/>
    <mergeCell ref="B2:K2"/>
    <mergeCell ref="B4:E4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FF56-D4C2-433D-97CA-64FA06B7CFE3}">
  <dimension ref="A1:CQ68"/>
  <sheetViews>
    <sheetView showGridLines="0" topLeftCell="W1" workbookViewId="0">
      <selection activeCell="AD14" sqref="AD14"/>
    </sheetView>
  </sheetViews>
  <sheetFormatPr defaultRowHeight="15" x14ac:dyDescent="0.25"/>
  <cols>
    <col min="1" max="1" width="1.85546875" customWidth="1"/>
    <col min="2" max="2" width="16" bestFit="1" customWidth="1"/>
    <col min="3" max="3" width="2.7109375" customWidth="1"/>
    <col min="4" max="4" width="12.28515625" bestFit="1" customWidth="1"/>
    <col min="6" max="6" width="2.7109375" customWidth="1"/>
    <col min="7" max="7" width="12.28515625" bestFit="1" customWidth="1"/>
    <col min="9" max="9" width="2.7109375" customWidth="1"/>
    <col min="10" max="10" width="18.85546875" bestFit="1" customWidth="1"/>
    <col min="11" max="14" width="9.28515625" bestFit="1" customWidth="1"/>
    <col min="15" max="15" width="12" bestFit="1" customWidth="1"/>
    <col min="20" max="20" width="12.5703125" bestFit="1" customWidth="1"/>
    <col min="23" max="23" width="18.85546875" bestFit="1" customWidth="1"/>
    <col min="24" max="25" width="9.28515625" bestFit="1" customWidth="1"/>
    <col min="26" max="26" width="12.5703125" bestFit="1" customWidth="1"/>
    <col min="27" max="27" width="9" bestFit="1" customWidth="1"/>
    <col min="28" max="28" width="12" bestFit="1" customWidth="1"/>
    <col min="31" max="31" width="12.5703125" bestFit="1" customWidth="1"/>
    <col min="32" max="32" width="12.28515625" bestFit="1" customWidth="1"/>
    <col min="35" max="35" width="18.85546875" style="100" bestFit="1" customWidth="1"/>
    <col min="36" max="44" width="9.140625" style="100"/>
    <col min="45" max="45" width="12.28515625" style="100" bestFit="1" customWidth="1"/>
    <col min="46" max="47" width="9.140625" style="100"/>
    <col min="48" max="48" width="18.85546875" style="100" bestFit="1" customWidth="1"/>
    <col min="49" max="52" width="9.28515625" style="100" bestFit="1" customWidth="1"/>
    <col min="53" max="53" width="12" style="100" bestFit="1" customWidth="1"/>
    <col min="54" max="57" width="9.140625" style="100"/>
    <col min="58" max="58" width="12.28515625" style="100" bestFit="1" customWidth="1"/>
    <col min="59" max="59" width="8.5703125" style="100" bestFit="1" customWidth="1"/>
    <col min="60" max="60" width="9.140625" style="100"/>
    <col min="61" max="61" width="18.85546875" style="100" bestFit="1" customWidth="1"/>
    <col min="62" max="65" width="9.28515625" style="100" bestFit="1" customWidth="1"/>
    <col min="66" max="66" width="12" style="100" bestFit="1" customWidth="1"/>
    <col min="67" max="70" width="9.140625" style="100"/>
    <col min="71" max="71" width="12.28515625" style="100" bestFit="1" customWidth="1"/>
    <col min="72" max="72" width="8.5703125" style="100" bestFit="1" customWidth="1"/>
    <col min="73" max="73" width="9.140625" style="100"/>
    <col min="74" max="74" width="18.85546875" style="100" bestFit="1" customWidth="1"/>
    <col min="75" max="78" width="9.28515625" style="100" bestFit="1" customWidth="1"/>
    <col min="79" max="79" width="12" style="100" bestFit="1" customWidth="1"/>
    <col min="80" max="83" width="9.140625" style="100"/>
    <col min="84" max="84" width="12.28515625" style="100" bestFit="1" customWidth="1"/>
    <col min="85" max="85" width="8.5703125" style="100" bestFit="1" customWidth="1"/>
    <col min="86" max="86" width="9.140625" style="100"/>
    <col min="87" max="87" width="18.85546875" style="100" bestFit="1" customWidth="1"/>
    <col min="88" max="88" width="11.5703125" style="100" customWidth="1"/>
    <col min="89" max="91" width="9.28515625" style="100" bestFit="1" customWidth="1"/>
    <col min="92" max="92" width="12" style="100" bestFit="1" customWidth="1"/>
    <col min="93" max="16384" width="9.140625" style="100"/>
  </cols>
  <sheetData>
    <row r="1" spans="1:88" customFormat="1" x14ac:dyDescent="0.25"/>
    <row r="2" spans="1:88" customFormat="1" x14ac:dyDescent="0.25">
      <c r="B2" s="77"/>
      <c r="C2" s="65"/>
      <c r="D2" s="65"/>
      <c r="E2" s="65"/>
      <c r="F2" s="65"/>
      <c r="G2" s="65"/>
      <c r="H2" s="65"/>
      <c r="I2" s="65"/>
      <c r="J2" s="65" t="s">
        <v>204</v>
      </c>
      <c r="K2" s="65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</row>
    <row r="3" spans="1:88" customFormat="1" x14ac:dyDescent="0.25">
      <c r="B3" s="67"/>
      <c r="C3" s="67"/>
      <c r="D3" s="67"/>
      <c r="E3" s="67"/>
      <c r="F3" s="67"/>
      <c r="G3" s="67"/>
      <c r="H3" s="67"/>
      <c r="I3" s="67"/>
      <c r="J3" s="67"/>
      <c r="K3" s="67"/>
    </row>
    <row r="4" spans="1:88" customFormat="1" x14ac:dyDescent="0.25">
      <c r="B4" s="235" t="s">
        <v>205</v>
      </c>
      <c r="C4" s="235"/>
      <c r="D4" s="235"/>
      <c r="E4" s="235"/>
      <c r="F4" s="67"/>
      <c r="G4" s="67"/>
      <c r="H4" s="67"/>
      <c r="I4" s="67"/>
      <c r="J4" s="67"/>
      <c r="K4" s="67"/>
    </row>
    <row r="5" spans="1:88" customFormat="1" x14ac:dyDescent="0.25"/>
    <row r="6" spans="1:88" s="217" customFormat="1" x14ac:dyDescent="0.25">
      <c r="A6"/>
      <c r="B6" s="65" t="s">
        <v>206</v>
      </c>
      <c r="C6" s="68"/>
      <c r="D6" s="229" t="s">
        <v>207</v>
      </c>
      <c r="E6" s="229"/>
      <c r="F6" s="67"/>
      <c r="G6" s="229" t="str">
        <f>Peers!C6</f>
        <v>Godrej Consumer</v>
      </c>
      <c r="H6" s="229"/>
      <c r="I6"/>
      <c r="J6" s="229" t="s">
        <v>208</v>
      </c>
      <c r="K6" s="229"/>
      <c r="L6"/>
      <c r="M6"/>
      <c r="N6"/>
      <c r="O6"/>
      <c r="P6"/>
      <c r="Q6"/>
      <c r="R6"/>
      <c r="S6"/>
      <c r="T6" s="229" t="str">
        <f>Peers!C7</f>
        <v>Emami</v>
      </c>
      <c r="U6" s="229"/>
      <c r="V6"/>
      <c r="W6" s="229" t="s">
        <v>208</v>
      </c>
      <c r="X6" s="229"/>
      <c r="Y6"/>
      <c r="Z6"/>
      <c r="AA6"/>
      <c r="AB6"/>
      <c r="AC6"/>
      <c r="AD6"/>
      <c r="AE6"/>
      <c r="AF6" s="229" t="str">
        <f>Peers!C8</f>
        <v>Jyothy Labs</v>
      </c>
      <c r="AG6" s="229"/>
      <c r="AH6"/>
      <c r="AI6" s="229" t="s">
        <v>208</v>
      </c>
      <c r="AJ6" s="229"/>
      <c r="AK6"/>
      <c r="AL6"/>
      <c r="AM6"/>
      <c r="AN6"/>
      <c r="AO6"/>
      <c r="AP6"/>
      <c r="AQ6"/>
      <c r="AR6"/>
      <c r="AS6" s="236"/>
      <c r="AT6" s="236"/>
      <c r="AV6" s="236"/>
      <c r="AW6" s="236"/>
      <c r="BF6" s="236"/>
      <c r="BG6" s="236"/>
      <c r="BI6" s="236"/>
      <c r="BJ6" s="236"/>
      <c r="BS6" s="236"/>
      <c r="BT6" s="236"/>
      <c r="BV6" s="236"/>
      <c r="BW6" s="236"/>
      <c r="CF6" s="236"/>
      <c r="CG6" s="236"/>
      <c r="CI6" s="236"/>
      <c r="CJ6" s="236"/>
    </row>
    <row r="7" spans="1:88" s="217" customFormat="1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</row>
    <row r="8" spans="1:88" s="217" customFormat="1" x14ac:dyDescent="0.25">
      <c r="A8"/>
      <c r="B8" s="148" t="s">
        <v>209</v>
      </c>
      <c r="C8" s="11"/>
      <c r="D8" s="148" t="s">
        <v>210</v>
      </c>
      <c r="E8" s="201" t="s">
        <v>211</v>
      </c>
      <c r="F8" s="71"/>
      <c r="G8" s="201" t="s">
        <v>210</v>
      </c>
      <c r="H8" s="201" t="s">
        <v>211</v>
      </c>
      <c r="I8"/>
      <c r="J8" s="203" t="s">
        <v>212</v>
      </c>
      <c r="K8" s="72">
        <f>K33</f>
        <v>0.54988768470720872</v>
      </c>
      <c r="L8"/>
      <c r="M8"/>
      <c r="N8"/>
      <c r="O8"/>
      <c r="P8"/>
      <c r="Q8"/>
      <c r="R8"/>
      <c r="S8"/>
      <c r="T8" s="201" t="s">
        <v>210</v>
      </c>
      <c r="U8" s="201" t="s">
        <v>211</v>
      </c>
      <c r="V8"/>
      <c r="W8" s="203" t="s">
        <v>212</v>
      </c>
      <c r="X8" s="72">
        <f>X33</f>
        <v>1.068273267231548</v>
      </c>
      <c r="Y8"/>
      <c r="Z8"/>
      <c r="AA8"/>
      <c r="AB8"/>
      <c r="AC8"/>
      <c r="AD8"/>
      <c r="AE8"/>
      <c r="AF8" s="201" t="s">
        <v>210</v>
      </c>
      <c r="AG8" s="201" t="s">
        <v>211</v>
      </c>
      <c r="AH8"/>
      <c r="AI8" s="203" t="s">
        <v>212</v>
      </c>
      <c r="AJ8" s="72">
        <f>AJ33</f>
        <v>1.0699021151373458</v>
      </c>
      <c r="AK8"/>
      <c r="AL8"/>
      <c r="AM8"/>
      <c r="AN8"/>
      <c r="AO8"/>
      <c r="AP8"/>
      <c r="AQ8"/>
      <c r="AR8"/>
      <c r="AS8" s="218"/>
      <c r="AT8" s="218"/>
      <c r="AV8" s="219"/>
      <c r="AW8" s="220"/>
      <c r="BF8" s="218"/>
      <c r="BG8" s="218"/>
      <c r="BI8" s="219"/>
      <c r="BJ8" s="220"/>
      <c r="BS8" s="218"/>
      <c r="BT8" s="218"/>
      <c r="BV8" s="219"/>
      <c r="BW8" s="220"/>
      <c r="CF8" s="218"/>
      <c r="CG8" s="218"/>
      <c r="CI8" s="219"/>
      <c r="CJ8" s="220"/>
    </row>
    <row r="9" spans="1:88" s="217" customFormat="1" x14ac:dyDescent="0.25">
      <c r="A9"/>
      <c r="B9" s="202">
        <v>43525</v>
      </c>
      <c r="C9" s="66"/>
      <c r="D9" s="200">
        <v>11623.900390999999</v>
      </c>
      <c r="E9"/>
      <c r="F9"/>
      <c r="G9" s="200">
        <v>674.421875</v>
      </c>
      <c r="H9"/>
      <c r="I9"/>
      <c r="J9" s="166" t="s">
        <v>214</v>
      </c>
      <c r="K9" s="181">
        <v>0.75</v>
      </c>
      <c r="L9"/>
      <c r="M9"/>
      <c r="N9"/>
      <c r="O9"/>
      <c r="P9"/>
      <c r="Q9"/>
      <c r="R9"/>
      <c r="S9"/>
      <c r="T9" s="206">
        <v>360.05682400000001</v>
      </c>
      <c r="U9"/>
      <c r="V9"/>
      <c r="W9" s="166" t="s">
        <v>214</v>
      </c>
      <c r="X9" s="181">
        <v>0.75</v>
      </c>
      <c r="Y9"/>
      <c r="Z9"/>
      <c r="AA9"/>
      <c r="AB9"/>
      <c r="AC9"/>
      <c r="AD9"/>
      <c r="AE9"/>
      <c r="AF9" s="207">
        <v>158.400375</v>
      </c>
      <c r="AG9"/>
      <c r="AH9"/>
      <c r="AI9" s="166" t="s">
        <v>214</v>
      </c>
      <c r="AJ9" s="181">
        <v>0.75</v>
      </c>
      <c r="AK9"/>
      <c r="AL9"/>
      <c r="AM9"/>
      <c r="AN9"/>
      <c r="AO9"/>
      <c r="AP9"/>
      <c r="AQ9"/>
      <c r="AR9"/>
      <c r="AS9" s="221"/>
      <c r="AV9" s="222"/>
      <c r="AW9" s="223"/>
      <c r="BF9" s="221"/>
      <c r="BI9" s="222"/>
      <c r="BJ9" s="223"/>
      <c r="BS9" s="221"/>
      <c r="BV9" s="222"/>
      <c r="BW9" s="223"/>
      <c r="CF9" s="221"/>
      <c r="CI9" s="222"/>
      <c r="CJ9" s="223"/>
    </row>
    <row r="10" spans="1:88" s="217" customFormat="1" x14ac:dyDescent="0.25">
      <c r="A10"/>
      <c r="B10" s="202">
        <v>43556</v>
      </c>
      <c r="C10" s="66"/>
      <c r="D10" s="200">
        <v>11748.150390999999</v>
      </c>
      <c r="E10" s="64">
        <f>D10/D9-1</f>
        <v>1.0689183133073099E-2</v>
      </c>
      <c r="F10" s="64"/>
      <c r="G10" s="200">
        <v>640.79901099999995</v>
      </c>
      <c r="H10" s="64">
        <f>G10/G9-1</f>
        <v>-4.9854349697657785E-2</v>
      </c>
      <c r="I10"/>
      <c r="J10"/>
      <c r="K10"/>
      <c r="L10"/>
      <c r="M10"/>
      <c r="N10"/>
      <c r="O10"/>
      <c r="P10"/>
      <c r="Q10"/>
      <c r="R10"/>
      <c r="S10"/>
      <c r="T10" s="206">
        <v>348.535034</v>
      </c>
      <c r="U10" s="64">
        <f>T10/T9-1</f>
        <v>-3.1999921212436222E-2</v>
      </c>
      <c r="V10"/>
      <c r="W10"/>
      <c r="X10"/>
      <c r="Y10"/>
      <c r="Z10"/>
      <c r="AA10"/>
      <c r="AB10"/>
      <c r="AC10"/>
      <c r="AD10"/>
      <c r="AE10"/>
      <c r="AF10" s="207">
        <v>155.45742799999999</v>
      </c>
      <c r="AG10" s="64">
        <f>AF10/AF9-1</f>
        <v>-1.8579166873815778E-2</v>
      </c>
      <c r="AH10"/>
      <c r="AI10"/>
      <c r="AJ10"/>
      <c r="AK10"/>
      <c r="AL10"/>
      <c r="AM10"/>
      <c r="AN10"/>
      <c r="AO10"/>
      <c r="AP10"/>
      <c r="AQ10"/>
      <c r="AR10"/>
      <c r="AS10" s="221"/>
      <c r="AT10" s="224"/>
      <c r="BF10" s="221"/>
      <c r="BG10" s="224"/>
      <c r="BS10" s="221"/>
      <c r="BT10" s="224"/>
      <c r="CF10" s="221"/>
      <c r="CG10" s="224"/>
    </row>
    <row r="11" spans="1:88" s="217" customFormat="1" x14ac:dyDescent="0.25">
      <c r="A11"/>
      <c r="B11" s="202">
        <v>43586</v>
      </c>
      <c r="C11" s="66"/>
      <c r="D11" s="200">
        <v>11922.799805000001</v>
      </c>
      <c r="E11" s="64">
        <f t="shared" ref="E11:E68" si="0">D11/D10-1</f>
        <v>1.4866120043355524E-2</v>
      </c>
      <c r="F11" s="64"/>
      <c r="G11" s="200">
        <v>676.43725600000005</v>
      </c>
      <c r="H11" s="64">
        <f t="shared" ref="H11:H68" si="1">G11/G10-1</f>
        <v>5.5615324599806781E-2</v>
      </c>
      <c r="I11"/>
      <c r="J11" s="166" t="s">
        <v>216</v>
      </c>
      <c r="K11" s="166">
        <v>1</v>
      </c>
      <c r="L11"/>
      <c r="M11"/>
      <c r="N11"/>
      <c r="O11"/>
      <c r="P11"/>
      <c r="Q11"/>
      <c r="R11"/>
      <c r="S11"/>
      <c r="T11" s="206">
        <v>313.51947000000001</v>
      </c>
      <c r="U11" s="64">
        <f t="shared" ref="U11:U68" si="2">T11/T10-1</f>
        <v>-0.10046497649932085</v>
      </c>
      <c r="V11"/>
      <c r="W11" s="166" t="s">
        <v>216</v>
      </c>
      <c r="X11" s="166">
        <v>1</v>
      </c>
      <c r="Y11"/>
      <c r="Z11"/>
      <c r="AA11"/>
      <c r="AB11"/>
      <c r="AC11"/>
      <c r="AD11"/>
      <c r="AE11"/>
      <c r="AF11" s="207">
        <v>147.92690999999999</v>
      </c>
      <c r="AG11" s="64">
        <f>AF11/AF10-1</f>
        <v>-4.8441030427957443E-2</v>
      </c>
      <c r="AH11"/>
      <c r="AI11" s="166" t="s">
        <v>216</v>
      </c>
      <c r="AJ11" s="166">
        <v>1</v>
      </c>
      <c r="AK11"/>
      <c r="AL11"/>
      <c r="AM11"/>
      <c r="AN11"/>
      <c r="AO11"/>
      <c r="AP11"/>
      <c r="AQ11"/>
      <c r="AR11"/>
      <c r="AS11" s="221"/>
      <c r="AT11" s="224"/>
      <c r="AV11" s="222"/>
      <c r="AW11" s="222"/>
      <c r="BF11" s="221"/>
      <c r="BG11" s="224"/>
      <c r="BI11" s="222"/>
      <c r="BJ11" s="222"/>
      <c r="BS11" s="221"/>
      <c r="BT11" s="224"/>
      <c r="BV11" s="222"/>
      <c r="BW11" s="222"/>
      <c r="CF11" s="221"/>
      <c r="CG11" s="224"/>
      <c r="CI11" s="222"/>
      <c r="CJ11" s="222"/>
    </row>
    <row r="12" spans="1:88" s="217" customFormat="1" x14ac:dyDescent="0.25">
      <c r="A12"/>
      <c r="B12" s="202">
        <v>43617</v>
      </c>
      <c r="C12" s="66"/>
      <c r="D12" s="200">
        <v>11788.849609000001</v>
      </c>
      <c r="E12" s="64">
        <f t="shared" si="0"/>
        <v>-1.1234793688628897E-2</v>
      </c>
      <c r="F12" s="64"/>
      <c r="G12" s="200">
        <v>653.94842500000004</v>
      </c>
      <c r="H12" s="64">
        <f t="shared" si="1"/>
        <v>-3.3245997024149765E-2</v>
      </c>
      <c r="I12"/>
      <c r="J12" s="166" t="s">
        <v>218</v>
      </c>
      <c r="K12" s="181">
        <v>0.25</v>
      </c>
      <c r="L12"/>
      <c r="M12"/>
      <c r="N12"/>
      <c r="O12"/>
      <c r="P12"/>
      <c r="Q12"/>
      <c r="R12"/>
      <c r="S12"/>
      <c r="T12" s="206">
        <v>269.23251299999998</v>
      </c>
      <c r="U12" s="64">
        <f t="shared" si="2"/>
        <v>-0.14125743769597476</v>
      </c>
      <c r="V12"/>
      <c r="W12" s="166" t="s">
        <v>218</v>
      </c>
      <c r="X12" s="181">
        <v>0.25</v>
      </c>
      <c r="Y12"/>
      <c r="Z12"/>
      <c r="AA12"/>
      <c r="AB12"/>
      <c r="AC12"/>
      <c r="AD12"/>
      <c r="AE12"/>
      <c r="AF12" s="207">
        <v>137.49671900000001</v>
      </c>
      <c r="AG12" s="64">
        <f t="shared" ref="AG12:AG68" si="3">AF12/AF11-1</f>
        <v>-7.0509084520186227E-2</v>
      </c>
      <c r="AH12"/>
      <c r="AI12" s="166" t="s">
        <v>218</v>
      </c>
      <c r="AJ12" s="181">
        <v>0.25</v>
      </c>
      <c r="AK12"/>
      <c r="AL12"/>
      <c r="AM12"/>
      <c r="AN12"/>
      <c r="AO12"/>
      <c r="AP12"/>
      <c r="AQ12"/>
      <c r="AR12"/>
      <c r="AS12" s="221"/>
      <c r="AT12" s="224"/>
      <c r="AV12" s="222"/>
      <c r="AW12" s="223"/>
      <c r="BF12" s="221"/>
      <c r="BG12" s="224"/>
      <c r="BI12" s="222"/>
      <c r="BJ12" s="223"/>
      <c r="BS12" s="221"/>
      <c r="BT12" s="224"/>
      <c r="BV12" s="222"/>
      <c r="BW12" s="223"/>
      <c r="CF12" s="221"/>
      <c r="CG12" s="224"/>
      <c r="CI12" s="222"/>
      <c r="CJ12" s="223"/>
    </row>
    <row r="13" spans="1:88" s="217" customFormat="1" x14ac:dyDescent="0.25">
      <c r="A13"/>
      <c r="B13" s="202">
        <v>43647</v>
      </c>
      <c r="C13" s="66"/>
      <c r="D13" s="200">
        <v>11118</v>
      </c>
      <c r="E13" s="64">
        <f t="shared" si="0"/>
        <v>-5.6905434478343953E-2</v>
      </c>
      <c r="F13" s="64"/>
      <c r="G13" s="200">
        <v>590.48651099999995</v>
      </c>
      <c r="H13" s="64">
        <f t="shared" si="1"/>
        <v>-9.7044218739421373E-2</v>
      </c>
      <c r="I13"/>
      <c r="J13"/>
      <c r="K13"/>
      <c r="L13"/>
      <c r="M13"/>
      <c r="N13"/>
      <c r="O13"/>
      <c r="P13"/>
      <c r="Q13"/>
      <c r="R13"/>
      <c r="S13"/>
      <c r="T13" s="206">
        <v>288.13552900000002</v>
      </c>
      <c r="U13" s="64">
        <f t="shared" si="2"/>
        <v>7.0210747540732754E-2</v>
      </c>
      <c r="V13"/>
      <c r="W13"/>
      <c r="X13"/>
      <c r="Y13"/>
      <c r="Z13"/>
      <c r="AA13"/>
      <c r="AB13"/>
      <c r="AC13"/>
      <c r="AD13"/>
      <c r="AE13"/>
      <c r="AF13" s="207">
        <v>132.865891</v>
      </c>
      <c r="AG13" s="64">
        <f t="shared" si="3"/>
        <v>-3.3679552746273211E-2</v>
      </c>
      <c r="AH13"/>
      <c r="AI13"/>
      <c r="AJ13"/>
      <c r="AK13"/>
      <c r="AL13"/>
      <c r="AM13"/>
      <c r="AN13"/>
      <c r="AO13"/>
      <c r="AP13"/>
      <c r="AQ13"/>
      <c r="AR13"/>
      <c r="AS13" s="221"/>
      <c r="AT13" s="224"/>
      <c r="BF13" s="221"/>
      <c r="BG13" s="224"/>
      <c r="BS13" s="221"/>
      <c r="BT13" s="224"/>
      <c r="CF13" s="221"/>
      <c r="CG13" s="224"/>
    </row>
    <row r="14" spans="1:88" s="217" customFormat="1" x14ac:dyDescent="0.25">
      <c r="A14"/>
      <c r="B14" s="202">
        <v>43678</v>
      </c>
      <c r="C14" s="66"/>
      <c r="D14" s="200">
        <v>11023.25</v>
      </c>
      <c r="E14" s="64">
        <f t="shared" si="0"/>
        <v>-8.5222162259399603E-3</v>
      </c>
      <c r="F14" s="64"/>
      <c r="G14" s="200">
        <v>600.54577600000005</v>
      </c>
      <c r="H14" s="64">
        <f t="shared" si="1"/>
        <v>1.7035554263491237E-2</v>
      </c>
      <c r="I14"/>
      <c r="J14" s="204" t="s">
        <v>221</v>
      </c>
      <c r="K14" s="75">
        <f>(K8*K9)+(K11*K12)</f>
        <v>0.66241576353040654</v>
      </c>
      <c r="L14"/>
      <c r="M14"/>
      <c r="N14"/>
      <c r="O14"/>
      <c r="P14"/>
      <c r="Q14"/>
      <c r="R14"/>
      <c r="S14"/>
      <c r="T14" s="206">
        <v>270.70822099999998</v>
      </c>
      <c r="U14" s="64">
        <f t="shared" si="2"/>
        <v>-6.0483023598245755E-2</v>
      </c>
      <c r="V14"/>
      <c r="W14" s="204" t="s">
        <v>221</v>
      </c>
      <c r="X14" s="75">
        <f>(X8*X9)+(X11*X12)</f>
        <v>1.0512049504236609</v>
      </c>
      <c r="Y14"/>
      <c r="Z14"/>
      <c r="AA14"/>
      <c r="AB14"/>
      <c r="AC14"/>
      <c r="AD14"/>
      <c r="AE14"/>
      <c r="AF14" s="207">
        <v>125.47802</v>
      </c>
      <c r="AG14" s="64">
        <f t="shared" si="3"/>
        <v>-5.5603969870641978E-2</v>
      </c>
      <c r="AH14"/>
      <c r="AI14" s="204" t="s">
        <v>221</v>
      </c>
      <c r="AJ14" s="75">
        <f>(AJ8*AJ9)+(AJ11*AJ12)</f>
        <v>1.0524265863530093</v>
      </c>
      <c r="AK14"/>
      <c r="AL14"/>
      <c r="AM14"/>
      <c r="AN14"/>
      <c r="AO14"/>
      <c r="AP14"/>
      <c r="AQ14"/>
      <c r="AR14"/>
      <c r="AS14" s="221"/>
      <c r="AT14" s="224"/>
      <c r="AV14" s="225"/>
      <c r="AW14" s="226"/>
      <c r="BF14" s="221"/>
      <c r="BG14" s="224"/>
      <c r="BI14" s="225"/>
      <c r="BJ14" s="226"/>
      <c r="BS14" s="221"/>
      <c r="BT14" s="224"/>
      <c r="BV14" s="225"/>
      <c r="BW14" s="226"/>
      <c r="CF14" s="221"/>
      <c r="CG14" s="224"/>
      <c r="CI14" s="225"/>
      <c r="CJ14" s="226"/>
    </row>
    <row r="15" spans="1:88" s="217" customFormat="1" x14ac:dyDescent="0.25">
      <c r="A15"/>
      <c r="B15" s="202">
        <v>43709</v>
      </c>
      <c r="C15" s="66"/>
      <c r="D15" s="200">
        <v>11474.450194999999</v>
      </c>
      <c r="E15" s="64">
        <f t="shared" si="0"/>
        <v>4.0931684847935079E-2</v>
      </c>
      <c r="F15" s="64"/>
      <c r="G15" s="200">
        <v>679.95654300000001</v>
      </c>
      <c r="H15" s="64">
        <f t="shared" si="1"/>
        <v>0.13223099749185474</v>
      </c>
      <c r="I15"/>
      <c r="J15"/>
      <c r="K15"/>
      <c r="L15"/>
      <c r="M15"/>
      <c r="N15"/>
      <c r="O15"/>
      <c r="P15"/>
      <c r="Q15"/>
      <c r="R15"/>
      <c r="S15"/>
      <c r="T15" s="206">
        <v>294.070831</v>
      </c>
      <c r="U15" s="64">
        <f t="shared" si="2"/>
        <v>8.6301812016266854E-2</v>
      </c>
      <c r="V15"/>
      <c r="W15"/>
      <c r="X15"/>
      <c r="Y15"/>
      <c r="Z15"/>
      <c r="AA15"/>
      <c r="AB15"/>
      <c r="AC15"/>
      <c r="AD15"/>
      <c r="AE15"/>
      <c r="AF15" s="207">
        <v>148.88945000000001</v>
      </c>
      <c r="AG15" s="64">
        <f t="shared" si="3"/>
        <v>0.18657793611980811</v>
      </c>
      <c r="AH15"/>
      <c r="AI15"/>
      <c r="AJ15"/>
      <c r="AK15"/>
      <c r="AL15"/>
      <c r="AM15"/>
      <c r="AN15"/>
      <c r="AO15"/>
      <c r="AP15"/>
      <c r="AQ15"/>
      <c r="AR15"/>
      <c r="AS15" s="221"/>
      <c r="AT15" s="224"/>
      <c r="BF15" s="221"/>
      <c r="BG15" s="224"/>
      <c r="BS15" s="221"/>
      <c r="BT15" s="224"/>
      <c r="CF15" s="221"/>
      <c r="CG15" s="224"/>
    </row>
    <row r="16" spans="1:88" s="217" customFormat="1" x14ac:dyDescent="0.25">
      <c r="A16"/>
      <c r="B16" s="202">
        <v>43739</v>
      </c>
      <c r="C16" s="66"/>
      <c r="D16" s="200">
        <v>11877.450194999999</v>
      </c>
      <c r="E16" s="64">
        <f t="shared" si="0"/>
        <v>3.5121508495074449E-2</v>
      </c>
      <c r="F16" s="64"/>
      <c r="G16" s="200">
        <v>732.43975799999998</v>
      </c>
      <c r="H16" s="64">
        <f t="shared" si="1"/>
        <v>7.7186131290746252E-2</v>
      </c>
      <c r="I16"/>
      <c r="J16" t="s">
        <v>213</v>
      </c>
      <c r="K16"/>
      <c r="L16"/>
      <c r="M16"/>
      <c r="N16"/>
      <c r="O16"/>
      <c r="P16"/>
      <c r="Q16"/>
      <c r="R16"/>
      <c r="S16"/>
      <c r="T16" s="206">
        <v>301.96252399999997</v>
      </c>
      <c r="U16" s="64">
        <f t="shared" si="2"/>
        <v>2.6836027813992747E-2</v>
      </c>
      <c r="V16"/>
      <c r="W16" t="s">
        <v>213</v>
      </c>
      <c r="X16"/>
      <c r="Y16"/>
      <c r="Z16"/>
      <c r="AA16"/>
      <c r="AB16"/>
      <c r="AC16"/>
      <c r="AD16"/>
      <c r="AE16"/>
      <c r="AF16" s="207">
        <v>154.44465600000001</v>
      </c>
      <c r="AG16" s="64">
        <f t="shared" si="3"/>
        <v>3.7310944462485507E-2</v>
      </c>
      <c r="AH16"/>
      <c r="AI16" t="s">
        <v>213</v>
      </c>
      <c r="AJ16"/>
      <c r="AK16"/>
      <c r="AL16"/>
      <c r="AM16"/>
      <c r="AN16"/>
      <c r="AO16"/>
      <c r="AP16"/>
      <c r="AQ16"/>
      <c r="AR16" s="100"/>
      <c r="AS16" s="221"/>
      <c r="AT16" s="224"/>
      <c r="AV16" s="222"/>
      <c r="BF16" s="221"/>
      <c r="BG16" s="224"/>
      <c r="BI16" s="222"/>
      <c r="BS16" s="221"/>
      <c r="BT16" s="224"/>
      <c r="BV16" s="222"/>
      <c r="CF16" s="221"/>
      <c r="CG16" s="224"/>
      <c r="CI16" s="222"/>
    </row>
    <row r="17" spans="1:95" s="217" customFormat="1" ht="15.75" thickBot="1" x14ac:dyDescent="0.3">
      <c r="A17"/>
      <c r="B17" s="202">
        <v>43770</v>
      </c>
      <c r="C17" s="66"/>
      <c r="D17" s="200">
        <v>12056.049805000001</v>
      </c>
      <c r="E17" s="64">
        <f t="shared" si="0"/>
        <v>1.5036864568389152E-2</v>
      </c>
      <c r="F17" s="64"/>
      <c r="G17" s="200">
        <v>717.25372300000004</v>
      </c>
      <c r="H17" s="64">
        <f t="shared" si="1"/>
        <v>-2.07334935523803E-2</v>
      </c>
      <c r="I17"/>
      <c r="J17"/>
      <c r="K17"/>
      <c r="L17"/>
      <c r="M17"/>
      <c r="N17"/>
      <c r="O17"/>
      <c r="P17"/>
      <c r="Q17"/>
      <c r="R17"/>
      <c r="S17"/>
      <c r="T17" s="206">
        <v>290.88638300000002</v>
      </c>
      <c r="U17" s="64">
        <f t="shared" si="2"/>
        <v>-3.6680515360905996E-2</v>
      </c>
      <c r="V17"/>
      <c r="W17"/>
      <c r="X17"/>
      <c r="Y17"/>
      <c r="Z17"/>
      <c r="AA17"/>
      <c r="AB17"/>
      <c r="AC17"/>
      <c r="AD17"/>
      <c r="AE17"/>
      <c r="AF17" s="207">
        <v>157.795456</v>
      </c>
      <c r="AG17" s="64">
        <f t="shared" si="3"/>
        <v>2.1695797619569301E-2</v>
      </c>
      <c r="AH17"/>
      <c r="AI17"/>
      <c r="AJ17"/>
      <c r="AK17"/>
      <c r="AL17"/>
      <c r="AM17"/>
      <c r="AN17"/>
      <c r="AO17"/>
      <c r="AP17"/>
      <c r="AQ17"/>
      <c r="AR17" s="100"/>
      <c r="AS17" s="221"/>
      <c r="AT17" s="224"/>
      <c r="BF17" s="221"/>
      <c r="BG17" s="224"/>
      <c r="BS17" s="221"/>
      <c r="BT17" s="224"/>
      <c r="CF17" s="221"/>
      <c r="CG17" s="224"/>
    </row>
    <row r="18" spans="1:95" s="217" customFormat="1" x14ac:dyDescent="0.25">
      <c r="A18"/>
      <c r="B18" s="202">
        <v>43800</v>
      </c>
      <c r="C18" s="66"/>
      <c r="D18" s="200">
        <v>12168.450194999999</v>
      </c>
      <c r="E18" s="64">
        <f t="shared" si="0"/>
        <v>9.3231524270398491E-3</v>
      </c>
      <c r="F18" s="64"/>
      <c r="G18" s="200">
        <v>679.09808299999997</v>
      </c>
      <c r="H18" s="64">
        <f t="shared" si="1"/>
        <v>-5.3196851792430611E-2</v>
      </c>
      <c r="I18"/>
      <c r="J18" s="99" t="s">
        <v>215</v>
      </c>
      <c r="K18" s="99"/>
      <c r="L18"/>
      <c r="M18"/>
      <c r="N18"/>
      <c r="O18"/>
      <c r="P18"/>
      <c r="Q18"/>
      <c r="R18"/>
      <c r="S18"/>
      <c r="T18" s="206">
        <v>287.812836</v>
      </c>
      <c r="U18" s="64">
        <f t="shared" si="2"/>
        <v>-1.0566142589080951E-2</v>
      </c>
      <c r="V18"/>
      <c r="W18" s="99" t="s">
        <v>215</v>
      </c>
      <c r="X18" s="99"/>
      <c r="Y18"/>
      <c r="Z18"/>
      <c r="AA18"/>
      <c r="AB18"/>
      <c r="AC18"/>
      <c r="AD18"/>
      <c r="AE18"/>
      <c r="AF18" s="207">
        <v>129.62240600000001</v>
      </c>
      <c r="AG18" s="64">
        <f t="shared" si="3"/>
        <v>-0.17854157980315977</v>
      </c>
      <c r="AH18"/>
      <c r="AI18" s="99" t="s">
        <v>215</v>
      </c>
      <c r="AJ18" s="99"/>
      <c r="AK18"/>
      <c r="AL18"/>
      <c r="AM18"/>
      <c r="AN18"/>
      <c r="AO18"/>
      <c r="AP18"/>
      <c r="AQ18"/>
      <c r="AR18" s="100"/>
      <c r="AS18" s="221"/>
      <c r="AT18" s="224"/>
      <c r="AV18" s="215"/>
      <c r="AW18" s="101"/>
      <c r="BF18" s="221"/>
      <c r="BG18" s="224"/>
      <c r="BI18" s="215"/>
      <c r="BJ18" s="101"/>
      <c r="BS18" s="221"/>
      <c r="BT18" s="224"/>
      <c r="BV18" s="215"/>
      <c r="BW18" s="101"/>
      <c r="CF18" s="221"/>
      <c r="CG18" s="224"/>
      <c r="CI18" s="215"/>
      <c r="CJ18" s="101"/>
    </row>
    <row r="19" spans="1:95" s="217" customFormat="1" x14ac:dyDescent="0.25">
      <c r="A19"/>
      <c r="B19" s="202">
        <v>43831</v>
      </c>
      <c r="C19" s="66"/>
      <c r="D19" s="200">
        <v>11962.099609000001</v>
      </c>
      <c r="E19" s="64">
        <f t="shared" si="0"/>
        <v>-1.6957836264538284E-2</v>
      </c>
      <c r="F19" s="64"/>
      <c r="G19" s="200">
        <v>667.29290800000001</v>
      </c>
      <c r="H19" s="64">
        <f t="shared" si="1"/>
        <v>-1.7383608193751843E-2</v>
      </c>
      <c r="I19"/>
      <c r="J19" s="96" t="s">
        <v>217</v>
      </c>
      <c r="K19" s="96">
        <v>0.37350821396525535</v>
      </c>
      <c r="L19"/>
      <c r="M19"/>
      <c r="N19"/>
      <c r="O19"/>
      <c r="P19"/>
      <c r="Q19"/>
      <c r="R19"/>
      <c r="S19"/>
      <c r="T19" s="206">
        <v>273.69622800000002</v>
      </c>
      <c r="U19" s="64">
        <f t="shared" si="2"/>
        <v>-4.9047874987757645E-2</v>
      </c>
      <c r="V19"/>
      <c r="W19" s="96" t="s">
        <v>217</v>
      </c>
      <c r="X19" s="96">
        <v>0.51626706388110166</v>
      </c>
      <c r="Y19"/>
      <c r="Z19"/>
      <c r="AA19"/>
      <c r="AB19"/>
      <c r="AC19"/>
      <c r="AD19"/>
      <c r="AE19"/>
      <c r="AF19" s="207">
        <v>136.32399000000001</v>
      </c>
      <c r="AG19" s="64">
        <f t="shared" si="3"/>
        <v>5.1700814749573443E-2</v>
      </c>
      <c r="AH19"/>
      <c r="AI19" s="96" t="s">
        <v>217</v>
      </c>
      <c r="AJ19" s="96">
        <v>0.52105922423205231</v>
      </c>
      <c r="AK19"/>
      <c r="AL19"/>
      <c r="AM19"/>
      <c r="AN19"/>
      <c r="AO19"/>
      <c r="AP19"/>
      <c r="AQ19"/>
      <c r="AR19" s="100"/>
      <c r="AS19" s="221"/>
      <c r="AT19" s="224"/>
      <c r="AV19" s="205"/>
      <c r="AW19" s="205"/>
      <c r="BF19" s="221"/>
      <c r="BG19" s="224"/>
      <c r="BI19" s="205"/>
      <c r="BJ19" s="205"/>
      <c r="BS19" s="221"/>
      <c r="BT19" s="224"/>
      <c r="BV19" s="205"/>
      <c r="BW19" s="205"/>
      <c r="CF19" s="221"/>
      <c r="CG19" s="224"/>
      <c r="CI19" s="205"/>
      <c r="CJ19" s="205"/>
    </row>
    <row r="20" spans="1:95" s="217" customFormat="1" x14ac:dyDescent="0.25">
      <c r="A20"/>
      <c r="B20" s="202">
        <v>43862</v>
      </c>
      <c r="C20" s="66"/>
      <c r="D20" s="200">
        <v>11201.75</v>
      </c>
      <c r="E20" s="64">
        <f t="shared" si="0"/>
        <v>-6.35632233348008E-2</v>
      </c>
      <c r="F20" s="64"/>
      <c r="G20" s="200">
        <v>556.03613299999995</v>
      </c>
      <c r="H20" s="64">
        <f t="shared" si="1"/>
        <v>-0.16672854404141224</v>
      </c>
      <c r="I20"/>
      <c r="J20" s="96" t="s">
        <v>219</v>
      </c>
      <c r="K20" s="96">
        <v>0.13950838589951498</v>
      </c>
      <c r="L20"/>
      <c r="M20"/>
      <c r="N20"/>
      <c r="O20"/>
      <c r="P20"/>
      <c r="Q20"/>
      <c r="R20"/>
      <c r="S20"/>
      <c r="T20" s="206">
        <v>238.26521299999999</v>
      </c>
      <c r="U20" s="64">
        <f t="shared" si="2"/>
        <v>-0.12945379356853992</v>
      </c>
      <c r="V20"/>
      <c r="W20" s="96" t="s">
        <v>219</v>
      </c>
      <c r="X20" s="96">
        <v>0.26653168124841348</v>
      </c>
      <c r="Y20"/>
      <c r="Z20"/>
      <c r="AA20"/>
      <c r="AB20"/>
      <c r="AC20"/>
      <c r="AD20"/>
      <c r="AE20"/>
      <c r="AF20" s="207">
        <v>108.59184999999999</v>
      </c>
      <c r="AG20" s="64">
        <f t="shared" si="3"/>
        <v>-0.20342817137321179</v>
      </c>
      <c r="AH20"/>
      <c r="AI20" s="96" t="s">
        <v>219</v>
      </c>
      <c r="AJ20" s="96">
        <v>0.27150271515730812</v>
      </c>
      <c r="AK20"/>
      <c r="AL20"/>
      <c r="AM20"/>
      <c r="AN20"/>
      <c r="AO20"/>
      <c r="AP20"/>
      <c r="AQ20"/>
      <c r="AR20" s="100"/>
      <c r="AS20" s="221"/>
      <c r="AT20" s="224"/>
      <c r="AV20" s="205"/>
      <c r="AW20" s="205"/>
      <c r="BF20" s="221"/>
      <c r="BG20" s="224"/>
      <c r="BI20" s="205"/>
      <c r="BJ20" s="205"/>
      <c r="BS20" s="221"/>
      <c r="BT20" s="224"/>
      <c r="BV20" s="205"/>
      <c r="BW20" s="205"/>
      <c r="CF20" s="221"/>
      <c r="CG20" s="224"/>
      <c r="CI20" s="205"/>
      <c r="CJ20" s="205"/>
    </row>
    <row r="21" spans="1:95" s="217" customFormat="1" x14ac:dyDescent="0.25">
      <c r="A21"/>
      <c r="B21" s="202">
        <v>43891</v>
      </c>
      <c r="C21" s="66"/>
      <c r="D21" s="200">
        <v>8597.75</v>
      </c>
      <c r="E21" s="64">
        <f t="shared" si="0"/>
        <v>-0.23246367755038277</v>
      </c>
      <c r="F21" s="64"/>
      <c r="G21" s="200">
        <v>518.28546100000005</v>
      </c>
      <c r="H21" s="64">
        <f t="shared" si="1"/>
        <v>-6.7892479929896776E-2</v>
      </c>
      <c r="I21"/>
      <c r="J21" s="96" t="s">
        <v>220</v>
      </c>
      <c r="K21" s="96">
        <v>0.12441204179248894</v>
      </c>
      <c r="L21"/>
      <c r="M21"/>
      <c r="N21"/>
      <c r="O21"/>
      <c r="P21"/>
      <c r="Q21"/>
      <c r="R21"/>
      <c r="S21"/>
      <c r="T21" s="206">
        <v>157.837357</v>
      </c>
      <c r="U21" s="64">
        <f t="shared" si="2"/>
        <v>-0.33755601578313488</v>
      </c>
      <c r="V21"/>
      <c r="W21" s="96" t="s">
        <v>220</v>
      </c>
      <c r="X21" s="96">
        <v>0.25366381600715759</v>
      </c>
      <c r="Y21"/>
      <c r="Z21"/>
      <c r="AA21"/>
      <c r="AB21"/>
      <c r="AC21"/>
      <c r="AD21"/>
      <c r="AE21"/>
      <c r="AF21" s="207">
        <v>81.300590999999997</v>
      </c>
      <c r="AG21" s="64">
        <f t="shared" si="3"/>
        <v>-0.25131958798012921</v>
      </c>
      <c r="AH21"/>
      <c r="AI21" s="96" t="s">
        <v>220</v>
      </c>
      <c r="AJ21" s="96">
        <v>0.25872206103726092</v>
      </c>
      <c r="AK21"/>
      <c r="AL21"/>
      <c r="AM21"/>
      <c r="AN21"/>
      <c r="AO21"/>
      <c r="AP21"/>
      <c r="AQ21"/>
      <c r="AR21" s="100"/>
      <c r="AS21" s="221"/>
      <c r="AT21" s="224"/>
      <c r="AV21" s="205"/>
      <c r="AW21" s="205"/>
      <c r="BF21" s="221"/>
      <c r="BG21" s="224"/>
      <c r="BI21" s="205"/>
      <c r="BJ21" s="205"/>
      <c r="BS21" s="221"/>
      <c r="BT21" s="224"/>
      <c r="BV21" s="205"/>
      <c r="BW21" s="205"/>
      <c r="CF21" s="221"/>
      <c r="CG21" s="224"/>
      <c r="CI21" s="205"/>
      <c r="CJ21" s="205"/>
    </row>
    <row r="22" spans="1:95" s="217" customFormat="1" x14ac:dyDescent="0.25">
      <c r="A22"/>
      <c r="B22" s="202">
        <v>43922</v>
      </c>
      <c r="C22" s="66"/>
      <c r="D22" s="200">
        <v>9859.9003909999992</v>
      </c>
      <c r="E22" s="64">
        <f t="shared" si="0"/>
        <v>0.14680008036986414</v>
      </c>
      <c r="F22" s="64"/>
      <c r="G22" s="200">
        <v>540.52545199999997</v>
      </c>
      <c r="H22" s="64">
        <f t="shared" si="1"/>
        <v>4.291069820305049E-2</v>
      </c>
      <c r="I22"/>
      <c r="J22" s="96" t="s">
        <v>222</v>
      </c>
      <c r="K22" s="96">
        <v>7.4613650861246328E-2</v>
      </c>
      <c r="L22"/>
      <c r="M22"/>
      <c r="N22"/>
      <c r="O22"/>
      <c r="P22"/>
      <c r="Q22"/>
      <c r="R22"/>
      <c r="S22"/>
      <c r="T22" s="206">
        <v>183.13772599999999</v>
      </c>
      <c r="U22" s="64">
        <f t="shared" si="2"/>
        <v>0.16029392205293957</v>
      </c>
      <c r="V22"/>
      <c r="W22" s="96" t="s">
        <v>222</v>
      </c>
      <c r="X22" s="96">
        <v>9.6821042450537478E-2</v>
      </c>
      <c r="Y22"/>
      <c r="Z22"/>
      <c r="AA22"/>
      <c r="AB22"/>
      <c r="AC22"/>
      <c r="AD22"/>
      <c r="AE22"/>
      <c r="AF22" s="207">
        <v>105.560982</v>
      </c>
      <c r="AG22" s="64">
        <f t="shared" si="3"/>
        <v>0.29840362415077637</v>
      </c>
      <c r="AH22"/>
      <c r="AI22" s="96" t="s">
        <v>222</v>
      </c>
      <c r="AJ22" s="96">
        <v>9.5750722446614339E-2</v>
      </c>
      <c r="AK22"/>
      <c r="AL22"/>
      <c r="AM22"/>
      <c r="AN22"/>
      <c r="AO22"/>
      <c r="AP22"/>
      <c r="AQ22"/>
      <c r="AR22" s="100"/>
      <c r="AS22" s="221"/>
      <c r="AT22" s="224"/>
      <c r="AV22" s="205"/>
      <c r="AW22" s="205"/>
      <c r="BF22" s="221"/>
      <c r="BG22" s="224"/>
      <c r="BI22" s="205"/>
      <c r="BJ22" s="205"/>
      <c r="BS22" s="221"/>
      <c r="BT22" s="224"/>
      <c r="BV22" s="205"/>
      <c r="BW22" s="205"/>
      <c r="CF22" s="221"/>
      <c r="CG22" s="224"/>
      <c r="CI22" s="205"/>
      <c r="CJ22" s="205"/>
    </row>
    <row r="23" spans="1:95" s="217" customFormat="1" ht="15.75" thickBot="1" x14ac:dyDescent="0.3">
      <c r="A23"/>
      <c r="B23" s="202">
        <v>43952</v>
      </c>
      <c r="C23" s="66"/>
      <c r="D23" s="200">
        <v>9580.2998050000006</v>
      </c>
      <c r="E23" s="64">
        <f t="shared" si="0"/>
        <v>-2.8357343878972152E-2</v>
      </c>
      <c r="F23" s="64"/>
      <c r="G23" s="200">
        <v>630.67932099999996</v>
      </c>
      <c r="H23" s="64">
        <f t="shared" si="1"/>
        <v>0.16678931337353564</v>
      </c>
      <c r="I23"/>
      <c r="J23" s="97" t="s">
        <v>223</v>
      </c>
      <c r="K23" s="97">
        <v>59</v>
      </c>
      <c r="L23"/>
      <c r="M23"/>
      <c r="N23"/>
      <c r="O23"/>
      <c r="P23"/>
      <c r="Q23"/>
      <c r="R23"/>
      <c r="S23"/>
      <c r="T23" s="206">
        <v>183.325897</v>
      </c>
      <c r="U23" s="64">
        <f t="shared" si="2"/>
        <v>1.0274835453620845E-3</v>
      </c>
      <c r="V23"/>
      <c r="W23" s="97" t="s">
        <v>223</v>
      </c>
      <c r="X23" s="97">
        <v>59</v>
      </c>
      <c r="Y23"/>
      <c r="Z23"/>
      <c r="AA23"/>
      <c r="AB23"/>
      <c r="AC23"/>
      <c r="AD23"/>
      <c r="AE23"/>
      <c r="AF23" s="207">
        <v>96.373847999999995</v>
      </c>
      <c r="AG23" s="64">
        <f t="shared" si="3"/>
        <v>-8.7031532162139214E-2</v>
      </c>
      <c r="AH23"/>
      <c r="AI23" s="97" t="s">
        <v>223</v>
      </c>
      <c r="AJ23" s="97">
        <v>59</v>
      </c>
      <c r="AK23"/>
      <c r="AL23"/>
      <c r="AM23"/>
      <c r="AN23"/>
      <c r="AO23"/>
      <c r="AP23"/>
      <c r="AQ23"/>
      <c r="AR23" s="100"/>
      <c r="AS23" s="221"/>
      <c r="AT23" s="224"/>
      <c r="AV23" s="205"/>
      <c r="AW23" s="205"/>
      <c r="BF23" s="221"/>
      <c r="BG23" s="224"/>
      <c r="BI23" s="205"/>
      <c r="BJ23" s="205"/>
      <c r="BS23" s="221"/>
      <c r="BT23" s="224"/>
      <c r="BV23" s="205"/>
      <c r="BW23" s="205"/>
      <c r="CF23" s="221"/>
      <c r="CG23" s="224"/>
      <c r="CI23" s="205"/>
      <c r="CJ23" s="205"/>
    </row>
    <row r="24" spans="1:95" s="217" customFormat="1" x14ac:dyDescent="0.25">
      <c r="A24"/>
      <c r="B24" s="202">
        <v>43983</v>
      </c>
      <c r="C24" s="66"/>
      <c r="D24" s="200">
        <v>10302.099609000001</v>
      </c>
      <c r="E24" s="64">
        <f t="shared" si="0"/>
        <v>7.5342089359592856E-2</v>
      </c>
      <c r="F24" s="64"/>
      <c r="G24" s="200">
        <v>687.39868200000001</v>
      </c>
      <c r="H24" s="64">
        <f t="shared" si="1"/>
        <v>8.9933757317532281E-2</v>
      </c>
      <c r="I24"/>
      <c r="J24"/>
      <c r="K24"/>
      <c r="L24"/>
      <c r="M24"/>
      <c r="N24"/>
      <c r="O24"/>
      <c r="P24"/>
      <c r="Q24"/>
      <c r="R24"/>
      <c r="S24"/>
      <c r="T24" s="206">
        <v>207.741119</v>
      </c>
      <c r="U24" s="64">
        <f t="shared" si="2"/>
        <v>0.13317934017800015</v>
      </c>
      <c r="V24"/>
      <c r="W24"/>
      <c r="X24"/>
      <c r="Y24"/>
      <c r="Z24"/>
      <c r="AA24"/>
      <c r="AB24"/>
      <c r="AC24"/>
      <c r="AD24"/>
      <c r="AE24"/>
      <c r="AF24" s="207">
        <v>106.879921</v>
      </c>
      <c r="AG24" s="64">
        <f t="shared" si="3"/>
        <v>0.1090137336842667</v>
      </c>
      <c r="AH24"/>
      <c r="AI24"/>
      <c r="AJ24"/>
      <c r="AK24"/>
      <c r="AL24"/>
      <c r="AM24"/>
      <c r="AN24"/>
      <c r="AO24"/>
      <c r="AP24"/>
      <c r="AQ24"/>
      <c r="AR24" s="100"/>
      <c r="AS24" s="221"/>
      <c r="AT24" s="224"/>
      <c r="BF24" s="221"/>
      <c r="BG24" s="224"/>
      <c r="BS24" s="221"/>
      <c r="BT24" s="224"/>
      <c r="CF24" s="221"/>
      <c r="CG24" s="224"/>
    </row>
    <row r="25" spans="1:95" s="217" customFormat="1" ht="15.75" thickBot="1" x14ac:dyDescent="0.3">
      <c r="A25"/>
      <c r="B25" s="202">
        <v>44013</v>
      </c>
      <c r="C25" s="66"/>
      <c r="D25" s="200">
        <v>11073.450194999999</v>
      </c>
      <c r="E25" s="64">
        <f t="shared" si="0"/>
        <v>7.4873143851777568E-2</v>
      </c>
      <c r="F25" s="64"/>
      <c r="G25" s="200">
        <v>688.44354199999998</v>
      </c>
      <c r="H25" s="64">
        <f t="shared" si="1"/>
        <v>1.5200203715257654E-3</v>
      </c>
      <c r="I25"/>
      <c r="J25" t="s">
        <v>224</v>
      </c>
      <c r="K25"/>
      <c r="L25"/>
      <c r="M25"/>
      <c r="N25"/>
      <c r="O25"/>
      <c r="P25"/>
      <c r="Q25"/>
      <c r="R25"/>
      <c r="S25"/>
      <c r="T25" s="206">
        <v>225.664444</v>
      </c>
      <c r="U25" s="64">
        <f t="shared" si="2"/>
        <v>8.6277214093566146E-2</v>
      </c>
      <c r="V25"/>
      <c r="W25" t="s">
        <v>224</v>
      </c>
      <c r="X25"/>
      <c r="Y25"/>
      <c r="Z25"/>
      <c r="AA25"/>
      <c r="AB25"/>
      <c r="AC25"/>
      <c r="AD25"/>
      <c r="AE25"/>
      <c r="AF25" s="207">
        <v>112.064728</v>
      </c>
      <c r="AG25" s="64">
        <f t="shared" si="3"/>
        <v>4.8510580392364E-2</v>
      </c>
      <c r="AH25"/>
      <c r="AI25" t="s">
        <v>224</v>
      </c>
      <c r="AJ25"/>
      <c r="AK25"/>
      <c r="AL25"/>
      <c r="AM25"/>
      <c r="AN25"/>
      <c r="AO25"/>
      <c r="AP25"/>
      <c r="AQ25"/>
      <c r="AR25" s="100"/>
      <c r="AS25" s="221"/>
      <c r="AT25" s="224"/>
      <c r="AV25" s="222"/>
      <c r="BF25" s="221"/>
      <c r="BG25" s="224"/>
      <c r="BI25" s="222"/>
      <c r="BS25" s="221"/>
      <c r="BT25" s="224"/>
      <c r="BV25" s="222"/>
      <c r="CF25" s="221"/>
      <c r="CG25" s="224"/>
      <c r="CI25" s="222"/>
    </row>
    <row r="26" spans="1:95" s="217" customFormat="1" x14ac:dyDescent="0.25">
      <c r="A26"/>
      <c r="B26" s="202">
        <v>44044</v>
      </c>
      <c r="C26" s="66"/>
      <c r="D26" s="200">
        <v>11387.5</v>
      </c>
      <c r="E26" s="64">
        <f t="shared" si="0"/>
        <v>2.8360610240682149E-2</v>
      </c>
      <c r="F26" s="64"/>
      <c r="G26" s="200">
        <v>648.09320100000002</v>
      </c>
      <c r="H26" s="64">
        <f t="shared" si="1"/>
        <v>-5.8610965951947258E-2</v>
      </c>
      <c r="I26"/>
      <c r="J26" s="98"/>
      <c r="K26" s="98" t="s">
        <v>225</v>
      </c>
      <c r="L26" s="98" t="s">
        <v>226</v>
      </c>
      <c r="M26" s="98" t="s">
        <v>227</v>
      </c>
      <c r="N26" s="98" t="s">
        <v>228</v>
      </c>
      <c r="O26" s="98" t="s">
        <v>229</v>
      </c>
      <c r="P26"/>
      <c r="Q26"/>
      <c r="R26"/>
      <c r="S26"/>
      <c r="T26" s="206">
        <v>335.838776</v>
      </c>
      <c r="U26" s="64">
        <f t="shared" si="2"/>
        <v>0.48822193716968543</v>
      </c>
      <c r="V26"/>
      <c r="W26" s="98"/>
      <c r="X26" s="98" t="s">
        <v>225</v>
      </c>
      <c r="Y26" s="98" t="s">
        <v>226</v>
      </c>
      <c r="Z26" s="98" t="s">
        <v>227</v>
      </c>
      <c r="AA26" s="98" t="s">
        <v>228</v>
      </c>
      <c r="AB26" s="98" t="s">
        <v>229</v>
      </c>
      <c r="AC26"/>
      <c r="AD26"/>
      <c r="AE26"/>
      <c r="AF26" s="207">
        <v>129.30195599999999</v>
      </c>
      <c r="AG26" s="64">
        <f t="shared" si="3"/>
        <v>0.15381492738732194</v>
      </c>
      <c r="AH26"/>
      <c r="AI26" s="98"/>
      <c r="AJ26" s="98" t="s">
        <v>225</v>
      </c>
      <c r="AK26" s="98" t="s">
        <v>226</v>
      </c>
      <c r="AL26" s="98" t="s">
        <v>227</v>
      </c>
      <c r="AM26" s="98" t="s">
        <v>228</v>
      </c>
      <c r="AN26" s="98" t="s">
        <v>229</v>
      </c>
      <c r="AO26"/>
      <c r="AP26"/>
      <c r="AQ26"/>
      <c r="AR26" s="100"/>
      <c r="AS26" s="221"/>
      <c r="AT26" s="224"/>
      <c r="AV26" s="102"/>
      <c r="AW26" s="216"/>
      <c r="AX26" s="216"/>
      <c r="AY26" s="216"/>
      <c r="AZ26" s="216"/>
      <c r="BA26" s="216"/>
      <c r="BF26" s="221"/>
      <c r="BG26" s="224"/>
      <c r="BI26" s="102"/>
      <c r="BJ26" s="216"/>
      <c r="BK26" s="216"/>
      <c r="BL26" s="216"/>
      <c r="BM26" s="216"/>
      <c r="BN26" s="216"/>
      <c r="BS26" s="221"/>
      <c r="BT26" s="224"/>
      <c r="BV26" s="102"/>
      <c r="BW26" s="216"/>
      <c r="BX26" s="216"/>
      <c r="BY26" s="216"/>
      <c r="BZ26" s="216"/>
      <c r="CA26" s="216"/>
      <c r="CF26" s="221"/>
      <c r="CG26" s="224"/>
      <c r="CI26" s="102"/>
      <c r="CJ26" s="216"/>
      <c r="CK26" s="216"/>
      <c r="CL26" s="216"/>
      <c r="CM26" s="216"/>
      <c r="CN26" s="216"/>
    </row>
    <row r="27" spans="1:95" s="217" customFormat="1" x14ac:dyDescent="0.25">
      <c r="A27"/>
      <c r="B27" s="202">
        <v>44075</v>
      </c>
      <c r="C27" s="66"/>
      <c r="D27" s="200">
        <v>11247.549805000001</v>
      </c>
      <c r="E27" s="64">
        <f t="shared" si="0"/>
        <v>-1.2289808562019666E-2</v>
      </c>
      <c r="F27" s="64"/>
      <c r="G27" s="200">
        <v>721.38055399999996</v>
      </c>
      <c r="H27" s="64">
        <f t="shared" si="1"/>
        <v>0.11308150260937544</v>
      </c>
      <c r="I27"/>
      <c r="J27" s="96" t="s">
        <v>230</v>
      </c>
      <c r="K27" s="96">
        <v>1</v>
      </c>
      <c r="L27" s="96">
        <v>5.1447598655557925E-2</v>
      </c>
      <c r="M27" s="96">
        <v>5.1447598655557925E-2</v>
      </c>
      <c r="N27" s="96">
        <v>9.2412033609240378</v>
      </c>
      <c r="O27" s="96">
        <v>3.5701016513064051E-3</v>
      </c>
      <c r="P27"/>
      <c r="Q27"/>
      <c r="R27"/>
      <c r="S27"/>
      <c r="T27" s="206">
        <v>330.52288800000002</v>
      </c>
      <c r="U27" s="64">
        <f t="shared" si="2"/>
        <v>-1.5828690371358367E-2</v>
      </c>
      <c r="V27"/>
      <c r="W27" s="96" t="s">
        <v>230</v>
      </c>
      <c r="X27" s="96">
        <v>1</v>
      </c>
      <c r="Y27" s="96">
        <v>0.19416987151686216</v>
      </c>
      <c r="Z27" s="96">
        <v>0.19416987151686216</v>
      </c>
      <c r="AA27" s="96">
        <v>20.712968021601693</v>
      </c>
      <c r="AB27" s="96">
        <v>2.8459471704938273E-5</v>
      </c>
      <c r="AC27"/>
      <c r="AD27"/>
      <c r="AE27"/>
      <c r="AF27" s="207">
        <v>133.759094</v>
      </c>
      <c r="AG27" s="64">
        <f t="shared" si="3"/>
        <v>3.447077010961852E-2</v>
      </c>
      <c r="AH27"/>
      <c r="AI27" s="96" t="s">
        <v>230</v>
      </c>
      <c r="AJ27" s="96">
        <v>1</v>
      </c>
      <c r="AK27" s="96">
        <v>0.19476244331812242</v>
      </c>
      <c r="AL27" s="96">
        <v>0.19476244331812242</v>
      </c>
      <c r="AM27" s="96">
        <v>21.243256613246405</v>
      </c>
      <c r="AN27" s="96">
        <v>2.3252045117607584E-5</v>
      </c>
      <c r="AO27"/>
      <c r="AP27"/>
      <c r="AQ27"/>
      <c r="AR27" s="100"/>
      <c r="AS27" s="221"/>
      <c r="AT27" s="224"/>
      <c r="AV27" s="205"/>
      <c r="AW27" s="205"/>
      <c r="AX27" s="205"/>
      <c r="AY27" s="205"/>
      <c r="AZ27" s="205"/>
      <c r="BA27" s="205"/>
      <c r="BF27" s="221"/>
      <c r="BG27" s="224"/>
      <c r="BI27" s="205"/>
      <c r="BJ27" s="205"/>
      <c r="BK27" s="205"/>
      <c r="BL27" s="205"/>
      <c r="BM27" s="205"/>
      <c r="BN27" s="205"/>
      <c r="BS27" s="221"/>
      <c r="BT27" s="224"/>
      <c r="BV27" s="205"/>
      <c r="BW27" s="205"/>
      <c r="BX27" s="205"/>
      <c r="BY27" s="205"/>
      <c r="BZ27" s="205"/>
      <c r="CA27" s="205"/>
      <c r="CF27" s="221"/>
      <c r="CG27" s="224"/>
      <c r="CI27" s="205"/>
      <c r="CJ27" s="205"/>
      <c r="CK27" s="205"/>
      <c r="CL27" s="205"/>
      <c r="CM27" s="205"/>
      <c r="CN27" s="205"/>
    </row>
    <row r="28" spans="1:95" s="217" customFormat="1" x14ac:dyDescent="0.25">
      <c r="A28"/>
      <c r="B28" s="202">
        <v>44105</v>
      </c>
      <c r="C28" s="66"/>
      <c r="D28" s="200">
        <v>11642.400390999999</v>
      </c>
      <c r="E28" s="64">
        <f t="shared" si="0"/>
        <v>3.5105475667640107E-2</v>
      </c>
      <c r="F28" s="64"/>
      <c r="G28" s="200">
        <v>661.52673300000004</v>
      </c>
      <c r="H28" s="64">
        <f t="shared" si="1"/>
        <v>-8.2971214940734228E-2</v>
      </c>
      <c r="I28"/>
      <c r="J28" s="96" t="s">
        <v>231</v>
      </c>
      <c r="K28" s="96">
        <v>57</v>
      </c>
      <c r="L28" s="96">
        <v>0.31733022300610603</v>
      </c>
      <c r="M28" s="96">
        <v>5.5671968948439654E-3</v>
      </c>
      <c r="N28" s="96"/>
      <c r="O28" s="96"/>
      <c r="P28"/>
      <c r="Q28"/>
      <c r="R28"/>
      <c r="S28"/>
      <c r="T28" s="206">
        <v>340.54299900000001</v>
      </c>
      <c r="U28" s="64">
        <f t="shared" si="2"/>
        <v>3.031593684973477E-2</v>
      </c>
      <c r="V28"/>
      <c r="W28" s="96" t="s">
        <v>231</v>
      </c>
      <c r="X28" s="96">
        <v>57</v>
      </c>
      <c r="Y28" s="96">
        <v>0.53433591288890048</v>
      </c>
      <c r="Z28" s="96">
        <v>9.3743142612087802E-3</v>
      </c>
      <c r="AA28" s="96"/>
      <c r="AB28" s="96"/>
      <c r="AC28"/>
      <c r="AD28"/>
      <c r="AE28"/>
      <c r="AF28" s="207">
        <v>123.52589399999999</v>
      </c>
      <c r="AG28" s="64">
        <f t="shared" si="3"/>
        <v>-7.6504704794127965E-2</v>
      </c>
      <c r="AH28"/>
      <c r="AI28" s="96" t="s">
        <v>231</v>
      </c>
      <c r="AJ28" s="96">
        <v>57</v>
      </c>
      <c r="AK28" s="96">
        <v>0.52258744839576876</v>
      </c>
      <c r="AL28" s="96">
        <v>9.1682008490485741E-3</v>
      </c>
      <c r="AM28" s="96"/>
      <c r="AN28" s="96"/>
      <c r="AO28"/>
      <c r="AP28"/>
      <c r="AQ28"/>
      <c r="AR28" s="100"/>
      <c r="AS28" s="221"/>
      <c r="AT28" s="224"/>
      <c r="AV28" s="205"/>
      <c r="AW28" s="205"/>
      <c r="AX28" s="205"/>
      <c r="AY28" s="205"/>
      <c r="AZ28" s="96"/>
      <c r="BA28" s="96"/>
      <c r="BF28" s="221"/>
      <c r="BG28" s="224"/>
      <c r="BI28" s="205"/>
      <c r="BJ28" s="205"/>
      <c r="BK28" s="205"/>
      <c r="BL28" s="205"/>
      <c r="BM28" s="96"/>
      <c r="BN28" s="96"/>
      <c r="BS28" s="221"/>
      <c r="BT28" s="224"/>
      <c r="BV28" s="205"/>
      <c r="BW28" s="205"/>
      <c r="BX28" s="205"/>
      <c r="BY28" s="205"/>
      <c r="BZ28" s="96"/>
      <c r="CA28" s="96"/>
      <c r="CF28" s="221"/>
      <c r="CG28" s="224"/>
      <c r="CI28" s="205"/>
      <c r="CJ28" s="205"/>
      <c r="CK28" s="205"/>
      <c r="CL28" s="205"/>
      <c r="CM28" s="96"/>
      <c r="CN28" s="96"/>
    </row>
    <row r="29" spans="1:95" s="217" customFormat="1" ht="15.75" thickBot="1" x14ac:dyDescent="0.3">
      <c r="A29"/>
      <c r="B29" s="202">
        <v>44136</v>
      </c>
      <c r="C29" s="66"/>
      <c r="D29" s="200">
        <v>12968.950194999999</v>
      </c>
      <c r="E29" s="64">
        <f t="shared" si="0"/>
        <v>0.1139412629225045</v>
      </c>
      <c r="F29" s="64"/>
      <c r="G29" s="200">
        <v>696.30462599999998</v>
      </c>
      <c r="H29" s="64">
        <f t="shared" si="1"/>
        <v>5.257216566635714E-2</v>
      </c>
      <c r="I29"/>
      <c r="J29" s="97" t="s">
        <v>188</v>
      </c>
      <c r="K29" s="97">
        <v>58</v>
      </c>
      <c r="L29" s="97">
        <v>0.36877782166166395</v>
      </c>
      <c r="M29" s="97"/>
      <c r="N29" s="97"/>
      <c r="O29" s="97"/>
      <c r="P29"/>
      <c r="Q29"/>
      <c r="R29"/>
      <c r="S29"/>
      <c r="T29" s="206">
        <v>414.30618299999998</v>
      </c>
      <c r="U29" s="64">
        <f t="shared" si="2"/>
        <v>0.21660461150751753</v>
      </c>
      <c r="V29"/>
      <c r="W29" s="97" t="s">
        <v>188</v>
      </c>
      <c r="X29" s="97">
        <v>58</v>
      </c>
      <c r="Y29" s="97">
        <v>0.72850578440576264</v>
      </c>
      <c r="Z29" s="97"/>
      <c r="AA29" s="97"/>
      <c r="AB29" s="97"/>
      <c r="AC29"/>
      <c r="AD29"/>
      <c r="AE29"/>
      <c r="AF29" s="207">
        <v>128.16494800000001</v>
      </c>
      <c r="AG29" s="64">
        <f t="shared" si="3"/>
        <v>3.7555316134769479E-2</v>
      </c>
      <c r="AH29"/>
      <c r="AI29" s="97" t="s">
        <v>188</v>
      </c>
      <c r="AJ29" s="97">
        <v>58</v>
      </c>
      <c r="AK29" s="97">
        <v>0.71734989171389119</v>
      </c>
      <c r="AL29" s="97"/>
      <c r="AM29" s="97"/>
      <c r="AN29" s="97"/>
      <c r="AO29"/>
      <c r="AP29"/>
      <c r="AQ29"/>
      <c r="AR29" s="100"/>
      <c r="AS29" s="221"/>
      <c r="AT29" s="224"/>
      <c r="AV29" s="205"/>
      <c r="AW29" s="205"/>
      <c r="AX29" s="205"/>
      <c r="AY29" s="96"/>
      <c r="AZ29" s="96"/>
      <c r="BA29" s="96"/>
      <c r="BF29" s="221"/>
      <c r="BG29" s="224"/>
      <c r="BI29" s="205"/>
      <c r="BJ29" s="205"/>
      <c r="BK29" s="205"/>
      <c r="BL29" s="96"/>
      <c r="BM29" s="96"/>
      <c r="BN29" s="96"/>
      <c r="BS29" s="221"/>
      <c r="BT29" s="224"/>
      <c r="BV29" s="205"/>
      <c r="BW29" s="205"/>
      <c r="BX29" s="205"/>
      <c r="BY29" s="96"/>
      <c r="BZ29" s="96"/>
      <c r="CA29" s="96"/>
      <c r="CF29" s="221"/>
      <c r="CG29" s="224"/>
      <c r="CI29" s="205"/>
      <c r="CJ29" s="205"/>
      <c r="CK29" s="205"/>
      <c r="CL29" s="96"/>
      <c r="CM29" s="96"/>
      <c r="CN29" s="96"/>
    </row>
    <row r="30" spans="1:95" s="217" customFormat="1" ht="15.75" thickBot="1" x14ac:dyDescent="0.3">
      <c r="A30"/>
      <c r="B30" s="202">
        <v>44166</v>
      </c>
      <c r="C30" s="66"/>
      <c r="D30" s="200">
        <v>13981.75</v>
      </c>
      <c r="E30" s="64">
        <f t="shared" si="0"/>
        <v>7.8094201132060226E-2</v>
      </c>
      <c r="F30" s="64"/>
      <c r="G30" s="200">
        <v>736.50573699999995</v>
      </c>
      <c r="H30" s="64">
        <f t="shared" si="1"/>
        <v>5.7734947462491748E-2</v>
      </c>
      <c r="I30"/>
      <c r="J30"/>
      <c r="K30"/>
      <c r="L30"/>
      <c r="M30"/>
      <c r="N30"/>
      <c r="O30"/>
      <c r="P30"/>
      <c r="Q30"/>
      <c r="R30"/>
      <c r="S30"/>
      <c r="T30" s="206">
        <v>402.94229100000001</v>
      </c>
      <c r="U30" s="64">
        <f t="shared" si="2"/>
        <v>-2.7428728960098514E-2</v>
      </c>
      <c r="V30"/>
      <c r="W30"/>
      <c r="X30"/>
      <c r="Y30"/>
      <c r="Z30"/>
      <c r="AA30"/>
      <c r="AB30"/>
      <c r="AC30"/>
      <c r="AD30"/>
      <c r="AE30"/>
      <c r="AF30" s="207">
        <v>133.12235999999999</v>
      </c>
      <c r="AG30" s="64">
        <f t="shared" si="3"/>
        <v>3.867993610858389E-2</v>
      </c>
      <c r="AH30"/>
      <c r="AI30"/>
      <c r="AJ30"/>
      <c r="AK30"/>
      <c r="AL30"/>
      <c r="AM30"/>
      <c r="AN30"/>
      <c r="AO30"/>
      <c r="AP30"/>
      <c r="AQ30"/>
      <c r="AR30" s="100"/>
      <c r="AS30" s="221"/>
      <c r="AT30" s="224"/>
      <c r="BF30" s="221"/>
      <c r="BG30" s="224"/>
      <c r="BS30" s="221"/>
      <c r="BT30" s="224"/>
      <c r="CF30" s="221"/>
      <c r="CG30" s="224"/>
    </row>
    <row r="31" spans="1:95" s="217" customFormat="1" x14ac:dyDescent="0.25">
      <c r="A31"/>
      <c r="B31" s="202">
        <v>44197</v>
      </c>
      <c r="C31" s="66"/>
      <c r="D31" s="200">
        <v>13634.599609000001</v>
      </c>
      <c r="E31" s="64">
        <f t="shared" si="0"/>
        <v>-2.4828822643803483E-2</v>
      </c>
      <c r="F31" s="64"/>
      <c r="G31" s="200">
        <v>740.98358199999996</v>
      </c>
      <c r="H31" s="64">
        <f t="shared" si="1"/>
        <v>6.0798508077337665E-3</v>
      </c>
      <c r="I31"/>
      <c r="J31" s="98"/>
      <c r="K31" s="98" t="s">
        <v>232</v>
      </c>
      <c r="L31" s="98" t="s">
        <v>222</v>
      </c>
      <c r="M31" s="98" t="s">
        <v>233</v>
      </c>
      <c r="N31" s="98" t="s">
        <v>234</v>
      </c>
      <c r="O31" s="98" t="s">
        <v>235</v>
      </c>
      <c r="P31" s="98" t="s">
        <v>236</v>
      </c>
      <c r="Q31" s="98" t="s">
        <v>237</v>
      </c>
      <c r="R31" s="98" t="s">
        <v>238</v>
      </c>
      <c r="S31"/>
      <c r="T31" s="206">
        <v>459.33047499999998</v>
      </c>
      <c r="U31" s="64">
        <f t="shared" si="2"/>
        <v>0.13994109146512979</v>
      </c>
      <c r="V31"/>
      <c r="W31" s="98"/>
      <c r="X31" s="98" t="s">
        <v>232</v>
      </c>
      <c r="Y31" s="98" t="s">
        <v>222</v>
      </c>
      <c r="Z31" s="98" t="s">
        <v>233</v>
      </c>
      <c r="AA31" s="98" t="s">
        <v>234</v>
      </c>
      <c r="AB31" s="98" t="s">
        <v>235</v>
      </c>
      <c r="AC31" s="98" t="s">
        <v>236</v>
      </c>
      <c r="AD31" s="98" t="s">
        <v>237</v>
      </c>
      <c r="AE31" s="98" t="s">
        <v>238</v>
      </c>
      <c r="AF31" s="207">
        <v>147.44882200000001</v>
      </c>
      <c r="AG31" s="64">
        <f t="shared" si="3"/>
        <v>0.10761875014835987</v>
      </c>
      <c r="AH31"/>
      <c r="AI31" s="98"/>
      <c r="AJ31" s="98" t="s">
        <v>232</v>
      </c>
      <c r="AK31" s="98" t="s">
        <v>222</v>
      </c>
      <c r="AL31" s="98" t="s">
        <v>233</v>
      </c>
      <c r="AM31" s="98" t="s">
        <v>234</v>
      </c>
      <c r="AN31" s="98" t="s">
        <v>235</v>
      </c>
      <c r="AO31" s="98" t="s">
        <v>236</v>
      </c>
      <c r="AP31" s="98" t="s">
        <v>237</v>
      </c>
      <c r="AQ31" s="98" t="s">
        <v>238</v>
      </c>
      <c r="AR31" s="100"/>
      <c r="AS31" s="221"/>
      <c r="AT31" s="224"/>
      <c r="AV31" s="102"/>
      <c r="AW31" s="216"/>
      <c r="AX31" s="216"/>
      <c r="AY31" s="216"/>
      <c r="AZ31" s="216"/>
      <c r="BA31" s="216"/>
      <c r="BB31" s="216"/>
      <c r="BC31" s="216"/>
      <c r="BD31" s="216"/>
      <c r="BF31" s="221"/>
      <c r="BG31" s="224"/>
      <c r="BI31" s="102"/>
      <c r="BJ31" s="216"/>
      <c r="BK31" s="216"/>
      <c r="BL31" s="216"/>
      <c r="BM31" s="216"/>
      <c r="BN31" s="216"/>
      <c r="BO31" s="216"/>
      <c r="BP31" s="216"/>
      <c r="BQ31" s="216"/>
      <c r="BS31" s="221"/>
      <c r="BT31" s="224"/>
      <c r="BV31" s="102"/>
      <c r="BW31" s="216"/>
      <c r="BX31" s="216"/>
      <c r="BY31" s="216"/>
      <c r="BZ31" s="216"/>
      <c r="CA31" s="216"/>
      <c r="CB31" s="216"/>
      <c r="CC31" s="216"/>
      <c r="CD31" s="216"/>
      <c r="CF31" s="221"/>
      <c r="CG31" s="224"/>
      <c r="CI31" s="102"/>
      <c r="CJ31" s="216"/>
      <c r="CK31" s="216"/>
      <c r="CL31" s="216"/>
      <c r="CM31" s="216"/>
      <c r="CN31" s="216"/>
      <c r="CO31" s="216"/>
      <c r="CP31" s="216"/>
      <c r="CQ31" s="216"/>
    </row>
    <row r="32" spans="1:95" s="217" customFormat="1" x14ac:dyDescent="0.25">
      <c r="A32"/>
      <c r="B32" s="202">
        <v>44228</v>
      </c>
      <c r="C32" s="66"/>
      <c r="D32" s="200">
        <v>14529.150390999999</v>
      </c>
      <c r="E32" s="64">
        <f t="shared" si="0"/>
        <v>6.5608877976109925E-2</v>
      </c>
      <c r="F32" s="64"/>
      <c r="G32" s="200">
        <v>683.02038600000003</v>
      </c>
      <c r="H32" s="64">
        <f t="shared" si="1"/>
        <v>-7.8224669760631693E-2</v>
      </c>
      <c r="I32"/>
      <c r="J32" s="96" t="s">
        <v>239</v>
      </c>
      <c r="K32" s="96">
        <v>6.3510047371400282E-3</v>
      </c>
      <c r="L32" s="96">
        <v>9.9662401840846342E-3</v>
      </c>
      <c r="M32" s="96">
        <v>0.63725182414147752</v>
      </c>
      <c r="N32" s="96">
        <v>0.52651223752225051</v>
      </c>
      <c r="O32" s="96">
        <v>-1.3606046990487492E-2</v>
      </c>
      <c r="P32" s="96">
        <v>2.6308056464767547E-2</v>
      </c>
      <c r="Q32" s="96">
        <v>-1.3606046990487492E-2</v>
      </c>
      <c r="R32" s="96">
        <v>2.6308056464767547E-2</v>
      </c>
      <c r="S32"/>
      <c r="T32" s="206">
        <v>432.84805299999999</v>
      </c>
      <c r="U32" s="64">
        <f t="shared" si="2"/>
        <v>-5.7654397958245562E-2</v>
      </c>
      <c r="V32"/>
      <c r="W32" s="96" t="s">
        <v>239</v>
      </c>
      <c r="X32" s="96">
        <v>-2.1416899539939641E-3</v>
      </c>
      <c r="Y32" s="96">
        <v>1.293250970562939E-2</v>
      </c>
      <c r="Z32" s="96">
        <v>-0.16560513022941775</v>
      </c>
      <c r="AA32" s="96">
        <v>0.86905368790792781</v>
      </c>
      <c r="AB32" s="96">
        <v>-2.803859394146252E-2</v>
      </c>
      <c r="AC32" s="96">
        <v>2.3755214033474595E-2</v>
      </c>
      <c r="AD32" s="96">
        <v>-2.803859394146252E-2</v>
      </c>
      <c r="AE32" s="96">
        <v>2.3755214033474595E-2</v>
      </c>
      <c r="AF32" s="207">
        <v>135.39639299999999</v>
      </c>
      <c r="AG32" s="64">
        <f t="shared" si="3"/>
        <v>-8.1739744248346846E-2</v>
      </c>
      <c r="AH32"/>
      <c r="AI32" s="96" t="s">
        <v>239</v>
      </c>
      <c r="AJ32" s="96">
        <v>1.0286523600959786E-2</v>
      </c>
      <c r="AK32" s="96">
        <v>1.2789545702262697E-2</v>
      </c>
      <c r="AL32" s="96">
        <v>0.80429155502684646</v>
      </c>
      <c r="AM32" s="96">
        <v>0.4245704817695648</v>
      </c>
      <c r="AN32" s="96">
        <v>-1.5324099907845003E-2</v>
      </c>
      <c r="AO32" s="96">
        <v>3.5897147109764577E-2</v>
      </c>
      <c r="AP32" s="96">
        <v>-1.5324099907845003E-2</v>
      </c>
      <c r="AQ32" s="96">
        <v>3.5897147109764577E-2</v>
      </c>
      <c r="AR32" s="100"/>
      <c r="AS32" s="221"/>
      <c r="AT32" s="224"/>
      <c r="AV32" s="205"/>
      <c r="AW32" s="205"/>
      <c r="AX32" s="205"/>
      <c r="AY32" s="205"/>
      <c r="AZ32" s="205"/>
      <c r="BA32" s="205"/>
      <c r="BB32" s="205"/>
      <c r="BC32" s="205"/>
      <c r="BD32" s="205"/>
      <c r="BF32" s="221"/>
      <c r="BG32" s="224"/>
      <c r="BI32" s="205"/>
      <c r="BJ32" s="205"/>
      <c r="BK32" s="205"/>
      <c r="BL32" s="205"/>
      <c r="BM32" s="205"/>
      <c r="BN32" s="205"/>
      <c r="BO32" s="205"/>
      <c r="BP32" s="205"/>
      <c r="BQ32" s="205"/>
      <c r="BS32" s="221"/>
      <c r="BT32" s="224"/>
      <c r="BV32" s="205"/>
      <c r="BW32" s="205"/>
      <c r="BX32" s="205"/>
      <c r="BY32" s="205"/>
      <c r="BZ32" s="205"/>
      <c r="CA32" s="205"/>
      <c r="CB32" s="205"/>
      <c r="CC32" s="205"/>
      <c r="CD32" s="205"/>
      <c r="CF32" s="221"/>
      <c r="CG32" s="224"/>
      <c r="CI32" s="205"/>
      <c r="CJ32" s="205"/>
      <c r="CK32" s="205"/>
      <c r="CL32" s="205"/>
      <c r="CM32" s="205"/>
      <c r="CN32" s="205"/>
      <c r="CO32" s="205"/>
      <c r="CP32" s="205"/>
      <c r="CQ32" s="205"/>
    </row>
    <row r="33" spans="1:95" s="217" customFormat="1" ht="15.75" thickBot="1" x14ac:dyDescent="0.3">
      <c r="A33"/>
      <c r="B33" s="202">
        <v>44256</v>
      </c>
      <c r="C33" s="66"/>
      <c r="D33" s="200">
        <v>14690.700194999999</v>
      </c>
      <c r="E33" s="64">
        <f t="shared" si="0"/>
        <v>1.1119012444118725E-2</v>
      </c>
      <c r="F33" s="64"/>
      <c r="G33" s="200">
        <v>726.05743399999994</v>
      </c>
      <c r="H33" s="64">
        <f t="shared" si="1"/>
        <v>6.3009902606332879E-2</v>
      </c>
      <c r="I33"/>
      <c r="J33" s="97" t="s">
        <v>240</v>
      </c>
      <c r="K33" s="97">
        <v>0.54988768470720872</v>
      </c>
      <c r="L33" s="97">
        <v>0.18088798860772634</v>
      </c>
      <c r="M33" s="97">
        <v>3.0399347626098883</v>
      </c>
      <c r="N33" s="97">
        <v>3.5701016513064194E-3</v>
      </c>
      <c r="O33" s="97">
        <v>0.18766573551961163</v>
      </c>
      <c r="P33" s="97">
        <v>0.91210963389480582</v>
      </c>
      <c r="Q33" s="97">
        <v>0.18766573551961163</v>
      </c>
      <c r="R33" s="97">
        <v>0.91210963389480582</v>
      </c>
      <c r="S33"/>
      <c r="T33" s="206">
        <v>465.96997099999999</v>
      </c>
      <c r="U33" s="64">
        <f t="shared" si="2"/>
        <v>7.6520889421674232E-2</v>
      </c>
      <c r="V33"/>
      <c r="W33" s="97" t="s">
        <v>240</v>
      </c>
      <c r="X33" s="97">
        <v>1.068273267231548</v>
      </c>
      <c r="Y33" s="97">
        <v>0.23472599747665618</v>
      </c>
      <c r="Z33" s="97">
        <v>4.5511501866672832</v>
      </c>
      <c r="AA33" s="97">
        <v>2.8459471704938855E-5</v>
      </c>
      <c r="AB33" s="97">
        <v>0.59824256488691607</v>
      </c>
      <c r="AC33" s="97">
        <v>1.53830396957618</v>
      </c>
      <c r="AD33" s="97">
        <v>0.59824256488691607</v>
      </c>
      <c r="AE33" s="97">
        <v>1.53830396957618</v>
      </c>
      <c r="AF33" s="207">
        <v>124.43551600000001</v>
      </c>
      <c r="AG33" s="64">
        <f t="shared" si="3"/>
        <v>-8.0953980805086756E-2</v>
      </c>
      <c r="AH33"/>
      <c r="AI33" s="97" t="s">
        <v>240</v>
      </c>
      <c r="AJ33" s="97">
        <v>1.0699021151373458</v>
      </c>
      <c r="AK33" s="97">
        <v>0.23213119035434673</v>
      </c>
      <c r="AL33" s="97">
        <v>4.6090407476227009</v>
      </c>
      <c r="AM33" s="97">
        <v>2.3252045117607354E-5</v>
      </c>
      <c r="AN33" s="97">
        <v>0.60506742442866079</v>
      </c>
      <c r="AO33" s="97">
        <v>1.5347368058460309</v>
      </c>
      <c r="AP33" s="97">
        <v>0.60506742442866079</v>
      </c>
      <c r="AQ33" s="97">
        <v>1.5347368058460309</v>
      </c>
      <c r="AR33" s="100"/>
      <c r="AS33" s="221"/>
      <c r="AT33" s="224"/>
      <c r="AV33" s="205"/>
      <c r="AW33" s="205"/>
      <c r="AX33" s="205"/>
      <c r="AY33" s="205"/>
      <c r="AZ33" s="205"/>
      <c r="BA33" s="205"/>
      <c r="BB33" s="205"/>
      <c r="BC33" s="205"/>
      <c r="BD33" s="205"/>
      <c r="BF33" s="221"/>
      <c r="BG33" s="224"/>
      <c r="BI33" s="205"/>
      <c r="BJ33" s="205"/>
      <c r="BK33" s="205"/>
      <c r="BL33" s="205"/>
      <c r="BM33" s="205"/>
      <c r="BN33" s="205"/>
      <c r="BO33" s="205"/>
      <c r="BP33" s="205"/>
      <c r="BQ33" s="205"/>
      <c r="BS33" s="221"/>
      <c r="BT33" s="224"/>
      <c r="BV33" s="205"/>
      <c r="BW33" s="205"/>
      <c r="BX33" s="205"/>
      <c r="BY33" s="205"/>
      <c r="BZ33" s="205"/>
      <c r="CA33" s="205"/>
      <c r="CB33" s="205"/>
      <c r="CC33" s="205"/>
      <c r="CD33" s="205"/>
      <c r="CF33" s="221"/>
      <c r="CG33" s="224"/>
      <c r="CI33" s="205"/>
      <c r="CJ33" s="205"/>
      <c r="CK33" s="205"/>
      <c r="CL33" s="205"/>
      <c r="CM33" s="205"/>
      <c r="CN33" s="205"/>
      <c r="CO33" s="205"/>
      <c r="CP33" s="205"/>
      <c r="CQ33" s="205"/>
    </row>
    <row r="34" spans="1:95" s="217" customFormat="1" x14ac:dyDescent="0.25">
      <c r="A34"/>
      <c r="B34" s="202">
        <v>44287</v>
      </c>
      <c r="C34" s="66"/>
      <c r="D34" s="200">
        <v>14631.099609000001</v>
      </c>
      <c r="E34" s="64">
        <f t="shared" si="0"/>
        <v>-4.057028270189833E-3</v>
      </c>
      <c r="F34" s="64"/>
      <c r="G34" s="200">
        <v>688.34405500000003</v>
      </c>
      <c r="H34" s="64">
        <f t="shared" si="1"/>
        <v>-5.1942693833777254E-2</v>
      </c>
      <c r="I34"/>
      <c r="J34"/>
      <c r="K34"/>
      <c r="L34"/>
      <c r="M34"/>
      <c r="N34"/>
      <c r="O34"/>
      <c r="P34"/>
      <c r="Q34"/>
      <c r="R34"/>
      <c r="S34"/>
      <c r="T34" s="206">
        <v>471.38711499999999</v>
      </c>
      <c r="U34" s="64">
        <f t="shared" si="2"/>
        <v>1.1625521679808015E-2</v>
      </c>
      <c r="V34"/>
      <c r="W34"/>
      <c r="X34"/>
      <c r="Y34"/>
      <c r="Z34"/>
      <c r="AA34"/>
      <c r="AB34"/>
      <c r="AC34"/>
      <c r="AD34"/>
      <c r="AE34"/>
      <c r="AF34" s="207">
        <v>133.03140300000001</v>
      </c>
      <c r="AG34" s="64">
        <f t="shared" si="3"/>
        <v>6.9079048139278898E-2</v>
      </c>
      <c r="AH34"/>
      <c r="AI34"/>
      <c r="AJ34"/>
      <c r="AK34"/>
      <c r="AL34"/>
      <c r="AM34"/>
      <c r="AN34"/>
      <c r="AO34"/>
      <c r="AP34"/>
      <c r="AQ34"/>
      <c r="AR34" s="100"/>
      <c r="AS34" s="221"/>
      <c r="AT34" s="224"/>
      <c r="BF34" s="221"/>
      <c r="BG34" s="224"/>
      <c r="BS34" s="221"/>
      <c r="BT34" s="224"/>
      <c r="CF34" s="221"/>
      <c r="CG34" s="224"/>
    </row>
    <row r="35" spans="1:95" s="217" customFormat="1" x14ac:dyDescent="0.25">
      <c r="A35"/>
      <c r="B35" s="202">
        <v>44317</v>
      </c>
      <c r="C35" s="66"/>
      <c r="D35" s="200">
        <v>15582.799805000001</v>
      </c>
      <c r="E35" s="64">
        <f t="shared" si="0"/>
        <v>6.504638895456516E-2</v>
      </c>
      <c r="F35" s="64"/>
      <c r="G35" s="200">
        <v>852.332581</v>
      </c>
      <c r="H35" s="64">
        <f t="shared" si="1"/>
        <v>0.23823627851336626</v>
      </c>
      <c r="I35"/>
      <c r="J35"/>
      <c r="K35"/>
      <c r="L35"/>
      <c r="M35"/>
      <c r="N35"/>
      <c r="O35"/>
      <c r="P35"/>
      <c r="Q35"/>
      <c r="R35"/>
      <c r="S35"/>
      <c r="T35" s="206">
        <v>480.447632</v>
      </c>
      <c r="U35" s="64">
        <f t="shared" si="2"/>
        <v>1.9220968736067379E-2</v>
      </c>
      <c r="V35"/>
      <c r="W35"/>
      <c r="X35"/>
      <c r="Y35"/>
      <c r="Z35"/>
      <c r="AA35"/>
      <c r="AB35"/>
      <c r="AC35"/>
      <c r="AD35"/>
      <c r="AE35"/>
      <c r="AF35" s="207">
        <v>141.036011</v>
      </c>
      <c r="AG35" s="64">
        <f t="shared" si="3"/>
        <v>6.0170815457760707E-2</v>
      </c>
      <c r="AH35"/>
      <c r="AI35"/>
      <c r="AJ35"/>
      <c r="AK35"/>
      <c r="AL35"/>
      <c r="AM35"/>
      <c r="AN35"/>
      <c r="AO35"/>
      <c r="AP35"/>
      <c r="AQ35"/>
      <c r="AR35" s="100"/>
      <c r="AS35" s="221"/>
      <c r="AT35" s="224"/>
      <c r="BF35" s="221"/>
      <c r="BG35" s="224"/>
      <c r="BS35" s="221"/>
      <c r="BT35" s="224"/>
      <c r="CF35" s="221"/>
      <c r="CG35" s="224"/>
    </row>
    <row r="36" spans="1:95" s="217" customFormat="1" x14ac:dyDescent="0.25">
      <c r="A36"/>
      <c r="B36" s="202">
        <v>44348</v>
      </c>
      <c r="C36" s="66"/>
      <c r="D36" s="200">
        <v>15721.5</v>
      </c>
      <c r="E36" s="64">
        <f t="shared" si="0"/>
        <v>8.9008520121971468E-3</v>
      </c>
      <c r="F36" s="64"/>
      <c r="G36" s="200">
        <v>865.965149</v>
      </c>
      <c r="H36" s="64">
        <f t="shared" si="1"/>
        <v>1.5994423191010299E-2</v>
      </c>
      <c r="I36"/>
      <c r="J36"/>
      <c r="K36"/>
      <c r="L36"/>
      <c r="M36"/>
      <c r="N36"/>
      <c r="O36"/>
      <c r="P36"/>
      <c r="Q36"/>
      <c r="R36"/>
      <c r="S36"/>
      <c r="T36" s="206">
        <v>537.25579800000003</v>
      </c>
      <c r="U36" s="64">
        <f t="shared" si="2"/>
        <v>0.11824007907692224</v>
      </c>
      <c r="V36"/>
      <c r="W36"/>
      <c r="X36"/>
      <c r="Y36"/>
      <c r="Z36"/>
      <c r="AA36"/>
      <c r="AB36"/>
      <c r="AC36"/>
      <c r="AD36"/>
      <c r="AE36"/>
      <c r="AF36" s="207">
        <v>140.80862400000001</v>
      </c>
      <c r="AG36" s="64">
        <f t="shared" si="3"/>
        <v>-1.6122619917262604E-3</v>
      </c>
      <c r="AH36"/>
      <c r="AI36"/>
      <c r="AJ36"/>
      <c r="AK36"/>
      <c r="AL36"/>
      <c r="AM36"/>
      <c r="AN36"/>
      <c r="AO36"/>
      <c r="AP36"/>
      <c r="AQ36"/>
      <c r="AR36" s="100"/>
      <c r="AS36" s="221"/>
      <c r="AT36" s="224"/>
      <c r="BF36" s="221"/>
      <c r="BG36" s="224"/>
      <c r="BS36" s="221"/>
      <c r="BT36" s="224"/>
      <c r="CF36" s="221"/>
      <c r="CG36" s="224"/>
    </row>
    <row r="37" spans="1:95" s="217" customFormat="1" x14ac:dyDescent="0.25">
      <c r="A37"/>
      <c r="B37" s="202">
        <v>44378</v>
      </c>
      <c r="C37" s="66"/>
      <c r="D37" s="200">
        <v>15763.049805000001</v>
      </c>
      <c r="E37" s="64">
        <f t="shared" si="0"/>
        <v>2.6428651846197582E-3</v>
      </c>
      <c r="F37" s="64"/>
      <c r="G37" s="200">
        <v>982.93633999999997</v>
      </c>
      <c r="H37" s="64">
        <f t="shared" si="1"/>
        <v>0.13507609530831122</v>
      </c>
      <c r="I37"/>
      <c r="J37" s="101"/>
      <c r="K37" s="101"/>
      <c r="L37" s="100"/>
      <c r="M37" s="100"/>
      <c r="N37" s="100"/>
      <c r="O37" s="100"/>
      <c r="P37" s="100"/>
      <c r="Q37" s="100"/>
      <c r="R37" s="100"/>
      <c r="S37"/>
      <c r="T37" s="206">
        <v>535.81756600000006</v>
      </c>
      <c r="U37" s="64">
        <f t="shared" si="2"/>
        <v>-2.6769967031606834E-3</v>
      </c>
      <c r="V37"/>
      <c r="W37"/>
      <c r="X37"/>
      <c r="Y37"/>
      <c r="Z37"/>
      <c r="AA37"/>
      <c r="AB37"/>
      <c r="AC37"/>
      <c r="AD37"/>
      <c r="AE37"/>
      <c r="AF37" s="207">
        <v>154.86218299999999</v>
      </c>
      <c r="AG37" s="64">
        <f t="shared" si="3"/>
        <v>9.9806095683457441E-2</v>
      </c>
      <c r="AH37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221"/>
      <c r="AT37" s="224"/>
      <c r="BF37" s="221"/>
      <c r="BG37" s="224"/>
      <c r="BS37" s="221"/>
      <c r="BT37" s="224"/>
      <c r="CF37" s="221"/>
      <c r="CG37" s="224"/>
    </row>
    <row r="38" spans="1:95" s="217" customFormat="1" x14ac:dyDescent="0.25">
      <c r="A38"/>
      <c r="B38" s="202">
        <v>44409</v>
      </c>
      <c r="C38" s="66"/>
      <c r="D38" s="200">
        <v>17132.199218999998</v>
      </c>
      <c r="E38" s="64">
        <f t="shared" si="0"/>
        <v>8.6858154414110045E-2</v>
      </c>
      <c r="F38" s="64"/>
      <c r="G38" s="200">
        <v>1093.8874510000001</v>
      </c>
      <c r="H38" s="64">
        <f t="shared" si="1"/>
        <v>0.11287720932161283</v>
      </c>
      <c r="I38"/>
      <c r="J38" s="96"/>
      <c r="K38" s="96"/>
      <c r="L38" s="100"/>
      <c r="M38" s="100"/>
      <c r="N38" s="100"/>
      <c r="O38" s="100"/>
      <c r="P38" s="100"/>
      <c r="Q38" s="100"/>
      <c r="R38" s="100"/>
      <c r="S38"/>
      <c r="T38" s="206">
        <v>572.58703600000001</v>
      </c>
      <c r="U38" s="64">
        <f t="shared" si="2"/>
        <v>6.8623114158971044E-2</v>
      </c>
      <c r="V38"/>
      <c r="W38"/>
      <c r="X38"/>
      <c r="Y38"/>
      <c r="Z38"/>
      <c r="AA38"/>
      <c r="AB38"/>
      <c r="AC38"/>
      <c r="AD38"/>
      <c r="AE38"/>
      <c r="AF38" s="207">
        <v>154.36726400000001</v>
      </c>
      <c r="AG38" s="64">
        <f t="shared" si="3"/>
        <v>-3.1958673861647302E-3</v>
      </c>
      <c r="AH38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221"/>
      <c r="AT38" s="224"/>
      <c r="BF38" s="221"/>
      <c r="BG38" s="224"/>
      <c r="BS38" s="221"/>
      <c r="BT38" s="224"/>
      <c r="CF38" s="221"/>
      <c r="CG38" s="224"/>
    </row>
    <row r="39" spans="1:95" s="217" customFormat="1" x14ac:dyDescent="0.25">
      <c r="A39"/>
      <c r="B39" s="202">
        <v>44440</v>
      </c>
      <c r="C39" s="66"/>
      <c r="D39" s="200">
        <v>17618.150390999999</v>
      </c>
      <c r="E39" s="64">
        <f t="shared" si="0"/>
        <v>2.8364786434485811E-2</v>
      </c>
      <c r="F39" s="64"/>
      <c r="G39" s="200">
        <v>1024.8291019999999</v>
      </c>
      <c r="H39" s="64">
        <f t="shared" si="1"/>
        <v>-6.3131128286432969E-2</v>
      </c>
      <c r="I39"/>
      <c r="J39" s="96"/>
      <c r="K39" s="96"/>
      <c r="L39" s="100"/>
      <c r="M39" s="100"/>
      <c r="N39" s="100"/>
      <c r="O39" s="100"/>
      <c r="P39" s="100"/>
      <c r="Q39" s="100"/>
      <c r="R39" s="100"/>
      <c r="S39"/>
      <c r="T39" s="206">
        <v>550.34307899999999</v>
      </c>
      <c r="U39" s="64">
        <f t="shared" si="2"/>
        <v>-3.8848167355294505E-2</v>
      </c>
      <c r="V39"/>
      <c r="W39"/>
      <c r="X39"/>
      <c r="Y39"/>
      <c r="Z39"/>
      <c r="AA39"/>
      <c r="AB39"/>
      <c r="AC39"/>
      <c r="AD39"/>
      <c r="AE39"/>
      <c r="AF39" s="207">
        <v>160.755539</v>
      </c>
      <c r="AG39" s="64">
        <f t="shared" si="3"/>
        <v>4.1383612266393532E-2</v>
      </c>
      <c r="AH39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221"/>
      <c r="AT39" s="224"/>
      <c r="BF39" s="221"/>
      <c r="BG39" s="224"/>
      <c r="BS39" s="221"/>
      <c r="BT39" s="224"/>
      <c r="CF39" s="221"/>
      <c r="CG39" s="224"/>
    </row>
    <row r="40" spans="1:95" s="217" customFormat="1" x14ac:dyDescent="0.25">
      <c r="A40"/>
      <c r="B40" s="202">
        <v>44470</v>
      </c>
      <c r="C40" s="66"/>
      <c r="D40" s="200">
        <v>17671.650390999999</v>
      </c>
      <c r="E40" s="64">
        <f t="shared" si="0"/>
        <v>3.0366411236522062E-3</v>
      </c>
      <c r="F40" s="64"/>
      <c r="G40" s="200">
        <v>951.93975799999998</v>
      </c>
      <c r="H40" s="64">
        <f t="shared" si="1"/>
        <v>-7.1123413511338773E-2</v>
      </c>
      <c r="I40"/>
      <c r="J40" s="96"/>
      <c r="K40" s="96"/>
      <c r="L40" s="100"/>
      <c r="M40" s="100"/>
      <c r="N40" s="100"/>
      <c r="O40" s="100"/>
      <c r="P40" s="100"/>
      <c r="Q40" s="100"/>
      <c r="R40" s="100"/>
      <c r="S40"/>
      <c r="T40" s="206">
        <v>509.35513300000002</v>
      </c>
      <c r="U40" s="64">
        <f t="shared" si="2"/>
        <v>-7.4477080868314061E-2</v>
      </c>
      <c r="V40"/>
      <c r="W40"/>
      <c r="X40"/>
      <c r="Y40"/>
      <c r="Z40"/>
      <c r="AA40"/>
      <c r="AB40"/>
      <c r="AC40"/>
      <c r="AD40"/>
      <c r="AE40"/>
      <c r="AF40" s="207">
        <v>149.26618999999999</v>
      </c>
      <c r="AG40" s="64">
        <f t="shared" si="3"/>
        <v>-7.1470936998320189E-2</v>
      </c>
      <c r="AH4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221"/>
      <c r="AT40" s="224"/>
      <c r="BF40" s="221"/>
      <c r="BG40" s="224"/>
      <c r="BS40" s="221"/>
      <c r="BT40" s="224"/>
      <c r="CF40" s="221"/>
      <c r="CG40" s="224"/>
    </row>
    <row r="41" spans="1:95" s="217" customFormat="1" x14ac:dyDescent="0.25">
      <c r="A41"/>
      <c r="B41" s="202">
        <v>44501</v>
      </c>
      <c r="C41" s="66"/>
      <c r="D41" s="200">
        <v>16983.199218999998</v>
      </c>
      <c r="E41" s="64">
        <f t="shared" si="0"/>
        <v>-3.8957944321409976E-2</v>
      </c>
      <c r="F41" s="64"/>
      <c r="G41" s="200">
        <v>918.55493200000001</v>
      </c>
      <c r="H41" s="64">
        <f t="shared" si="1"/>
        <v>-3.5070313766640604E-2</v>
      </c>
      <c r="I41"/>
      <c r="J41" s="96"/>
      <c r="K41" s="96"/>
      <c r="L41" s="100"/>
      <c r="M41" s="100"/>
      <c r="N41" s="100"/>
      <c r="O41" s="100"/>
      <c r="P41" s="100"/>
      <c r="Q41" s="100"/>
      <c r="R41" s="100"/>
      <c r="S41"/>
      <c r="T41" s="206">
        <v>505.32815599999998</v>
      </c>
      <c r="U41" s="64">
        <f t="shared" si="2"/>
        <v>-7.9060300743057921E-3</v>
      </c>
      <c r="V41"/>
      <c r="W41"/>
      <c r="X41"/>
      <c r="Y41"/>
      <c r="Z41"/>
      <c r="AA41"/>
      <c r="AB41"/>
      <c r="AC41"/>
      <c r="AD41"/>
      <c r="AE41"/>
      <c r="AF41" s="207">
        <v>147.359253</v>
      </c>
      <c r="AG41" s="64">
        <f t="shared" si="3"/>
        <v>-1.2775411498076039E-2</v>
      </c>
      <c r="AH41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221"/>
      <c r="AT41" s="224"/>
      <c r="BF41" s="221"/>
      <c r="BG41" s="224"/>
      <c r="BS41" s="221"/>
      <c r="BT41" s="224"/>
      <c r="CF41" s="221"/>
      <c r="CG41" s="224"/>
    </row>
    <row r="42" spans="1:95" s="217" customFormat="1" x14ac:dyDescent="0.25">
      <c r="A42"/>
      <c r="B42" s="202">
        <v>44531</v>
      </c>
      <c r="C42" s="66"/>
      <c r="D42" s="200">
        <v>17354.050781000002</v>
      </c>
      <c r="E42" s="64">
        <f t="shared" si="0"/>
        <v>2.1836378247575006E-2</v>
      </c>
      <c r="F42" s="64"/>
      <c r="G42" s="200">
        <v>963.58209199999999</v>
      </c>
      <c r="H42" s="64">
        <f t="shared" si="1"/>
        <v>4.9019561521444155E-2</v>
      </c>
      <c r="I42"/>
      <c r="J42" s="96"/>
      <c r="K42" s="96"/>
      <c r="L42" s="100"/>
      <c r="M42" s="100"/>
      <c r="N42" s="100"/>
      <c r="O42" s="100"/>
      <c r="P42" s="100"/>
      <c r="Q42" s="100"/>
      <c r="R42" s="100"/>
      <c r="S42"/>
      <c r="T42" s="206">
        <v>501.149719</v>
      </c>
      <c r="U42" s="64">
        <f t="shared" si="2"/>
        <v>-8.2687595187155294E-3</v>
      </c>
      <c r="V42"/>
      <c r="W42"/>
      <c r="X42"/>
      <c r="Y42"/>
      <c r="Z42"/>
      <c r="AA42"/>
      <c r="AB42"/>
      <c r="AC42"/>
      <c r="AD42"/>
      <c r="AE42"/>
      <c r="AF42" s="207">
        <v>131.769958</v>
      </c>
      <c r="AG42" s="64">
        <f t="shared" si="3"/>
        <v>-0.10579108323791508</v>
      </c>
      <c r="AH42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221"/>
      <c r="AT42" s="224"/>
      <c r="BF42" s="221"/>
      <c r="BG42" s="224"/>
      <c r="BS42" s="221"/>
      <c r="BT42" s="224"/>
      <c r="CF42" s="221"/>
      <c r="CG42" s="224"/>
    </row>
    <row r="43" spans="1:95" s="217" customFormat="1" x14ac:dyDescent="0.25">
      <c r="A43"/>
      <c r="B43" s="202">
        <v>44562</v>
      </c>
      <c r="C43" s="66"/>
      <c r="D43" s="200">
        <v>17339.849609000001</v>
      </c>
      <c r="E43" s="64">
        <f t="shared" si="0"/>
        <v>-8.183202976188575E-4</v>
      </c>
      <c r="F43" s="64"/>
      <c r="G43" s="200">
        <v>883.92627000000005</v>
      </c>
      <c r="H43" s="64">
        <f t="shared" si="1"/>
        <v>-8.2666357813548808E-2</v>
      </c>
      <c r="I43"/>
      <c r="J43" s="100"/>
      <c r="K43" s="100"/>
      <c r="L43" s="100"/>
      <c r="M43" s="100"/>
      <c r="N43" s="100"/>
      <c r="O43" s="100"/>
      <c r="P43" s="100"/>
      <c r="Q43" s="100"/>
      <c r="R43" s="100"/>
      <c r="S43"/>
      <c r="T43" s="206">
        <v>481.161652</v>
      </c>
      <c r="U43" s="64">
        <f t="shared" si="2"/>
        <v>-3.9884422243884332E-2</v>
      </c>
      <c r="V43"/>
      <c r="W43"/>
      <c r="X43"/>
      <c r="Y43"/>
      <c r="Z43"/>
      <c r="AA43"/>
      <c r="AB43"/>
      <c r="AC43"/>
      <c r="AD43"/>
      <c r="AE43"/>
      <c r="AF43" s="207">
        <v>134.20130900000001</v>
      </c>
      <c r="AG43" s="64">
        <f t="shared" si="3"/>
        <v>1.8451481937939107E-2</v>
      </c>
      <c r="AH43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221"/>
      <c r="AT43" s="224"/>
      <c r="BF43" s="221"/>
      <c r="BG43" s="224"/>
      <c r="BS43" s="221"/>
      <c r="BT43" s="224"/>
      <c r="CF43" s="221"/>
      <c r="CG43" s="224"/>
    </row>
    <row r="44" spans="1:95" s="217" customFormat="1" x14ac:dyDescent="0.25">
      <c r="A44"/>
      <c r="B44" s="202">
        <v>44593</v>
      </c>
      <c r="C44" s="66"/>
      <c r="D44" s="200">
        <v>16793.900390999999</v>
      </c>
      <c r="E44" s="64">
        <f t="shared" si="0"/>
        <v>-3.1485233742548413E-2</v>
      </c>
      <c r="F44" s="64"/>
      <c r="G44" s="200">
        <v>764.16888400000005</v>
      </c>
      <c r="H44" s="64">
        <f t="shared" si="1"/>
        <v>-0.13548345610318835</v>
      </c>
      <c r="I44"/>
      <c r="J44" s="100"/>
      <c r="K44" s="100"/>
      <c r="L44" s="100"/>
      <c r="M44" s="100"/>
      <c r="N44" s="100"/>
      <c r="O44" s="100"/>
      <c r="P44" s="100"/>
      <c r="Q44" s="100"/>
      <c r="R44" s="100"/>
      <c r="S44"/>
      <c r="T44" s="206">
        <v>478.31317100000001</v>
      </c>
      <c r="U44" s="64">
        <f t="shared" si="2"/>
        <v>-5.9200083551130822E-3</v>
      </c>
      <c r="V44"/>
      <c r="W44"/>
      <c r="X44"/>
      <c r="Y44"/>
      <c r="Z44"/>
      <c r="AA44"/>
      <c r="AB44"/>
      <c r="AC44"/>
      <c r="AD44"/>
      <c r="AE44"/>
      <c r="AF44" s="207">
        <v>130.57811000000001</v>
      </c>
      <c r="AG44" s="64">
        <f t="shared" si="3"/>
        <v>-2.699823889199171E-2</v>
      </c>
      <c r="AH44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221"/>
      <c r="AT44" s="224"/>
      <c r="BF44" s="221"/>
      <c r="BG44" s="224"/>
      <c r="BS44" s="221"/>
      <c r="BT44" s="224"/>
      <c r="CF44" s="221"/>
      <c r="CG44" s="224"/>
    </row>
    <row r="45" spans="1:95" s="217" customFormat="1" x14ac:dyDescent="0.25">
      <c r="A45"/>
      <c r="B45" s="202">
        <v>44621</v>
      </c>
      <c r="C45" s="66"/>
      <c r="D45" s="200">
        <v>17464.75</v>
      </c>
      <c r="E45" s="64">
        <f t="shared" si="0"/>
        <v>3.9946027627954406E-2</v>
      </c>
      <c r="F45" s="64"/>
      <c r="G45" s="200">
        <v>743.62048300000004</v>
      </c>
      <c r="H45" s="64">
        <f t="shared" si="1"/>
        <v>-2.6889868758383062E-2</v>
      </c>
      <c r="I45"/>
      <c r="J45" s="102"/>
      <c r="K45" s="102"/>
      <c r="L45" s="102"/>
      <c r="M45" s="102"/>
      <c r="N45" s="102"/>
      <c r="O45" s="102"/>
      <c r="P45" s="100"/>
      <c r="Q45" s="100"/>
      <c r="R45" s="100"/>
      <c r="S45"/>
      <c r="T45" s="206">
        <v>435.27767899999998</v>
      </c>
      <c r="U45" s="64">
        <f t="shared" si="2"/>
        <v>-8.9973462177565744E-2</v>
      </c>
      <c r="V45"/>
      <c r="W45"/>
      <c r="X45"/>
      <c r="Y45"/>
      <c r="Z45"/>
      <c r="AA45"/>
      <c r="AB45"/>
      <c r="AC45"/>
      <c r="AD45"/>
      <c r="AE45"/>
      <c r="AF45" s="207">
        <v>140.589584</v>
      </c>
      <c r="AG45" s="64">
        <f t="shared" si="3"/>
        <v>7.6670385258294838E-2</v>
      </c>
      <c r="AH45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/>
      <c r="AS45" s="221"/>
      <c r="AT45" s="224"/>
      <c r="BF45" s="221"/>
      <c r="BG45" s="224"/>
      <c r="BS45" s="221"/>
      <c r="BT45" s="224"/>
      <c r="CF45" s="221"/>
      <c r="CG45" s="224"/>
    </row>
    <row r="46" spans="1:95" s="217" customFormat="1" x14ac:dyDescent="0.25">
      <c r="A46"/>
      <c r="B46" s="202">
        <v>44652</v>
      </c>
      <c r="C46" s="66"/>
      <c r="D46" s="200">
        <v>17102.550781000002</v>
      </c>
      <c r="E46" s="64">
        <f t="shared" si="0"/>
        <v>-2.0738872242660134E-2</v>
      </c>
      <c r="F46" s="64"/>
      <c r="G46" s="200">
        <v>778.547729</v>
      </c>
      <c r="H46" s="64">
        <f t="shared" si="1"/>
        <v>4.6969182262291076E-2</v>
      </c>
      <c r="I46"/>
      <c r="J46" s="96"/>
      <c r="K46" s="96"/>
      <c r="L46" s="96"/>
      <c r="M46" s="96"/>
      <c r="N46" s="96"/>
      <c r="O46" s="96"/>
      <c r="P46" s="100"/>
      <c r="Q46" s="100"/>
      <c r="R46" s="100"/>
      <c r="S46"/>
      <c r="T46" s="206">
        <v>478.693512</v>
      </c>
      <c r="U46" s="64">
        <f t="shared" si="2"/>
        <v>9.9742842545344601E-2</v>
      </c>
      <c r="V46"/>
      <c r="W46"/>
      <c r="X46"/>
      <c r="Y46"/>
      <c r="Z46"/>
      <c r="AA46"/>
      <c r="AB46"/>
      <c r="AC46"/>
      <c r="AD46"/>
      <c r="AE46"/>
      <c r="AF46" s="207">
        <v>147.12088</v>
      </c>
      <c r="AG46" s="64">
        <f t="shared" si="3"/>
        <v>4.6456471483691031E-2</v>
      </c>
      <c r="AH46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221"/>
      <c r="AT46" s="224"/>
      <c r="BF46" s="221"/>
      <c r="BG46" s="224"/>
      <c r="BS46" s="221"/>
      <c r="BT46" s="224"/>
      <c r="CF46" s="221"/>
      <c r="CG46" s="224"/>
    </row>
    <row r="47" spans="1:95" s="217" customFormat="1" x14ac:dyDescent="0.25">
      <c r="A47"/>
      <c r="B47" s="202">
        <v>44682</v>
      </c>
      <c r="C47" s="66"/>
      <c r="D47" s="200">
        <v>16584.550781000002</v>
      </c>
      <c r="E47" s="64">
        <f t="shared" si="0"/>
        <v>-3.0287879663861039E-2</v>
      </c>
      <c r="F47" s="64"/>
      <c r="G47" s="200">
        <v>763.173767</v>
      </c>
      <c r="H47" s="64">
        <f t="shared" si="1"/>
        <v>-1.9746974305283715E-2</v>
      </c>
      <c r="I47"/>
      <c r="J47" s="96"/>
      <c r="K47" s="96"/>
      <c r="L47" s="96"/>
      <c r="M47" s="96"/>
      <c r="N47" s="96"/>
      <c r="O47" s="96"/>
      <c r="P47" s="100"/>
      <c r="Q47" s="100"/>
      <c r="R47" s="100"/>
      <c r="S47"/>
      <c r="T47" s="206">
        <v>405.29547100000002</v>
      </c>
      <c r="U47" s="64">
        <f t="shared" si="2"/>
        <v>-0.15332992647704813</v>
      </c>
      <c r="V47"/>
      <c r="W47"/>
      <c r="X47"/>
      <c r="Y47"/>
      <c r="Z47"/>
      <c r="AA47"/>
      <c r="AB47"/>
      <c r="AC47"/>
      <c r="AD47"/>
      <c r="AE47"/>
      <c r="AF47" s="207">
        <v>142.067474</v>
      </c>
      <c r="AG47" s="64">
        <f t="shared" si="3"/>
        <v>-3.4348666212436929E-2</v>
      </c>
      <c r="AH47"/>
      <c r="AI47" s="100"/>
      <c r="AJ47" s="100"/>
      <c r="AK47" s="100"/>
      <c r="AL47" s="100"/>
      <c r="AM47" s="100"/>
      <c r="AN47" s="100"/>
      <c r="AO47" s="100"/>
      <c r="AP47" s="100"/>
      <c r="AQ47" s="100"/>
      <c r="AR47" s="100"/>
      <c r="AS47" s="221"/>
      <c r="AT47" s="224"/>
      <c r="BF47" s="221"/>
      <c r="BG47" s="224"/>
      <c r="BS47" s="221"/>
      <c r="BT47" s="224"/>
      <c r="CF47" s="221"/>
      <c r="CG47" s="224"/>
    </row>
    <row r="48" spans="1:95" s="217" customFormat="1" x14ac:dyDescent="0.25">
      <c r="A48"/>
      <c r="B48" s="202">
        <v>44713</v>
      </c>
      <c r="C48" s="66"/>
      <c r="D48" s="200">
        <v>15780.25</v>
      </c>
      <c r="E48" s="64">
        <f t="shared" si="0"/>
        <v>-4.8496989253483114E-2</v>
      </c>
      <c r="F48" s="64"/>
      <c r="G48" s="200">
        <v>753.82006799999999</v>
      </c>
      <c r="H48" s="64">
        <f t="shared" si="1"/>
        <v>-1.2256316194893535E-2</v>
      </c>
      <c r="I48"/>
      <c r="J48" s="96"/>
      <c r="K48" s="96"/>
      <c r="L48" s="96"/>
      <c r="M48" s="96"/>
      <c r="N48" s="96"/>
      <c r="O48" s="96"/>
      <c r="P48" s="100"/>
      <c r="Q48" s="100"/>
      <c r="R48" s="100"/>
      <c r="S48"/>
      <c r="T48" s="206">
        <v>409.09191900000002</v>
      </c>
      <c r="U48" s="64">
        <f t="shared" si="2"/>
        <v>9.367111827410568E-3</v>
      </c>
      <c r="V48"/>
      <c r="W48"/>
      <c r="X48"/>
      <c r="Y48"/>
      <c r="Z48"/>
      <c r="AA48"/>
      <c r="AB48"/>
      <c r="AC48"/>
      <c r="AD48"/>
      <c r="AE48"/>
      <c r="AF48" s="207">
        <v>142.68722500000001</v>
      </c>
      <c r="AG48" s="64">
        <f t="shared" si="3"/>
        <v>4.3623707985405158E-3</v>
      </c>
      <c r="AH48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221"/>
      <c r="AT48" s="224"/>
      <c r="BF48" s="221"/>
      <c r="BG48" s="224"/>
      <c r="BS48" s="221"/>
      <c r="BT48" s="224"/>
      <c r="CF48" s="221"/>
      <c r="CG48" s="224"/>
    </row>
    <row r="49" spans="1:85" s="217" customFormat="1" x14ac:dyDescent="0.25">
      <c r="A49"/>
      <c r="B49" s="202">
        <v>44743</v>
      </c>
      <c r="C49" s="66"/>
      <c r="D49" s="200">
        <v>17158.25</v>
      </c>
      <c r="E49" s="64">
        <f t="shared" si="0"/>
        <v>8.7324345305048956E-2</v>
      </c>
      <c r="F49" s="64"/>
      <c r="G49" s="200">
        <v>849.54638699999998</v>
      </c>
      <c r="H49" s="64">
        <f t="shared" si="1"/>
        <v>0.12698828681223162</v>
      </c>
      <c r="I49"/>
      <c r="J49" s="100"/>
      <c r="K49" s="100"/>
      <c r="L49" s="100"/>
      <c r="M49" s="100"/>
      <c r="N49" s="100"/>
      <c r="O49" s="100"/>
      <c r="P49" s="100"/>
      <c r="Q49" s="100"/>
      <c r="R49" s="100"/>
      <c r="S49"/>
      <c r="T49" s="206">
        <v>437.90600599999999</v>
      </c>
      <c r="U49" s="64">
        <f t="shared" si="2"/>
        <v>7.0434261010176469E-2</v>
      </c>
      <c r="V49"/>
      <c r="W49"/>
      <c r="X49"/>
      <c r="Y49"/>
      <c r="Z49"/>
      <c r="AA49"/>
      <c r="AB49"/>
      <c r="AC49"/>
      <c r="AD49"/>
      <c r="AE49"/>
      <c r="AF49" s="207">
        <v>163.520599</v>
      </c>
      <c r="AG49" s="64">
        <f t="shared" si="3"/>
        <v>0.14600728271223984</v>
      </c>
      <c r="AH49"/>
      <c r="AI49" s="100"/>
      <c r="AJ49" s="100"/>
      <c r="AK49" s="100"/>
      <c r="AL49" s="100"/>
      <c r="AM49" s="100"/>
      <c r="AN49" s="100"/>
      <c r="AO49" s="100"/>
      <c r="AP49" s="100"/>
      <c r="AQ49" s="100"/>
      <c r="AR49" s="100"/>
      <c r="AS49" s="221"/>
      <c r="AT49" s="224"/>
      <c r="BF49" s="221"/>
      <c r="BG49" s="224"/>
      <c r="BS49" s="221"/>
      <c r="BT49" s="224"/>
      <c r="CF49" s="221"/>
      <c r="CG49" s="224"/>
    </row>
    <row r="50" spans="1:85" s="217" customFormat="1" x14ac:dyDescent="0.25">
      <c r="A50"/>
      <c r="B50" s="202">
        <v>44774</v>
      </c>
      <c r="C50" s="66"/>
      <c r="D50" s="200">
        <v>17759.300781000002</v>
      </c>
      <c r="E50" s="64">
        <f t="shared" si="0"/>
        <v>3.5029841679658613E-2</v>
      </c>
      <c r="F50" s="64"/>
      <c r="G50" s="200">
        <v>919.69928000000004</v>
      </c>
      <c r="H50" s="64">
        <f t="shared" si="1"/>
        <v>8.2576883468047813E-2</v>
      </c>
      <c r="I50"/>
      <c r="J50" s="102"/>
      <c r="K50" s="102"/>
      <c r="L50" s="102"/>
      <c r="M50" s="102"/>
      <c r="N50" s="102"/>
      <c r="O50" s="102"/>
      <c r="P50" s="102"/>
      <c r="Q50" s="102"/>
      <c r="R50" s="102"/>
      <c r="S50"/>
      <c r="T50" s="206">
        <v>471.58734099999998</v>
      </c>
      <c r="U50" s="64">
        <f t="shared" si="2"/>
        <v>7.6914530831988515E-2</v>
      </c>
      <c r="V50"/>
      <c r="W50"/>
      <c r="X50"/>
      <c r="Y50"/>
      <c r="Z50"/>
      <c r="AA50"/>
      <c r="AB50"/>
      <c r="AC50"/>
      <c r="AD50"/>
      <c r="AE50"/>
      <c r="AF50" s="207">
        <v>186.077347</v>
      </c>
      <c r="AG50" s="64">
        <f t="shared" si="3"/>
        <v>0.13794438216313032</v>
      </c>
      <c r="AH50"/>
      <c r="AI50" s="100"/>
      <c r="AJ50" s="100"/>
      <c r="AK50" s="100"/>
      <c r="AL50" s="100"/>
      <c r="AM50" s="100"/>
      <c r="AN50" s="100"/>
      <c r="AO50" s="100"/>
      <c r="AP50" s="100"/>
      <c r="AQ50" s="100"/>
      <c r="AR50" s="100"/>
      <c r="AS50" s="221"/>
      <c r="AT50" s="224"/>
      <c r="BF50" s="221"/>
      <c r="BG50" s="224"/>
      <c r="BS50" s="221"/>
      <c r="BT50" s="224"/>
      <c r="CF50" s="221"/>
      <c r="CG50" s="224"/>
    </row>
    <row r="51" spans="1:85" s="217" customFormat="1" x14ac:dyDescent="0.25">
      <c r="A51"/>
      <c r="B51" s="202">
        <v>44805</v>
      </c>
      <c r="C51" s="66"/>
      <c r="D51" s="200">
        <v>17094.349609000001</v>
      </c>
      <c r="E51" s="64">
        <f t="shared" si="0"/>
        <v>-3.7442418493829788E-2</v>
      </c>
      <c r="F51" s="64"/>
      <c r="G51" s="200">
        <v>905.96722399999999</v>
      </c>
      <c r="H51" s="64">
        <f t="shared" si="1"/>
        <v>-1.4931028324823847E-2</v>
      </c>
      <c r="I51"/>
      <c r="J51" s="96"/>
      <c r="K51" s="96"/>
      <c r="L51" s="96"/>
      <c r="M51" s="96"/>
      <c r="N51" s="96"/>
      <c r="O51" s="96"/>
      <c r="P51" s="96"/>
      <c r="Q51" s="96"/>
      <c r="R51" s="96"/>
      <c r="S51"/>
      <c r="T51" s="206">
        <v>490.91027800000001</v>
      </c>
      <c r="U51" s="64">
        <f t="shared" si="2"/>
        <v>4.0974248712922989E-2</v>
      </c>
      <c r="V51"/>
      <c r="W51"/>
      <c r="X51"/>
      <c r="Y51"/>
      <c r="Z51"/>
      <c r="AA51"/>
      <c r="AB51"/>
      <c r="AC51"/>
      <c r="AD51"/>
      <c r="AE51"/>
      <c r="AF51" s="207">
        <v>185.83081100000001</v>
      </c>
      <c r="AG51" s="64">
        <f t="shared" si="3"/>
        <v>-1.3249114090173597E-3</v>
      </c>
      <c r="AH51"/>
      <c r="AI51" s="100"/>
      <c r="AJ51" s="100"/>
      <c r="AK51" s="100"/>
      <c r="AL51" s="100"/>
      <c r="AM51" s="100"/>
      <c r="AN51" s="100"/>
      <c r="AO51" s="100"/>
      <c r="AP51" s="100"/>
      <c r="AQ51" s="100"/>
      <c r="AR51" s="100"/>
      <c r="AS51" s="221"/>
      <c r="AT51" s="224"/>
      <c r="BF51" s="221"/>
      <c r="BG51" s="224"/>
      <c r="BS51" s="221"/>
      <c r="BT51" s="224"/>
      <c r="CF51" s="221"/>
      <c r="CG51" s="224"/>
    </row>
    <row r="52" spans="1:85" s="217" customFormat="1" x14ac:dyDescent="0.25">
      <c r="A52"/>
      <c r="B52" s="202">
        <v>44835</v>
      </c>
      <c r="C52" s="66"/>
      <c r="D52" s="200">
        <v>18012.199218999998</v>
      </c>
      <c r="E52" s="64">
        <f t="shared" si="0"/>
        <v>5.3693157738903263E-2</v>
      </c>
      <c r="F52" s="64"/>
      <c r="G52" s="200">
        <v>825.21673599999997</v>
      </c>
      <c r="H52" s="64">
        <f t="shared" si="1"/>
        <v>-8.9131798436893561E-2</v>
      </c>
      <c r="I52"/>
      <c r="J52" s="96"/>
      <c r="K52" s="96"/>
      <c r="L52" s="96"/>
      <c r="M52" s="96"/>
      <c r="N52" s="96"/>
      <c r="O52" s="96"/>
      <c r="P52" s="96"/>
      <c r="Q52" s="96"/>
      <c r="R52" s="96"/>
      <c r="S52"/>
      <c r="T52" s="206">
        <v>461.46346999999997</v>
      </c>
      <c r="U52" s="64">
        <f t="shared" si="2"/>
        <v>-5.998409346809408E-2</v>
      </c>
      <c r="V52"/>
      <c r="W52"/>
      <c r="X52"/>
      <c r="Y52"/>
      <c r="Z52"/>
      <c r="AA52"/>
      <c r="AB52"/>
      <c r="AC52"/>
      <c r="AD52"/>
      <c r="AE52"/>
      <c r="AF52" s="207">
        <v>195.19877600000001</v>
      </c>
      <c r="AG52" s="64">
        <f t="shared" si="3"/>
        <v>5.0411258227786471E-2</v>
      </c>
      <c r="AH52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221"/>
      <c r="AT52" s="224"/>
      <c r="BF52" s="221"/>
      <c r="BG52" s="224"/>
      <c r="BS52" s="221"/>
      <c r="BT52" s="224"/>
      <c r="CF52" s="221"/>
      <c r="CG52" s="224"/>
    </row>
    <row r="53" spans="1:85" s="217" customFormat="1" x14ac:dyDescent="0.25">
      <c r="A53"/>
      <c r="B53" s="202">
        <v>44866</v>
      </c>
      <c r="C53" s="66"/>
      <c r="D53" s="200">
        <v>18758.349609000001</v>
      </c>
      <c r="E53" s="64">
        <f t="shared" si="0"/>
        <v>4.1424724484111497E-2</v>
      </c>
      <c r="F53" s="64"/>
      <c r="G53" s="200">
        <v>877.10998500000005</v>
      </c>
      <c r="H53" s="64">
        <f t="shared" si="1"/>
        <v>6.2884387502291306E-2</v>
      </c>
      <c r="I53"/>
      <c r="J53" s="100"/>
      <c r="K53" s="100"/>
      <c r="L53" s="100"/>
      <c r="M53" s="100"/>
      <c r="N53" s="100"/>
      <c r="O53" s="100"/>
      <c r="P53" s="100"/>
      <c r="Q53" s="100"/>
      <c r="R53" s="100"/>
      <c r="S53"/>
      <c r="T53" s="206">
        <v>466.03866599999998</v>
      </c>
      <c r="U53" s="64">
        <f t="shared" si="2"/>
        <v>9.9145355969347815E-3</v>
      </c>
      <c r="V53"/>
      <c r="W53"/>
      <c r="X53"/>
      <c r="Y53"/>
      <c r="Z53"/>
      <c r="AA53"/>
      <c r="AB53"/>
      <c r="AC53"/>
      <c r="AD53"/>
      <c r="AE53"/>
      <c r="AF53" s="207">
        <v>200.17858899999999</v>
      </c>
      <c r="AG53" s="64">
        <f t="shared" si="3"/>
        <v>2.5511497059796939E-2</v>
      </c>
      <c r="AH53"/>
      <c r="AI53" s="100"/>
      <c r="AJ53" s="100"/>
      <c r="AK53" s="100"/>
      <c r="AL53" s="100"/>
      <c r="AM53" s="100"/>
      <c r="AN53" s="100"/>
      <c r="AO53" s="100"/>
      <c r="AP53" s="100"/>
      <c r="AQ53" s="100"/>
      <c r="AR53" s="100"/>
      <c r="AS53" s="221"/>
      <c r="AT53" s="224"/>
      <c r="BF53" s="221"/>
      <c r="BG53" s="224"/>
      <c r="BS53" s="221"/>
      <c r="BT53" s="224"/>
      <c r="CF53" s="221"/>
      <c r="CG53" s="224"/>
    </row>
    <row r="54" spans="1:85" s="217" customFormat="1" x14ac:dyDescent="0.25">
      <c r="A54"/>
      <c r="B54" s="202">
        <v>44896</v>
      </c>
      <c r="C54" s="66"/>
      <c r="D54" s="200">
        <v>18105.300781000002</v>
      </c>
      <c r="E54" s="64">
        <f t="shared" si="0"/>
        <v>-3.4813767821379904E-2</v>
      </c>
      <c r="F54" s="64"/>
      <c r="G54" s="200">
        <v>869.746399</v>
      </c>
      <c r="H54" s="64">
        <f t="shared" si="1"/>
        <v>-8.3952823772722729E-3</v>
      </c>
      <c r="I54"/>
      <c r="J54" s="100"/>
      <c r="K54" s="100"/>
      <c r="L54" s="100"/>
      <c r="M54" s="100"/>
      <c r="N54" s="100"/>
      <c r="O54" s="100"/>
      <c r="P54" s="100"/>
      <c r="Q54" s="100"/>
      <c r="R54" s="100"/>
      <c r="S54"/>
      <c r="T54" s="206">
        <v>417.59957900000001</v>
      </c>
      <c r="U54" s="64">
        <f t="shared" si="2"/>
        <v>-0.10393791445622236</v>
      </c>
      <c r="V54"/>
      <c r="W54"/>
      <c r="X54"/>
      <c r="Y54"/>
      <c r="Z54"/>
      <c r="AA54"/>
      <c r="AB54"/>
      <c r="AC54"/>
      <c r="AD54"/>
      <c r="AE54"/>
      <c r="AF54" s="207">
        <v>202.00288399999999</v>
      </c>
      <c r="AG54" s="64">
        <f t="shared" si="3"/>
        <v>9.1133372910325861E-3</v>
      </c>
      <c r="AH54"/>
      <c r="AI54" s="100"/>
      <c r="AJ54" s="100"/>
      <c r="AK54" s="100"/>
      <c r="AL54" s="100"/>
      <c r="AM54" s="100"/>
      <c r="AN54" s="100"/>
      <c r="AO54" s="100"/>
      <c r="AP54" s="100"/>
      <c r="AQ54" s="100"/>
      <c r="AR54" s="100"/>
      <c r="AS54" s="221"/>
      <c r="AT54" s="224"/>
      <c r="BF54" s="221"/>
      <c r="BG54" s="224"/>
      <c r="BS54" s="221"/>
      <c r="BT54" s="224"/>
      <c r="CF54" s="221"/>
      <c r="CG54" s="224"/>
    </row>
    <row r="55" spans="1:85" s="217" customFormat="1" x14ac:dyDescent="0.25">
      <c r="A55"/>
      <c r="B55" s="202">
        <v>44927</v>
      </c>
      <c r="C55" s="66"/>
      <c r="D55" s="200">
        <v>17662.150390999999</v>
      </c>
      <c r="E55" s="64">
        <f t="shared" si="0"/>
        <v>-2.4476278818027275E-2</v>
      </c>
      <c r="F55" s="64"/>
      <c r="G55" s="200">
        <v>908.75341800000001</v>
      </c>
      <c r="H55" s="64">
        <f t="shared" si="1"/>
        <v>4.4848727220772266E-2</v>
      </c>
      <c r="I55"/>
      <c r="J55" s="100"/>
      <c r="K55" s="100"/>
      <c r="L55" s="100"/>
      <c r="M55" s="100"/>
      <c r="N55" s="100"/>
      <c r="O55" s="100"/>
      <c r="P55" s="100"/>
      <c r="Q55" s="100"/>
      <c r="R55" s="100"/>
      <c r="S55"/>
      <c r="T55" s="206">
        <v>435.431488</v>
      </c>
      <c r="U55" s="64">
        <f t="shared" si="2"/>
        <v>4.270097456204569E-2</v>
      </c>
      <c r="V55"/>
      <c r="W55"/>
      <c r="X55"/>
      <c r="Y55"/>
      <c r="Z55"/>
      <c r="AA55"/>
      <c r="AB55"/>
      <c r="AC55"/>
      <c r="AD55"/>
      <c r="AE55"/>
      <c r="AF55" s="207">
        <v>202.150803</v>
      </c>
      <c r="AG55" s="64">
        <f t="shared" si="3"/>
        <v>7.3226182255892169E-4</v>
      </c>
      <c r="AH55"/>
      <c r="AI55" s="100"/>
      <c r="AJ55" s="100"/>
      <c r="AK55" s="100"/>
      <c r="AL55" s="100"/>
      <c r="AM55" s="100"/>
      <c r="AN55" s="100"/>
      <c r="AO55" s="100"/>
      <c r="AP55" s="100"/>
      <c r="AQ55" s="100"/>
      <c r="AR55" s="100"/>
      <c r="AS55" s="221"/>
      <c r="AT55" s="224"/>
      <c r="BF55" s="221"/>
      <c r="BG55" s="224"/>
      <c r="BS55" s="221"/>
      <c r="BT55" s="224"/>
      <c r="CF55" s="221"/>
      <c r="CG55" s="224"/>
    </row>
    <row r="56" spans="1:85" s="217" customFormat="1" x14ac:dyDescent="0.25">
      <c r="A56"/>
      <c r="B56" s="202">
        <v>44958</v>
      </c>
      <c r="C56" s="66"/>
      <c r="D56" s="200">
        <v>17303.949218999998</v>
      </c>
      <c r="E56" s="64">
        <f t="shared" si="0"/>
        <v>-2.0280722566065723E-2</v>
      </c>
      <c r="F56" s="64"/>
      <c r="G56" s="200">
        <v>918.75390600000003</v>
      </c>
      <c r="H56" s="64">
        <f t="shared" si="1"/>
        <v>1.1004622158131028E-2</v>
      </c>
      <c r="I56"/>
      <c r="J56"/>
      <c r="K56"/>
      <c r="L56"/>
      <c r="M56"/>
      <c r="N56"/>
      <c r="O56"/>
      <c r="P56"/>
      <c r="Q56"/>
      <c r="R56"/>
      <c r="S56"/>
      <c r="T56" s="206">
        <v>392.350098</v>
      </c>
      <c r="U56" s="64">
        <f t="shared" si="2"/>
        <v>-9.8939537418111567E-2</v>
      </c>
      <c r="V56"/>
      <c r="W56"/>
      <c r="X56"/>
      <c r="Y56"/>
      <c r="Z56"/>
      <c r="AA56"/>
      <c r="AB56"/>
      <c r="AC56"/>
      <c r="AD56"/>
      <c r="AE56"/>
      <c r="AF56" s="207">
        <v>187.60580400000001</v>
      </c>
      <c r="AG56" s="64">
        <f t="shared" si="3"/>
        <v>-7.1951230389126875E-2</v>
      </c>
      <c r="AH56"/>
      <c r="AI56" s="100"/>
      <c r="AJ56" s="100"/>
      <c r="AK56" s="100"/>
      <c r="AL56" s="100"/>
      <c r="AM56" s="100"/>
      <c r="AN56" s="100"/>
      <c r="AO56" s="100"/>
      <c r="AP56" s="100"/>
      <c r="AQ56" s="100"/>
      <c r="AR56" s="100"/>
      <c r="AS56" s="221"/>
      <c r="AT56" s="224"/>
      <c r="BF56" s="221"/>
      <c r="BG56" s="224"/>
      <c r="BS56" s="221"/>
      <c r="BT56" s="224"/>
      <c r="CF56" s="221"/>
      <c r="CG56" s="224"/>
    </row>
    <row r="57" spans="1:85" s="217" customFormat="1" x14ac:dyDescent="0.25">
      <c r="A57"/>
      <c r="B57" s="202">
        <v>44986</v>
      </c>
      <c r="C57" s="66"/>
      <c r="D57" s="200">
        <v>17359.75</v>
      </c>
      <c r="E57" s="64">
        <f t="shared" si="0"/>
        <v>3.2247425309555044E-3</v>
      </c>
      <c r="F57" s="64"/>
      <c r="G57" s="200">
        <v>963.38311799999997</v>
      </c>
      <c r="H57" s="64">
        <f t="shared" si="1"/>
        <v>4.8575806544652655E-2</v>
      </c>
      <c r="I57"/>
      <c r="J57"/>
      <c r="K57"/>
      <c r="L57"/>
      <c r="M57"/>
      <c r="N57"/>
      <c r="O57"/>
      <c r="P57"/>
      <c r="Q57"/>
      <c r="R57"/>
      <c r="S57"/>
      <c r="T57" s="206">
        <v>355.73837300000002</v>
      </c>
      <c r="U57" s="64">
        <f t="shared" si="2"/>
        <v>-9.3313918326076162E-2</v>
      </c>
      <c r="V57"/>
      <c r="W57"/>
      <c r="X57"/>
      <c r="Y57"/>
      <c r="Z57"/>
      <c r="AA57"/>
      <c r="AB57"/>
      <c r="AC57"/>
      <c r="AD57"/>
      <c r="AE57"/>
      <c r="AF57" s="207">
        <v>187.85232500000001</v>
      </c>
      <c r="AG57" s="64">
        <f t="shared" si="3"/>
        <v>1.3140371712594412E-3</v>
      </c>
      <c r="AH57"/>
      <c r="AI57" s="100"/>
      <c r="AJ57" s="100"/>
      <c r="AK57" s="100"/>
      <c r="AL57" s="100"/>
      <c r="AM57" s="100"/>
      <c r="AN57" s="100"/>
      <c r="AO57" s="100"/>
      <c r="AP57" s="100"/>
      <c r="AQ57" s="100"/>
      <c r="AR57" s="100"/>
      <c r="AS57" s="221"/>
      <c r="AT57" s="224"/>
      <c r="BF57" s="221"/>
      <c r="BG57" s="224"/>
      <c r="BS57" s="221"/>
      <c r="BT57" s="224"/>
      <c r="CF57" s="221"/>
      <c r="CG57" s="224"/>
    </row>
    <row r="58" spans="1:85" s="217" customFormat="1" x14ac:dyDescent="0.25">
      <c r="A58"/>
      <c r="B58" s="202">
        <v>45017</v>
      </c>
      <c r="C58" s="66"/>
      <c r="D58" s="200">
        <v>18065</v>
      </c>
      <c r="E58" s="64">
        <f t="shared" si="0"/>
        <v>4.0625585045867663E-2</v>
      </c>
      <c r="F58" s="64"/>
      <c r="G58" s="200">
        <v>903.03173800000002</v>
      </c>
      <c r="H58" s="64">
        <f t="shared" si="1"/>
        <v>-6.2645253868772843E-2</v>
      </c>
      <c r="I58"/>
      <c r="J58"/>
      <c r="K58"/>
      <c r="L58"/>
      <c r="M58"/>
      <c r="N58"/>
      <c r="O58"/>
      <c r="P58"/>
      <c r="Q58"/>
      <c r="R58"/>
      <c r="S58"/>
      <c r="T58" s="206">
        <v>372.00979599999999</v>
      </c>
      <c r="U58" s="64">
        <f t="shared" si="2"/>
        <v>4.5739858938411482E-2</v>
      </c>
      <c r="V58"/>
      <c r="W58"/>
      <c r="X58"/>
      <c r="Y58"/>
      <c r="Z58"/>
      <c r="AA58"/>
      <c r="AB58"/>
      <c r="AC58"/>
      <c r="AD58"/>
      <c r="AE58"/>
      <c r="AF58" s="207">
        <v>192.04325900000001</v>
      </c>
      <c r="AG58" s="64">
        <f t="shared" si="3"/>
        <v>2.2309726536522856E-2</v>
      </c>
      <c r="AH58"/>
      <c r="AI58" s="100"/>
      <c r="AJ58" s="100"/>
      <c r="AK58" s="100"/>
      <c r="AL58" s="100"/>
      <c r="AM58" s="100"/>
      <c r="AN58" s="100"/>
      <c r="AO58" s="100"/>
      <c r="AP58" s="100"/>
      <c r="AQ58" s="100"/>
      <c r="AR58" s="100"/>
      <c r="AS58" s="221"/>
      <c r="AT58" s="224"/>
      <c r="BF58" s="221"/>
      <c r="BG58" s="224"/>
      <c r="BS58" s="221"/>
      <c r="BT58" s="224"/>
      <c r="CF58" s="221"/>
      <c r="CG58" s="224"/>
    </row>
    <row r="59" spans="1:85" s="217" customFormat="1" x14ac:dyDescent="0.25">
      <c r="A59"/>
      <c r="B59" s="202">
        <v>45047</v>
      </c>
      <c r="C59" s="66"/>
      <c r="D59" s="200">
        <v>18534.400390999999</v>
      </c>
      <c r="E59" s="64">
        <f t="shared" si="0"/>
        <v>2.5983968502629295E-2</v>
      </c>
      <c r="F59" s="64"/>
      <c r="G59" s="200">
        <v>1053.1389160000001</v>
      </c>
      <c r="H59" s="64">
        <f t="shared" si="1"/>
        <v>0.16622580545447008</v>
      </c>
      <c r="I59"/>
      <c r="J59"/>
      <c r="K59"/>
      <c r="L59"/>
      <c r="M59"/>
      <c r="N59"/>
      <c r="O59"/>
      <c r="P59"/>
      <c r="Q59"/>
      <c r="R59"/>
      <c r="S59"/>
      <c r="T59" s="206">
        <v>388.57882699999999</v>
      </c>
      <c r="U59" s="64">
        <f t="shared" si="2"/>
        <v>4.4539233047508286E-2</v>
      </c>
      <c r="V59"/>
      <c r="W59"/>
      <c r="X59"/>
      <c r="Y59"/>
      <c r="Z59"/>
      <c r="AA59"/>
      <c r="AB59"/>
      <c r="AC59"/>
      <c r="AD59"/>
      <c r="AE59"/>
      <c r="AF59" s="207">
        <v>206.34172100000001</v>
      </c>
      <c r="AG59" s="64">
        <f t="shared" si="3"/>
        <v>7.4454381135033776E-2</v>
      </c>
      <c r="AH59"/>
      <c r="AI59" s="100"/>
      <c r="AJ59" s="100"/>
      <c r="AK59" s="100"/>
      <c r="AL59" s="100"/>
      <c r="AM59" s="100"/>
      <c r="AN59" s="100"/>
      <c r="AO59" s="100"/>
      <c r="AP59" s="100"/>
      <c r="AQ59" s="100"/>
      <c r="AR59" s="100"/>
      <c r="AS59" s="221"/>
      <c r="AT59" s="224"/>
      <c r="BF59" s="221"/>
      <c r="BG59" s="224"/>
      <c r="BS59" s="221"/>
      <c r="BT59" s="224"/>
      <c r="CF59" s="221"/>
      <c r="CG59" s="224"/>
    </row>
    <row r="60" spans="1:85" s="217" customFormat="1" x14ac:dyDescent="0.25">
      <c r="A60"/>
      <c r="B60" s="202">
        <v>45078</v>
      </c>
      <c r="C60" s="66"/>
      <c r="D60" s="200">
        <v>19189.050781000002</v>
      </c>
      <c r="E60" s="64">
        <f t="shared" si="0"/>
        <v>3.5320829171138879E-2</v>
      </c>
      <c r="F60" s="64"/>
      <c r="G60" s="200">
        <v>1075.67749</v>
      </c>
      <c r="H60" s="64">
        <f t="shared" si="1"/>
        <v>2.1401330496460202E-2</v>
      </c>
      <c r="I60"/>
      <c r="J60"/>
      <c r="K60"/>
      <c r="L60"/>
      <c r="M60"/>
      <c r="N60"/>
      <c r="O60"/>
      <c r="P60"/>
      <c r="Q60"/>
      <c r="R60"/>
      <c r="S60"/>
      <c r="T60" s="206">
        <v>421.36968999999999</v>
      </c>
      <c r="U60" s="64">
        <f t="shared" si="2"/>
        <v>8.438664363974735E-2</v>
      </c>
      <c r="V60"/>
      <c r="W60"/>
      <c r="X60"/>
      <c r="Y60"/>
      <c r="Z60"/>
      <c r="AA60"/>
      <c r="AB60"/>
      <c r="AC60"/>
      <c r="AD60"/>
      <c r="AE60"/>
      <c r="AF60" s="207">
        <v>212.85000600000001</v>
      </c>
      <c r="AG60" s="64">
        <f t="shared" si="3"/>
        <v>3.1541294549927601E-2</v>
      </c>
      <c r="AH60"/>
      <c r="AI60" s="100"/>
      <c r="AJ60" s="100"/>
      <c r="AK60" s="100"/>
      <c r="AL60" s="100"/>
      <c r="AM60" s="100"/>
      <c r="AN60" s="100"/>
      <c r="AO60" s="100"/>
      <c r="AP60" s="100"/>
      <c r="AQ60" s="100"/>
      <c r="AR60" s="100"/>
      <c r="AS60" s="221"/>
      <c r="AT60" s="224"/>
      <c r="BF60" s="221"/>
      <c r="BG60" s="224"/>
      <c r="BS60" s="221"/>
      <c r="BT60" s="224"/>
      <c r="CF60" s="221"/>
      <c r="CG60" s="224"/>
    </row>
    <row r="61" spans="1:85" s="217" customFormat="1" x14ac:dyDescent="0.25">
      <c r="A61"/>
      <c r="B61" s="202">
        <v>45108</v>
      </c>
      <c r="C61" s="66"/>
      <c r="D61" s="200">
        <v>19753.800781000002</v>
      </c>
      <c r="E61" s="64">
        <f t="shared" si="0"/>
        <v>2.9430846082245221E-2</v>
      </c>
      <c r="F61" s="64"/>
      <c r="G61" s="200">
        <v>1030.8492429999999</v>
      </c>
      <c r="H61" s="64">
        <f t="shared" si="1"/>
        <v>-4.1674430688328434E-2</v>
      </c>
      <c r="I61"/>
      <c r="J61"/>
      <c r="K61"/>
      <c r="L61"/>
      <c r="M61"/>
      <c r="N61"/>
      <c r="O61"/>
      <c r="P61"/>
      <c r="Q61"/>
      <c r="R61"/>
      <c r="S61"/>
      <c r="T61" s="206">
        <v>459.27011099999999</v>
      </c>
      <c r="U61" s="64">
        <f t="shared" si="2"/>
        <v>8.9945769473831927E-2</v>
      </c>
      <c r="V61"/>
      <c r="W61"/>
      <c r="X61"/>
      <c r="Y61"/>
      <c r="Z61"/>
      <c r="AA61"/>
      <c r="AB61"/>
      <c r="AC61"/>
      <c r="AD61"/>
      <c r="AE61"/>
      <c r="AF61" s="207">
        <v>307.466431</v>
      </c>
      <c r="AG61" s="64">
        <f t="shared" si="3"/>
        <v>0.44452159893291232</v>
      </c>
      <c r="AH61"/>
      <c r="AI61" s="100"/>
      <c r="AJ61" s="100"/>
      <c r="AK61" s="100"/>
      <c r="AL61" s="100"/>
      <c r="AM61" s="100"/>
      <c r="AN61" s="100"/>
      <c r="AO61" s="100"/>
      <c r="AP61" s="100"/>
      <c r="AQ61" s="100"/>
      <c r="AR61" s="100"/>
      <c r="AS61" s="221"/>
      <c r="AT61" s="224"/>
      <c r="BF61" s="221"/>
      <c r="BG61" s="224"/>
      <c r="BS61" s="221"/>
      <c r="BT61" s="224"/>
      <c r="CF61" s="221"/>
      <c r="CG61" s="224"/>
    </row>
    <row r="62" spans="1:85" s="217" customFormat="1" x14ac:dyDescent="0.25">
      <c r="A62"/>
      <c r="B62" s="202">
        <v>45139</v>
      </c>
      <c r="C62" s="66"/>
      <c r="D62" s="200">
        <v>19253.800781000002</v>
      </c>
      <c r="E62" s="64">
        <f t="shared" si="0"/>
        <v>-2.5311584618233018E-2</v>
      </c>
      <c r="F62" s="64"/>
      <c r="G62" s="200">
        <v>1000.200989</v>
      </c>
      <c r="H62" s="64">
        <f t="shared" si="1"/>
        <v>-2.9731072907233869E-2</v>
      </c>
      <c r="I62"/>
      <c r="J62"/>
      <c r="K62"/>
      <c r="L62"/>
      <c r="M62"/>
      <c r="N62"/>
      <c r="O62"/>
      <c r="P62"/>
      <c r="Q62"/>
      <c r="R62"/>
      <c r="S62"/>
      <c r="T62" s="206">
        <v>520.43670699999996</v>
      </c>
      <c r="U62" s="64">
        <f t="shared" si="2"/>
        <v>0.13318218306612151</v>
      </c>
      <c r="V62"/>
      <c r="W62"/>
      <c r="X62"/>
      <c r="Y62"/>
      <c r="Z62"/>
      <c r="AA62"/>
      <c r="AB62"/>
      <c r="AC62"/>
      <c r="AD62"/>
      <c r="AE62"/>
      <c r="AF62" s="207">
        <v>348.35000600000001</v>
      </c>
      <c r="AG62" s="64">
        <f t="shared" si="3"/>
        <v>0.13296923136301664</v>
      </c>
      <c r="AH62"/>
      <c r="AI62" s="100"/>
      <c r="AJ62" s="100"/>
      <c r="AK62" s="100"/>
      <c r="AL62" s="100"/>
      <c r="AM62" s="100"/>
      <c r="AN62" s="100"/>
      <c r="AO62" s="100"/>
      <c r="AP62" s="100"/>
      <c r="AQ62" s="100"/>
      <c r="AR62" s="100"/>
      <c r="AS62" s="221"/>
      <c r="AT62" s="224"/>
      <c r="BF62" s="221"/>
      <c r="BG62" s="224"/>
      <c r="BS62" s="221"/>
      <c r="BT62" s="224"/>
      <c r="CF62" s="221"/>
      <c r="CG62" s="224"/>
    </row>
    <row r="63" spans="1:85" s="217" customFormat="1" x14ac:dyDescent="0.25">
      <c r="A63"/>
      <c r="B63" s="202">
        <v>45170</v>
      </c>
      <c r="C63" s="66"/>
      <c r="D63" s="200">
        <v>19638.300781000002</v>
      </c>
      <c r="E63" s="64">
        <f t="shared" si="0"/>
        <v>1.9970083017553097E-2</v>
      </c>
      <c r="F63" s="64"/>
      <c r="G63" s="200">
        <v>986.71765100000005</v>
      </c>
      <c r="H63" s="64">
        <f t="shared" si="1"/>
        <v>-1.3480628541949979E-2</v>
      </c>
      <c r="I63"/>
      <c r="J63"/>
      <c r="K63"/>
      <c r="L63"/>
      <c r="M63"/>
      <c r="N63"/>
      <c r="O63"/>
      <c r="P63"/>
      <c r="Q63"/>
      <c r="R63"/>
      <c r="S63"/>
      <c r="T63" s="206">
        <v>534.22772199999997</v>
      </c>
      <c r="U63" s="64">
        <f t="shared" si="2"/>
        <v>2.6498928331740501E-2</v>
      </c>
      <c r="V63"/>
      <c r="W63"/>
      <c r="X63"/>
      <c r="Y63"/>
      <c r="Z63"/>
      <c r="AA63"/>
      <c r="AB63"/>
      <c r="AC63"/>
      <c r="AD63"/>
      <c r="AE63"/>
      <c r="AF63" s="207">
        <v>360.5</v>
      </c>
      <c r="AG63" s="64">
        <f t="shared" si="3"/>
        <v>3.4878696112323304E-2</v>
      </c>
      <c r="AH63"/>
      <c r="AI63" s="100"/>
      <c r="AJ63" s="100"/>
      <c r="AK63" s="100"/>
      <c r="AL63" s="100"/>
      <c r="AM63" s="100"/>
      <c r="AN63" s="100"/>
      <c r="AO63" s="100"/>
      <c r="AP63" s="100"/>
      <c r="AQ63" s="100"/>
      <c r="AR63" s="100"/>
      <c r="AS63" s="221"/>
      <c r="AT63" s="224"/>
      <c r="BF63" s="221"/>
      <c r="BG63" s="224"/>
      <c r="BS63" s="221"/>
      <c r="BT63" s="224"/>
      <c r="CF63" s="221"/>
      <c r="CG63" s="224"/>
    </row>
    <row r="64" spans="1:85" s="217" customFormat="1" x14ac:dyDescent="0.25">
      <c r="A64"/>
      <c r="B64" s="202">
        <v>45200</v>
      </c>
      <c r="C64" s="66"/>
      <c r="D64" s="200">
        <v>19079.599609000001</v>
      </c>
      <c r="E64" s="64">
        <f t="shared" si="0"/>
        <v>-2.8449567924967445E-2</v>
      </c>
      <c r="F64" s="64"/>
      <c r="G64" s="200">
        <v>986.96643100000006</v>
      </c>
      <c r="H64" s="64">
        <f t="shared" si="1"/>
        <v>2.5212886355885367E-4</v>
      </c>
      <c r="I64"/>
      <c r="J64"/>
      <c r="K64"/>
      <c r="L64"/>
      <c r="M64"/>
      <c r="N64"/>
      <c r="O64"/>
      <c r="P64"/>
      <c r="Q64"/>
      <c r="R64"/>
      <c r="S64"/>
      <c r="T64" s="206">
        <v>505.90158100000002</v>
      </c>
      <c r="U64" s="64">
        <f t="shared" si="2"/>
        <v>-5.3022596607219752E-2</v>
      </c>
      <c r="V64"/>
      <c r="W64"/>
      <c r="X64"/>
      <c r="Y64"/>
      <c r="Z64"/>
      <c r="AA64"/>
      <c r="AB64"/>
      <c r="AC64"/>
      <c r="AD64"/>
      <c r="AE64"/>
      <c r="AF64" s="207">
        <v>362.60000600000001</v>
      </c>
      <c r="AG64" s="64">
        <f t="shared" si="3"/>
        <v>5.8252593619971815E-3</v>
      </c>
      <c r="AH64"/>
      <c r="AI64" s="100"/>
      <c r="AJ64" s="100"/>
      <c r="AK64" s="100"/>
      <c r="AL64" s="100"/>
      <c r="AM64" s="100"/>
      <c r="AN64" s="100"/>
      <c r="AO64" s="100"/>
      <c r="AP64" s="100"/>
      <c r="AQ64" s="100"/>
      <c r="AR64" s="100"/>
      <c r="AS64" s="221"/>
      <c r="AT64" s="224"/>
      <c r="BF64" s="221"/>
      <c r="BG64" s="224"/>
      <c r="BS64" s="221"/>
      <c r="BT64" s="224"/>
      <c r="CF64" s="221"/>
      <c r="CG64" s="224"/>
    </row>
    <row r="65" spans="1:85" s="217" customFormat="1" x14ac:dyDescent="0.25">
      <c r="A65"/>
      <c r="B65" s="202">
        <v>45231</v>
      </c>
      <c r="C65" s="66"/>
      <c r="D65" s="200">
        <v>20133.150390999999</v>
      </c>
      <c r="E65" s="64">
        <f t="shared" si="0"/>
        <v>5.5218704982835654E-2</v>
      </c>
      <c r="F65" s="64"/>
      <c r="G65" s="200">
        <v>1003.235962</v>
      </c>
      <c r="H65" s="64">
        <f t="shared" si="1"/>
        <v>1.6484381321374419E-2</v>
      </c>
      <c r="I65"/>
      <c r="J65"/>
      <c r="K65"/>
      <c r="L65"/>
      <c r="M65"/>
      <c r="N65"/>
      <c r="O65"/>
      <c r="P65"/>
      <c r="Q65"/>
      <c r="R65"/>
      <c r="S65"/>
      <c r="T65" s="206">
        <v>502.180969</v>
      </c>
      <c r="U65" s="64">
        <f t="shared" si="2"/>
        <v>-7.354418605780233E-3</v>
      </c>
      <c r="V65"/>
      <c r="W65"/>
      <c r="X65"/>
      <c r="Y65"/>
      <c r="Z65"/>
      <c r="AA65"/>
      <c r="AB65"/>
      <c r="AC65"/>
      <c r="AD65"/>
      <c r="AE65"/>
      <c r="AF65" s="207">
        <v>434.45001200000002</v>
      </c>
      <c r="AG65" s="64">
        <f t="shared" si="3"/>
        <v>0.19815224713482227</v>
      </c>
      <c r="AH65"/>
      <c r="AI65" s="100"/>
      <c r="AJ65" s="100"/>
      <c r="AK65" s="100"/>
      <c r="AL65" s="100"/>
      <c r="AM65" s="100"/>
      <c r="AN65" s="100"/>
      <c r="AO65" s="100"/>
      <c r="AP65" s="100"/>
      <c r="AQ65" s="100"/>
      <c r="AR65" s="100"/>
      <c r="AS65" s="221"/>
      <c r="AT65" s="224"/>
      <c r="BF65" s="221"/>
      <c r="BG65" s="224"/>
      <c r="BS65" s="221"/>
      <c r="BT65" s="224"/>
      <c r="CF65" s="221"/>
      <c r="CG65" s="224"/>
    </row>
    <row r="66" spans="1:85" s="217" customFormat="1" x14ac:dyDescent="0.25">
      <c r="A66"/>
      <c r="B66" s="202">
        <v>45261</v>
      </c>
      <c r="C66" s="66"/>
      <c r="D66" s="200">
        <v>21731.400390999999</v>
      </c>
      <c r="E66" s="64">
        <f t="shared" si="0"/>
        <v>7.9383999471560829E-2</v>
      </c>
      <c r="F66" s="64"/>
      <c r="G66" s="200">
        <v>1131.1999510000001</v>
      </c>
      <c r="H66" s="64">
        <f t="shared" si="1"/>
        <v>0.12755123804064761</v>
      </c>
      <c r="I66"/>
      <c r="J66"/>
      <c r="K66"/>
      <c r="L66"/>
      <c r="M66"/>
      <c r="N66"/>
      <c r="O66"/>
      <c r="P66"/>
      <c r="Q66"/>
      <c r="R66"/>
      <c r="S66"/>
      <c r="T66" s="206">
        <v>563.75</v>
      </c>
      <c r="U66" s="64">
        <f t="shared" si="2"/>
        <v>0.12260327411969296</v>
      </c>
      <c r="V66"/>
      <c r="W66"/>
      <c r="X66"/>
      <c r="Y66"/>
      <c r="Z66"/>
      <c r="AA66"/>
      <c r="AB66"/>
      <c r="AC66"/>
      <c r="AD66"/>
      <c r="AE66"/>
      <c r="AF66" s="207">
        <v>478.89999399999999</v>
      </c>
      <c r="AG66" s="64">
        <f t="shared" si="3"/>
        <v>0.10231322539358101</v>
      </c>
      <c r="AH66"/>
      <c r="AI66" s="100"/>
      <c r="AJ66" s="100"/>
      <c r="AK66" s="100"/>
      <c r="AL66" s="100"/>
      <c r="AM66" s="100"/>
      <c r="AN66" s="100"/>
      <c r="AO66" s="100"/>
      <c r="AP66" s="100"/>
      <c r="AQ66" s="100"/>
      <c r="AR66" s="100"/>
      <c r="AS66" s="221"/>
      <c r="AT66" s="224"/>
      <c r="BF66" s="221"/>
      <c r="BG66" s="224"/>
      <c r="BS66" s="221"/>
      <c r="BT66" s="224"/>
      <c r="CF66" s="221"/>
      <c r="CG66" s="224"/>
    </row>
    <row r="67" spans="1:85" s="217" customFormat="1" x14ac:dyDescent="0.25">
      <c r="A67"/>
      <c r="B67" s="202">
        <v>45292</v>
      </c>
      <c r="C67" s="66"/>
      <c r="D67" s="200">
        <v>21725.699218999998</v>
      </c>
      <c r="E67" s="64">
        <f t="shared" si="0"/>
        <v>-2.6234719794504535E-4</v>
      </c>
      <c r="F67" s="64"/>
      <c r="G67" s="200">
        <v>1164.1999510000001</v>
      </c>
      <c r="H67" s="64">
        <f t="shared" si="1"/>
        <v>2.9172561376817008E-2</v>
      </c>
      <c r="I67"/>
      <c r="J67"/>
      <c r="K67"/>
      <c r="L67"/>
      <c r="M67"/>
      <c r="N67"/>
      <c r="O67"/>
      <c r="P67"/>
      <c r="Q67"/>
      <c r="R67"/>
      <c r="S67"/>
      <c r="T67" s="206">
        <v>499.85000600000001</v>
      </c>
      <c r="U67" s="64">
        <f t="shared" si="2"/>
        <v>-0.11334810465631928</v>
      </c>
      <c r="V67"/>
      <c r="W67"/>
      <c r="X67"/>
      <c r="Y67"/>
      <c r="Z67"/>
      <c r="AA67"/>
      <c r="AB67"/>
      <c r="AC67"/>
      <c r="AD67"/>
      <c r="AE67"/>
      <c r="AF67" s="207">
        <v>515.15002400000003</v>
      </c>
      <c r="AG67" s="64">
        <f t="shared" si="3"/>
        <v>7.5694363028119049E-2</v>
      </c>
      <c r="AH67"/>
      <c r="AI67" s="100"/>
      <c r="AJ67" s="100"/>
      <c r="AK67" s="100"/>
      <c r="AL67" s="100"/>
      <c r="AM67" s="100"/>
      <c r="AN67" s="100"/>
      <c r="AO67" s="100"/>
      <c r="AP67" s="100"/>
      <c r="AQ67" s="100"/>
      <c r="AR67" s="100"/>
      <c r="AS67" s="221"/>
      <c r="AT67" s="224"/>
      <c r="BF67" s="221"/>
      <c r="BG67" s="224"/>
      <c r="BS67" s="221"/>
      <c r="BT67" s="224"/>
      <c r="CF67" s="221"/>
      <c r="CG67" s="224"/>
    </row>
    <row r="68" spans="1:85" s="217" customFormat="1" x14ac:dyDescent="0.25">
      <c r="A68"/>
      <c r="B68" s="202">
        <v>45323</v>
      </c>
      <c r="C68" s="66"/>
      <c r="D68" s="200">
        <v>21930.5</v>
      </c>
      <c r="E68" s="64">
        <f t="shared" si="0"/>
        <v>9.4266600552443958E-3</v>
      </c>
      <c r="F68" s="64"/>
      <c r="G68" s="200">
        <v>1218.650024</v>
      </c>
      <c r="H68" s="64">
        <f t="shared" si="1"/>
        <v>4.6770379051493283E-2</v>
      </c>
      <c r="I68"/>
      <c r="J68"/>
      <c r="K68"/>
      <c r="L68"/>
      <c r="M68"/>
      <c r="N68"/>
      <c r="O68"/>
      <c r="P68"/>
      <c r="Q68"/>
      <c r="R68"/>
      <c r="S68"/>
      <c r="T68" s="206">
        <v>484.54998799999998</v>
      </c>
      <c r="U68" s="64">
        <f t="shared" si="2"/>
        <v>-3.0609218398208848E-2</v>
      </c>
      <c r="V68"/>
      <c r="W68"/>
      <c r="X68"/>
      <c r="Y68"/>
      <c r="Z68"/>
      <c r="AA68"/>
      <c r="AB68"/>
      <c r="AC68"/>
      <c r="AD68"/>
      <c r="AE68"/>
      <c r="AF68" s="207">
        <v>445.60000600000001</v>
      </c>
      <c r="AG68" s="64">
        <f t="shared" si="3"/>
        <v>-0.13500924926677282</v>
      </c>
      <c r="AH68"/>
      <c r="AI68" s="100"/>
      <c r="AJ68" s="100"/>
      <c r="AK68" s="100"/>
      <c r="AL68" s="100"/>
      <c r="AM68" s="100"/>
      <c r="AN68" s="100"/>
      <c r="AO68" s="100"/>
      <c r="AP68" s="100"/>
      <c r="AQ68" s="100"/>
      <c r="AR68" s="100"/>
      <c r="AS68" s="221"/>
      <c r="AT68" s="224"/>
      <c r="BF68" s="221"/>
      <c r="BG68" s="224"/>
      <c r="BS68" s="221"/>
      <c r="BT68" s="224"/>
      <c r="CF68" s="221"/>
      <c r="CG68" s="224"/>
    </row>
  </sheetData>
  <mergeCells count="16">
    <mergeCell ref="BS6:BT6"/>
    <mergeCell ref="BV6:BW6"/>
    <mergeCell ref="CF6:CG6"/>
    <mergeCell ref="CI6:CJ6"/>
    <mergeCell ref="AI6:AJ6"/>
    <mergeCell ref="AS6:AT6"/>
    <mergeCell ref="AV6:AW6"/>
    <mergeCell ref="BF6:BG6"/>
    <mergeCell ref="BI6:BJ6"/>
    <mergeCell ref="AF6:AG6"/>
    <mergeCell ref="W6:X6"/>
    <mergeCell ref="B4:E4"/>
    <mergeCell ref="D6:E6"/>
    <mergeCell ref="G6:H6"/>
    <mergeCell ref="J6:K6"/>
    <mergeCell ref="T6:U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8CB4-CD70-4F37-BA89-65B0DB4189AD}">
  <dimension ref="B2:Q41"/>
  <sheetViews>
    <sheetView showGridLines="0" workbookViewId="0">
      <selection activeCell="E17" sqref="E17"/>
    </sheetView>
  </sheetViews>
  <sheetFormatPr defaultRowHeight="15" x14ac:dyDescent="0.25"/>
  <cols>
    <col min="1" max="1" width="1.85546875" customWidth="1"/>
    <col min="2" max="2" width="5.7109375" bestFit="1" customWidth="1"/>
    <col min="3" max="3" width="16.85546875" bestFit="1" customWidth="1"/>
    <col min="4" max="4" width="9" bestFit="1" customWidth="1"/>
    <col min="5" max="5" width="16.5703125" bestFit="1" customWidth="1"/>
    <col min="6" max="6" width="10.7109375" bestFit="1" customWidth="1"/>
    <col min="7" max="7" width="14.42578125" bestFit="1" customWidth="1"/>
    <col min="8" max="8" width="10" bestFit="1" customWidth="1"/>
    <col min="9" max="9" width="11" bestFit="1" customWidth="1"/>
    <col min="10" max="10" width="13.28515625" bestFit="1" customWidth="1"/>
    <col min="11" max="11" width="14.140625" bestFit="1" customWidth="1"/>
    <col min="12" max="12" width="15.5703125" bestFit="1" customWidth="1"/>
    <col min="13" max="13" width="11.28515625" bestFit="1" customWidth="1"/>
    <col min="14" max="14" width="9.5703125" bestFit="1" customWidth="1"/>
    <col min="16" max="16" width="14.140625" bestFit="1" customWidth="1"/>
  </cols>
  <sheetData>
    <row r="2" spans="2:17" x14ac:dyDescent="0.25">
      <c r="B2" s="237" t="str">
        <f>'Data Sheet'!B1&amp;" - "&amp; "Peer Comparison"</f>
        <v>DABUR INDIA LTD - Peer Comparison</v>
      </c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</row>
    <row r="4" spans="2:17" x14ac:dyDescent="0.25">
      <c r="B4" s="166" t="s">
        <v>241</v>
      </c>
      <c r="C4" s="166" t="s">
        <v>242</v>
      </c>
      <c r="D4" s="166" t="s">
        <v>243</v>
      </c>
      <c r="E4" s="166" t="s">
        <v>379</v>
      </c>
      <c r="F4" s="166" t="s">
        <v>245</v>
      </c>
      <c r="G4" s="166" t="s">
        <v>246</v>
      </c>
      <c r="I4" s="166" t="s">
        <v>253</v>
      </c>
      <c r="J4" s="166" t="s">
        <v>136</v>
      </c>
    </row>
    <row r="5" spans="2:17" x14ac:dyDescent="0.25">
      <c r="B5" s="166">
        <v>1</v>
      </c>
      <c r="C5" s="166" t="s">
        <v>381</v>
      </c>
      <c r="D5" s="166">
        <v>539.20000000000005</v>
      </c>
      <c r="E5" s="166">
        <v>95548.35</v>
      </c>
      <c r="F5" s="166">
        <v>1489.05</v>
      </c>
      <c r="G5" s="166">
        <v>0.16</v>
      </c>
      <c r="I5" s="208">
        <v>78</v>
      </c>
      <c r="J5" s="14">
        <f>I5/F6</f>
        <v>2.3818539373877779E-2</v>
      </c>
    </row>
    <row r="6" spans="2:17" x14ac:dyDescent="0.25">
      <c r="B6" s="166">
        <v>2</v>
      </c>
      <c r="C6" s="166" t="s">
        <v>380</v>
      </c>
      <c r="D6" s="166">
        <v>1218.6500000000001</v>
      </c>
      <c r="E6" s="166">
        <v>124638.45</v>
      </c>
      <c r="F6" s="166">
        <v>3274.76</v>
      </c>
      <c r="G6" s="166">
        <v>0.23</v>
      </c>
      <c r="I6" s="72"/>
    </row>
    <row r="7" spans="2:17" x14ac:dyDescent="0.25">
      <c r="B7" s="166">
        <v>3</v>
      </c>
      <c r="C7" s="166" t="s">
        <v>382</v>
      </c>
      <c r="D7" s="166">
        <v>484.55</v>
      </c>
      <c r="E7" s="166">
        <v>21339.98</v>
      </c>
      <c r="F7" s="166">
        <v>107.46</v>
      </c>
      <c r="G7" s="166">
        <v>0.04</v>
      </c>
    </row>
    <row r="8" spans="2:17" x14ac:dyDescent="0.25">
      <c r="B8" s="166">
        <v>4</v>
      </c>
      <c r="C8" s="166" t="s">
        <v>383</v>
      </c>
      <c r="D8" s="166">
        <v>445.6</v>
      </c>
      <c r="E8" s="166">
        <v>16362.82</v>
      </c>
      <c r="F8" s="166">
        <v>44.84</v>
      </c>
      <c r="G8" s="166">
        <v>0.03</v>
      </c>
    </row>
    <row r="9" spans="2:17" x14ac:dyDescent="0.25">
      <c r="B9" s="166">
        <v>5</v>
      </c>
      <c r="C9" s="166" t="s">
        <v>384</v>
      </c>
      <c r="D9" s="166">
        <v>212.25</v>
      </c>
      <c r="E9" s="166">
        <v>3027.24</v>
      </c>
      <c r="F9" s="166">
        <v>10.94</v>
      </c>
      <c r="G9" s="166">
        <v>0.01</v>
      </c>
    </row>
    <row r="10" spans="2:17" x14ac:dyDescent="0.25">
      <c r="B10" s="166">
        <v>6</v>
      </c>
      <c r="C10" s="166" t="s">
        <v>385</v>
      </c>
      <c r="D10" s="166">
        <v>29.5</v>
      </c>
      <c r="E10" s="166">
        <v>191.46</v>
      </c>
      <c r="F10" s="166">
        <v>2.33</v>
      </c>
      <c r="G10" s="166">
        <v>0.01</v>
      </c>
    </row>
    <row r="11" spans="2:17" x14ac:dyDescent="0.25">
      <c r="B11" s="166">
        <v>7</v>
      </c>
      <c r="C11" s="166" t="s">
        <v>386</v>
      </c>
      <c r="D11" s="166">
        <v>92.88</v>
      </c>
      <c r="E11" s="166">
        <v>46.82</v>
      </c>
      <c r="F11" s="166">
        <v>11.19</v>
      </c>
      <c r="G11" s="166">
        <v>0.18</v>
      </c>
    </row>
    <row r="12" spans="2:17" x14ac:dyDescent="0.25">
      <c r="B12" s="166"/>
      <c r="C12" s="166"/>
      <c r="D12" s="166"/>
      <c r="E12" s="166"/>
      <c r="F12" s="166"/>
      <c r="G12" s="166"/>
    </row>
    <row r="14" spans="2:17" x14ac:dyDescent="0.25">
      <c r="B14" s="237" t="str">
        <f>'Data Sheet'!B1&amp;" - "&amp; "PEER VALUATION"</f>
        <v>DABUR INDIA LTD - PEER VALUATION</v>
      </c>
      <c r="C14" s="237"/>
      <c r="D14" s="237"/>
      <c r="E14" s="237"/>
      <c r="F14" s="237"/>
      <c r="G14" s="237"/>
      <c r="H14" s="237"/>
      <c r="I14" s="237"/>
      <c r="J14" s="237"/>
      <c r="K14" s="237"/>
      <c r="L14" s="237"/>
      <c r="M14" s="237"/>
    </row>
    <row r="16" spans="2:17" x14ac:dyDescent="0.25">
      <c r="B16" s="166" t="s">
        <v>241</v>
      </c>
      <c r="C16" s="166" t="s">
        <v>242</v>
      </c>
      <c r="D16" s="209" t="s">
        <v>243</v>
      </c>
      <c r="E16" s="209" t="s">
        <v>341</v>
      </c>
      <c r="F16" s="209" t="s">
        <v>346</v>
      </c>
      <c r="G16" s="209" t="s">
        <v>245</v>
      </c>
      <c r="H16" s="209" t="s">
        <v>342</v>
      </c>
      <c r="I16" s="209" t="s">
        <v>335</v>
      </c>
      <c r="J16" s="209" t="s">
        <v>343</v>
      </c>
      <c r="K16" s="209" t="s">
        <v>344</v>
      </c>
      <c r="L16" s="209" t="s">
        <v>345</v>
      </c>
      <c r="M16" s="209" t="s">
        <v>347</v>
      </c>
      <c r="N16" s="209" t="s">
        <v>13</v>
      </c>
      <c r="O16" s="209" t="s">
        <v>348</v>
      </c>
      <c r="P16" s="209" t="s">
        <v>244</v>
      </c>
      <c r="Q16" s="209" t="s">
        <v>334</v>
      </c>
    </row>
    <row r="17" spans="2:17" x14ac:dyDescent="0.25">
      <c r="B17" s="166">
        <v>1</v>
      </c>
      <c r="C17" s="166" t="s">
        <v>381</v>
      </c>
      <c r="D17" s="209">
        <v>539.20000000000005</v>
      </c>
      <c r="E17" s="209">
        <v>177.2</v>
      </c>
      <c r="F17" s="72">
        <f>E17*D17</f>
        <v>95546.240000000005</v>
      </c>
      <c r="G17" s="209">
        <v>1489.05</v>
      </c>
      <c r="H17" s="209">
        <v>325.92</v>
      </c>
      <c r="I17" s="72">
        <f t="shared" ref="I17:I23" si="0">F17+G17-H17</f>
        <v>96709.37000000001</v>
      </c>
      <c r="J17" s="209">
        <v>96624.58</v>
      </c>
      <c r="K17" s="209">
        <v>12267.17</v>
      </c>
      <c r="L17" s="209">
        <v>1762.85</v>
      </c>
      <c r="M17" s="209">
        <v>2817.24</v>
      </c>
      <c r="N17" s="72">
        <f t="shared" ref="N17:N23" si="1">J17/O17</f>
        <v>2817.043148688047</v>
      </c>
      <c r="O17" s="209">
        <v>34.299999999999997</v>
      </c>
      <c r="P17" s="209">
        <v>95548.35</v>
      </c>
      <c r="Q17" s="72">
        <f t="shared" ref="Q17:Q23" si="2">G17-H17</f>
        <v>1163.1299999999999</v>
      </c>
    </row>
    <row r="18" spans="2:17" x14ac:dyDescent="0.25">
      <c r="B18" s="166">
        <v>2</v>
      </c>
      <c r="C18" s="166" t="s">
        <v>380</v>
      </c>
      <c r="D18" s="209">
        <v>1218.6500000000001</v>
      </c>
      <c r="E18" s="209">
        <v>102.28</v>
      </c>
      <c r="F18" s="72">
        <f>E18*D18</f>
        <v>124643.52200000001</v>
      </c>
      <c r="G18" s="209">
        <v>3274.76</v>
      </c>
      <c r="H18" s="209">
        <v>390.72</v>
      </c>
      <c r="I18" s="72">
        <f t="shared" si="0"/>
        <v>127527.56200000001</v>
      </c>
      <c r="J18" s="209">
        <v>127369.65</v>
      </c>
      <c r="K18" s="209">
        <v>13910.66</v>
      </c>
      <c r="L18" s="209">
        <v>1784.79</v>
      </c>
      <c r="M18" s="209">
        <v>3091.63</v>
      </c>
      <c r="N18" s="72">
        <f t="shared" si="1"/>
        <v>3091.4963592233007</v>
      </c>
      <c r="O18" s="209">
        <v>41.2</v>
      </c>
      <c r="P18" s="209">
        <v>124638.45</v>
      </c>
      <c r="Q18" s="72">
        <f t="shared" si="2"/>
        <v>2884.04</v>
      </c>
    </row>
    <row r="19" spans="2:17" x14ac:dyDescent="0.25">
      <c r="B19" s="166">
        <v>3</v>
      </c>
      <c r="C19" s="166" t="s">
        <v>382</v>
      </c>
      <c r="D19" s="209">
        <v>484.55</v>
      </c>
      <c r="E19" s="209">
        <v>44.04</v>
      </c>
      <c r="F19" s="72">
        <f t="shared" ref="F19:F23" si="3">E19*D19</f>
        <v>21339.581999999999</v>
      </c>
      <c r="G19" s="209">
        <v>107.46</v>
      </c>
      <c r="H19" s="209">
        <v>184.74</v>
      </c>
      <c r="I19" s="72">
        <f t="shared" si="0"/>
        <v>21262.301999999996</v>
      </c>
      <c r="J19" s="209">
        <v>21262.880000000001</v>
      </c>
      <c r="K19" s="209">
        <v>3522.8</v>
      </c>
      <c r="L19" s="209">
        <v>719.01</v>
      </c>
      <c r="M19" s="209">
        <v>985.71</v>
      </c>
      <c r="N19" s="72">
        <f t="shared" si="1"/>
        <v>985.76170607324991</v>
      </c>
      <c r="O19" s="209">
        <v>21.57</v>
      </c>
      <c r="P19" s="209">
        <v>21339.98</v>
      </c>
      <c r="Q19" s="72">
        <f t="shared" si="2"/>
        <v>-77.280000000000015</v>
      </c>
    </row>
    <row r="20" spans="2:17" x14ac:dyDescent="0.25">
      <c r="B20" s="166">
        <v>4</v>
      </c>
      <c r="C20" s="166" t="s">
        <v>383</v>
      </c>
      <c r="D20" s="209">
        <v>445.6</v>
      </c>
      <c r="E20" s="209">
        <v>36.72</v>
      </c>
      <c r="F20" s="72">
        <f t="shared" si="3"/>
        <v>16362.432000000001</v>
      </c>
      <c r="G20" s="209">
        <v>44.84</v>
      </c>
      <c r="H20" s="209">
        <v>283.47000000000003</v>
      </c>
      <c r="I20" s="72">
        <f t="shared" si="0"/>
        <v>16123.802000000001</v>
      </c>
      <c r="J20" s="209">
        <v>15966.97</v>
      </c>
      <c r="K20" s="209">
        <v>2713.89</v>
      </c>
      <c r="L20" s="209">
        <v>350.41</v>
      </c>
      <c r="M20" s="209">
        <v>509.14</v>
      </c>
      <c r="N20" s="72">
        <f t="shared" si="1"/>
        <v>509.15082908163265</v>
      </c>
      <c r="O20" s="209">
        <v>31.36</v>
      </c>
      <c r="P20" s="209">
        <v>16362.82</v>
      </c>
      <c r="Q20" s="72">
        <f t="shared" si="2"/>
        <v>-238.63000000000002</v>
      </c>
    </row>
    <row r="21" spans="2:17" x14ac:dyDescent="0.25">
      <c r="B21" s="166">
        <v>5</v>
      </c>
      <c r="C21" s="166" t="s">
        <v>384</v>
      </c>
      <c r="D21" s="209">
        <v>212.25</v>
      </c>
      <c r="E21" s="209">
        <v>14.26</v>
      </c>
      <c r="F21" s="72">
        <f t="shared" si="3"/>
        <v>3026.6849999999999</v>
      </c>
      <c r="G21" s="209">
        <v>10.94</v>
      </c>
      <c r="H21" s="209">
        <v>19.13</v>
      </c>
      <c r="I21" s="72">
        <f t="shared" si="0"/>
        <v>3018.4949999999999</v>
      </c>
      <c r="J21" s="209">
        <v>3002.49</v>
      </c>
      <c r="K21" s="209">
        <v>993.59</v>
      </c>
      <c r="L21" s="209">
        <v>160.31</v>
      </c>
      <c r="M21" s="209">
        <v>205.38</v>
      </c>
      <c r="N21" s="72">
        <f t="shared" si="1"/>
        <v>205.3686730506156</v>
      </c>
      <c r="O21" s="209">
        <v>14.62</v>
      </c>
      <c r="P21" s="209">
        <v>3027.24</v>
      </c>
      <c r="Q21" s="72">
        <f t="shared" si="2"/>
        <v>-8.19</v>
      </c>
    </row>
    <row r="22" spans="2:17" x14ac:dyDescent="0.25">
      <c r="B22" s="166">
        <v>6</v>
      </c>
      <c r="C22" s="166" t="s">
        <v>385</v>
      </c>
      <c r="D22" s="209">
        <v>29.5</v>
      </c>
      <c r="E22" s="209">
        <v>6.49</v>
      </c>
      <c r="F22" s="72">
        <f t="shared" si="3"/>
        <v>191.45500000000001</v>
      </c>
      <c r="G22" s="209">
        <v>2.33</v>
      </c>
      <c r="H22" s="209">
        <v>39.69</v>
      </c>
      <c r="I22" s="72">
        <f t="shared" si="0"/>
        <v>154.09500000000003</v>
      </c>
      <c r="J22" s="209">
        <v>186.56</v>
      </c>
      <c r="K22" s="209">
        <v>85.68</v>
      </c>
      <c r="L22" s="209">
        <v>-15.52</v>
      </c>
      <c r="M22" s="209">
        <v>3.7</v>
      </c>
      <c r="N22" s="72">
        <f t="shared" si="1"/>
        <v>3.700119000396668</v>
      </c>
      <c r="O22" s="209">
        <v>50.42</v>
      </c>
      <c r="P22" s="209">
        <v>191.46</v>
      </c>
      <c r="Q22" s="72">
        <f t="shared" si="2"/>
        <v>-37.36</v>
      </c>
    </row>
    <row r="23" spans="2:17" x14ac:dyDescent="0.25">
      <c r="B23" s="166">
        <v>7</v>
      </c>
      <c r="C23" s="166" t="s">
        <v>386</v>
      </c>
      <c r="D23" s="209">
        <v>92.88</v>
      </c>
      <c r="E23" s="209">
        <v>0.5</v>
      </c>
      <c r="F23" s="72">
        <f t="shared" si="3"/>
        <v>46.44</v>
      </c>
      <c r="G23" s="209">
        <v>11.19</v>
      </c>
      <c r="H23" s="209">
        <v>14.45</v>
      </c>
      <c r="I23" s="72">
        <f t="shared" si="0"/>
        <v>43.179999999999993</v>
      </c>
      <c r="J23" s="209">
        <v>42.26</v>
      </c>
      <c r="K23" s="209">
        <v>81.73</v>
      </c>
      <c r="L23" s="209">
        <v>-3.84</v>
      </c>
      <c r="M23" s="209">
        <v>1.46</v>
      </c>
      <c r="N23" s="72">
        <f t="shared" si="1"/>
        <v>1.4597582037996546</v>
      </c>
      <c r="O23" s="209">
        <v>28.95</v>
      </c>
      <c r="P23" s="209">
        <v>46.82</v>
      </c>
      <c r="Q23" s="72">
        <f t="shared" si="2"/>
        <v>-3.26</v>
      </c>
    </row>
    <row r="24" spans="2:17" x14ac:dyDescent="0.25">
      <c r="B24" s="166"/>
      <c r="C24" s="166"/>
      <c r="D24" s="209"/>
      <c r="E24" s="209"/>
      <c r="F24" s="72"/>
      <c r="G24" s="209"/>
      <c r="H24" s="209"/>
      <c r="I24" s="72"/>
      <c r="J24" s="209"/>
      <c r="K24" s="209"/>
      <c r="L24" s="209"/>
      <c r="M24" s="209"/>
      <c r="N24" s="72"/>
      <c r="O24" s="209"/>
      <c r="P24" s="209"/>
      <c r="Q24" s="72"/>
    </row>
    <row r="27" spans="2:17" x14ac:dyDescent="0.25"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</row>
    <row r="28" spans="2:17" x14ac:dyDescent="0.25"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</row>
    <row r="29" spans="2:17" x14ac:dyDescent="0.25"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</row>
    <row r="30" spans="2:17" x14ac:dyDescent="0.25"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</row>
    <row r="31" spans="2:17" x14ac:dyDescent="0.25">
      <c r="B31" s="166"/>
      <c r="C31" s="166"/>
      <c r="D31" s="209"/>
      <c r="E31" s="209"/>
      <c r="F31" s="72"/>
      <c r="G31" s="209"/>
      <c r="H31" s="209"/>
      <c r="I31" s="72"/>
      <c r="J31" s="209"/>
      <c r="K31" s="209"/>
      <c r="L31" s="209"/>
      <c r="M31" s="209"/>
      <c r="N31" s="72"/>
      <c r="O31" s="209"/>
      <c r="P31" s="209"/>
    </row>
    <row r="32" spans="2:17" x14ac:dyDescent="0.25">
      <c r="B32" s="166"/>
      <c r="C32" s="166"/>
      <c r="D32" s="209"/>
      <c r="E32" s="209"/>
      <c r="F32" s="72"/>
      <c r="G32" s="209"/>
      <c r="H32" s="209"/>
      <c r="I32" s="72"/>
      <c r="J32" s="209"/>
      <c r="K32" s="209"/>
      <c r="L32" s="209"/>
      <c r="M32" s="209"/>
      <c r="N32" s="72"/>
      <c r="O32" s="209"/>
      <c r="P32" s="209"/>
    </row>
    <row r="33" spans="2:16" x14ac:dyDescent="0.25">
      <c r="B33" s="166"/>
      <c r="C33" s="166"/>
      <c r="D33" s="209"/>
      <c r="E33" s="209"/>
      <c r="F33" s="72"/>
      <c r="G33" s="209"/>
      <c r="H33" s="209"/>
      <c r="I33" s="72"/>
      <c r="J33" s="209"/>
      <c r="K33" s="209"/>
      <c r="L33" s="209"/>
      <c r="M33" s="209"/>
      <c r="N33" s="72"/>
      <c r="O33" s="209"/>
      <c r="P33" s="209"/>
    </row>
    <row r="34" spans="2:16" x14ac:dyDescent="0.25">
      <c r="B34" s="166"/>
      <c r="C34" s="166"/>
      <c r="D34" s="209"/>
      <c r="E34" s="209"/>
      <c r="F34" s="72"/>
      <c r="G34" s="209"/>
      <c r="H34" s="209"/>
      <c r="I34" s="72"/>
      <c r="J34" s="209"/>
      <c r="K34" s="209"/>
      <c r="L34" s="209"/>
      <c r="M34" s="209"/>
      <c r="N34" s="72"/>
      <c r="O34" s="209"/>
      <c r="P34" s="209"/>
    </row>
    <row r="35" spans="2:16" x14ac:dyDescent="0.25">
      <c r="B35" s="166"/>
      <c r="C35" s="166"/>
      <c r="D35" s="209"/>
      <c r="E35" s="209"/>
      <c r="F35" s="72"/>
      <c r="G35" s="209"/>
      <c r="H35" s="209"/>
      <c r="I35" s="72"/>
      <c r="J35" s="209"/>
      <c r="K35" s="209"/>
      <c r="L35" s="209"/>
      <c r="M35" s="209"/>
      <c r="N35" s="72"/>
      <c r="O35" s="209"/>
      <c r="P35" s="209"/>
    </row>
    <row r="36" spans="2:16" x14ac:dyDescent="0.25">
      <c r="B36" s="166"/>
      <c r="C36" s="166"/>
      <c r="D36" s="209"/>
      <c r="E36" s="209"/>
      <c r="F36" s="72"/>
      <c r="G36" s="209"/>
      <c r="H36" s="209"/>
      <c r="I36" s="72"/>
      <c r="J36" s="209"/>
      <c r="K36" s="209"/>
      <c r="L36" s="209"/>
      <c r="M36" s="209"/>
      <c r="N36" s="72"/>
      <c r="O36" s="209"/>
      <c r="P36" s="209"/>
    </row>
    <row r="37" spans="2:16" x14ac:dyDescent="0.25">
      <c r="B37" s="166"/>
      <c r="C37" s="166"/>
      <c r="D37" s="209"/>
      <c r="E37" s="209"/>
      <c r="F37" s="72"/>
      <c r="G37" s="209"/>
      <c r="H37" s="209"/>
      <c r="I37" s="72"/>
      <c r="J37" s="209"/>
      <c r="K37" s="209"/>
      <c r="L37" s="209"/>
      <c r="M37" s="209"/>
      <c r="N37" s="72"/>
      <c r="O37" s="209"/>
      <c r="P37" s="209"/>
    </row>
    <row r="38" spans="2:16" x14ac:dyDescent="0.25">
      <c r="B38" s="166"/>
      <c r="C38" s="166"/>
      <c r="D38" s="209"/>
      <c r="E38" s="209"/>
      <c r="F38" s="72"/>
      <c r="G38" s="209"/>
      <c r="H38" s="209"/>
      <c r="I38" s="72"/>
      <c r="J38" s="209"/>
      <c r="K38" s="209"/>
      <c r="L38" s="209"/>
      <c r="M38" s="209"/>
      <c r="N38" s="72"/>
      <c r="O38" s="209"/>
      <c r="P38" s="209"/>
    </row>
    <row r="39" spans="2:16" x14ac:dyDescent="0.25">
      <c r="B39" s="166"/>
      <c r="C39" s="166"/>
      <c r="D39" s="209"/>
      <c r="E39" s="209"/>
      <c r="F39" s="72"/>
      <c r="G39" s="209"/>
      <c r="H39" s="209"/>
      <c r="I39" s="72"/>
      <c r="J39" s="209"/>
      <c r="K39" s="209"/>
      <c r="L39" s="209"/>
      <c r="M39" s="209"/>
      <c r="N39" s="72"/>
      <c r="O39" s="209"/>
      <c r="P39" s="209"/>
    </row>
    <row r="40" spans="2:16" x14ac:dyDescent="0.25">
      <c r="B40" s="166"/>
      <c r="C40" s="166"/>
      <c r="D40" s="166"/>
      <c r="E40" s="166"/>
      <c r="F40" s="72"/>
      <c r="G40" s="166"/>
      <c r="H40" s="166"/>
      <c r="I40" s="72"/>
      <c r="J40" s="166"/>
      <c r="K40" s="166"/>
      <c r="L40" s="166"/>
      <c r="M40" s="166"/>
      <c r="N40" s="72"/>
      <c r="O40" s="166"/>
      <c r="P40" s="166"/>
    </row>
    <row r="41" spans="2:16" x14ac:dyDescent="0.25">
      <c r="B41" s="166"/>
      <c r="C41" s="166"/>
      <c r="D41" s="166"/>
      <c r="E41" s="166"/>
      <c r="F41" s="72"/>
      <c r="G41" s="166"/>
      <c r="H41" s="166"/>
      <c r="I41" s="72"/>
      <c r="J41" s="166"/>
      <c r="K41" s="166"/>
      <c r="L41" s="166"/>
      <c r="M41" s="166"/>
      <c r="N41" s="72"/>
      <c r="O41" s="166"/>
      <c r="P41" s="166"/>
    </row>
  </sheetData>
  <mergeCells count="2">
    <mergeCell ref="B2:M2"/>
    <mergeCell ref="B14:M1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B063F-2E10-48A0-94A3-2797D416A2DD}">
  <dimension ref="B2:G29"/>
  <sheetViews>
    <sheetView showGridLines="0" workbookViewId="0">
      <selection activeCell="F8" sqref="F8"/>
    </sheetView>
  </sheetViews>
  <sheetFormatPr defaultRowHeight="15" x14ac:dyDescent="0.25"/>
  <cols>
    <col min="1" max="1" width="1.85546875" customWidth="1"/>
    <col min="5" max="5" width="19" bestFit="1" customWidth="1"/>
  </cols>
  <sheetData>
    <row r="2" spans="2:7" x14ac:dyDescent="0.25">
      <c r="B2" s="229" t="s">
        <v>249</v>
      </c>
      <c r="C2" s="229"/>
      <c r="D2" s="229"/>
      <c r="E2" s="229"/>
      <c r="F2" s="229"/>
      <c r="G2" s="229"/>
    </row>
    <row r="4" spans="2:7" x14ac:dyDescent="0.25">
      <c r="B4" s="210" t="s">
        <v>247</v>
      </c>
      <c r="C4" s="211" t="s">
        <v>248</v>
      </c>
    </row>
    <row r="5" spans="2:7" x14ac:dyDescent="0.25">
      <c r="B5" s="203">
        <v>2000</v>
      </c>
      <c r="C5" s="212">
        <v>-0.14649999999999999</v>
      </c>
    </row>
    <row r="6" spans="2:7" x14ac:dyDescent="0.25">
      <c r="B6" s="203">
        <v>2001</v>
      </c>
      <c r="C6" s="212">
        <v>-0.1618</v>
      </c>
      <c r="E6" s="166" t="s">
        <v>250</v>
      </c>
      <c r="F6" s="73">
        <f>AVERAGE(C5:C28)</f>
        <v>0.15609166666666666</v>
      </c>
    </row>
    <row r="7" spans="2:7" x14ac:dyDescent="0.25">
      <c r="B7" s="203">
        <v>2002</v>
      </c>
      <c r="C7" s="212">
        <v>3.2500000000000001E-2</v>
      </c>
      <c r="E7" s="166" t="s">
        <v>251</v>
      </c>
      <c r="F7" s="181">
        <v>1.3899999999999999E-2</v>
      </c>
    </row>
    <row r="8" spans="2:7" x14ac:dyDescent="0.25">
      <c r="B8" s="203">
        <v>2003</v>
      </c>
      <c r="C8" s="212">
        <v>0.71900000000000008</v>
      </c>
      <c r="E8" s="171" t="s">
        <v>252</v>
      </c>
      <c r="F8" s="103">
        <f>SUM(F6:F7)</f>
        <v>0.16999166666666665</v>
      </c>
    </row>
    <row r="9" spans="2:7" x14ac:dyDescent="0.25">
      <c r="B9" s="203">
        <v>2004</v>
      </c>
      <c r="C9" s="212">
        <v>0.10679999999999999</v>
      </c>
    </row>
    <row r="10" spans="2:7" x14ac:dyDescent="0.25">
      <c r="B10" s="203">
        <v>2005</v>
      </c>
      <c r="C10" s="212">
        <v>0.36340000000000006</v>
      </c>
    </row>
    <row r="11" spans="2:7" x14ac:dyDescent="0.25">
      <c r="B11" s="203">
        <v>2006</v>
      </c>
      <c r="C11" s="212">
        <v>0.39829999999999999</v>
      </c>
    </row>
    <row r="12" spans="2:7" x14ac:dyDescent="0.25">
      <c r="B12" s="203">
        <v>2007</v>
      </c>
      <c r="C12" s="212">
        <v>0.54770000000000008</v>
      </c>
    </row>
    <row r="13" spans="2:7" x14ac:dyDescent="0.25">
      <c r="B13" s="203">
        <v>2008</v>
      </c>
      <c r="C13" s="212">
        <v>-0.51790000000000003</v>
      </c>
    </row>
    <row r="14" spans="2:7" x14ac:dyDescent="0.25">
      <c r="B14" s="203">
        <v>2009</v>
      </c>
      <c r="C14" s="212">
        <v>0.75760000000000005</v>
      </c>
    </row>
    <row r="15" spans="2:7" x14ac:dyDescent="0.25">
      <c r="B15" s="203">
        <v>2010</v>
      </c>
      <c r="C15" s="212">
        <v>0.17949999999999999</v>
      </c>
    </row>
    <row r="16" spans="2:7" x14ac:dyDescent="0.25">
      <c r="B16" s="203">
        <v>2011</v>
      </c>
      <c r="C16" s="212">
        <v>-0.2462</v>
      </c>
    </row>
    <row r="17" spans="2:3" x14ac:dyDescent="0.25">
      <c r="B17" s="203">
        <v>2012</v>
      </c>
      <c r="C17" s="212">
        <v>0.27699999999999997</v>
      </c>
    </row>
    <row r="18" spans="2:3" x14ac:dyDescent="0.25">
      <c r="B18" s="203">
        <v>2013</v>
      </c>
      <c r="C18" s="212">
        <v>6.7599999999999993E-2</v>
      </c>
    </row>
    <row r="19" spans="2:3" x14ac:dyDescent="0.25">
      <c r="B19" s="203">
        <v>2014</v>
      </c>
      <c r="C19" s="212">
        <v>0.31390000000000001</v>
      </c>
    </row>
    <row r="20" spans="2:3" x14ac:dyDescent="0.25">
      <c r="B20" s="203">
        <v>2015</v>
      </c>
      <c r="C20" s="212">
        <v>-4.0599999999999997E-2</v>
      </c>
    </row>
    <row r="21" spans="2:3" x14ac:dyDescent="0.25">
      <c r="B21" s="203">
        <v>2016</v>
      </c>
      <c r="C21" s="212">
        <v>3.0099999999999998E-2</v>
      </c>
    </row>
    <row r="22" spans="2:3" x14ac:dyDescent="0.25">
      <c r="B22" s="203">
        <v>2017</v>
      </c>
      <c r="C22" s="212">
        <v>0.28649999999999998</v>
      </c>
    </row>
    <row r="23" spans="2:3" x14ac:dyDescent="0.25">
      <c r="B23" s="203">
        <v>2018</v>
      </c>
      <c r="C23" s="212">
        <v>3.15E-2</v>
      </c>
    </row>
    <row r="24" spans="2:3" x14ac:dyDescent="0.25">
      <c r="B24" s="203">
        <v>2019</v>
      </c>
      <c r="C24" s="212">
        <v>0.1202</v>
      </c>
    </row>
    <row r="25" spans="2:3" x14ac:dyDescent="0.25">
      <c r="B25" s="203">
        <v>2020</v>
      </c>
      <c r="C25" s="212">
        <v>0.14899999999999999</v>
      </c>
    </row>
    <row r="26" spans="2:3" x14ac:dyDescent="0.25">
      <c r="B26" s="203">
        <v>2021</v>
      </c>
      <c r="C26" s="212">
        <v>0.2412</v>
      </c>
    </row>
    <row r="27" spans="2:3" x14ac:dyDescent="0.25">
      <c r="B27" s="203">
        <v>2022</v>
      </c>
      <c r="C27" s="212">
        <v>4.3200000000000002E-2</v>
      </c>
    </row>
    <row r="28" spans="2:3" x14ac:dyDescent="0.25">
      <c r="B28" s="203">
        <v>2023</v>
      </c>
      <c r="C28" s="212">
        <v>0.19420000000000001</v>
      </c>
    </row>
    <row r="29" spans="2:3" x14ac:dyDescent="0.25">
      <c r="B29" s="76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4</vt:i4>
      </vt:variant>
    </vt:vector>
  </HeadingPairs>
  <TitlesOfParts>
    <vt:vector size="27" baseType="lpstr">
      <vt:lpstr>Financials&gt;</vt:lpstr>
      <vt:lpstr>Historical FS</vt:lpstr>
      <vt:lpstr>Ratio Analysis</vt:lpstr>
      <vt:lpstr>Common Size Statement</vt:lpstr>
      <vt:lpstr>P&amp;L Forecast</vt:lpstr>
      <vt:lpstr>BS Forecast</vt:lpstr>
      <vt:lpstr>Cash Flows Forecast</vt:lpstr>
      <vt:lpstr>DCF&gt;</vt:lpstr>
      <vt:lpstr>WACC</vt:lpstr>
      <vt:lpstr>Intrinsic Growth</vt:lpstr>
      <vt:lpstr>DCF</vt:lpstr>
      <vt:lpstr>Comparable Valuation&gt;</vt:lpstr>
      <vt:lpstr>Relative Valuation</vt:lpstr>
      <vt:lpstr>Football Field Analysis</vt:lpstr>
      <vt:lpstr>Data&gt;</vt:lpstr>
      <vt:lpstr>Data Sheet</vt:lpstr>
      <vt:lpstr>Cash Flow Data (Manual)</vt:lpstr>
      <vt:lpstr>Data Room&gt;</vt:lpstr>
      <vt:lpstr>Raw BS (Manual)</vt:lpstr>
      <vt:lpstr>Beta - Regression</vt:lpstr>
      <vt:lpstr>Beta - Comps</vt:lpstr>
      <vt:lpstr>Peers</vt:lpstr>
      <vt:lpstr>Rm</vt:lpstr>
      <vt:lpstr>'Historical FS'!Print_Area</vt:lpstr>
      <vt:lpstr>'Relative Valuation'!Print_Area</vt:lpstr>
      <vt:lpstr>WACC!Print_Area</vt:lpstr>
      <vt:lpstr>UPDATE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Neeraj Prasad Kushwaha</dc:creator>
  <cp:keywords/>
  <dc:description/>
  <cp:lastModifiedBy>Neeraj Prasad Kushwaha</cp:lastModifiedBy>
  <cp:revision/>
  <cp:lastPrinted>2024-02-10T15:10:42Z</cp:lastPrinted>
  <dcterms:created xsi:type="dcterms:W3CDTF">2012-08-17T09:55:37Z</dcterms:created>
  <dcterms:modified xsi:type="dcterms:W3CDTF">2025-04-19T08:27:57Z</dcterms:modified>
  <cp:category/>
  <cp:contentStatus/>
</cp:coreProperties>
</file>