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eraj\Documents\Financial Modelling\"/>
    </mc:Choice>
  </mc:AlternateContent>
  <xr:revisionPtr revIDLastSave="0" documentId="13_ncr:1_{1D6F3E7C-675B-4B40-A918-89AA8D8CEB14}" xr6:coauthVersionLast="36" xr6:coauthVersionMax="47" xr10:uidLastSave="{00000000-0000-0000-0000-000000000000}"/>
  <bookViews>
    <workbookView xWindow="0" yWindow="0" windowWidth="9195" windowHeight="5250" xr2:uid="{00000000-000D-0000-FFFF-FFFF00000000}"/>
  </bookViews>
  <sheets>
    <sheet name="Financials&gt;" sheetId="7" r:id="rId1"/>
    <sheet name="Historical FS" sheetId="8" r:id="rId2"/>
    <sheet name="Ratio Analysis" sheetId="11" r:id="rId3"/>
    <sheet name="Common Size Statement" sheetId="21" r:id="rId4"/>
    <sheet name="P&amp;L Forecast" sheetId="13" r:id="rId5"/>
    <sheet name="BS Forecast" sheetId="14" r:id="rId6"/>
    <sheet name="Cash Flows Forecast" sheetId="15" r:id="rId7"/>
    <sheet name="DCF&gt;" sheetId="22" r:id="rId8"/>
    <sheet name="WACC" sheetId="19" r:id="rId9"/>
    <sheet name="Intrinsic Growth" sheetId="25" r:id="rId10"/>
    <sheet name="DCF" sheetId="26" r:id="rId11"/>
    <sheet name="Comparable Valuation&gt;" sheetId="29" r:id="rId12"/>
    <sheet name="Relative Valuation" sheetId="27" r:id="rId13"/>
    <sheet name="Football Field Analysis" sheetId="28" r:id="rId14"/>
    <sheet name="Data&gt;" sheetId="9" r:id="rId15"/>
    <sheet name="Data Sheet" sheetId="6" r:id="rId16"/>
    <sheet name="Cash Flow Data (Manual)" sheetId="10" r:id="rId17"/>
    <sheet name="Data Room&gt;" sheetId="23" r:id="rId18"/>
    <sheet name="Raw BS (Manual)" sheetId="24" r:id="rId19"/>
    <sheet name="Beta - Regression" sheetId="16" r:id="rId20"/>
    <sheet name="Beta - Comps" sheetId="17" r:id="rId21"/>
    <sheet name="Peers" sheetId="18" r:id="rId22"/>
    <sheet name="Rm" sheetId="20" r:id="rId23"/>
  </sheets>
  <definedNames>
    <definedName name="_xlnm.Print_Area" localSheetId="1">'Historical FS'!$H$27</definedName>
    <definedName name="_xlnm.Print_Area" localSheetId="12">'Relative Valuation'!$C$11</definedName>
    <definedName name="_xlnm.Print_Area" localSheetId="8">WACC!$F$8</definedName>
    <definedName name="UPDATE">'Data Sheet'!$E$1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6" l="1"/>
  <c r="D25" i="26"/>
  <c r="I9" i="26" l="1"/>
  <c r="J9" i="26" s="1"/>
  <c r="H9" i="26"/>
  <c r="G9" i="26"/>
  <c r="B14" i="18" l="1"/>
  <c r="D5" i="23"/>
  <c r="D5" i="9"/>
  <c r="B2" i="10"/>
  <c r="B2" i="28"/>
  <c r="B2" i="27"/>
  <c r="B2" i="26"/>
  <c r="B2" i="25"/>
  <c r="B25" i="27"/>
  <c r="D5" i="22"/>
  <c r="D5" i="29"/>
  <c r="D5" i="7"/>
  <c r="B2" i="8"/>
  <c r="M16" i="27" l="1"/>
  <c r="M15" i="27"/>
  <c r="M14" i="27"/>
  <c r="M13" i="27"/>
  <c r="M12" i="27"/>
  <c r="M11" i="27"/>
  <c r="M9" i="27"/>
  <c r="M10" i="27"/>
  <c r="K16" i="27"/>
  <c r="K15" i="27"/>
  <c r="K14" i="27"/>
  <c r="K13" i="27"/>
  <c r="K12" i="27"/>
  <c r="K11" i="27"/>
  <c r="K10" i="27"/>
  <c r="K9" i="27"/>
  <c r="Q24" i="18"/>
  <c r="G16" i="27" s="1"/>
  <c r="Q23" i="18"/>
  <c r="G15" i="27" s="1"/>
  <c r="Q22" i="18"/>
  <c r="G14" i="27" s="1"/>
  <c r="Q21" i="18"/>
  <c r="G13" i="27" s="1"/>
  <c r="Q20" i="18"/>
  <c r="G12" i="27" s="1"/>
  <c r="Q19" i="18"/>
  <c r="G11" i="27" s="1"/>
  <c r="Q18" i="18"/>
  <c r="G10" i="27" s="1"/>
  <c r="Q17" i="18"/>
  <c r="G9" i="27" s="1"/>
  <c r="Q28" i="27" s="1"/>
  <c r="E16" i="27"/>
  <c r="E15" i="27"/>
  <c r="E14" i="27"/>
  <c r="E13" i="27"/>
  <c r="E12" i="27"/>
  <c r="E11" i="27"/>
  <c r="E10" i="27"/>
  <c r="E9" i="27"/>
  <c r="P30" i="27" s="1"/>
  <c r="D16" i="27"/>
  <c r="D15" i="27"/>
  <c r="D14" i="27"/>
  <c r="D13" i="27"/>
  <c r="D12" i="27"/>
  <c r="D11" i="27"/>
  <c r="D10" i="27"/>
  <c r="D9" i="27"/>
  <c r="B16" i="27"/>
  <c r="B15" i="27"/>
  <c r="B14" i="27"/>
  <c r="B13" i="27"/>
  <c r="B12" i="27"/>
  <c r="B11" i="27"/>
  <c r="B10" i="27"/>
  <c r="B9" i="27"/>
  <c r="N41" i="18"/>
  <c r="N40" i="18"/>
  <c r="N39" i="18"/>
  <c r="N38" i="18"/>
  <c r="N37" i="18"/>
  <c r="N36" i="18"/>
  <c r="N35" i="18"/>
  <c r="N34" i="18"/>
  <c r="N33" i="18"/>
  <c r="N32" i="18"/>
  <c r="N31" i="18"/>
  <c r="N24" i="18"/>
  <c r="L16" i="27" s="1"/>
  <c r="N23" i="18"/>
  <c r="L15" i="27" s="1"/>
  <c r="N22" i="18"/>
  <c r="L14" i="27" s="1"/>
  <c r="N21" i="18"/>
  <c r="L13" i="27" s="1"/>
  <c r="N20" i="18"/>
  <c r="L12" i="27" s="1"/>
  <c r="N19" i="18"/>
  <c r="L11" i="27" s="1"/>
  <c r="N17" i="18"/>
  <c r="L9" i="27" s="1"/>
  <c r="N18" i="18"/>
  <c r="L10" i="27" s="1"/>
  <c r="F41" i="18"/>
  <c r="I41" i="18" s="1"/>
  <c r="F40" i="18"/>
  <c r="I40" i="18" s="1"/>
  <c r="F39" i="18"/>
  <c r="I39" i="18" s="1"/>
  <c r="F38" i="18"/>
  <c r="I38" i="18" s="1"/>
  <c r="F37" i="18"/>
  <c r="I37" i="18" s="1"/>
  <c r="F36" i="18"/>
  <c r="I36" i="18" s="1"/>
  <c r="F35" i="18"/>
  <c r="I35" i="18" s="1"/>
  <c r="F34" i="18"/>
  <c r="I34" i="18" s="1"/>
  <c r="F33" i="18"/>
  <c r="I33" i="18" s="1"/>
  <c r="F32" i="18"/>
  <c r="I32" i="18" s="1"/>
  <c r="F31" i="18"/>
  <c r="I31" i="18" s="1"/>
  <c r="F24" i="18"/>
  <c r="I24" i="18" s="1"/>
  <c r="F23" i="18"/>
  <c r="I23" i="18" s="1"/>
  <c r="F22" i="18"/>
  <c r="I22" i="18" s="1"/>
  <c r="F21" i="18"/>
  <c r="I21" i="18" s="1"/>
  <c r="F20" i="18"/>
  <c r="I20" i="18" s="1"/>
  <c r="F19" i="18"/>
  <c r="I19" i="18" s="1"/>
  <c r="F17" i="18"/>
  <c r="I17" i="18" s="1"/>
  <c r="F18" i="18"/>
  <c r="I18" i="18" s="1"/>
  <c r="D38" i="26"/>
  <c r="D36" i="26"/>
  <c r="D35" i="26"/>
  <c r="H11" i="26"/>
  <c r="I11" i="26" s="1"/>
  <c r="J11" i="26" s="1"/>
  <c r="K11" i="26" s="1"/>
  <c r="Q30" i="27" l="1"/>
  <c r="F11" i="27"/>
  <c r="H11" i="27" s="1"/>
  <c r="F12" i="27"/>
  <c r="H12" i="27" s="1"/>
  <c r="F16" i="27"/>
  <c r="Q16" i="27" s="1"/>
  <c r="F13" i="27"/>
  <c r="Q13" i="27" s="1"/>
  <c r="P28" i="27"/>
  <c r="F15" i="27"/>
  <c r="H15" i="27" s="1"/>
  <c r="F10" i="27"/>
  <c r="H10" i="27" s="1"/>
  <c r="F14" i="27"/>
  <c r="Q14" i="27" s="1"/>
  <c r="O30" i="27"/>
  <c r="Q12" i="27"/>
  <c r="Q11" i="27"/>
  <c r="F9" i="27"/>
  <c r="O28" i="27"/>
  <c r="G7" i="26"/>
  <c r="H7" i="26" s="1"/>
  <c r="I7" i="26" s="1"/>
  <c r="J7" i="26" s="1"/>
  <c r="K7" i="26" s="1"/>
  <c r="F6" i="26"/>
  <c r="G6" i="26" s="1"/>
  <c r="K33" i="6"/>
  <c r="J33" i="6"/>
  <c r="I33" i="6"/>
  <c r="H33" i="6"/>
  <c r="G33" i="6"/>
  <c r="F33" i="6"/>
  <c r="E33" i="6"/>
  <c r="D33" i="6"/>
  <c r="C33" i="6"/>
  <c r="B33" i="6"/>
  <c r="K43" i="25"/>
  <c r="J43" i="25"/>
  <c r="I43" i="25"/>
  <c r="H43" i="25"/>
  <c r="G43" i="25"/>
  <c r="K37" i="25"/>
  <c r="K46" i="25" s="1"/>
  <c r="K48" i="25" s="1"/>
  <c r="J37" i="25"/>
  <c r="I37" i="25"/>
  <c r="H37" i="25"/>
  <c r="H46" i="25" s="1"/>
  <c r="H48" i="25" s="1"/>
  <c r="G37" i="25"/>
  <c r="G46" i="25" s="1"/>
  <c r="G48" i="25" s="1"/>
  <c r="K33" i="25"/>
  <c r="J33" i="25"/>
  <c r="I33" i="25"/>
  <c r="H33" i="25"/>
  <c r="G33" i="25"/>
  <c r="K30" i="25"/>
  <c r="J30" i="25"/>
  <c r="I30" i="25"/>
  <c r="H30" i="25"/>
  <c r="G30" i="25"/>
  <c r="K29" i="25"/>
  <c r="J29" i="25"/>
  <c r="I29" i="25"/>
  <c r="H29" i="25"/>
  <c r="G29" i="25"/>
  <c r="K28" i="25"/>
  <c r="J28" i="25"/>
  <c r="I28" i="25"/>
  <c r="H28" i="25"/>
  <c r="G28" i="25"/>
  <c r="K27" i="25"/>
  <c r="J27" i="25"/>
  <c r="I27" i="25"/>
  <c r="H27" i="25"/>
  <c r="G27" i="25"/>
  <c r="K26" i="25"/>
  <c r="J26" i="25"/>
  <c r="I26" i="25"/>
  <c r="H26" i="25"/>
  <c r="G26" i="25"/>
  <c r="K25" i="25"/>
  <c r="J25" i="25"/>
  <c r="I25" i="25"/>
  <c r="H25" i="25"/>
  <c r="G25" i="25"/>
  <c r="K24" i="25"/>
  <c r="J24" i="25"/>
  <c r="I24" i="25"/>
  <c r="H24" i="25"/>
  <c r="G24" i="25"/>
  <c r="K23" i="25"/>
  <c r="J23" i="25"/>
  <c r="I23" i="25"/>
  <c r="H23" i="25"/>
  <c r="G23" i="25"/>
  <c r="K22" i="25"/>
  <c r="J22" i="25"/>
  <c r="I22" i="25"/>
  <c r="H22" i="25"/>
  <c r="G22" i="25"/>
  <c r="B30" i="25"/>
  <c r="B29" i="25"/>
  <c r="B28" i="25"/>
  <c r="B27" i="25"/>
  <c r="B26" i="25"/>
  <c r="B25" i="25"/>
  <c r="B24" i="25"/>
  <c r="B23" i="25"/>
  <c r="B22" i="25"/>
  <c r="K16" i="25"/>
  <c r="J16" i="25"/>
  <c r="I16" i="25"/>
  <c r="H16" i="25"/>
  <c r="G16" i="25"/>
  <c r="K15" i="25"/>
  <c r="J15" i="25"/>
  <c r="I15" i="25"/>
  <c r="H15" i="25"/>
  <c r="G15" i="25"/>
  <c r="K14" i="25"/>
  <c r="J14" i="25"/>
  <c r="I14" i="25"/>
  <c r="H14" i="25"/>
  <c r="G14" i="25"/>
  <c r="B16" i="25"/>
  <c r="B15" i="25"/>
  <c r="B14" i="25"/>
  <c r="K10" i="25"/>
  <c r="J10" i="25"/>
  <c r="I10" i="25"/>
  <c r="H10" i="25"/>
  <c r="G10" i="25"/>
  <c r="K9" i="25"/>
  <c r="J9" i="25"/>
  <c r="I9" i="25"/>
  <c r="H9" i="25"/>
  <c r="G9" i="25"/>
  <c r="K8" i="25"/>
  <c r="J8" i="25"/>
  <c r="I8" i="25"/>
  <c r="H8" i="25"/>
  <c r="G8" i="25"/>
  <c r="K7" i="25"/>
  <c r="J7" i="25"/>
  <c r="I7" i="25"/>
  <c r="H7" i="25"/>
  <c r="G7" i="25"/>
  <c r="B10" i="25"/>
  <c r="B9" i="25"/>
  <c r="B8" i="25"/>
  <c r="B7" i="25"/>
  <c r="J4" i="25"/>
  <c r="J41" i="25" s="1"/>
  <c r="J57" i="25" s="1"/>
  <c r="I4" i="25"/>
  <c r="I41" i="25" s="1"/>
  <c r="I57" i="25" s="1"/>
  <c r="H4" i="25"/>
  <c r="H41" i="25" s="1"/>
  <c r="H57" i="25" s="1"/>
  <c r="G4" i="25"/>
  <c r="G41" i="25" s="1"/>
  <c r="G57" i="25" s="1"/>
  <c r="K4" i="25"/>
  <c r="K41" i="25" s="1"/>
  <c r="K57" i="25" s="1"/>
  <c r="N30" i="24"/>
  <c r="M30" i="24"/>
  <c r="L30" i="24"/>
  <c r="K30" i="24"/>
  <c r="J30" i="24"/>
  <c r="I30" i="24"/>
  <c r="H30" i="24"/>
  <c r="G30" i="24"/>
  <c r="F30" i="24"/>
  <c r="E30" i="24"/>
  <c r="D30" i="24"/>
  <c r="C30" i="24"/>
  <c r="L38" i="21"/>
  <c r="K38" i="21"/>
  <c r="J38" i="21"/>
  <c r="I38" i="21"/>
  <c r="H38" i="21"/>
  <c r="G38" i="21"/>
  <c r="F38" i="21"/>
  <c r="E38" i="21"/>
  <c r="D38" i="21"/>
  <c r="C38" i="21"/>
  <c r="L37" i="21"/>
  <c r="K37" i="21"/>
  <c r="J37" i="21"/>
  <c r="I37" i="21"/>
  <c r="H37" i="21"/>
  <c r="G37" i="21"/>
  <c r="F37" i="21"/>
  <c r="E37" i="21"/>
  <c r="D37" i="21"/>
  <c r="C37" i="21"/>
  <c r="L36" i="21"/>
  <c r="K36" i="21"/>
  <c r="J36" i="21"/>
  <c r="I36" i="21"/>
  <c r="H36" i="21"/>
  <c r="G36" i="21"/>
  <c r="F36" i="21"/>
  <c r="E36" i="21"/>
  <c r="D36" i="21"/>
  <c r="C36" i="21"/>
  <c r="L35" i="21"/>
  <c r="K35" i="21"/>
  <c r="J35" i="21"/>
  <c r="I35" i="21"/>
  <c r="H35" i="21"/>
  <c r="G35" i="21"/>
  <c r="F35" i="21"/>
  <c r="E35" i="21"/>
  <c r="D35" i="21"/>
  <c r="C35" i="21"/>
  <c r="L34" i="21"/>
  <c r="K34" i="21"/>
  <c r="J34" i="21"/>
  <c r="I34" i="21"/>
  <c r="H34" i="21"/>
  <c r="G34" i="21"/>
  <c r="F34" i="21"/>
  <c r="E34" i="21"/>
  <c r="D34" i="21"/>
  <c r="C34" i="21"/>
  <c r="L33" i="21"/>
  <c r="K33" i="21"/>
  <c r="J33" i="21"/>
  <c r="I33" i="21"/>
  <c r="H33" i="21"/>
  <c r="G33" i="21"/>
  <c r="F33" i="21"/>
  <c r="E33" i="21"/>
  <c r="D33" i="21"/>
  <c r="C33" i="21"/>
  <c r="L32" i="21"/>
  <c r="K32" i="21"/>
  <c r="J32" i="21"/>
  <c r="I32" i="21"/>
  <c r="H32" i="21"/>
  <c r="G32" i="21"/>
  <c r="F32" i="21"/>
  <c r="E32" i="21"/>
  <c r="D32" i="21"/>
  <c r="C32" i="21"/>
  <c r="L31" i="21"/>
  <c r="K31" i="21"/>
  <c r="J31" i="21"/>
  <c r="I31" i="21"/>
  <c r="H31" i="21"/>
  <c r="G31" i="21"/>
  <c r="F31" i="21"/>
  <c r="E31" i="21"/>
  <c r="D31" i="21"/>
  <c r="C31" i="21"/>
  <c r="K74" i="6"/>
  <c r="J74" i="6"/>
  <c r="I74" i="6"/>
  <c r="H74" i="6"/>
  <c r="G74" i="6"/>
  <c r="F74" i="6"/>
  <c r="E74" i="6"/>
  <c r="D74" i="6"/>
  <c r="C74" i="6"/>
  <c r="B74" i="6"/>
  <c r="L29" i="21"/>
  <c r="K29" i="21"/>
  <c r="J29" i="21"/>
  <c r="I29" i="21"/>
  <c r="H29" i="21"/>
  <c r="G29" i="21"/>
  <c r="F29" i="21"/>
  <c r="E29" i="21"/>
  <c r="D29" i="21"/>
  <c r="C29" i="21"/>
  <c r="L28" i="21"/>
  <c r="K28" i="21"/>
  <c r="J28" i="21"/>
  <c r="I28" i="21"/>
  <c r="H28" i="21"/>
  <c r="G28" i="21"/>
  <c r="F28" i="21"/>
  <c r="E28" i="21"/>
  <c r="D28" i="21"/>
  <c r="C28" i="21"/>
  <c r="L27" i="21"/>
  <c r="K27" i="21"/>
  <c r="J27" i="21"/>
  <c r="I27" i="21"/>
  <c r="H27" i="21"/>
  <c r="G27" i="21"/>
  <c r="F27" i="21"/>
  <c r="E27" i="21"/>
  <c r="D27" i="21"/>
  <c r="C27" i="21"/>
  <c r="L26" i="21"/>
  <c r="K26" i="21"/>
  <c r="J26" i="21"/>
  <c r="I26" i="21"/>
  <c r="H26" i="21"/>
  <c r="G26" i="21"/>
  <c r="F26" i="21"/>
  <c r="E26" i="21"/>
  <c r="D26" i="21"/>
  <c r="C26" i="21"/>
  <c r="L25" i="21"/>
  <c r="K25" i="21"/>
  <c r="J25" i="21"/>
  <c r="I25" i="21"/>
  <c r="H25" i="21"/>
  <c r="G25" i="21"/>
  <c r="F25" i="21"/>
  <c r="E25" i="21"/>
  <c r="D25" i="21"/>
  <c r="C25" i="21"/>
  <c r="Q15" i="27" l="1"/>
  <c r="H16" i="27"/>
  <c r="P16" i="27" s="1"/>
  <c r="H14" i="27"/>
  <c r="P14" i="27" s="1"/>
  <c r="Q10" i="27"/>
  <c r="H13" i="27"/>
  <c r="P13" i="27" s="1"/>
  <c r="F4" i="26"/>
  <c r="G4" i="26" s="1"/>
  <c r="H4" i="26" s="1"/>
  <c r="I4" i="26" s="1"/>
  <c r="J4" i="26" s="1"/>
  <c r="K4" i="26" s="1"/>
  <c r="H9" i="27"/>
  <c r="Q9" i="27"/>
  <c r="P15" i="27"/>
  <c r="O15" i="27"/>
  <c r="O12" i="27"/>
  <c r="P12" i="27"/>
  <c r="O10" i="27"/>
  <c r="P10" i="27"/>
  <c r="O16" i="27"/>
  <c r="P11" i="27"/>
  <c r="O11" i="27"/>
  <c r="G8" i="26"/>
  <c r="H6" i="26"/>
  <c r="F8" i="26"/>
  <c r="G32" i="25"/>
  <c r="G34" i="25" s="1"/>
  <c r="I46" i="25"/>
  <c r="I48" i="25" s="1"/>
  <c r="J46" i="25"/>
  <c r="J48" i="25" s="1"/>
  <c r="H32" i="25"/>
  <c r="H34" i="25" s="1"/>
  <c r="I32" i="25"/>
  <c r="I34" i="25" s="1"/>
  <c r="J17" i="25"/>
  <c r="J32" i="25"/>
  <c r="J34" i="25" s="1"/>
  <c r="I11" i="25"/>
  <c r="G11" i="25"/>
  <c r="K11" i="25"/>
  <c r="K32" i="25"/>
  <c r="K34" i="25" s="1"/>
  <c r="J11" i="25"/>
  <c r="H11" i="25"/>
  <c r="I17" i="25"/>
  <c r="G17" i="25"/>
  <c r="K17" i="25"/>
  <c r="H17" i="25"/>
  <c r="L23" i="21"/>
  <c r="K23" i="21"/>
  <c r="J23" i="21"/>
  <c r="I23" i="21"/>
  <c r="H23" i="21"/>
  <c r="G23" i="21"/>
  <c r="F23" i="21"/>
  <c r="E23" i="21"/>
  <c r="D23" i="21"/>
  <c r="C23" i="21"/>
  <c r="B38" i="21"/>
  <c r="B37" i="21"/>
  <c r="B36" i="21"/>
  <c r="B35" i="21"/>
  <c r="B34" i="21"/>
  <c r="B33" i="21"/>
  <c r="B32" i="21"/>
  <c r="B29" i="21"/>
  <c r="B28" i="21"/>
  <c r="B27" i="21"/>
  <c r="B26" i="21"/>
  <c r="B21" i="21"/>
  <c r="L19" i="21"/>
  <c r="K19" i="21"/>
  <c r="J19" i="21"/>
  <c r="I19" i="21"/>
  <c r="H19" i="21"/>
  <c r="G19" i="21"/>
  <c r="F19" i="21"/>
  <c r="E19" i="21"/>
  <c r="D19" i="21"/>
  <c r="C19" i="21"/>
  <c r="L18" i="21"/>
  <c r="K18" i="21"/>
  <c r="J18" i="21"/>
  <c r="I18" i="21"/>
  <c r="H18" i="21"/>
  <c r="G18" i="21"/>
  <c r="F18" i="21"/>
  <c r="E18" i="21"/>
  <c r="D18" i="21"/>
  <c r="C18" i="21"/>
  <c r="L17" i="21"/>
  <c r="K17" i="21"/>
  <c r="J17" i="21"/>
  <c r="I17" i="21"/>
  <c r="H17" i="21"/>
  <c r="G17" i="21"/>
  <c r="F17" i="21"/>
  <c r="E17" i="21"/>
  <c r="D17" i="21"/>
  <c r="C17" i="21"/>
  <c r="L16" i="21"/>
  <c r="K16" i="21"/>
  <c r="J16" i="21"/>
  <c r="I16" i="21"/>
  <c r="H16" i="21"/>
  <c r="G16" i="21"/>
  <c r="F16" i="21"/>
  <c r="E16" i="21"/>
  <c r="D16" i="21"/>
  <c r="C16" i="21"/>
  <c r="L15" i="21"/>
  <c r="K15" i="21"/>
  <c r="J15" i="21"/>
  <c r="I15" i="21"/>
  <c r="H15" i="21"/>
  <c r="G15" i="21"/>
  <c r="F15" i="21"/>
  <c r="E15" i="21"/>
  <c r="D15" i="21"/>
  <c r="C15" i="21"/>
  <c r="L14" i="21"/>
  <c r="K14" i="21"/>
  <c r="J14" i="21"/>
  <c r="I14" i="21"/>
  <c r="H14" i="21"/>
  <c r="G14" i="21"/>
  <c r="F14" i="21"/>
  <c r="E14" i="21"/>
  <c r="D14" i="21"/>
  <c r="C14" i="21"/>
  <c r="L13" i="21"/>
  <c r="K13" i="21"/>
  <c r="J13" i="21"/>
  <c r="I13" i="21"/>
  <c r="H13" i="21"/>
  <c r="G13" i="21"/>
  <c r="F13" i="21"/>
  <c r="E13" i="21"/>
  <c r="D13" i="21"/>
  <c r="C13" i="21"/>
  <c r="L12" i="21"/>
  <c r="K12" i="21"/>
  <c r="J12" i="21"/>
  <c r="I12" i="21"/>
  <c r="H12" i="21"/>
  <c r="G12" i="21"/>
  <c r="F12" i="21"/>
  <c r="E12" i="21"/>
  <c r="D12" i="21"/>
  <c r="C12" i="21"/>
  <c r="L11" i="21"/>
  <c r="K11" i="21"/>
  <c r="J11" i="21"/>
  <c r="I11" i="21"/>
  <c r="H11" i="21"/>
  <c r="G11" i="21"/>
  <c r="F11" i="21"/>
  <c r="E11" i="21"/>
  <c r="D11" i="21"/>
  <c r="C11" i="21"/>
  <c r="L10" i="21"/>
  <c r="K10" i="21"/>
  <c r="J10" i="21"/>
  <c r="I10" i="21"/>
  <c r="H10" i="21"/>
  <c r="G10" i="21"/>
  <c r="F10" i="21"/>
  <c r="E10" i="21"/>
  <c r="D10" i="21"/>
  <c r="C10" i="21"/>
  <c r="L9" i="21"/>
  <c r="K9" i="21"/>
  <c r="J9" i="21"/>
  <c r="I9" i="21"/>
  <c r="H9" i="21"/>
  <c r="G9" i="21"/>
  <c r="F9" i="21"/>
  <c r="E9" i="21"/>
  <c r="D9" i="21"/>
  <c r="C9" i="21"/>
  <c r="L8" i="21"/>
  <c r="K8" i="21"/>
  <c r="J8" i="21"/>
  <c r="I8" i="21"/>
  <c r="H8" i="21"/>
  <c r="G8" i="21"/>
  <c r="F8" i="21"/>
  <c r="E8" i="21"/>
  <c r="D8" i="21"/>
  <c r="C8" i="21"/>
  <c r="L7" i="21"/>
  <c r="K7" i="21"/>
  <c r="J7" i="21"/>
  <c r="I7" i="21"/>
  <c r="H7" i="21"/>
  <c r="G7" i="21"/>
  <c r="F7" i="21"/>
  <c r="E7" i="21"/>
  <c r="D7" i="21"/>
  <c r="C7" i="21"/>
  <c r="L6" i="21"/>
  <c r="K6" i="21"/>
  <c r="J6" i="21"/>
  <c r="I6" i="21"/>
  <c r="H6" i="21"/>
  <c r="G6" i="21"/>
  <c r="F6" i="21"/>
  <c r="E6" i="21"/>
  <c r="D6" i="21"/>
  <c r="C6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L4" i="21"/>
  <c r="K4" i="21"/>
  <c r="J4" i="21"/>
  <c r="I4" i="21"/>
  <c r="H4" i="21"/>
  <c r="G4" i="21"/>
  <c r="F4" i="21"/>
  <c r="E4" i="21"/>
  <c r="D4" i="21"/>
  <c r="C4" i="21"/>
  <c r="B2" i="21"/>
  <c r="J5" i="18"/>
  <c r="E24" i="19" s="1"/>
  <c r="K24" i="19"/>
  <c r="F8" i="20"/>
  <c r="F6" i="20"/>
  <c r="J18" i="19"/>
  <c r="J17" i="19"/>
  <c r="G18" i="19"/>
  <c r="G17" i="19"/>
  <c r="J8" i="19"/>
  <c r="F8" i="19"/>
  <c r="C34" i="19" s="1"/>
  <c r="E8" i="19"/>
  <c r="C33" i="19" s="1"/>
  <c r="J15" i="19"/>
  <c r="J14" i="19"/>
  <c r="J13" i="19"/>
  <c r="J12" i="19"/>
  <c r="J11" i="19"/>
  <c r="J10" i="19"/>
  <c r="J9" i="19"/>
  <c r="F15" i="19"/>
  <c r="F14" i="19"/>
  <c r="F13" i="19"/>
  <c r="F12" i="19"/>
  <c r="F11" i="19"/>
  <c r="F10" i="19"/>
  <c r="F9" i="19"/>
  <c r="E15" i="19"/>
  <c r="E14" i="19"/>
  <c r="E13" i="19"/>
  <c r="H13" i="19" s="1"/>
  <c r="E12" i="19"/>
  <c r="E11" i="19"/>
  <c r="E10" i="19"/>
  <c r="E9" i="19"/>
  <c r="H9" i="19" s="1"/>
  <c r="CI8" i="17"/>
  <c r="CI14" i="17" s="1"/>
  <c r="CF68" i="17"/>
  <c r="CF67" i="17"/>
  <c r="CF66" i="17"/>
  <c r="CF65" i="17"/>
  <c r="CF64" i="17"/>
  <c r="CF63" i="17"/>
  <c r="CF62" i="17"/>
  <c r="CF61" i="17"/>
  <c r="CF60" i="17"/>
  <c r="CF59" i="17"/>
  <c r="CF58" i="17"/>
  <c r="CF57" i="17"/>
  <c r="CF56" i="17"/>
  <c r="CF55" i="17"/>
  <c r="CF54" i="17"/>
  <c r="CF53" i="17"/>
  <c r="CF52" i="17"/>
  <c r="CF51" i="17"/>
  <c r="CF50" i="17"/>
  <c r="CF49" i="17"/>
  <c r="CF48" i="17"/>
  <c r="CF47" i="17"/>
  <c r="CF46" i="17"/>
  <c r="CF45" i="17"/>
  <c r="CF44" i="17"/>
  <c r="CF43" i="17"/>
  <c r="CF42" i="17"/>
  <c r="CF41" i="17"/>
  <c r="CF40" i="17"/>
  <c r="CF39" i="17"/>
  <c r="CF38" i="17"/>
  <c r="CF37" i="17"/>
  <c r="CF36" i="17"/>
  <c r="CF35" i="17"/>
  <c r="CF34" i="17"/>
  <c r="CF33" i="17"/>
  <c r="CF32" i="17"/>
  <c r="CF31" i="17"/>
  <c r="CF30" i="17"/>
  <c r="CF29" i="17"/>
  <c r="CF28" i="17"/>
  <c r="CF27" i="17"/>
  <c r="CF26" i="17"/>
  <c r="CF25" i="17"/>
  <c r="CF24" i="17"/>
  <c r="CF23" i="17"/>
  <c r="CF22" i="17"/>
  <c r="CF21" i="17"/>
  <c r="CF20" i="17"/>
  <c r="CF19" i="17"/>
  <c r="CF18" i="17"/>
  <c r="CF17" i="17"/>
  <c r="CF16" i="17"/>
  <c r="CF15" i="17"/>
  <c r="CF14" i="17"/>
  <c r="CF13" i="17"/>
  <c r="CF12" i="17"/>
  <c r="CF11" i="17"/>
  <c r="CF10" i="17"/>
  <c r="BV8" i="17"/>
  <c r="BV14" i="17" s="1"/>
  <c r="BS68" i="17"/>
  <c r="BS67" i="17"/>
  <c r="BS66" i="17"/>
  <c r="BS65" i="17"/>
  <c r="BS64" i="17"/>
  <c r="BS63" i="17"/>
  <c r="BS62" i="17"/>
  <c r="BS61" i="17"/>
  <c r="BS60" i="17"/>
  <c r="BS59" i="17"/>
  <c r="BS58" i="17"/>
  <c r="BS57" i="17"/>
  <c r="BS56" i="17"/>
  <c r="BS55" i="17"/>
  <c r="BS54" i="17"/>
  <c r="BS53" i="17"/>
  <c r="BS52" i="17"/>
  <c r="BS51" i="17"/>
  <c r="BS50" i="17"/>
  <c r="BS49" i="17"/>
  <c r="BS48" i="17"/>
  <c r="BS47" i="17"/>
  <c r="BS46" i="17"/>
  <c r="BS45" i="17"/>
  <c r="BS44" i="17"/>
  <c r="BS43" i="17"/>
  <c r="BS42" i="17"/>
  <c r="BS41" i="17"/>
  <c r="BS40" i="17"/>
  <c r="BS39" i="17"/>
  <c r="BS38" i="17"/>
  <c r="BS37" i="17"/>
  <c r="BS36" i="17"/>
  <c r="BS35" i="17"/>
  <c r="BS34" i="17"/>
  <c r="BS33" i="17"/>
  <c r="BS32" i="17"/>
  <c r="BS31" i="17"/>
  <c r="BS30" i="17"/>
  <c r="BS29" i="17"/>
  <c r="BS28" i="17"/>
  <c r="BS27" i="17"/>
  <c r="BS26" i="17"/>
  <c r="BS25" i="17"/>
  <c r="BS24" i="17"/>
  <c r="BS23" i="17"/>
  <c r="BS22" i="17"/>
  <c r="BS21" i="17"/>
  <c r="BS20" i="17"/>
  <c r="BS19" i="17"/>
  <c r="BS18" i="17"/>
  <c r="BS17" i="17"/>
  <c r="BS16" i="17"/>
  <c r="BS15" i="17"/>
  <c r="BS14" i="17"/>
  <c r="BS13" i="17"/>
  <c r="BS12" i="17"/>
  <c r="BS11" i="17"/>
  <c r="BS10" i="17"/>
  <c r="BI8" i="17"/>
  <c r="BI14" i="17" s="1"/>
  <c r="BF68" i="17"/>
  <c r="BF67" i="17"/>
  <c r="BF66" i="17"/>
  <c r="BF65" i="17"/>
  <c r="BF64" i="17"/>
  <c r="BF63" i="17"/>
  <c r="BF62" i="17"/>
  <c r="BF61" i="17"/>
  <c r="BF60" i="17"/>
  <c r="BF59" i="17"/>
  <c r="BF58" i="17"/>
  <c r="BF57" i="17"/>
  <c r="BF56" i="17"/>
  <c r="BF55" i="17"/>
  <c r="BF54" i="17"/>
  <c r="BF53" i="17"/>
  <c r="BF52" i="17"/>
  <c r="BF51" i="17"/>
  <c r="BF50" i="17"/>
  <c r="BF49" i="17"/>
  <c r="BF48" i="17"/>
  <c r="BF47" i="17"/>
  <c r="BF46" i="17"/>
  <c r="BF45" i="17"/>
  <c r="BF44" i="17"/>
  <c r="BF43" i="17"/>
  <c r="BF42" i="17"/>
  <c r="BF41" i="17"/>
  <c r="BF40" i="17"/>
  <c r="BF39" i="17"/>
  <c r="BF38" i="17"/>
  <c r="BF37" i="17"/>
  <c r="BF36" i="17"/>
  <c r="BF35" i="17"/>
  <c r="BF34" i="17"/>
  <c r="BF33" i="17"/>
  <c r="BF32" i="17"/>
  <c r="BF31" i="17"/>
  <c r="BF30" i="17"/>
  <c r="BF29" i="17"/>
  <c r="BF28" i="17"/>
  <c r="BF27" i="17"/>
  <c r="BF26" i="17"/>
  <c r="BF25" i="17"/>
  <c r="BF24" i="17"/>
  <c r="BF23" i="17"/>
  <c r="BF22" i="17"/>
  <c r="BF21" i="17"/>
  <c r="BF20" i="17"/>
  <c r="BF19" i="17"/>
  <c r="BF18" i="17"/>
  <c r="BF17" i="17"/>
  <c r="BF16" i="17"/>
  <c r="BF15" i="17"/>
  <c r="BF14" i="17"/>
  <c r="BF13" i="17"/>
  <c r="BF12" i="17"/>
  <c r="BF11" i="17"/>
  <c r="BF10" i="17"/>
  <c r="AV8" i="17"/>
  <c r="AV14" i="17" s="1"/>
  <c r="AS68" i="17"/>
  <c r="AS67" i="17"/>
  <c r="AS66" i="17"/>
  <c r="AS65" i="17"/>
  <c r="AS64" i="17"/>
  <c r="AS63" i="17"/>
  <c r="AS62" i="17"/>
  <c r="AS61" i="17"/>
  <c r="AS60" i="17"/>
  <c r="AS59" i="17"/>
  <c r="AS58" i="17"/>
  <c r="AS57" i="17"/>
  <c r="AS56" i="17"/>
  <c r="AS55" i="17"/>
  <c r="AS54" i="17"/>
  <c r="AS53" i="17"/>
  <c r="AS52" i="17"/>
  <c r="AS51" i="17"/>
  <c r="AS50" i="17"/>
  <c r="AS49" i="17"/>
  <c r="AS48" i="17"/>
  <c r="AS47" i="17"/>
  <c r="AS46" i="17"/>
  <c r="AS45" i="17"/>
  <c r="AS44" i="17"/>
  <c r="AS43" i="17"/>
  <c r="AS42" i="17"/>
  <c r="AS41" i="17"/>
  <c r="AS40" i="17"/>
  <c r="AS39" i="17"/>
  <c r="AS38" i="17"/>
  <c r="AS37" i="17"/>
  <c r="AS36" i="17"/>
  <c r="AS35" i="17"/>
  <c r="AS34" i="17"/>
  <c r="AS33" i="17"/>
  <c r="AS32" i="17"/>
  <c r="AS31" i="17"/>
  <c r="AS30" i="17"/>
  <c r="AS29" i="17"/>
  <c r="AS28" i="17"/>
  <c r="AS27" i="17"/>
  <c r="AS26" i="17"/>
  <c r="AS25" i="17"/>
  <c r="AS24" i="17"/>
  <c r="AS23" i="17"/>
  <c r="AS22" i="17"/>
  <c r="AS21" i="17"/>
  <c r="AS20" i="17"/>
  <c r="AS19" i="17"/>
  <c r="AS18" i="17"/>
  <c r="AS17" i="17"/>
  <c r="AS16" i="17"/>
  <c r="AS15" i="17"/>
  <c r="AS14" i="17"/>
  <c r="AS13" i="17"/>
  <c r="AS12" i="17"/>
  <c r="AS11" i="17"/>
  <c r="AS10" i="17"/>
  <c r="O14" i="27" l="1"/>
  <c r="O13" i="27"/>
  <c r="Q20" i="27"/>
  <c r="Q19" i="27"/>
  <c r="Q21" i="27"/>
  <c r="Q29" i="27" s="1"/>
  <c r="Q23" i="27"/>
  <c r="Q18" i="27"/>
  <c r="Q22" i="27"/>
  <c r="P9" i="27"/>
  <c r="O9" i="27"/>
  <c r="I11" i="19"/>
  <c r="I15" i="19"/>
  <c r="I14" i="19"/>
  <c r="I12" i="19"/>
  <c r="H8" i="19"/>
  <c r="H14" i="19"/>
  <c r="K14" i="19" s="1"/>
  <c r="I8" i="19"/>
  <c r="H11" i="19"/>
  <c r="K11" i="19" s="1"/>
  <c r="H15" i="19"/>
  <c r="K15" i="19" s="1"/>
  <c r="I6" i="26"/>
  <c r="H8" i="26"/>
  <c r="J19" i="25"/>
  <c r="J36" i="25" s="1"/>
  <c r="J39" i="25" s="1"/>
  <c r="J60" i="25" s="1"/>
  <c r="G19" i="25"/>
  <c r="G36" i="25" s="1"/>
  <c r="G39" i="25" s="1"/>
  <c r="I19" i="25"/>
  <c r="K19" i="25"/>
  <c r="H19" i="25"/>
  <c r="K9" i="19"/>
  <c r="I13" i="19"/>
  <c r="H12" i="19"/>
  <c r="K12" i="19" s="1"/>
  <c r="K13" i="19"/>
  <c r="I44" i="25" l="1"/>
  <c r="I50" i="25" s="1"/>
  <c r="I52" i="25" s="1"/>
  <c r="I59" i="25" s="1"/>
  <c r="Q32" i="27"/>
  <c r="Q34" i="27" s="1"/>
  <c r="Q27" i="27"/>
  <c r="O22" i="27"/>
  <c r="O21" i="27"/>
  <c r="O27" i="27" s="1"/>
  <c r="O29" i="27" s="1"/>
  <c r="O32" i="27" s="1"/>
  <c r="O34" i="27" s="1"/>
  <c r="O23" i="27"/>
  <c r="O19" i="27"/>
  <c r="O20" i="27"/>
  <c r="O18" i="27"/>
  <c r="P19" i="27"/>
  <c r="P23" i="27"/>
  <c r="P18" i="27"/>
  <c r="P22" i="27"/>
  <c r="P20" i="27"/>
  <c r="P21" i="27"/>
  <c r="P27" i="27" s="1"/>
  <c r="P29" i="27" s="1"/>
  <c r="P32" i="27" s="1"/>
  <c r="P34" i="27" s="1"/>
  <c r="K8" i="19"/>
  <c r="J6" i="26"/>
  <c r="I8" i="26"/>
  <c r="K44" i="25"/>
  <c r="K50" i="25" s="1"/>
  <c r="K52" i="25" s="1"/>
  <c r="K59" i="25" s="1"/>
  <c r="K62" i="25" s="1"/>
  <c r="H44" i="25"/>
  <c r="H50" i="25" s="1"/>
  <c r="H52" i="25" s="1"/>
  <c r="H59" i="25" s="1"/>
  <c r="K36" i="25"/>
  <c r="K39" i="25" s="1"/>
  <c r="K60" i="25" s="1"/>
  <c r="H36" i="25"/>
  <c r="H39" i="25" s="1"/>
  <c r="H60" i="25" s="1"/>
  <c r="J44" i="25"/>
  <c r="J50" i="25" s="1"/>
  <c r="J52" i="25" s="1"/>
  <c r="J59" i="25" s="1"/>
  <c r="J62" i="25" s="1"/>
  <c r="I36" i="25"/>
  <c r="I39" i="25" s="1"/>
  <c r="I60" i="25" s="1"/>
  <c r="AI8" i="17"/>
  <c r="AI14" i="17" s="1"/>
  <c r="AF11" i="17"/>
  <c r="H62" i="25" l="1"/>
  <c r="I62" i="25"/>
  <c r="K6" i="26"/>
  <c r="K8" i="26" s="1"/>
  <c r="K10" i="26" s="1"/>
  <c r="J8" i="26"/>
  <c r="K55" i="25"/>
  <c r="F9" i="26" s="1"/>
  <c r="K54" i="25"/>
  <c r="AF68" i="17"/>
  <c r="AF67" i="17"/>
  <c r="AF66" i="17"/>
  <c r="AF65" i="17"/>
  <c r="AF64" i="17"/>
  <c r="AF63" i="17"/>
  <c r="AF62" i="17"/>
  <c r="AF61" i="17"/>
  <c r="AF60" i="17"/>
  <c r="AF59" i="17"/>
  <c r="AF58" i="17"/>
  <c r="AF57" i="17"/>
  <c r="AF56" i="17"/>
  <c r="AF55" i="17"/>
  <c r="AF54" i="17"/>
  <c r="AF53" i="17"/>
  <c r="AF52" i="17"/>
  <c r="AF51" i="17"/>
  <c r="AF50" i="17"/>
  <c r="AF49" i="17"/>
  <c r="AF48" i="17"/>
  <c r="AF47" i="17"/>
  <c r="AF46" i="17"/>
  <c r="AF45" i="17"/>
  <c r="AF44" i="17"/>
  <c r="AF43" i="17"/>
  <c r="AF42" i="17"/>
  <c r="AF41" i="17"/>
  <c r="AF40" i="17"/>
  <c r="AF39" i="17"/>
  <c r="AF38" i="17"/>
  <c r="AF37" i="17"/>
  <c r="AF36" i="17"/>
  <c r="AF35" i="17"/>
  <c r="AF34" i="17"/>
  <c r="AF33" i="17"/>
  <c r="AF32" i="17"/>
  <c r="AF31" i="17"/>
  <c r="AF30" i="17"/>
  <c r="AF29" i="17"/>
  <c r="AF28" i="17"/>
  <c r="AF27" i="17"/>
  <c r="AF26" i="17"/>
  <c r="AF25" i="17"/>
  <c r="AF24" i="17"/>
  <c r="AF23" i="17"/>
  <c r="AF22" i="17"/>
  <c r="AF21" i="17"/>
  <c r="AF20" i="17"/>
  <c r="AF19" i="17"/>
  <c r="AF18" i="17"/>
  <c r="AF17" i="17"/>
  <c r="AF16" i="17"/>
  <c r="AF15" i="17"/>
  <c r="AF14" i="17"/>
  <c r="AF13" i="17"/>
  <c r="AF12" i="17"/>
  <c r="AF10" i="17"/>
  <c r="K34" i="19"/>
  <c r="C35" i="19"/>
  <c r="E26" i="19"/>
  <c r="J40" i="19" s="1"/>
  <c r="I10" i="19"/>
  <c r="I9" i="19"/>
  <c r="H10" i="19"/>
  <c r="B2" i="19"/>
  <c r="X8" i="17"/>
  <c r="K8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B2" i="18"/>
  <c r="H68" i="17"/>
  <c r="E68" i="17"/>
  <c r="H67" i="17"/>
  <c r="E67" i="17"/>
  <c r="H66" i="17"/>
  <c r="E66" i="17"/>
  <c r="H65" i="17"/>
  <c r="E65" i="17"/>
  <c r="H64" i="17"/>
  <c r="E64" i="17"/>
  <c r="H63" i="17"/>
  <c r="E63" i="17"/>
  <c r="H62" i="17"/>
  <c r="E62" i="17"/>
  <c r="H61" i="17"/>
  <c r="E61" i="17"/>
  <c r="H60" i="17"/>
  <c r="E60" i="17"/>
  <c r="H59" i="17"/>
  <c r="E59" i="17"/>
  <c r="H58" i="17"/>
  <c r="E58" i="17"/>
  <c r="H57" i="17"/>
  <c r="E57" i="17"/>
  <c r="H56" i="17"/>
  <c r="E56" i="17"/>
  <c r="H55" i="17"/>
  <c r="E55" i="17"/>
  <c r="H54" i="17"/>
  <c r="E54" i="17"/>
  <c r="H53" i="17"/>
  <c r="E53" i="17"/>
  <c r="H52" i="17"/>
  <c r="E52" i="17"/>
  <c r="H51" i="17"/>
  <c r="E51" i="17"/>
  <c r="H50" i="17"/>
  <c r="E50" i="17"/>
  <c r="H49" i="17"/>
  <c r="E49" i="17"/>
  <c r="H48" i="17"/>
  <c r="E48" i="17"/>
  <c r="H47" i="17"/>
  <c r="E47" i="17"/>
  <c r="H46" i="17"/>
  <c r="E46" i="17"/>
  <c r="H45" i="17"/>
  <c r="E45" i="17"/>
  <c r="H44" i="17"/>
  <c r="E44" i="17"/>
  <c r="H43" i="17"/>
  <c r="E43" i="17"/>
  <c r="H42" i="17"/>
  <c r="E42" i="17"/>
  <c r="H41" i="17"/>
  <c r="E41" i="17"/>
  <c r="H40" i="17"/>
  <c r="E40" i="17"/>
  <c r="H39" i="17"/>
  <c r="E39" i="17"/>
  <c r="H38" i="17"/>
  <c r="E38" i="17"/>
  <c r="H37" i="17"/>
  <c r="E37" i="17"/>
  <c r="H36" i="17"/>
  <c r="E36" i="17"/>
  <c r="H35" i="17"/>
  <c r="E35" i="17"/>
  <c r="H34" i="17"/>
  <c r="E34" i="17"/>
  <c r="H33" i="17"/>
  <c r="E33" i="17"/>
  <c r="H32" i="17"/>
  <c r="E32" i="17"/>
  <c r="H31" i="17"/>
  <c r="E31" i="17"/>
  <c r="H30" i="17"/>
  <c r="E30" i="17"/>
  <c r="H29" i="17"/>
  <c r="E29" i="17"/>
  <c r="H28" i="17"/>
  <c r="E28" i="17"/>
  <c r="H27" i="17"/>
  <c r="E27" i="17"/>
  <c r="H26" i="17"/>
  <c r="E26" i="17"/>
  <c r="H25" i="17"/>
  <c r="E25" i="17"/>
  <c r="H24" i="17"/>
  <c r="E24" i="17"/>
  <c r="H23" i="17"/>
  <c r="E23" i="17"/>
  <c r="H22" i="17"/>
  <c r="E22" i="17"/>
  <c r="H21" i="17"/>
  <c r="E21" i="17"/>
  <c r="H20" i="17"/>
  <c r="E20" i="17"/>
  <c r="H19" i="17"/>
  <c r="E19" i="17"/>
  <c r="H18" i="17"/>
  <c r="E18" i="17"/>
  <c r="H17" i="17"/>
  <c r="E17" i="17"/>
  <c r="H16" i="17"/>
  <c r="E16" i="17"/>
  <c r="H15" i="17"/>
  <c r="E15" i="17"/>
  <c r="H14" i="17"/>
  <c r="E14" i="17"/>
  <c r="H13" i="17"/>
  <c r="E13" i="17"/>
  <c r="H12" i="17"/>
  <c r="E12" i="17"/>
  <c r="H11" i="17"/>
  <c r="E11" i="17"/>
  <c r="H10" i="17"/>
  <c r="E10" i="17"/>
  <c r="K14" i="17"/>
  <c r="K8" i="16"/>
  <c r="K14" i="16" s="1"/>
  <c r="F10" i="26" l="1"/>
  <c r="K64" i="25"/>
  <c r="K65" i="25"/>
  <c r="I17" i="19"/>
  <c r="I18" i="19"/>
  <c r="H18" i="19"/>
  <c r="H17" i="19"/>
  <c r="D23" i="26"/>
  <c r="E33" i="19"/>
  <c r="K40" i="19" s="1"/>
  <c r="K10" i="19"/>
  <c r="X14" i="17"/>
  <c r="D35" i="19"/>
  <c r="E35" i="19" s="1"/>
  <c r="D34" i="19"/>
  <c r="D33" i="19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G10" i="26" l="1"/>
  <c r="E34" i="19"/>
  <c r="E37" i="19" s="1"/>
  <c r="K33" i="19" s="1"/>
  <c r="K18" i="19"/>
  <c r="K32" i="19" s="1"/>
  <c r="K17" i="19"/>
  <c r="D37" i="19"/>
  <c r="B2" i="15"/>
  <c r="B2" i="14"/>
  <c r="K41" i="19" l="1"/>
  <c r="H10" i="26"/>
  <c r="K35" i="19"/>
  <c r="K25" i="19" s="1"/>
  <c r="K26" i="19" s="1"/>
  <c r="J41" i="19" s="1"/>
  <c r="B2" i="13"/>
  <c r="B2" i="11"/>
  <c r="L3" i="11"/>
  <c r="K3" i="11"/>
  <c r="J3" i="11"/>
  <c r="I3" i="11"/>
  <c r="H3" i="11"/>
  <c r="G3" i="11"/>
  <c r="F3" i="11"/>
  <c r="E3" i="11"/>
  <c r="D3" i="11"/>
  <c r="C3" i="11"/>
  <c r="J10" i="26" l="1"/>
  <c r="I10" i="26"/>
  <c r="L102" i="8"/>
  <c r="F39" i="15" s="1"/>
  <c r="K102" i="8"/>
  <c r="E39" i="15" s="1"/>
  <c r="J102" i="8"/>
  <c r="D39" i="15" s="1"/>
  <c r="I102" i="8"/>
  <c r="C39" i="15" s="1"/>
  <c r="H102" i="8"/>
  <c r="G102" i="8"/>
  <c r="F102" i="8"/>
  <c r="E102" i="8"/>
  <c r="D102" i="8"/>
  <c r="C102" i="8"/>
  <c r="L101" i="8"/>
  <c r="F38" i="15" s="1"/>
  <c r="K101" i="8"/>
  <c r="E38" i="15" s="1"/>
  <c r="J101" i="8"/>
  <c r="D38" i="15" s="1"/>
  <c r="I101" i="8"/>
  <c r="C38" i="15" s="1"/>
  <c r="H101" i="8"/>
  <c r="G101" i="8"/>
  <c r="F101" i="8"/>
  <c r="E101" i="8"/>
  <c r="D101" i="8"/>
  <c r="C101" i="8"/>
  <c r="L100" i="8"/>
  <c r="F37" i="15" s="1"/>
  <c r="K100" i="8"/>
  <c r="E37" i="15" s="1"/>
  <c r="J100" i="8"/>
  <c r="D37" i="15" s="1"/>
  <c r="I100" i="8"/>
  <c r="C37" i="15" s="1"/>
  <c r="H100" i="8"/>
  <c r="G100" i="8"/>
  <c r="F100" i="8"/>
  <c r="E100" i="8"/>
  <c r="D100" i="8"/>
  <c r="C100" i="8"/>
  <c r="L99" i="8"/>
  <c r="F36" i="15" s="1"/>
  <c r="K99" i="8"/>
  <c r="E36" i="15" s="1"/>
  <c r="J99" i="8"/>
  <c r="D36" i="15" s="1"/>
  <c r="I99" i="8"/>
  <c r="C36" i="15" s="1"/>
  <c r="H99" i="8"/>
  <c r="G99" i="8"/>
  <c r="F99" i="8"/>
  <c r="E99" i="8"/>
  <c r="D99" i="8"/>
  <c r="C99" i="8"/>
  <c r="L98" i="8"/>
  <c r="F35" i="15" s="1"/>
  <c r="K98" i="8"/>
  <c r="E35" i="15" s="1"/>
  <c r="J98" i="8"/>
  <c r="D35" i="15" s="1"/>
  <c r="I98" i="8"/>
  <c r="C35" i="15" s="1"/>
  <c r="H98" i="8"/>
  <c r="G98" i="8"/>
  <c r="F98" i="8"/>
  <c r="E98" i="8"/>
  <c r="D98" i="8"/>
  <c r="C98" i="8"/>
  <c r="L97" i="8"/>
  <c r="F34" i="15" s="1"/>
  <c r="K97" i="8"/>
  <c r="E34" i="15" s="1"/>
  <c r="J97" i="8"/>
  <c r="D34" i="15" s="1"/>
  <c r="I97" i="8"/>
  <c r="C34" i="15" s="1"/>
  <c r="H97" i="8"/>
  <c r="G97" i="8"/>
  <c r="F97" i="8"/>
  <c r="E97" i="8"/>
  <c r="D97" i="8"/>
  <c r="C97" i="8"/>
  <c r="L96" i="8"/>
  <c r="F33" i="15" s="1"/>
  <c r="K96" i="8"/>
  <c r="E33" i="15" s="1"/>
  <c r="J96" i="8"/>
  <c r="D33" i="15" s="1"/>
  <c r="I96" i="8"/>
  <c r="C33" i="15" s="1"/>
  <c r="H96" i="8"/>
  <c r="G96" i="8"/>
  <c r="F96" i="8"/>
  <c r="E96" i="8"/>
  <c r="D96" i="8"/>
  <c r="C96" i="8"/>
  <c r="L95" i="8"/>
  <c r="F32" i="15" s="1"/>
  <c r="K95" i="8"/>
  <c r="E32" i="15" s="1"/>
  <c r="J95" i="8"/>
  <c r="D32" i="15" s="1"/>
  <c r="D40" i="15" s="1"/>
  <c r="I95" i="8"/>
  <c r="C32" i="15" s="1"/>
  <c r="H95" i="8"/>
  <c r="G95" i="8"/>
  <c r="F95" i="8"/>
  <c r="F103" i="8" s="1"/>
  <c r="E95" i="8"/>
  <c r="E103" i="8" s="1"/>
  <c r="D95" i="8"/>
  <c r="C95" i="8"/>
  <c r="L91" i="8"/>
  <c r="F28" i="15" s="1"/>
  <c r="K91" i="8"/>
  <c r="E28" i="15" s="1"/>
  <c r="J91" i="8"/>
  <c r="D28" i="15" s="1"/>
  <c r="I91" i="8"/>
  <c r="C28" i="15" s="1"/>
  <c r="H91" i="8"/>
  <c r="G91" i="8"/>
  <c r="F91" i="8"/>
  <c r="E91" i="8"/>
  <c r="D91" i="8"/>
  <c r="C91" i="8"/>
  <c r="L90" i="8"/>
  <c r="F27" i="15" s="1"/>
  <c r="K90" i="8"/>
  <c r="E27" i="15" s="1"/>
  <c r="J90" i="8"/>
  <c r="D27" i="15" s="1"/>
  <c r="I90" i="8"/>
  <c r="C27" i="15" s="1"/>
  <c r="H90" i="8"/>
  <c r="G90" i="8"/>
  <c r="F90" i="8"/>
  <c r="E90" i="8"/>
  <c r="D90" i="8"/>
  <c r="C90" i="8"/>
  <c r="L89" i="8"/>
  <c r="F26" i="15" s="1"/>
  <c r="K89" i="8"/>
  <c r="E26" i="15" s="1"/>
  <c r="J89" i="8"/>
  <c r="D26" i="15" s="1"/>
  <c r="I89" i="8"/>
  <c r="C26" i="15" s="1"/>
  <c r="H89" i="8"/>
  <c r="G89" i="8"/>
  <c r="F89" i="8"/>
  <c r="E89" i="8"/>
  <c r="D89" i="8"/>
  <c r="C89" i="8"/>
  <c r="L88" i="8"/>
  <c r="F25" i="15" s="1"/>
  <c r="K88" i="8"/>
  <c r="E25" i="15" s="1"/>
  <c r="J88" i="8"/>
  <c r="D25" i="15" s="1"/>
  <c r="I88" i="8"/>
  <c r="C25" i="15" s="1"/>
  <c r="H88" i="8"/>
  <c r="G88" i="8"/>
  <c r="F88" i="8"/>
  <c r="E88" i="8"/>
  <c r="D88" i="8"/>
  <c r="C88" i="8"/>
  <c r="L87" i="8"/>
  <c r="F24" i="15" s="1"/>
  <c r="K87" i="8"/>
  <c r="E24" i="15" s="1"/>
  <c r="J87" i="8"/>
  <c r="D24" i="15" s="1"/>
  <c r="I87" i="8"/>
  <c r="C24" i="15" s="1"/>
  <c r="H87" i="8"/>
  <c r="G87" i="8"/>
  <c r="F87" i="8"/>
  <c r="E87" i="8"/>
  <c r="D87" i="8"/>
  <c r="C87" i="8"/>
  <c r="L86" i="8"/>
  <c r="F23" i="15" s="1"/>
  <c r="K86" i="8"/>
  <c r="E23" i="15" s="1"/>
  <c r="J86" i="8"/>
  <c r="D23" i="15" s="1"/>
  <c r="I86" i="8"/>
  <c r="C23" i="15" s="1"/>
  <c r="H86" i="8"/>
  <c r="G86" i="8"/>
  <c r="F86" i="8"/>
  <c r="E86" i="8"/>
  <c r="D86" i="8"/>
  <c r="C86" i="8"/>
  <c r="L85" i="8"/>
  <c r="F22" i="15" s="1"/>
  <c r="K85" i="8"/>
  <c r="E22" i="15" s="1"/>
  <c r="J85" i="8"/>
  <c r="D22" i="15" s="1"/>
  <c r="I85" i="8"/>
  <c r="C22" i="15" s="1"/>
  <c r="H85" i="8"/>
  <c r="G85" i="8"/>
  <c r="F85" i="8"/>
  <c r="E85" i="8"/>
  <c r="D85" i="8"/>
  <c r="C85" i="8"/>
  <c r="L84" i="8"/>
  <c r="F21" i="15" s="1"/>
  <c r="K84" i="8"/>
  <c r="E21" i="15" s="1"/>
  <c r="J84" i="8"/>
  <c r="D21" i="15" s="1"/>
  <c r="I84" i="8"/>
  <c r="C21" i="15" s="1"/>
  <c r="H84" i="8"/>
  <c r="G84" i="8"/>
  <c r="F84" i="8"/>
  <c r="E84" i="8"/>
  <c r="D84" i="8"/>
  <c r="C84" i="8"/>
  <c r="L83" i="8"/>
  <c r="F20" i="15" s="1"/>
  <c r="K83" i="8"/>
  <c r="E20" i="15" s="1"/>
  <c r="J83" i="8"/>
  <c r="D20" i="15" s="1"/>
  <c r="I83" i="8"/>
  <c r="C20" i="15" s="1"/>
  <c r="H83" i="8"/>
  <c r="G83" i="8"/>
  <c r="F83" i="8"/>
  <c r="E83" i="8"/>
  <c r="D83" i="8"/>
  <c r="C83" i="8"/>
  <c r="L82" i="8"/>
  <c r="F19" i="15" s="1"/>
  <c r="K82" i="8"/>
  <c r="E19" i="15" s="1"/>
  <c r="J82" i="8"/>
  <c r="D19" i="15" s="1"/>
  <c r="I82" i="8"/>
  <c r="C19" i="15" s="1"/>
  <c r="H82" i="8"/>
  <c r="G82" i="8"/>
  <c r="F82" i="8"/>
  <c r="E82" i="8"/>
  <c r="D82" i="8"/>
  <c r="C82" i="8"/>
  <c r="L81" i="8"/>
  <c r="F18" i="15" s="1"/>
  <c r="K81" i="8"/>
  <c r="E18" i="15" s="1"/>
  <c r="J81" i="8"/>
  <c r="D18" i="15" s="1"/>
  <c r="I81" i="8"/>
  <c r="C18" i="15" s="1"/>
  <c r="H81" i="8"/>
  <c r="G81" i="8"/>
  <c r="F81" i="8"/>
  <c r="E81" i="8"/>
  <c r="D81" i="8"/>
  <c r="C81" i="8"/>
  <c r="L80" i="8"/>
  <c r="F17" i="15" s="1"/>
  <c r="K80" i="8"/>
  <c r="E17" i="15" s="1"/>
  <c r="J80" i="8"/>
  <c r="D17" i="15" s="1"/>
  <c r="D29" i="15" s="1"/>
  <c r="I80" i="8"/>
  <c r="C17" i="15" s="1"/>
  <c r="H80" i="8"/>
  <c r="G80" i="8"/>
  <c r="F80" i="8"/>
  <c r="F92" i="8" s="1"/>
  <c r="E80" i="8"/>
  <c r="E92" i="8" s="1"/>
  <c r="D80" i="8"/>
  <c r="C80" i="8"/>
  <c r="L76" i="8"/>
  <c r="F13" i="15" s="1"/>
  <c r="K76" i="8"/>
  <c r="E13" i="15" s="1"/>
  <c r="J76" i="8"/>
  <c r="D13" i="15" s="1"/>
  <c r="I76" i="8"/>
  <c r="C13" i="15" s="1"/>
  <c r="H76" i="8"/>
  <c r="G76" i="8"/>
  <c r="F76" i="8"/>
  <c r="E76" i="8"/>
  <c r="D76" i="8"/>
  <c r="C76" i="8"/>
  <c r="L75" i="8"/>
  <c r="F12" i="15" s="1"/>
  <c r="K75" i="8"/>
  <c r="E12" i="15" s="1"/>
  <c r="J75" i="8"/>
  <c r="D12" i="15" s="1"/>
  <c r="I75" i="8"/>
  <c r="C12" i="15" s="1"/>
  <c r="H75" i="8"/>
  <c r="G75" i="8"/>
  <c r="F75" i="8"/>
  <c r="E75" i="8"/>
  <c r="D75" i="8"/>
  <c r="C75" i="8"/>
  <c r="L74" i="8"/>
  <c r="F11" i="15" s="1"/>
  <c r="K74" i="8"/>
  <c r="E11" i="15" s="1"/>
  <c r="J74" i="8"/>
  <c r="D11" i="15" s="1"/>
  <c r="I74" i="8"/>
  <c r="C11" i="15" s="1"/>
  <c r="H74" i="8"/>
  <c r="G74" i="8"/>
  <c r="F74" i="8"/>
  <c r="E74" i="8"/>
  <c r="D74" i="8"/>
  <c r="C74" i="8"/>
  <c r="L73" i="8"/>
  <c r="F10" i="15" s="1"/>
  <c r="K73" i="8"/>
  <c r="E10" i="15" s="1"/>
  <c r="J73" i="8"/>
  <c r="D10" i="15" s="1"/>
  <c r="I73" i="8"/>
  <c r="C10" i="15" s="1"/>
  <c r="H73" i="8"/>
  <c r="G73" i="8"/>
  <c r="F73" i="8"/>
  <c r="E73" i="8"/>
  <c r="D73" i="8"/>
  <c r="C73" i="8"/>
  <c r="L72" i="8"/>
  <c r="F9" i="15" s="1"/>
  <c r="K72" i="8"/>
  <c r="E9" i="15" s="1"/>
  <c r="J72" i="8"/>
  <c r="D9" i="15" s="1"/>
  <c r="I72" i="8"/>
  <c r="C9" i="15" s="1"/>
  <c r="H72" i="8"/>
  <c r="G72" i="8"/>
  <c r="F72" i="8"/>
  <c r="E72" i="8"/>
  <c r="D72" i="8"/>
  <c r="C72" i="8"/>
  <c r="L71" i="8"/>
  <c r="F8" i="15" s="1"/>
  <c r="K71" i="8"/>
  <c r="E8" i="15" s="1"/>
  <c r="J71" i="8"/>
  <c r="D8" i="15" s="1"/>
  <c r="I71" i="8"/>
  <c r="C8" i="15" s="1"/>
  <c r="H71" i="8"/>
  <c r="G71" i="8"/>
  <c r="F71" i="8"/>
  <c r="E71" i="8"/>
  <c r="D71" i="8"/>
  <c r="C71" i="8"/>
  <c r="L70" i="8"/>
  <c r="F7" i="15" s="1"/>
  <c r="K70" i="8"/>
  <c r="E7" i="15" s="1"/>
  <c r="J70" i="8"/>
  <c r="D7" i="15" s="1"/>
  <c r="I70" i="8"/>
  <c r="C7" i="15" s="1"/>
  <c r="H70" i="8"/>
  <c r="G70" i="8"/>
  <c r="G77" i="8" s="1"/>
  <c r="F70" i="8"/>
  <c r="E70" i="8"/>
  <c r="D70" i="8"/>
  <c r="C70" i="8"/>
  <c r="C77" i="8" s="1"/>
  <c r="L56" i="8"/>
  <c r="F15" i="14" s="1"/>
  <c r="K56" i="8"/>
  <c r="E15" i="14" s="1"/>
  <c r="J56" i="8"/>
  <c r="D15" i="14" s="1"/>
  <c r="I56" i="8"/>
  <c r="C15" i="14" s="1"/>
  <c r="H56" i="8"/>
  <c r="G56" i="8"/>
  <c r="F56" i="8"/>
  <c r="E56" i="8"/>
  <c r="D56" i="8"/>
  <c r="C56" i="8"/>
  <c r="L61" i="8"/>
  <c r="F20" i="14" s="1"/>
  <c r="K61" i="8"/>
  <c r="E20" i="14" s="1"/>
  <c r="J61" i="8"/>
  <c r="D20" i="14" s="1"/>
  <c r="I61" i="8"/>
  <c r="C20" i="14" s="1"/>
  <c r="H61" i="8"/>
  <c r="G61" i="8"/>
  <c r="F61" i="8"/>
  <c r="E61" i="8"/>
  <c r="D61" i="8"/>
  <c r="C61" i="8"/>
  <c r="L60" i="8"/>
  <c r="F19" i="14" s="1"/>
  <c r="K60" i="8"/>
  <c r="E19" i="14" s="1"/>
  <c r="J60" i="8"/>
  <c r="D19" i="14" s="1"/>
  <c r="I60" i="8"/>
  <c r="C19" i="14" s="1"/>
  <c r="H60" i="8"/>
  <c r="G60" i="8"/>
  <c r="F60" i="8"/>
  <c r="E60" i="8"/>
  <c r="D60" i="8"/>
  <c r="C60" i="8"/>
  <c r="L59" i="8"/>
  <c r="F18" i="14" s="1"/>
  <c r="K59" i="8"/>
  <c r="E18" i="14" s="1"/>
  <c r="E21" i="14" s="1"/>
  <c r="J59" i="8"/>
  <c r="D18" i="14" s="1"/>
  <c r="I59" i="8"/>
  <c r="C18" i="14" s="1"/>
  <c r="H59" i="8"/>
  <c r="G59" i="8"/>
  <c r="G62" i="8" s="1"/>
  <c r="F59" i="8"/>
  <c r="F62" i="8" s="1"/>
  <c r="E59" i="8"/>
  <c r="D59" i="8"/>
  <c r="C59" i="8"/>
  <c r="C62" i="8" s="1"/>
  <c r="L55" i="8"/>
  <c r="F14" i="14" s="1"/>
  <c r="K55" i="8"/>
  <c r="E14" i="14" s="1"/>
  <c r="J55" i="8"/>
  <c r="D14" i="14" s="1"/>
  <c r="I55" i="8"/>
  <c r="C14" i="14" s="1"/>
  <c r="H55" i="8"/>
  <c r="G55" i="8"/>
  <c r="F55" i="8"/>
  <c r="E55" i="8"/>
  <c r="D55" i="8"/>
  <c r="C55" i="8"/>
  <c r="L54" i="8"/>
  <c r="F13" i="14" s="1"/>
  <c r="K54" i="8"/>
  <c r="E13" i="14" s="1"/>
  <c r="J54" i="8"/>
  <c r="D13" i="14" s="1"/>
  <c r="I54" i="8"/>
  <c r="C13" i="14" s="1"/>
  <c r="H54" i="8"/>
  <c r="G54" i="8"/>
  <c r="F54" i="8"/>
  <c r="E54" i="8"/>
  <c r="D54" i="8"/>
  <c r="C54" i="8"/>
  <c r="L53" i="8"/>
  <c r="F12" i="14" s="1"/>
  <c r="K53" i="8"/>
  <c r="E12" i="14" s="1"/>
  <c r="J53" i="8"/>
  <c r="D12" i="14" s="1"/>
  <c r="I53" i="8"/>
  <c r="C12" i="14" s="1"/>
  <c r="H53" i="8"/>
  <c r="H57" i="8" s="1"/>
  <c r="G53" i="8"/>
  <c r="G57" i="8" s="1"/>
  <c r="F53" i="8"/>
  <c r="F57" i="8" s="1"/>
  <c r="E53" i="8"/>
  <c r="E57" i="8" s="1"/>
  <c r="D53" i="8"/>
  <c r="D57" i="8" s="1"/>
  <c r="C53" i="8"/>
  <c r="C57" i="8" s="1"/>
  <c r="L51" i="8"/>
  <c r="K51" i="8"/>
  <c r="J51" i="8"/>
  <c r="I51" i="8"/>
  <c r="H51" i="8"/>
  <c r="G51" i="8"/>
  <c r="F51" i="8"/>
  <c r="E51" i="8"/>
  <c r="D51" i="8"/>
  <c r="C51" i="8"/>
  <c r="L50" i="8"/>
  <c r="F9" i="14" s="1"/>
  <c r="K50" i="8"/>
  <c r="E9" i="14" s="1"/>
  <c r="J50" i="8"/>
  <c r="D9" i="14" s="1"/>
  <c r="I50" i="8"/>
  <c r="C9" i="14" s="1"/>
  <c r="H50" i="8"/>
  <c r="G50" i="8"/>
  <c r="F50" i="8"/>
  <c r="E50" i="8"/>
  <c r="D50" i="8"/>
  <c r="C50" i="8"/>
  <c r="L49" i="8"/>
  <c r="F8" i="14" s="1"/>
  <c r="K49" i="8"/>
  <c r="E8" i="14" s="1"/>
  <c r="J49" i="8"/>
  <c r="D8" i="14" s="1"/>
  <c r="I49" i="8"/>
  <c r="C8" i="14" s="1"/>
  <c r="H49" i="8"/>
  <c r="G49" i="8"/>
  <c r="F49" i="8"/>
  <c r="E49" i="8"/>
  <c r="D49" i="8"/>
  <c r="C49" i="8"/>
  <c r="L48" i="8"/>
  <c r="F7" i="14" s="1"/>
  <c r="K48" i="8"/>
  <c r="E7" i="14" s="1"/>
  <c r="J48" i="8"/>
  <c r="D7" i="14" s="1"/>
  <c r="I48" i="8"/>
  <c r="C7" i="14" s="1"/>
  <c r="H48" i="8"/>
  <c r="G48" i="8"/>
  <c r="F48" i="8"/>
  <c r="E48" i="8"/>
  <c r="D48" i="8"/>
  <c r="C48" i="8"/>
  <c r="L47" i="8"/>
  <c r="F6" i="14" s="1"/>
  <c r="K47" i="8"/>
  <c r="E6" i="14" s="1"/>
  <c r="E10" i="14" s="1"/>
  <c r="J47" i="8"/>
  <c r="D6" i="14" s="1"/>
  <c r="I47" i="8"/>
  <c r="C6" i="14" s="1"/>
  <c r="H47" i="8"/>
  <c r="G47" i="8"/>
  <c r="F47" i="8"/>
  <c r="E47" i="8"/>
  <c r="D47" i="8"/>
  <c r="C47" i="8"/>
  <c r="D36" i="8"/>
  <c r="D41" i="8" s="1"/>
  <c r="E36" i="8"/>
  <c r="E41" i="8" s="1"/>
  <c r="F36" i="8"/>
  <c r="F41" i="8" s="1"/>
  <c r="F9" i="11" s="1"/>
  <c r="G36" i="8"/>
  <c r="G41" i="8" s="1"/>
  <c r="G9" i="11" s="1"/>
  <c r="H36" i="8"/>
  <c r="H41" i="8" s="1"/>
  <c r="I36" i="8"/>
  <c r="J36" i="8"/>
  <c r="K36" i="8"/>
  <c r="L36" i="8"/>
  <c r="C36" i="8"/>
  <c r="C41" i="8" s="1"/>
  <c r="M30" i="8"/>
  <c r="L30" i="8"/>
  <c r="F33" i="13" s="1"/>
  <c r="K30" i="8"/>
  <c r="E33" i="13" s="1"/>
  <c r="J30" i="8"/>
  <c r="D33" i="13" s="1"/>
  <c r="I30" i="8"/>
  <c r="C33" i="13" s="1"/>
  <c r="H30" i="8"/>
  <c r="G30" i="8"/>
  <c r="F30" i="8"/>
  <c r="E30" i="8"/>
  <c r="D30" i="8"/>
  <c r="C30" i="8"/>
  <c r="M24" i="8"/>
  <c r="L24" i="8"/>
  <c r="F21" i="13" s="1"/>
  <c r="K24" i="8"/>
  <c r="E21" i="13" s="1"/>
  <c r="J24" i="8"/>
  <c r="D21" i="13" s="1"/>
  <c r="I24" i="8"/>
  <c r="C21" i="13" s="1"/>
  <c r="H24" i="8"/>
  <c r="G24" i="8"/>
  <c r="F24" i="8"/>
  <c r="E24" i="8"/>
  <c r="D24" i="8"/>
  <c r="C24" i="8"/>
  <c r="M21" i="8"/>
  <c r="L21" i="8"/>
  <c r="F27" i="13" s="1"/>
  <c r="K21" i="8"/>
  <c r="E27" i="13" s="1"/>
  <c r="J21" i="8"/>
  <c r="D27" i="13" s="1"/>
  <c r="I21" i="8"/>
  <c r="C27" i="13" s="1"/>
  <c r="H21" i="8"/>
  <c r="G21" i="8"/>
  <c r="F21" i="8"/>
  <c r="E21" i="8"/>
  <c r="D21" i="8"/>
  <c r="C21" i="8"/>
  <c r="L15" i="8"/>
  <c r="F15" i="13" s="1"/>
  <c r="K15" i="8"/>
  <c r="E15" i="13" s="1"/>
  <c r="J15" i="8"/>
  <c r="D15" i="13" s="1"/>
  <c r="I15" i="8"/>
  <c r="C15" i="13" s="1"/>
  <c r="H15" i="8"/>
  <c r="G15" i="8"/>
  <c r="F15" i="8"/>
  <c r="E15" i="8"/>
  <c r="D15" i="8"/>
  <c r="C15" i="8"/>
  <c r="M9" i="8"/>
  <c r="L9" i="8"/>
  <c r="F9" i="13" s="1"/>
  <c r="K9" i="8"/>
  <c r="E9" i="13" s="1"/>
  <c r="J9" i="8"/>
  <c r="D9" i="13" s="1"/>
  <c r="I9" i="8"/>
  <c r="C9" i="13" s="1"/>
  <c r="H9" i="8"/>
  <c r="G9" i="8"/>
  <c r="F9" i="8"/>
  <c r="E9" i="8"/>
  <c r="D9" i="8"/>
  <c r="C9" i="8"/>
  <c r="M6" i="8"/>
  <c r="M16" i="8" s="1"/>
  <c r="D6" i="8"/>
  <c r="E6" i="8"/>
  <c r="F6" i="8"/>
  <c r="G6" i="8"/>
  <c r="H6" i="8"/>
  <c r="I6" i="8"/>
  <c r="J6" i="8"/>
  <c r="K6" i="8"/>
  <c r="L6" i="8"/>
  <c r="C6" i="8"/>
  <c r="D3" i="8"/>
  <c r="E3" i="8"/>
  <c r="F3" i="8"/>
  <c r="G3" i="8"/>
  <c r="H3" i="8"/>
  <c r="I3" i="8"/>
  <c r="J3" i="8"/>
  <c r="K3" i="8"/>
  <c r="L3" i="8"/>
  <c r="C3" i="8"/>
  <c r="I15" i="13" l="1"/>
  <c r="G21" i="13"/>
  <c r="I33" i="13"/>
  <c r="I27" i="13"/>
  <c r="D10" i="14"/>
  <c r="F16" i="14"/>
  <c r="D21" i="14"/>
  <c r="F77" i="8"/>
  <c r="D14" i="15"/>
  <c r="D92" i="8"/>
  <c r="H92" i="8"/>
  <c r="H105" i="8" s="1"/>
  <c r="D103" i="8"/>
  <c r="H103" i="8"/>
  <c r="F40" i="15"/>
  <c r="C92" i="8"/>
  <c r="G92" i="8"/>
  <c r="E29" i="15"/>
  <c r="C103" i="8"/>
  <c r="G103" i="8"/>
  <c r="D9" i="11"/>
  <c r="F64" i="8"/>
  <c r="F66" i="8" s="1"/>
  <c r="D62" i="8"/>
  <c r="E62" i="8"/>
  <c r="H62" i="8"/>
  <c r="D77" i="8"/>
  <c r="D41" i="11" s="1"/>
  <c r="E77" i="8"/>
  <c r="E41" i="11" s="1"/>
  <c r="H77" i="8"/>
  <c r="H40" i="11" s="1"/>
  <c r="E14" i="15"/>
  <c r="G9" i="15"/>
  <c r="D64" i="8"/>
  <c r="D66" i="8" s="1"/>
  <c r="H64" i="8"/>
  <c r="H66" i="8" s="1"/>
  <c r="F40" i="11"/>
  <c r="F39" i="11"/>
  <c r="F41" i="11"/>
  <c r="H41" i="11"/>
  <c r="H39" i="11"/>
  <c r="G105" i="8"/>
  <c r="C64" i="8"/>
  <c r="C66" i="8" s="1"/>
  <c r="G64" i="8"/>
  <c r="G66" i="8" s="1"/>
  <c r="E64" i="8"/>
  <c r="E66" i="8" s="1"/>
  <c r="C41" i="11"/>
  <c r="C40" i="11"/>
  <c r="C39" i="11"/>
  <c r="G39" i="11"/>
  <c r="G41" i="11"/>
  <c r="E105" i="8"/>
  <c r="F105" i="8"/>
  <c r="F4" i="15"/>
  <c r="G4" i="15" s="1"/>
  <c r="H4" i="15" s="1"/>
  <c r="I4" i="15" s="1"/>
  <c r="J4" i="15" s="1"/>
  <c r="K4" i="15" s="1"/>
  <c r="F4" i="14"/>
  <c r="G4" i="14" s="1"/>
  <c r="H4" i="14" s="1"/>
  <c r="I4" i="14" s="1"/>
  <c r="J4" i="14" s="1"/>
  <c r="K4" i="14" s="1"/>
  <c r="F4" i="13"/>
  <c r="G4" i="13" s="1"/>
  <c r="H4" i="13" s="1"/>
  <c r="I4" i="13" s="1"/>
  <c r="J4" i="13" s="1"/>
  <c r="K4" i="13" s="1"/>
  <c r="K41" i="8"/>
  <c r="E39" i="13"/>
  <c r="J7" i="14"/>
  <c r="I7" i="14"/>
  <c r="H7" i="14"/>
  <c r="G7" i="14"/>
  <c r="K7" i="14"/>
  <c r="I57" i="8"/>
  <c r="G8" i="15"/>
  <c r="J8" i="15"/>
  <c r="I8" i="15"/>
  <c r="H8" i="15"/>
  <c r="K8" i="15"/>
  <c r="G10" i="15"/>
  <c r="J10" i="15"/>
  <c r="I10" i="15"/>
  <c r="H10" i="15"/>
  <c r="K10" i="15"/>
  <c r="G12" i="15"/>
  <c r="J12" i="15"/>
  <c r="I12" i="15"/>
  <c r="H12" i="15"/>
  <c r="K12" i="15"/>
  <c r="J22" i="15"/>
  <c r="I22" i="15"/>
  <c r="H22" i="15"/>
  <c r="K22" i="15"/>
  <c r="G22" i="15"/>
  <c r="J26" i="15"/>
  <c r="I26" i="15"/>
  <c r="K26" i="15"/>
  <c r="H26" i="15"/>
  <c r="G26" i="15"/>
  <c r="K92" i="8"/>
  <c r="H34" i="15"/>
  <c r="K34" i="15"/>
  <c r="J34" i="15"/>
  <c r="G34" i="15"/>
  <c r="I34" i="15"/>
  <c r="H38" i="15"/>
  <c r="K38" i="15"/>
  <c r="I38" i="15"/>
  <c r="G38" i="15"/>
  <c r="J38" i="15"/>
  <c r="I103" i="8"/>
  <c r="K15" i="13"/>
  <c r="J9" i="13"/>
  <c r="G27" i="13"/>
  <c r="I21" i="13"/>
  <c r="K27" i="13"/>
  <c r="J27" i="13"/>
  <c r="K33" i="13"/>
  <c r="E4" i="14"/>
  <c r="E4" i="15"/>
  <c r="E4" i="13"/>
  <c r="C28" i="11"/>
  <c r="C31" i="11"/>
  <c r="C27" i="11"/>
  <c r="C30" i="11"/>
  <c r="C29" i="11"/>
  <c r="I10" i="8"/>
  <c r="C6" i="13"/>
  <c r="C28" i="13" s="1"/>
  <c r="I30" i="11"/>
  <c r="I29" i="11"/>
  <c r="I36" i="11" s="1"/>
  <c r="I28" i="11"/>
  <c r="I35" i="11" s="1"/>
  <c r="I31" i="11"/>
  <c r="I27" i="11"/>
  <c r="I34" i="11" s="1"/>
  <c r="E10" i="8"/>
  <c r="E30" i="11"/>
  <c r="E29" i="11"/>
  <c r="E36" i="11" s="1"/>
  <c r="E28" i="11"/>
  <c r="E35" i="11" s="1"/>
  <c r="E27" i="11"/>
  <c r="E34" i="11" s="1"/>
  <c r="E31" i="11"/>
  <c r="D10" i="8"/>
  <c r="J41" i="8"/>
  <c r="D39" i="13"/>
  <c r="F10" i="14"/>
  <c r="D16" i="14"/>
  <c r="D23" i="14" s="1"/>
  <c r="F21" i="14"/>
  <c r="F23" i="14" s="1"/>
  <c r="J62" i="8"/>
  <c r="J57" i="8"/>
  <c r="F14" i="15"/>
  <c r="J77" i="8"/>
  <c r="F29" i="15"/>
  <c r="L92" i="8"/>
  <c r="D42" i="15"/>
  <c r="J103" i="8"/>
  <c r="I9" i="13"/>
  <c r="G33" i="13"/>
  <c r="J16" i="8"/>
  <c r="J17" i="11" s="1"/>
  <c r="J29" i="11"/>
  <c r="J36" i="11" s="1"/>
  <c r="J28" i="11"/>
  <c r="J35" i="11" s="1"/>
  <c r="D6" i="13"/>
  <c r="J31" i="11"/>
  <c r="J27" i="11"/>
  <c r="J34" i="11" s="1"/>
  <c r="J30" i="11"/>
  <c r="J9" i="14"/>
  <c r="H9" i="14"/>
  <c r="K9" i="14"/>
  <c r="G9" i="14"/>
  <c r="I9" i="14"/>
  <c r="J14" i="14"/>
  <c r="G14" i="14"/>
  <c r="I14" i="14"/>
  <c r="H14" i="14"/>
  <c r="K14" i="14"/>
  <c r="H22" i="8"/>
  <c r="H31" i="11"/>
  <c r="H27" i="11"/>
  <c r="H34" i="11" s="1"/>
  <c r="H30" i="11"/>
  <c r="H29" i="11"/>
  <c r="H36" i="11" s="1"/>
  <c r="H28" i="11"/>
  <c r="H35" i="11" s="1"/>
  <c r="H37" i="11" s="1"/>
  <c r="D22" i="8"/>
  <c r="D31" i="11"/>
  <c r="D27" i="11"/>
  <c r="D34" i="11" s="1"/>
  <c r="D30" i="11"/>
  <c r="D29" i="11"/>
  <c r="D36" i="11" s="1"/>
  <c r="D28" i="11"/>
  <c r="D35" i="11" s="1"/>
  <c r="I41" i="8"/>
  <c r="C39" i="13"/>
  <c r="E9" i="11"/>
  <c r="G6" i="14"/>
  <c r="J6" i="14"/>
  <c r="C10" i="14"/>
  <c r="H6" i="14"/>
  <c r="I6" i="14"/>
  <c r="K6" i="14"/>
  <c r="I8" i="14"/>
  <c r="K8" i="14"/>
  <c r="G8" i="14"/>
  <c r="G10" i="14" s="1"/>
  <c r="J8" i="14"/>
  <c r="H8" i="14"/>
  <c r="E16" i="14"/>
  <c r="E23" i="14" s="1"/>
  <c r="K13" i="14"/>
  <c r="J13" i="14"/>
  <c r="G13" i="14"/>
  <c r="I13" i="14"/>
  <c r="H13" i="14"/>
  <c r="K18" i="14"/>
  <c r="H18" i="14"/>
  <c r="G18" i="14"/>
  <c r="J18" i="14"/>
  <c r="C21" i="14"/>
  <c r="I18" i="14"/>
  <c r="K20" i="14"/>
  <c r="J20" i="14"/>
  <c r="G20" i="14"/>
  <c r="H20" i="14"/>
  <c r="I20" i="14"/>
  <c r="K62" i="8"/>
  <c r="J15" i="14"/>
  <c r="G15" i="14"/>
  <c r="I15" i="14"/>
  <c r="K15" i="14"/>
  <c r="H15" i="14"/>
  <c r="K57" i="8"/>
  <c r="G7" i="15"/>
  <c r="H7" i="15"/>
  <c r="K7" i="15"/>
  <c r="J7" i="15"/>
  <c r="I7" i="15"/>
  <c r="C14" i="15"/>
  <c r="H9" i="15"/>
  <c r="K9" i="15"/>
  <c r="J9" i="15"/>
  <c r="I9" i="15"/>
  <c r="G11" i="15"/>
  <c r="H11" i="15"/>
  <c r="K11" i="15"/>
  <c r="J11" i="15"/>
  <c r="I11" i="15"/>
  <c r="G13" i="15"/>
  <c r="J13" i="15"/>
  <c r="I13" i="15"/>
  <c r="H13" i="15"/>
  <c r="K13" i="15"/>
  <c r="K77" i="8"/>
  <c r="G17" i="15"/>
  <c r="H17" i="15"/>
  <c r="K17" i="15"/>
  <c r="J17" i="15"/>
  <c r="I17" i="15"/>
  <c r="C29" i="15"/>
  <c r="H19" i="15"/>
  <c r="K19" i="15"/>
  <c r="J19" i="15"/>
  <c r="G19" i="15"/>
  <c r="I19" i="15"/>
  <c r="H21" i="15"/>
  <c r="G21" i="15"/>
  <c r="K21" i="15"/>
  <c r="J21" i="15"/>
  <c r="I21" i="15"/>
  <c r="H23" i="15"/>
  <c r="K23" i="15"/>
  <c r="G23" i="15"/>
  <c r="J23" i="15"/>
  <c r="I23" i="15"/>
  <c r="H25" i="15"/>
  <c r="G25" i="15"/>
  <c r="K25" i="15"/>
  <c r="J25" i="15"/>
  <c r="I25" i="15"/>
  <c r="H27" i="15"/>
  <c r="K27" i="15"/>
  <c r="J27" i="15"/>
  <c r="G27" i="15"/>
  <c r="I27" i="15"/>
  <c r="I92" i="8"/>
  <c r="E40" i="15"/>
  <c r="E42" i="15" s="1"/>
  <c r="J33" i="15"/>
  <c r="G33" i="15"/>
  <c r="I33" i="15"/>
  <c r="K33" i="15"/>
  <c r="H33" i="15"/>
  <c r="J35" i="15"/>
  <c r="I35" i="15"/>
  <c r="H35" i="15"/>
  <c r="G35" i="15"/>
  <c r="K35" i="15"/>
  <c r="J37" i="15"/>
  <c r="G37" i="15"/>
  <c r="I37" i="15"/>
  <c r="H37" i="15"/>
  <c r="K37" i="15"/>
  <c r="J39" i="15"/>
  <c r="I39" i="15"/>
  <c r="H39" i="15"/>
  <c r="G39" i="15"/>
  <c r="K39" i="15"/>
  <c r="K103" i="8"/>
  <c r="G15" i="13"/>
  <c r="G9" i="13"/>
  <c r="J21" i="13"/>
  <c r="K9" i="13"/>
  <c r="K21" i="13"/>
  <c r="H27" i="13"/>
  <c r="J15" i="13"/>
  <c r="J33" i="13"/>
  <c r="F16" i="8"/>
  <c r="F17" i="11" s="1"/>
  <c r="F29" i="11"/>
  <c r="F36" i="11" s="1"/>
  <c r="F28" i="11"/>
  <c r="F35" i="11" s="1"/>
  <c r="F31" i="11"/>
  <c r="F27" i="11"/>
  <c r="F34" i="11" s="1"/>
  <c r="F30" i="11"/>
  <c r="C16" i="14"/>
  <c r="G12" i="14"/>
  <c r="K12" i="14"/>
  <c r="K16" i="14" s="1"/>
  <c r="J12" i="14"/>
  <c r="J16" i="14" s="1"/>
  <c r="I12" i="14"/>
  <c r="H12" i="14"/>
  <c r="K19" i="14"/>
  <c r="G19" i="14"/>
  <c r="J19" i="14"/>
  <c r="I19" i="14"/>
  <c r="H19" i="14"/>
  <c r="I62" i="8"/>
  <c r="I64" i="8" s="1"/>
  <c r="I66" i="8" s="1"/>
  <c r="I77" i="8"/>
  <c r="J18" i="15"/>
  <c r="I18" i="15"/>
  <c r="G18" i="15"/>
  <c r="K18" i="15"/>
  <c r="H18" i="15"/>
  <c r="J20" i="15"/>
  <c r="I20" i="15"/>
  <c r="G20" i="15"/>
  <c r="H20" i="15"/>
  <c r="K20" i="15"/>
  <c r="J24" i="15"/>
  <c r="I24" i="15"/>
  <c r="G24" i="15"/>
  <c r="H24" i="15"/>
  <c r="K24" i="15"/>
  <c r="J28" i="15"/>
  <c r="I28" i="15"/>
  <c r="G28" i="15"/>
  <c r="H28" i="15"/>
  <c r="K28" i="15"/>
  <c r="C40" i="15"/>
  <c r="H32" i="15"/>
  <c r="K32" i="15"/>
  <c r="G32" i="15"/>
  <c r="J32" i="15"/>
  <c r="I32" i="15"/>
  <c r="H36" i="15"/>
  <c r="K36" i="15"/>
  <c r="G36" i="15"/>
  <c r="J36" i="15"/>
  <c r="I36" i="15"/>
  <c r="D4" i="15"/>
  <c r="D4" i="14"/>
  <c r="D4" i="13"/>
  <c r="L22" i="8"/>
  <c r="F6" i="13"/>
  <c r="F16" i="13" s="1"/>
  <c r="L31" i="11"/>
  <c r="L27" i="11"/>
  <c r="L34" i="11" s="1"/>
  <c r="L30" i="11"/>
  <c r="L29" i="11"/>
  <c r="L36" i="11" s="1"/>
  <c r="L28" i="11"/>
  <c r="L35" i="11" s="1"/>
  <c r="C4" i="15"/>
  <c r="C4" i="14"/>
  <c r="C4" i="13"/>
  <c r="K28" i="11"/>
  <c r="K35" i="11" s="1"/>
  <c r="E6" i="13"/>
  <c r="E12" i="13" s="1"/>
  <c r="E18" i="13" s="1"/>
  <c r="K31" i="11"/>
  <c r="K27" i="11"/>
  <c r="K34" i="11" s="1"/>
  <c r="K30" i="11"/>
  <c r="K29" i="11"/>
  <c r="K36" i="11" s="1"/>
  <c r="G28" i="11"/>
  <c r="G35" i="11" s="1"/>
  <c r="G31" i="11"/>
  <c r="G27" i="11"/>
  <c r="G34" i="11" s="1"/>
  <c r="G30" i="11"/>
  <c r="G29" i="11"/>
  <c r="G36" i="11" s="1"/>
  <c r="L41" i="8"/>
  <c r="F39" i="13"/>
  <c r="H9" i="11"/>
  <c r="L62" i="8"/>
  <c r="L57" i="8"/>
  <c r="L77" i="8"/>
  <c r="J92" i="8"/>
  <c r="L103" i="8"/>
  <c r="H15" i="13"/>
  <c r="H9" i="13"/>
  <c r="H21" i="13"/>
  <c r="H33" i="13"/>
  <c r="K12" i="8"/>
  <c r="K18" i="8" s="1"/>
  <c r="K27" i="8" s="1"/>
  <c r="G12" i="8"/>
  <c r="G18" i="8" s="1"/>
  <c r="F10" i="8"/>
  <c r="E22" i="8"/>
  <c r="C12" i="8"/>
  <c r="C18" i="8" s="1"/>
  <c r="E25" i="8"/>
  <c r="E18" i="11" s="1"/>
  <c r="I25" i="8"/>
  <c r="I18" i="11" s="1"/>
  <c r="J10" i="8"/>
  <c r="C10" i="8"/>
  <c r="G10" i="8"/>
  <c r="K10" i="8"/>
  <c r="C22" i="8"/>
  <c r="G22" i="8"/>
  <c r="K22" i="8"/>
  <c r="J25" i="8"/>
  <c r="J18" i="11" s="1"/>
  <c r="M36" i="8"/>
  <c r="M41" i="8" s="1"/>
  <c r="H10" i="8"/>
  <c r="L10" i="8"/>
  <c r="C25" i="8"/>
  <c r="C18" i="11" s="1"/>
  <c r="G25" i="8"/>
  <c r="G18" i="11" s="1"/>
  <c r="K25" i="8"/>
  <c r="K18" i="11" s="1"/>
  <c r="G27" i="8"/>
  <c r="F7" i="8"/>
  <c r="F5" i="11" s="1"/>
  <c r="D16" i="8"/>
  <c r="D17" i="11" s="1"/>
  <c r="H16" i="8"/>
  <c r="H17" i="11" s="1"/>
  <c r="L16" i="8"/>
  <c r="L17" i="11" s="1"/>
  <c r="D25" i="8"/>
  <c r="D18" i="11" s="1"/>
  <c r="H25" i="8"/>
  <c r="H18" i="11" s="1"/>
  <c r="L25" i="8"/>
  <c r="L18" i="11" s="1"/>
  <c r="G13" i="8"/>
  <c r="G11" i="11" s="1"/>
  <c r="J7" i="8"/>
  <c r="E16" i="8"/>
  <c r="E17" i="11" s="1"/>
  <c r="I16" i="8"/>
  <c r="I17" i="11" s="1"/>
  <c r="C16" i="8"/>
  <c r="C17" i="11" s="1"/>
  <c r="F22" i="8"/>
  <c r="J22" i="8"/>
  <c r="I22" i="8"/>
  <c r="H12" i="8"/>
  <c r="K16" i="8"/>
  <c r="K17" i="11" s="1"/>
  <c r="M22" i="8"/>
  <c r="M25" i="8"/>
  <c r="D7" i="8"/>
  <c r="D5" i="11" s="1"/>
  <c r="H7" i="8"/>
  <c r="H5" i="11" s="1"/>
  <c r="L7" i="8"/>
  <c r="E12" i="8"/>
  <c r="I12" i="8"/>
  <c r="M12" i="8"/>
  <c r="F25" i="8"/>
  <c r="F18" i="11" s="1"/>
  <c r="G7" i="8"/>
  <c r="G5" i="11" s="1"/>
  <c r="K7" i="8"/>
  <c r="D12" i="8"/>
  <c r="L12" i="8"/>
  <c r="G16" i="8"/>
  <c r="G17" i="11" s="1"/>
  <c r="E7" i="8"/>
  <c r="E5" i="11" s="1"/>
  <c r="I7" i="8"/>
  <c r="M7" i="8"/>
  <c r="F12" i="8"/>
  <c r="J12" i="8"/>
  <c r="M10" i="8"/>
  <c r="B6" i="6"/>
  <c r="E1" i="6"/>
  <c r="C16" i="13" l="1"/>
  <c r="E13" i="13"/>
  <c r="K21" i="14"/>
  <c r="H16" i="14"/>
  <c r="I16" i="14"/>
  <c r="E39" i="11"/>
  <c r="C105" i="8"/>
  <c r="E40" i="11"/>
  <c r="K105" i="8"/>
  <c r="D105" i="8"/>
  <c r="D39" i="11"/>
  <c r="L64" i="8"/>
  <c r="L66" i="8" s="1"/>
  <c r="K23" i="14"/>
  <c r="F37" i="11"/>
  <c r="J21" i="14"/>
  <c r="J23" i="14" s="1"/>
  <c r="I10" i="14"/>
  <c r="D22" i="13"/>
  <c r="D28" i="13"/>
  <c r="J37" i="11"/>
  <c r="F42" i="15"/>
  <c r="I37" i="11"/>
  <c r="K40" i="15"/>
  <c r="K14" i="15"/>
  <c r="C19" i="8"/>
  <c r="C12" i="11" s="1"/>
  <c r="C25" i="11"/>
  <c r="C21" i="11"/>
  <c r="C13" i="11"/>
  <c r="F7" i="13"/>
  <c r="L5" i="11"/>
  <c r="C13" i="8"/>
  <c r="C11" i="11" s="1"/>
  <c r="L105" i="8"/>
  <c r="G37" i="11"/>
  <c r="I40" i="15"/>
  <c r="H40" i="15"/>
  <c r="H14" i="15"/>
  <c r="G21" i="14"/>
  <c r="J10" i="14"/>
  <c r="C44" i="13"/>
  <c r="I9" i="11"/>
  <c r="C22" i="13"/>
  <c r="O31" i="11"/>
  <c r="N31" i="11"/>
  <c r="F22" i="13"/>
  <c r="D16" i="13"/>
  <c r="L41" i="11"/>
  <c r="L40" i="11"/>
  <c r="L39" i="11"/>
  <c r="F12" i="13"/>
  <c r="F28" i="13"/>
  <c r="I41" i="11"/>
  <c r="I40" i="11"/>
  <c r="I39" i="11"/>
  <c r="I29" i="15"/>
  <c r="G39" i="13"/>
  <c r="J39" i="13"/>
  <c r="H39" i="13"/>
  <c r="K39" i="13"/>
  <c r="I39" i="13"/>
  <c r="O27" i="11"/>
  <c r="N27" i="11"/>
  <c r="C34" i="11"/>
  <c r="E44" i="13"/>
  <c r="K9" i="11"/>
  <c r="C7" i="13"/>
  <c r="I5" i="11"/>
  <c r="D7" i="13"/>
  <c r="J5" i="11"/>
  <c r="O18" i="11"/>
  <c r="N18" i="11"/>
  <c r="J40" i="15"/>
  <c r="G16" i="14"/>
  <c r="J29" i="15"/>
  <c r="G29" i="15"/>
  <c r="I14" i="15"/>
  <c r="I21" i="14"/>
  <c r="I23" i="14" s="1"/>
  <c r="H21" i="14"/>
  <c r="H23" i="14" s="1"/>
  <c r="H10" i="14"/>
  <c r="D37" i="11"/>
  <c r="J64" i="8"/>
  <c r="J66" i="8" s="1"/>
  <c r="O29" i="11"/>
  <c r="N29" i="11"/>
  <c r="C36" i="11"/>
  <c r="O28" i="11"/>
  <c r="N28" i="11"/>
  <c r="C35" i="11"/>
  <c r="E28" i="13"/>
  <c r="G40" i="11"/>
  <c r="E10" i="13"/>
  <c r="K19" i="8"/>
  <c r="K12" i="11" s="1"/>
  <c r="K13" i="11"/>
  <c r="K19" i="11" s="1"/>
  <c r="K21" i="11"/>
  <c r="K25" i="11"/>
  <c r="F44" i="13"/>
  <c r="L9" i="11"/>
  <c r="H29" i="15"/>
  <c r="K64" i="8"/>
  <c r="K66" i="8" s="1"/>
  <c r="C12" i="13"/>
  <c r="H6" i="13"/>
  <c r="H22" i="13" s="1"/>
  <c r="K6" i="13"/>
  <c r="K28" i="13" s="1"/>
  <c r="J6" i="13"/>
  <c r="I6" i="13"/>
  <c r="G6" i="13"/>
  <c r="E7" i="13"/>
  <c r="K5" i="11"/>
  <c r="O17" i="11"/>
  <c r="N17" i="11"/>
  <c r="K13" i="8"/>
  <c r="K11" i="11" s="1"/>
  <c r="C27" i="8"/>
  <c r="C28" i="8" s="1"/>
  <c r="C14" i="11" s="1"/>
  <c r="G19" i="8"/>
  <c r="G12" i="11" s="1"/>
  <c r="G13" i="11"/>
  <c r="G19" i="11" s="1"/>
  <c r="G25" i="11"/>
  <c r="G21" i="11"/>
  <c r="K37" i="11"/>
  <c r="L37" i="11"/>
  <c r="G40" i="15"/>
  <c r="C42" i="15"/>
  <c r="K29" i="15"/>
  <c r="K39" i="11"/>
  <c r="K41" i="11"/>
  <c r="K40" i="11"/>
  <c r="J14" i="15"/>
  <c r="G14" i="15"/>
  <c r="C23" i="14"/>
  <c r="K10" i="14"/>
  <c r="D12" i="13"/>
  <c r="D10" i="13"/>
  <c r="J105" i="8"/>
  <c r="J40" i="11"/>
  <c r="J39" i="11"/>
  <c r="O39" i="11" s="1"/>
  <c r="J41" i="11"/>
  <c r="D44" i="13"/>
  <c r="J9" i="11"/>
  <c r="E37" i="11"/>
  <c r="N30" i="11"/>
  <c r="O30" i="11"/>
  <c r="I105" i="8"/>
  <c r="F10" i="13"/>
  <c r="E22" i="13"/>
  <c r="E16" i="13"/>
  <c r="D40" i="11"/>
  <c r="O40" i="11" s="1"/>
  <c r="C10" i="13"/>
  <c r="E19" i="13"/>
  <c r="E24" i="13"/>
  <c r="L18" i="8"/>
  <c r="L13" i="8"/>
  <c r="L11" i="11" s="1"/>
  <c r="K33" i="8"/>
  <c r="K28" i="8"/>
  <c r="K14" i="11" s="1"/>
  <c r="K31" i="8"/>
  <c r="D18" i="8"/>
  <c r="D13" i="8"/>
  <c r="D11" i="11" s="1"/>
  <c r="M18" i="8"/>
  <c r="M13" i="8"/>
  <c r="G33" i="8"/>
  <c r="G28" i="8"/>
  <c r="G14" i="11" s="1"/>
  <c r="G31" i="8"/>
  <c r="I18" i="8"/>
  <c r="I13" i="8"/>
  <c r="I11" i="11" s="1"/>
  <c r="C33" i="8"/>
  <c r="C23" i="11" s="1"/>
  <c r="C31" i="8"/>
  <c r="J18" i="8"/>
  <c r="K6" i="11" s="1"/>
  <c r="J13" i="8"/>
  <c r="J11" i="11" s="1"/>
  <c r="H18" i="8"/>
  <c r="H13" i="8"/>
  <c r="H11" i="11" s="1"/>
  <c r="F18" i="8"/>
  <c r="F13" i="8"/>
  <c r="F11" i="11" s="1"/>
  <c r="E18" i="8"/>
  <c r="E13" i="8"/>
  <c r="E11" i="11" s="1"/>
  <c r="H10" i="13" l="1"/>
  <c r="K42" i="15"/>
  <c r="N41" i="11"/>
  <c r="N40" i="11"/>
  <c r="O41" i="11"/>
  <c r="G42" i="15"/>
  <c r="N5" i="11"/>
  <c r="N39" i="11"/>
  <c r="N9" i="11"/>
  <c r="F13" i="13"/>
  <c r="F18" i="13"/>
  <c r="F25" i="11"/>
  <c r="F21" i="11"/>
  <c r="F13" i="11"/>
  <c r="F19" i="11" s="1"/>
  <c r="F6" i="11"/>
  <c r="G23" i="11"/>
  <c r="D25" i="11"/>
  <c r="D21" i="11"/>
  <c r="D6" i="11"/>
  <c r="D13" i="11"/>
  <c r="D19" i="11" s="1"/>
  <c r="E45" i="13"/>
  <c r="D45" i="13"/>
  <c r="H28" i="13"/>
  <c r="H12" i="13"/>
  <c r="H7" i="13"/>
  <c r="H16" i="13"/>
  <c r="C19" i="11"/>
  <c r="K10" i="13"/>
  <c r="K22" i="13"/>
  <c r="K12" i="13"/>
  <c r="K16" i="13"/>
  <c r="K7" i="13"/>
  <c r="J44" i="13"/>
  <c r="G44" i="13"/>
  <c r="G45" i="13" s="1"/>
  <c r="H44" i="13"/>
  <c r="H45" i="13" s="1"/>
  <c r="K44" i="13"/>
  <c r="K45" i="13" s="1"/>
  <c r="I44" i="13"/>
  <c r="O5" i="11"/>
  <c r="J28" i="13"/>
  <c r="J10" i="13"/>
  <c r="J7" i="13"/>
  <c r="J12" i="13"/>
  <c r="J16" i="13"/>
  <c r="J22" i="13"/>
  <c r="C13" i="13"/>
  <c r="C18" i="13"/>
  <c r="H42" i="15"/>
  <c r="O11" i="11"/>
  <c r="N11" i="11"/>
  <c r="K23" i="11"/>
  <c r="I22" i="13"/>
  <c r="I10" i="13"/>
  <c r="I16" i="13"/>
  <c r="I12" i="13"/>
  <c r="I28" i="13"/>
  <c r="I7" i="13"/>
  <c r="O35" i="11"/>
  <c r="N35" i="11"/>
  <c r="C37" i="11"/>
  <c r="O34" i="11"/>
  <c r="N34" i="11"/>
  <c r="J25" i="11"/>
  <c r="J21" i="11"/>
  <c r="J13" i="11"/>
  <c r="J19" i="11" s="1"/>
  <c r="J6" i="11"/>
  <c r="I25" i="11"/>
  <c r="I21" i="11"/>
  <c r="I13" i="11"/>
  <c r="I19" i="11" s="1"/>
  <c r="I6" i="11"/>
  <c r="L25" i="11"/>
  <c r="L21" i="11"/>
  <c r="L13" i="11"/>
  <c r="L19" i="11" s="1"/>
  <c r="L6" i="11"/>
  <c r="E25" i="11"/>
  <c r="E6" i="11"/>
  <c r="E21" i="11"/>
  <c r="E13" i="11"/>
  <c r="E19" i="11" s="1"/>
  <c r="H25" i="11"/>
  <c r="H21" i="11"/>
  <c r="H6" i="11"/>
  <c r="H13" i="11"/>
  <c r="H19" i="11" s="1"/>
  <c r="D13" i="13"/>
  <c r="D18" i="13"/>
  <c r="G6" i="11"/>
  <c r="G12" i="13"/>
  <c r="G16" i="13"/>
  <c r="G7" i="13"/>
  <c r="G10" i="13"/>
  <c r="G28" i="13"/>
  <c r="G22" i="13"/>
  <c r="O36" i="11"/>
  <c r="N36" i="11"/>
  <c r="J42" i="15"/>
  <c r="F45" i="13"/>
  <c r="O9" i="11"/>
  <c r="G23" i="14"/>
  <c r="I42" i="15"/>
  <c r="E25" i="13"/>
  <c r="E30" i="13"/>
  <c r="E36" i="13" s="1"/>
  <c r="E19" i="8"/>
  <c r="E12" i="11" s="1"/>
  <c r="E27" i="8"/>
  <c r="H19" i="8"/>
  <c r="H12" i="11" s="1"/>
  <c r="H27" i="8"/>
  <c r="H7" i="11" s="1"/>
  <c r="M19" i="8"/>
  <c r="M27" i="8"/>
  <c r="C38" i="8"/>
  <c r="C34" i="8"/>
  <c r="C15" i="11" s="1"/>
  <c r="F19" i="8"/>
  <c r="F12" i="11" s="1"/>
  <c r="F27" i="8"/>
  <c r="J19" i="8"/>
  <c r="J12" i="11" s="1"/>
  <c r="J27" i="8"/>
  <c r="G38" i="8"/>
  <c r="G34" i="8"/>
  <c r="G15" i="11" s="1"/>
  <c r="D19" i="8"/>
  <c r="D12" i="11" s="1"/>
  <c r="D27" i="8"/>
  <c r="D7" i="11" s="1"/>
  <c r="K38" i="8"/>
  <c r="K34" i="8"/>
  <c r="K15" i="11" s="1"/>
  <c r="I19" i="8"/>
  <c r="I12" i="11" s="1"/>
  <c r="I27" i="8"/>
  <c r="I7" i="11" s="1"/>
  <c r="L19" i="8"/>
  <c r="L12" i="11" s="1"/>
  <c r="L27" i="8"/>
  <c r="L7" i="11" s="1"/>
  <c r="O12" i="11" l="1"/>
  <c r="N25" i="11"/>
  <c r="O21" i="11"/>
  <c r="F19" i="13"/>
  <c r="F24" i="13"/>
  <c r="F7" i="11"/>
  <c r="G7" i="11"/>
  <c r="E7" i="11"/>
  <c r="O25" i="11"/>
  <c r="G18" i="13"/>
  <c r="G13" i="13"/>
  <c r="N12" i="11"/>
  <c r="O37" i="11"/>
  <c r="N37" i="11"/>
  <c r="I45" i="13"/>
  <c r="O19" i="11"/>
  <c r="N19" i="11"/>
  <c r="C24" i="13"/>
  <c r="C19" i="13"/>
  <c r="J13" i="13"/>
  <c r="J18" i="13"/>
  <c r="I18" i="13"/>
  <c r="I13" i="13"/>
  <c r="N21" i="11"/>
  <c r="K18" i="13"/>
  <c r="K13" i="13"/>
  <c r="N13" i="11"/>
  <c r="H13" i="13"/>
  <c r="H18" i="13"/>
  <c r="J7" i="11"/>
  <c r="K7" i="11"/>
  <c r="D19" i="13"/>
  <c r="D24" i="13"/>
  <c r="J45" i="13"/>
  <c r="O13" i="11"/>
  <c r="O6" i="11"/>
  <c r="N6" i="11"/>
  <c r="E37" i="13"/>
  <c r="E41" i="13"/>
  <c r="E31" i="13"/>
  <c r="E34" i="13"/>
  <c r="C42" i="8"/>
  <c r="C44" i="8" s="1"/>
  <c r="C22" i="11" s="1"/>
  <c r="K44" i="8"/>
  <c r="K22" i="11" s="1"/>
  <c r="K24" i="11" s="1"/>
  <c r="K42" i="8"/>
  <c r="G42" i="8"/>
  <c r="G44" i="8" s="1"/>
  <c r="G22" i="11" s="1"/>
  <c r="G24" i="11" s="1"/>
  <c r="I33" i="8"/>
  <c r="I28" i="8"/>
  <c r="I14" i="11" s="1"/>
  <c r="I31" i="8"/>
  <c r="J28" i="8"/>
  <c r="J14" i="11" s="1"/>
  <c r="J33" i="8"/>
  <c r="J31" i="8"/>
  <c r="L31" i="8"/>
  <c r="L33" i="8"/>
  <c r="L28" i="8"/>
  <c r="L14" i="11" s="1"/>
  <c r="F28" i="8"/>
  <c r="F14" i="11" s="1"/>
  <c r="F33" i="8"/>
  <c r="F31" i="8"/>
  <c r="E33" i="8"/>
  <c r="E28" i="8"/>
  <c r="E14" i="11" s="1"/>
  <c r="E31" i="8"/>
  <c r="D31" i="8"/>
  <c r="D33" i="8"/>
  <c r="D28" i="8"/>
  <c r="D14" i="11" s="1"/>
  <c r="H31" i="8"/>
  <c r="H33" i="8"/>
  <c r="H28" i="8"/>
  <c r="H14" i="11" s="1"/>
  <c r="M33" i="8"/>
  <c r="M28" i="8"/>
  <c r="M31" i="8"/>
  <c r="O7" i="11" l="1"/>
  <c r="N7" i="11"/>
  <c r="N14" i="11"/>
  <c r="O14" i="11"/>
  <c r="I19" i="13"/>
  <c r="I24" i="13"/>
  <c r="C30" i="13"/>
  <c r="C25" i="13"/>
  <c r="D23" i="11"/>
  <c r="D8" i="11"/>
  <c r="E23" i="11"/>
  <c r="E8" i="11"/>
  <c r="J23" i="11"/>
  <c r="J8" i="11"/>
  <c r="K8" i="11"/>
  <c r="I23" i="11"/>
  <c r="I8" i="11"/>
  <c r="C24" i="11"/>
  <c r="D25" i="13"/>
  <c r="D30" i="13"/>
  <c r="H19" i="13"/>
  <c r="H24" i="13"/>
  <c r="K24" i="13"/>
  <c r="K19" i="13"/>
  <c r="J19" i="13"/>
  <c r="J24" i="13"/>
  <c r="G19" i="13"/>
  <c r="G24" i="13"/>
  <c r="F30" i="13"/>
  <c r="F25" i="13"/>
  <c r="H23" i="11"/>
  <c r="H8" i="11"/>
  <c r="L23" i="11"/>
  <c r="L8" i="11"/>
  <c r="F23" i="11"/>
  <c r="F8" i="11"/>
  <c r="G8" i="11"/>
  <c r="E47" i="13"/>
  <c r="H38" i="8"/>
  <c r="H34" i="8"/>
  <c r="H15" i="11" s="1"/>
  <c r="L38" i="8"/>
  <c r="L34" i="8"/>
  <c r="L15" i="11" s="1"/>
  <c r="F34" i="8"/>
  <c r="F15" i="11" s="1"/>
  <c r="F38" i="8"/>
  <c r="M38" i="8"/>
  <c r="M34" i="8"/>
  <c r="D38" i="8"/>
  <c r="D34" i="8"/>
  <c r="D15" i="11" s="1"/>
  <c r="E38" i="8"/>
  <c r="E34" i="8"/>
  <c r="E15" i="11" s="1"/>
  <c r="J34" i="8"/>
  <c r="J15" i="11" s="1"/>
  <c r="J38" i="8"/>
  <c r="I38" i="8"/>
  <c r="I34" i="8"/>
  <c r="I15" i="11" s="1"/>
  <c r="N8" i="11" l="1"/>
  <c r="O8" i="11"/>
  <c r="I30" i="13"/>
  <c r="I25" i="13"/>
  <c r="K25" i="13"/>
  <c r="K30" i="13"/>
  <c r="N23" i="11"/>
  <c r="O23" i="11"/>
  <c r="N15" i="11"/>
  <c r="O15" i="11"/>
  <c r="D36" i="13"/>
  <c r="D31" i="13"/>
  <c r="D34" i="13"/>
  <c r="J30" i="13"/>
  <c r="J25" i="13"/>
  <c r="H25" i="13"/>
  <c r="H30" i="13"/>
  <c r="G25" i="13"/>
  <c r="G30" i="13"/>
  <c r="F36" i="13"/>
  <c r="F31" i="13"/>
  <c r="F34" i="13"/>
  <c r="C34" i="13"/>
  <c r="C31" i="13"/>
  <c r="C36" i="13"/>
  <c r="I44" i="8"/>
  <c r="I22" i="11" s="1"/>
  <c r="I24" i="11" s="1"/>
  <c r="I39" i="8"/>
  <c r="C42" i="13" s="1"/>
  <c r="I42" i="8"/>
  <c r="C45" i="13" s="1"/>
  <c r="E39" i="8"/>
  <c r="E42" i="8"/>
  <c r="E44" i="8" s="1"/>
  <c r="E22" i="11" s="1"/>
  <c r="E24" i="11" s="1"/>
  <c r="M39" i="8"/>
  <c r="M42" i="8"/>
  <c r="M44" i="8" s="1"/>
  <c r="L44" i="8"/>
  <c r="L22" i="11" s="1"/>
  <c r="L24" i="11" s="1"/>
  <c r="L39" i="8"/>
  <c r="L42" i="8"/>
  <c r="J39" i="8"/>
  <c r="J44" i="8"/>
  <c r="J22" i="11" s="1"/>
  <c r="J24" i="11" s="1"/>
  <c r="J42" i="8"/>
  <c r="K39" i="8"/>
  <c r="F39" i="8"/>
  <c r="F42" i="8"/>
  <c r="F44" i="8" s="1"/>
  <c r="F22" i="11" s="1"/>
  <c r="F24" i="11" s="1"/>
  <c r="G39" i="8"/>
  <c r="D39" i="8"/>
  <c r="D42" i="8"/>
  <c r="D44" i="8" s="1"/>
  <c r="D22" i="11" s="1"/>
  <c r="H44" i="8"/>
  <c r="H22" i="11" s="1"/>
  <c r="H24" i="11" s="1"/>
  <c r="H39" i="8"/>
  <c r="H42" i="8"/>
  <c r="J36" i="13" l="1"/>
  <c r="J31" i="13"/>
  <c r="J34" i="13"/>
  <c r="C37" i="13"/>
  <c r="C41" i="13"/>
  <c r="C47" i="13" s="1"/>
  <c r="G36" i="13"/>
  <c r="G34" i="13"/>
  <c r="G31" i="13"/>
  <c r="H36" i="13"/>
  <c r="H31" i="13"/>
  <c r="H34" i="13"/>
  <c r="I36" i="13"/>
  <c r="I31" i="13"/>
  <c r="I34" i="13"/>
  <c r="D24" i="11"/>
  <c r="N22" i="11"/>
  <c r="O22" i="11"/>
  <c r="F41" i="13"/>
  <c r="F37" i="13"/>
  <c r="K36" i="13"/>
  <c r="K31" i="13"/>
  <c r="K34" i="13"/>
  <c r="D37" i="13"/>
  <c r="D41" i="13"/>
  <c r="G41" i="13" l="1"/>
  <c r="G37" i="13"/>
  <c r="H41" i="13"/>
  <c r="H37" i="13"/>
  <c r="F47" i="13"/>
  <c r="F42" i="13"/>
  <c r="J41" i="13"/>
  <c r="J37" i="13"/>
  <c r="D47" i="13"/>
  <c r="E42" i="13"/>
  <c r="D42" i="13"/>
  <c r="K37" i="13"/>
  <c r="K41" i="13"/>
  <c r="I37" i="13"/>
  <c r="I41" i="13"/>
  <c r="N24" i="11"/>
  <c r="O24" i="11"/>
  <c r="K47" i="13" l="1"/>
  <c r="K42" i="13"/>
  <c r="H47" i="13"/>
  <c r="H42" i="13"/>
  <c r="I47" i="13"/>
  <c r="I42" i="13"/>
  <c r="J42" i="13"/>
  <c r="J47" i="13"/>
  <c r="G47" i="13"/>
  <c r="G42" i="13"/>
  <c r="K42" i="19"/>
  <c r="D18" i="26" s="1"/>
  <c r="J12" i="26" l="1"/>
  <c r="J14" i="26" s="1"/>
  <c r="I12" i="26"/>
  <c r="I14" i="26" s="1"/>
  <c r="G12" i="26"/>
  <c r="G14" i="26" s="1"/>
  <c r="D27" i="26"/>
  <c r="K12" i="26"/>
  <c r="K14" i="26" s="1"/>
  <c r="H12" i="26"/>
  <c r="H14" i="26" s="1"/>
  <c r="D32" i="26" l="1"/>
  <c r="D31" i="26"/>
  <c r="D33" i="26" l="1"/>
  <c r="F22" i="26" s="1"/>
  <c r="D37" i="26" l="1"/>
  <c r="D40" i="26" s="1"/>
  <c r="F30" i="26" s="1"/>
  <c r="D43" i="26" l="1"/>
</calcChain>
</file>

<file path=xl/sharedStrings.xml><?xml version="1.0" encoding="utf-8"?>
<sst xmlns="http://schemas.openxmlformats.org/spreadsheetml/2006/main" count="882" uniqueCount="402">
  <si>
    <t>Years</t>
  </si>
  <si>
    <t>LTM</t>
  </si>
  <si>
    <t>#</t>
  </si>
  <si>
    <t>Income Statement</t>
  </si>
  <si>
    <t>Sales</t>
  </si>
  <si>
    <t>Sales Growth</t>
  </si>
  <si>
    <t>-</t>
  </si>
  <si>
    <t>COGS</t>
  </si>
  <si>
    <t>COGS % Sales</t>
  </si>
  <si>
    <t>Gross Profit</t>
  </si>
  <si>
    <t>Gross Margins</t>
  </si>
  <si>
    <t>Selling &amp; General Expenses</t>
  </si>
  <si>
    <t>S&amp;G Exp % Sales</t>
  </si>
  <si>
    <t>EBITDA</t>
  </si>
  <si>
    <t>EBITDA Margins</t>
  </si>
  <si>
    <t>Interest</t>
  </si>
  <si>
    <t>Interest % Sales</t>
  </si>
  <si>
    <t>Depreciation</t>
  </si>
  <si>
    <t>Depreciation % Sales</t>
  </si>
  <si>
    <t>Earnings Before Tax</t>
  </si>
  <si>
    <t>EBT % Sales</t>
  </si>
  <si>
    <t>Tax</t>
  </si>
  <si>
    <t>Effective Tax Rate</t>
  </si>
  <si>
    <t>Net Profit</t>
  </si>
  <si>
    <t>Net Margins</t>
  </si>
  <si>
    <t>No of Equity Shares</t>
  </si>
  <si>
    <t>EPS</t>
  </si>
  <si>
    <t>EPS Growth</t>
  </si>
  <si>
    <t>DPS</t>
  </si>
  <si>
    <t>Dividend Payout Ratio</t>
  </si>
  <si>
    <t>Retained Earnings</t>
  </si>
  <si>
    <t>Balance Sheet</t>
  </si>
  <si>
    <t>Equity Share Capital</t>
  </si>
  <si>
    <t>Reserves</t>
  </si>
  <si>
    <t>Borrowings</t>
  </si>
  <si>
    <t>Other Liabilities</t>
  </si>
  <si>
    <t>Total Liabilities</t>
  </si>
  <si>
    <t>Fixed Assets Net Block</t>
  </si>
  <si>
    <t>Capital Work in Progress</t>
  </si>
  <si>
    <t>Investments</t>
  </si>
  <si>
    <t>Other Assets</t>
  </si>
  <si>
    <t>Total Non-Current Assets</t>
  </si>
  <si>
    <t>Receivables</t>
  </si>
  <si>
    <t>Inventory</t>
  </si>
  <si>
    <t>Cash &amp; Bank</t>
  </si>
  <si>
    <t>Total Current Assets</t>
  </si>
  <si>
    <t>Total Assets</t>
  </si>
  <si>
    <t>Check</t>
  </si>
  <si>
    <t>Cash Flow Statements</t>
  </si>
  <si>
    <t>Operating Activities</t>
  </si>
  <si>
    <t>Profit from operations</t>
  </si>
  <si>
    <t>Payables</t>
  </si>
  <si>
    <t>Loans Advances</t>
  </si>
  <si>
    <t>Other WC items</t>
  </si>
  <si>
    <t>Direct taxes</t>
  </si>
  <si>
    <t>Cash From Operating Activities</t>
  </si>
  <si>
    <t>Investing Activites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</si>
  <si>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</si>
  <si>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</si>
  <si>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</si>
  <si>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</si>
  <si>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</si>
  <si>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</si>
  <si>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</si>
  <si>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</si>
  <si>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</si>
  <si>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</si>
  <si>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</si>
  <si>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</si>
  <si>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Investing Activites</t>
  </si>
  <si>
    <t>Financing Activities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</si>
  <si>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</si>
  <si>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</si>
  <si>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</si>
  <si>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</si>
  <si>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</si>
  <si>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</si>
  <si>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</si>
  <si>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</si>
  <si>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Financing Activities</t>
  </si>
  <si>
    <t>Net Cash Flow</t>
  </si>
  <si>
    <t>Trend</t>
  </si>
  <si>
    <t>Mean</t>
  </si>
  <si>
    <t>Median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</si>
  <si>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</si>
  <si>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</si>
  <si>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</si>
  <si>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</si>
  <si>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</si>
  <si>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</si>
  <si>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</si>
  <si>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</si>
  <si>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</si>
  <si>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 % Sales</t>
  </si>
  <si>
    <t>OperatingIncome % Sales</t>
  </si>
  <si>
    <t>Return on Capital Employed</t>
  </si>
  <si>
    <t>Retained Earnings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</si>
  <si>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</si>
  <si>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</si>
  <si>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</si>
  <si>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</si>
  <si>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</si>
  <si>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</si>
  <si>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Assets Turnover</t>
  </si>
  <si>
    <t>Capital Turnover Ratio</t>
  </si>
  <si>
    <t>(in days)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</si>
  <si>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</si>
  <si>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</si>
  <si>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</si>
  <si>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</si>
  <si>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</si>
  <si>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</si>
  <si>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</si>
  <si>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Weight</t>
  </si>
  <si>
    <t>S&amp;G Expenses</t>
  </si>
  <si>
    <t>EBIT</t>
  </si>
  <si>
    <t>EBIT Margins</t>
  </si>
  <si>
    <t>EBT</t>
  </si>
  <si>
    <t>EBT Margins</t>
  </si>
  <si>
    <t>EPS Growth Rate</t>
  </si>
  <si>
    <t>DPS Growth Rate</t>
  </si>
  <si>
    <t>Peer Comps</t>
  </si>
  <si>
    <t>Debt/</t>
  </si>
  <si>
    <t>Levered</t>
  </si>
  <si>
    <t>Unlevered</t>
  </si>
  <si>
    <t>Name of the Company</t>
  </si>
  <si>
    <t>Country</t>
  </si>
  <si>
    <t>Total Debt</t>
  </si>
  <si>
    <t>Total Equity</t>
  </si>
  <si>
    <t>Equity</t>
  </si>
  <si>
    <t>Capital</t>
  </si>
  <si>
    <t>Ashok Leyland</t>
  </si>
  <si>
    <t>India</t>
  </si>
  <si>
    <t>Average</t>
  </si>
  <si>
    <t>Cost of Debt</t>
  </si>
  <si>
    <t>Cost of Equity</t>
  </si>
  <si>
    <t>Risk Free Rate</t>
  </si>
  <si>
    <t>Pre-Tax Cost of Debt</t>
  </si>
  <si>
    <t>Equity Risk Premium</t>
  </si>
  <si>
    <t>Tax Rate</t>
  </si>
  <si>
    <t>Post-Tax Cost of Debt</t>
  </si>
  <si>
    <t>Capital Structure</t>
  </si>
  <si>
    <t xml:space="preserve">Levered Beta  </t>
  </si>
  <si>
    <t>Current</t>
  </si>
  <si>
    <t>Target</t>
  </si>
  <si>
    <t>Comps Median Unlevered Beta</t>
  </si>
  <si>
    <t>Target Debt / Equity</t>
  </si>
  <si>
    <t>Market Cap</t>
  </si>
  <si>
    <t>Total Capital</t>
  </si>
  <si>
    <t>Levered Beta</t>
  </si>
  <si>
    <t>Debt/Equity</t>
  </si>
  <si>
    <t>Weighted Average Cost of Capital</t>
  </si>
  <si>
    <t>Total Cost</t>
  </si>
  <si>
    <t>Total Weight</t>
  </si>
  <si>
    <t>Notes:</t>
  </si>
  <si>
    <t xml:space="preserve">Debt </t>
  </si>
  <si>
    <t>1. Tax Rate considered as Marginal Tax Rate for the country</t>
  </si>
  <si>
    <t xml:space="preserve">Equity  </t>
  </si>
  <si>
    <t>2. Levered Beta is based on 5 years monthly data</t>
  </si>
  <si>
    <t>WACC</t>
  </si>
  <si>
    <t>3. Unlevered Beta = Levered Beta /(1+(1-TaxRate)*Debt/Equity)</t>
  </si>
  <si>
    <t>4. Levered Beta = Unlevered Beta *(1+(1-TaxRate)*Debt/Equity</t>
  </si>
  <si>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</si>
  <si>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</si>
  <si>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</si>
  <si>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</si>
  <si>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</si>
  <si>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</si>
  <si>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</si>
  <si>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</si>
  <si>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</si>
  <si>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</si>
  <si>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</si>
  <si>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</si>
  <si>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</si>
  <si>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</si>
  <si>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</si>
  <si>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</si>
  <si>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</si>
  <si>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</si>
  <si>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</si>
  <si>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</si>
  <si>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Profit before tax</t>
  </si>
  <si>
    <t>Net profit</t>
  </si>
  <si>
    <t>Dividend Amount</t>
  </si>
  <si>
    <t>Quarters</t>
  </si>
  <si>
    <t>Expenses</t>
  </si>
  <si>
    <t>Operating Profit</t>
  </si>
  <si>
    <t>BALANCE SHEET</t>
  </si>
  <si>
    <t>Total</t>
  </si>
  <si>
    <t>Net Block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</si>
  <si>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</si>
  <si>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</si>
  <si>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</si>
  <si>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</si>
  <si>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</si>
  <si>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</si>
  <si>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</si>
  <si>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PRICE:</t>
  </si>
  <si>
    <t>DERIVED:</t>
  </si>
  <si>
    <t>Adjusted Equity Shares in Cr</t>
  </si>
  <si>
    <t>Cash from Operating Activity -</t>
  </si>
  <si>
    <t>Working capital changes</t>
  </si>
  <si>
    <t>Cash from Investing Activity -</t>
  </si>
  <si>
    <t>Cash from Financing Activity -</t>
  </si>
  <si>
    <t>Beta Calculation</t>
  </si>
  <si>
    <t>Regression Beta - 5 Years Monthly</t>
  </si>
  <si>
    <t>Monthly Returns</t>
  </si>
  <si>
    <t>Nifty 50</t>
  </si>
  <si>
    <t>Tata Motors</t>
  </si>
  <si>
    <t>Beta Drifting</t>
  </si>
  <si>
    <t>Date</t>
  </si>
  <si>
    <t>Closing Price</t>
  </si>
  <si>
    <t>Return</t>
  </si>
  <si>
    <t>Levered Raw Beta</t>
  </si>
  <si>
    <t>SUMMARY OUTPUT</t>
  </si>
  <si>
    <t>Beta Weight</t>
  </si>
  <si>
    <t>Regression Statistics</t>
  </si>
  <si>
    <t xml:space="preserve">Market Beta </t>
  </si>
  <si>
    <t>Multiple R</t>
  </si>
  <si>
    <t>Market Beta Weight</t>
  </si>
  <si>
    <t>R Square</t>
  </si>
  <si>
    <t>Adjusted R Square</t>
  </si>
  <si>
    <t>Adjusted Beta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</si>
  <si>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</si>
  <si>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</si>
  <si>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</si>
  <si>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</si>
  <si>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</si>
  <si>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</si>
  <si>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</si>
  <si>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</si>
  <si>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</si>
  <si>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</si>
  <si>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</si>
  <si>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</si>
  <si>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</si>
  <si>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</si>
  <si>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</si>
  <si>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</si>
  <si>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</si>
  <si>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</si>
  <si>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</si>
  <si>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Maruti Suzuki</t>
  </si>
  <si>
    <t>S.No.</t>
  </si>
  <si>
    <t>Name</t>
  </si>
  <si>
    <t>CMP Rs.</t>
  </si>
  <si>
    <t xml:space="preserve">Mar Cap Rs.Cr. </t>
  </si>
  <si>
    <t>Debt Rs.Cr.</t>
  </si>
  <si>
    <t>Debt / Eq</t>
  </si>
  <si>
    <t>Bajaj Auto</t>
  </si>
  <si>
    <t>M &amp; M</t>
  </si>
  <si>
    <t>Eicher Motors</t>
  </si>
  <si>
    <t>Hero Motocorp</t>
  </si>
  <si>
    <t>TVS Motor Co.</t>
  </si>
  <si>
    <t>TVS Motors</t>
  </si>
  <si>
    <t>M&amp;M</t>
  </si>
  <si>
    <t>Hero Motor Corp</t>
  </si>
  <si>
    <t>Year</t>
  </si>
  <si>
    <t>Annual</t>
  </si>
  <si>
    <t>Return on Markets</t>
  </si>
  <si>
    <t>Average Return</t>
  </si>
  <si>
    <t>Dividend Yield</t>
  </si>
  <si>
    <t>Total Market Return</t>
  </si>
  <si>
    <t>Int</t>
  </si>
  <si>
    <t>Particulars</t>
  </si>
  <si>
    <t>Actual Other Assets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</si>
  <si>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</si>
  <si>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</si>
  <si>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</si>
  <si>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</si>
  <si>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</si>
  <si>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</si>
  <si>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</si>
  <si>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</si>
  <si>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</si>
  <si>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</si>
  <si>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</si>
  <si>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</si>
  <si>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</si>
  <si>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</si>
  <si>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</si>
  <si>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</si>
  <si>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</si>
  <si>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</si>
  <si>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</si>
  <si>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</si>
  <si>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</si>
  <si>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</si>
  <si>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</si>
  <si>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</si>
  <si>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</si>
  <si>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</si>
  <si>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</si>
  <si>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</si>
  <si>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</si>
  <si>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</si>
  <si>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Calculation of ROIC</t>
  </si>
  <si>
    <t>Current Assets</t>
  </si>
  <si>
    <t>Current Liabilities</t>
  </si>
  <si>
    <t>Total Current Liabilities</t>
  </si>
  <si>
    <t>Net Working Capital</t>
  </si>
  <si>
    <t>Non-Current Assets</t>
  </si>
  <si>
    <t>Net Non-Current Assets</t>
  </si>
  <si>
    <t>Invested Capital</t>
  </si>
  <si>
    <t>ROIC</t>
  </si>
  <si>
    <t>Calculation of Reinvestment Rate</t>
  </si>
  <si>
    <t>Net Capex</t>
  </si>
  <si>
    <t>Change in Working Capital</t>
  </si>
  <si>
    <t>Marginal Tax Rate</t>
  </si>
  <si>
    <t>Reinvestment</t>
  </si>
  <si>
    <t>Reinvestment Rate</t>
  </si>
  <si>
    <t>EBIT(1-T)</t>
  </si>
  <si>
    <t>4 Year Average</t>
  </si>
  <si>
    <t>4 Year Median</t>
  </si>
  <si>
    <t>Calculation of Growth Rate</t>
  </si>
  <si>
    <t>Intrinsic Growth</t>
  </si>
  <si>
    <t>Calculation of PV of FCFF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</si>
  <si>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</si>
  <si>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</si>
  <si>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</si>
  <si>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</si>
  <si>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</si>
  <si>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</si>
  <si>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</si>
  <si>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</si>
  <si>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</si>
  <si>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</si>
  <si>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</si>
  <si>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PV of Terminal Value</t>
  </si>
  <si>
    <t>Value of Operating Assets</t>
  </si>
  <si>
    <t>Add : Cash</t>
  </si>
  <si>
    <t>Less : Debt</t>
  </si>
  <si>
    <t>Calculation of Equity Value per Share</t>
  </si>
  <si>
    <t>Value of Equity</t>
  </si>
  <si>
    <t>No of Shares</t>
  </si>
  <si>
    <t>Equity Value per Share</t>
  </si>
  <si>
    <t xml:space="preserve">Share Price </t>
  </si>
  <si>
    <t>Discount/Premium</t>
  </si>
  <si>
    <t>Comparable Company Valuation</t>
  </si>
  <si>
    <t>Company</t>
  </si>
  <si>
    <t>Ticker</t>
  </si>
  <si>
    <t>Share Price</t>
  </si>
  <si>
    <t>Shares Outstanding</t>
  </si>
  <si>
    <t>Equity Value</t>
  </si>
  <si>
    <t>Net Debt</t>
  </si>
  <si>
    <t>Enterprise Value</t>
  </si>
  <si>
    <t>Market Data</t>
  </si>
  <si>
    <t>Revenue</t>
  </si>
  <si>
    <t>Net Income</t>
  </si>
  <si>
    <t>Valuation</t>
  </si>
  <si>
    <t>Financials</t>
  </si>
  <si>
    <t>No. Eq. Shares Cr.</t>
  </si>
  <si>
    <t>Cash End Rs.Cr.</t>
  </si>
  <si>
    <t>EV Rs.Cr.</t>
  </si>
  <si>
    <t>Sales Rs.Cr.</t>
  </si>
  <si>
    <t>NP 12M Rs.Cr.</t>
  </si>
  <si>
    <t>Escorts Kubota</t>
  </si>
  <si>
    <t>Tata Motors-DVR</t>
  </si>
  <si>
    <t>Olectra Greentec</t>
  </si>
  <si>
    <t>Force Motors</t>
  </si>
  <si>
    <t>VST Till. Tract.</t>
  </si>
  <si>
    <t>SML ISUZU</t>
  </si>
  <si>
    <t>Wardwizard Inno.</t>
  </si>
  <si>
    <t>Mercury EV-Tech</t>
  </si>
  <si>
    <t>Atul Auto</t>
  </si>
  <si>
    <t>Scooters India</t>
  </si>
  <si>
    <t>Hindustan Motors</t>
  </si>
  <si>
    <t>Market Value</t>
  </si>
  <si>
    <t>EBITDA Margins Rs.Cr.</t>
  </si>
  <si>
    <t>EV / EBITDA</t>
  </si>
  <si>
    <t>EV/Revenue</t>
  </si>
  <si>
    <t>EV/EBITDA</t>
  </si>
  <si>
    <t>P/E</t>
  </si>
  <si>
    <t>High</t>
  </si>
  <si>
    <t>75th Percentile</t>
  </si>
  <si>
    <t>25th Percentile</t>
  </si>
  <si>
    <t>Low</t>
  </si>
  <si>
    <t>Implied Enterprise Value</t>
  </si>
  <si>
    <t>Implied Market Value</t>
  </si>
  <si>
    <t>Implied Value per Share</t>
  </si>
  <si>
    <t>Comps</t>
  </si>
  <si>
    <t>DCF Bear</t>
  </si>
  <si>
    <t>DCF Base</t>
  </si>
  <si>
    <t>DCF Bull</t>
  </si>
  <si>
    <t>52W H/L</t>
  </si>
  <si>
    <t>OpenLow</t>
  </si>
  <si>
    <t>OpenHigh</t>
  </si>
  <si>
    <t>Sensitivity Analysis - EV</t>
  </si>
  <si>
    <t>Sensitivity Analysis - Share Price</t>
  </si>
  <si>
    <t>Football Field Analysis - Data</t>
  </si>
  <si>
    <t>HISTORICAL FINANCIAL STATEMENTS, RATIO ANALYSIS, COMMON SIZE STATEMENT, P&amp;L FORECAST, BS FORECAST &amp; CASH FLOWS FORECAST</t>
  </si>
  <si>
    <t>WEIGHTED AVERAGE COST OF CAPITAL, INTRINSIC GROWTH, DCF VALUATION (WITH SENSITIVITY ANALYSIS)</t>
  </si>
  <si>
    <t>RELATIVE VALUATION USING EV/EBITDA, EV/REVENUE &amp; P/E &amp; FOOTBALL FIELD ANALYSIS</t>
  </si>
  <si>
    <r>
      <t xml:space="preserve">Tax Rate </t>
    </r>
    <r>
      <rPr>
        <vertAlign val="superscript"/>
        <sz val="11"/>
        <color rgb="FF002060"/>
        <rFont val="Calibri"/>
        <family val="2"/>
        <scheme val="minor"/>
      </rPr>
      <t>1</t>
    </r>
  </si>
  <si>
    <r>
      <t xml:space="preserve">Beta </t>
    </r>
    <r>
      <rPr>
        <vertAlign val="superscript"/>
        <sz val="11"/>
        <color rgb="FF002060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</si>
  <si>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rgb="FF002060"/>
        <rFont val="Calibri"/>
        <family val="2"/>
        <scheme val="minor"/>
      </rPr>
      <t>3</t>
    </r>
  </si>
  <si>
    <r>
      <t xml:space="preserve">Levered Beta </t>
    </r>
    <r>
      <rPr>
        <vertAlign val="superscript"/>
        <sz val="11"/>
        <color rgb="FF002060"/>
        <rFont val="Calibri"/>
        <family val="2"/>
        <scheme val="minor"/>
      </rPr>
      <t>4</t>
    </r>
  </si>
  <si>
    <t>DATA SHEET FROM SCREENER &amp; CASH FLOWS MANUAL FROM SCREENER</t>
  </si>
  <si>
    <t>DATA SHEETS FOR CALCULATIONS &amp; VALUATIONS!</t>
  </si>
  <si>
    <t>RAW BALANCE SHEET, REGRESSION BETA, COMPARABLE COMPS BETA, PEERS LIST, RETURN ON MARKETS</t>
  </si>
  <si>
    <r>
      <t xml:space="preserve">1.39% </t>
    </r>
    <r>
      <rPr>
        <vertAlign val="superscript"/>
        <sz val="11"/>
        <color rgb="FF00206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</si>
</sst>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 * #,##0.00_ ;_ * \-#,##0.00_ ;_ * &quot;-&quot;??_ ;_ @_ "/>
    <numFmt numFmtId="164" formatCode="_(* #,##0.00_);_(* \(#,##0.00\);_(* &quot;-&quot;??_);_(@_)"/>
    <numFmt numFmtId="165" formatCode="_-* #,##0.00_-;\-* #,##0.00_-;_-* &quot;-&quot;??_-;_-@_-"/>
    <numFmt numFmtId="166" formatCode="[$-409]mmm\-yy;@"/>
    <numFmt numFmtId="167" formatCode="&quot;₹&quot;\ #,##0.00"/>
    <numFmt numFmtId="168" formatCode="&quot;₹&quot;\ #,##0.0;\(&quot;₹&quot;\ #,##0.0\);\-"/>
    <numFmt numFmtId="169" formatCode="0.00&quot;x&quot;"/>
    <numFmt numFmtId="170" formatCode="yyyy&quot;A&quot;"/>
    <numFmt numFmtId="171" formatCode="yyyy&quot;F&quot;"/>
    <numFmt numFmtId="172" formatCode="&quot;₹&quot;\ #,##0.0"/>
    <numFmt numFmtId="173" formatCode="0.0"/>
    <numFmt numFmtId="174" formatCode="#,##0.0"/>
    <numFmt numFmtId="175" formatCode="#,###.00%;\(#,###.00%\)"/>
    <numFmt numFmtId="176" formatCode="_-* #,##0.0_-;\-* #,##0.0_-;_-* &quot;-&quot;??_-;_-@_-"/>
    <numFmt numFmtId="177" formatCode="_ * #,##0.0_ ;_ * \-#,##0.0_ ;_ * &quot;-&quot;??_ ;_ @_ "/>
    <numFmt numFmtId="178" formatCode="#,##0.0;\(#,##0.0\);\-"/>
    <numFmt numFmtId="179" formatCode="mmm/yy&quot;F&quot;"/>
    <numFmt numFmtId="180" formatCode="mmm/yy&quot;A&quot;"/>
    <numFmt numFmtId="181" formatCode="0.000"/>
    <numFmt numFmtId="182" formatCode="0.00\x"/>
    <numFmt numFmtId="183" formatCode="0.0\x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36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vertAlign val="superscript"/>
      <sz val="11"/>
      <color rgb="FF002060"/>
      <name val="Calibri"/>
      <family val="2"/>
      <scheme val="minor"/>
    </font>
    <font>
      <i/>
      <sz val="9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dotted">
        <color rgb="FF00206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2060"/>
      </top>
      <bottom style="hair">
        <color rgb="FF002060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231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43" fontId="3" fillId="0" borderId="0" xfId="1" applyFont="1" applyBorder="1"/>
    <xf numFmtId="166" fontId="2" fillId="3" borderId="0" xfId="0" applyNumberFormat="1" applyFont="1" applyFill="1" applyAlignment="1">
      <alignment horizontal="center"/>
    </xf>
    <xf numFmtId="166" fontId="2" fillId="3" borderId="0" xfId="1" applyNumberFormat="1" applyFont="1" applyFill="1" applyBorder="1"/>
    <xf numFmtId="166" fontId="6" fillId="0" borderId="0" xfId="1" applyNumberFormat="1" applyFont="1" applyFill="1" applyBorder="1"/>
    <xf numFmtId="164" fontId="0" fillId="0" borderId="0" xfId="1" applyNumberFormat="1" applyFont="1" applyBorder="1"/>
    <xf numFmtId="0" fontId="5" fillId="4" borderId="0" xfId="0" applyFont="1" applyFill="1"/>
    <xf numFmtId="17" fontId="5" fillId="4" borderId="0" xfId="0" applyNumberFormat="1" applyFont="1" applyFill="1"/>
    <xf numFmtId="0" fontId="5" fillId="4" borderId="0" xfId="0" applyFont="1" applyFill="1" applyAlignment="1">
      <alignment horizontal="right"/>
    </xf>
    <xf numFmtId="0" fontId="1" fillId="0" borderId="0" xfId="0" applyFont="1"/>
    <xf numFmtId="167" fontId="0" fillId="0" borderId="0" xfId="0" applyNumberFormat="1"/>
    <xf numFmtId="168" fontId="0" fillId="0" borderId="0" xfId="0" applyNumberFormat="1"/>
    <xf numFmtId="10" fontId="0" fillId="0" borderId="0" xfId="4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10" fontId="7" fillId="0" borderId="0" xfId="4" applyNumberFormat="1" applyFont="1"/>
    <xf numFmtId="0" fontId="1" fillId="5" borderId="0" xfId="0" applyFont="1" applyFill="1"/>
    <xf numFmtId="0" fontId="0" fillId="5" borderId="0" xfId="0" applyFill="1"/>
    <xf numFmtId="168" fontId="1" fillId="0" borderId="0" xfId="0" applyNumberFormat="1" applyFont="1"/>
    <xf numFmtId="3" fontId="0" fillId="0" borderId="0" xfId="0" applyNumberFormat="1"/>
    <xf numFmtId="167" fontId="1" fillId="0" borderId="1" xfId="0" applyNumberFormat="1" applyFont="1" applyBorder="1"/>
    <xf numFmtId="168" fontId="1" fillId="0" borderId="1" xfId="0" applyNumberFormat="1" applyFont="1" applyBorder="1"/>
    <xf numFmtId="0" fontId="0" fillId="0" borderId="2" xfId="0" applyBorder="1"/>
    <xf numFmtId="10" fontId="0" fillId="0" borderId="2" xfId="4" applyNumberFormat="1" applyFont="1" applyBorder="1"/>
    <xf numFmtId="10" fontId="0" fillId="0" borderId="0" xfId="4" applyNumberFormat="1" applyFont="1" applyBorder="1"/>
    <xf numFmtId="0" fontId="0" fillId="0" borderId="3" xfId="0" applyBorder="1"/>
    <xf numFmtId="10" fontId="0" fillId="0" borderId="3" xfId="4" applyNumberFormat="1" applyFont="1" applyBorder="1"/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7" fontId="5" fillId="4" borderId="0" xfId="0" applyNumberFormat="1" applyFont="1" applyFill="1" applyAlignment="1">
      <alignment horizontal="right"/>
    </xf>
    <xf numFmtId="0" fontId="0" fillId="6" borderId="0" xfId="0" applyFill="1"/>
    <xf numFmtId="170" fontId="5" fillId="4" borderId="0" xfId="0" applyNumberFormat="1" applyFont="1" applyFill="1"/>
    <xf numFmtId="172" fontId="0" fillId="0" borderId="0" xfId="0" applyNumberFormat="1"/>
    <xf numFmtId="0" fontId="8" fillId="0" borderId="0" xfId="0" applyFont="1"/>
    <xf numFmtId="10" fontId="8" fillId="0" borderId="0" xfId="4" applyNumberFormat="1" applyFont="1"/>
    <xf numFmtId="172" fontId="0" fillId="6" borderId="0" xfId="0" applyNumberFormat="1" applyFill="1"/>
    <xf numFmtId="10" fontId="8" fillId="6" borderId="0" xfId="4" applyNumberFormat="1" applyFont="1" applyFill="1"/>
    <xf numFmtId="0" fontId="5" fillId="7" borderId="0" xfId="0" applyFont="1" applyFill="1"/>
    <xf numFmtId="171" fontId="5" fillId="7" borderId="0" xfId="0" applyNumberFormat="1" applyFont="1" applyFill="1"/>
    <xf numFmtId="173" fontId="0" fillId="0" borderId="0" xfId="0" applyNumberFormat="1"/>
    <xf numFmtId="10" fontId="8" fillId="0" borderId="0" xfId="0" applyNumberFormat="1" applyFont="1"/>
    <xf numFmtId="173" fontId="0" fillId="6" borderId="0" xfId="0" applyNumberFormat="1" applyFill="1"/>
    <xf numFmtId="168" fontId="9" fillId="6" borderId="0" xfId="0" applyNumberFormat="1" applyFont="1" applyFill="1"/>
    <xf numFmtId="0" fontId="9" fillId="6" borderId="0" xfId="0" applyFont="1" applyFill="1"/>
    <xf numFmtId="0" fontId="5" fillId="0" borderId="0" xfId="0" applyFont="1"/>
    <xf numFmtId="170" fontId="5" fillId="0" borderId="0" xfId="0" applyNumberFormat="1" applyFont="1"/>
    <xf numFmtId="171" fontId="5" fillId="0" borderId="0" xfId="0" applyNumberFormat="1" applyFont="1"/>
    <xf numFmtId="172" fontId="1" fillId="0" borderId="0" xfId="0" applyNumberFormat="1" applyFont="1"/>
    <xf numFmtId="172" fontId="1" fillId="6" borderId="0" xfId="0" applyNumberFormat="1" applyFont="1" applyFill="1"/>
    <xf numFmtId="172" fontId="1" fillId="0" borderId="4" xfId="0" applyNumberFormat="1" applyFont="1" applyBorder="1"/>
    <xf numFmtId="172" fontId="1" fillId="6" borderId="4" xfId="0" applyNumberFormat="1" applyFont="1" applyFill="1" applyBorder="1"/>
    <xf numFmtId="0" fontId="1" fillId="0" borderId="5" xfId="0" applyFont="1" applyBorder="1"/>
    <xf numFmtId="172" fontId="1" fillId="0" borderId="5" xfId="0" applyNumberFormat="1" applyFont="1" applyBorder="1"/>
    <xf numFmtId="172" fontId="1" fillId="6" borderId="5" xfId="0" applyNumberFormat="1" applyFont="1" applyFill="1" applyBorder="1"/>
    <xf numFmtId="168" fontId="1" fillId="0" borderId="5" xfId="0" applyNumberFormat="1" applyFont="1" applyBorder="1"/>
    <xf numFmtId="168" fontId="10" fillId="6" borderId="5" xfId="0" applyNumberFormat="1" applyFont="1" applyFill="1" applyBorder="1"/>
    <xf numFmtId="168" fontId="1" fillId="0" borderId="4" xfId="0" applyNumberFormat="1" applyFont="1" applyBorder="1"/>
    <xf numFmtId="168" fontId="10" fillId="6" borderId="4" xfId="0" applyNumberFormat="1" applyFont="1" applyFill="1" applyBorder="1"/>
    <xf numFmtId="175" fontId="0" fillId="0" borderId="0" xfId="4" applyNumberFormat="1" applyFont="1"/>
    <xf numFmtId="0" fontId="2" fillId="4" borderId="0" xfId="0" applyFont="1" applyFill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7" xfId="0" applyBorder="1"/>
    <xf numFmtId="0" fontId="1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Continuous"/>
    </xf>
    <xf numFmtId="2" fontId="0" fillId="0" borderId="0" xfId="0" applyNumberFormat="1"/>
    <xf numFmtId="10" fontId="0" fillId="0" borderId="0" xfId="0" applyNumberFormat="1"/>
    <xf numFmtId="0" fontId="1" fillId="6" borderId="0" xfId="0" applyFont="1" applyFill="1"/>
    <xf numFmtId="2" fontId="1" fillId="6" borderId="0" xfId="0" applyNumberFormat="1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0" borderId="9" xfId="0" applyBorder="1"/>
    <xf numFmtId="0" fontId="0" fillId="0" borderId="10" xfId="0" applyBorder="1"/>
    <xf numFmtId="10" fontId="0" fillId="8" borderId="0" xfId="0" applyNumberFormat="1" applyFill="1"/>
    <xf numFmtId="2" fontId="0" fillId="8" borderId="0" xfId="0" applyNumberFormat="1" applyFill="1"/>
    <xf numFmtId="0" fontId="1" fillId="0" borderId="11" xfId="0" applyFont="1" applyBorder="1"/>
    <xf numFmtId="10" fontId="0" fillId="0" borderId="11" xfId="0" applyNumberFormat="1" applyBorder="1"/>
    <xf numFmtId="10" fontId="0" fillId="0" borderId="6" xfId="0" applyNumberFormat="1" applyBorder="1"/>
    <xf numFmtId="2" fontId="0" fillId="0" borderId="11" xfId="0" applyNumberFormat="1" applyBorder="1"/>
    <xf numFmtId="2" fontId="0" fillId="0" borderId="6" xfId="0" applyNumberFormat="1" applyBorder="1"/>
    <xf numFmtId="0" fontId="0" fillId="0" borderId="12" xfId="0" applyBorder="1"/>
    <xf numFmtId="0" fontId="1" fillId="0" borderId="10" xfId="0" applyFont="1" applyBorder="1"/>
    <xf numFmtId="10" fontId="0" fillId="0" borderId="12" xfId="0" applyNumberFormat="1" applyBorder="1"/>
    <xf numFmtId="9" fontId="0" fillId="0" borderId="0" xfId="0" applyNumberFormat="1"/>
    <xf numFmtId="10" fontId="0" fillId="8" borderId="12" xfId="0" applyNumberFormat="1" applyFill="1" applyBorder="1"/>
    <xf numFmtId="2" fontId="0" fillId="8" borderId="12" xfId="0" applyNumberFormat="1" applyFill="1" applyBorder="1"/>
    <xf numFmtId="165" fontId="0" fillId="0" borderId="0" xfId="0" applyNumberFormat="1"/>
    <xf numFmtId="165" fontId="0" fillId="0" borderId="12" xfId="0" applyNumberFormat="1" applyBorder="1"/>
    <xf numFmtId="176" fontId="0" fillId="0" borderId="0" xfId="0" applyNumberFormat="1"/>
    <xf numFmtId="0" fontId="0" fillId="0" borderId="0" xfId="0" applyFill="1" applyBorder="1" applyAlignment="1"/>
    <xf numFmtId="0" fontId="0" fillId="0" borderId="7" xfId="0" applyFill="1" applyBorder="1" applyAlignment="1"/>
    <xf numFmtId="0" fontId="11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Continuous"/>
    </xf>
    <xf numFmtId="0" fontId="0" fillId="0" borderId="0" xfId="0" applyBorder="1"/>
    <xf numFmtId="0" fontId="11" fillId="0" borderId="0" xfId="0" applyFont="1" applyFill="1" applyBorder="1" applyAlignment="1">
      <alignment horizontal="centerContinuous"/>
    </xf>
    <xf numFmtId="0" fontId="11" fillId="0" borderId="0" xfId="0" applyFont="1" applyFill="1" applyBorder="1" applyAlignment="1">
      <alignment horizontal="center"/>
    </xf>
    <xf numFmtId="10" fontId="1" fillId="0" borderId="0" xfId="0" applyNumberFormat="1" applyFont="1"/>
    <xf numFmtId="17" fontId="1" fillId="0" borderId="6" xfId="0" applyNumberFormat="1" applyFont="1" applyBorder="1"/>
    <xf numFmtId="43" fontId="0" fillId="0" borderId="0" xfId="0" applyNumberFormat="1"/>
    <xf numFmtId="0" fontId="1" fillId="0" borderId="0" xfId="0" applyFont="1" applyBorder="1"/>
    <xf numFmtId="17" fontId="1" fillId="0" borderId="0" xfId="0" applyNumberFormat="1" applyFont="1" applyBorder="1"/>
    <xf numFmtId="43" fontId="1" fillId="0" borderId="0" xfId="0" applyNumberFormat="1" applyFont="1"/>
    <xf numFmtId="10" fontId="1" fillId="0" borderId="0" xfId="4" applyNumberFormat="1" applyFont="1"/>
    <xf numFmtId="17" fontId="2" fillId="4" borderId="0" xfId="0" applyNumberFormat="1" applyFont="1" applyFill="1"/>
    <xf numFmtId="0" fontId="0" fillId="0" borderId="0" xfId="0" applyFont="1"/>
    <xf numFmtId="0" fontId="2" fillId="9" borderId="0" xfId="0" applyFont="1" applyFill="1"/>
    <xf numFmtId="17" fontId="2" fillId="9" borderId="0" xfId="0" applyNumberFormat="1" applyFont="1" applyFill="1"/>
    <xf numFmtId="0" fontId="0" fillId="9" borderId="0" xfId="0" applyFill="1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178" fontId="0" fillId="0" borderId="0" xfId="1" applyNumberFormat="1" applyFont="1" applyBorder="1"/>
    <xf numFmtId="178" fontId="1" fillId="0" borderId="11" xfId="1" applyNumberFormat="1" applyFont="1" applyBorder="1"/>
    <xf numFmtId="0" fontId="0" fillId="0" borderId="11" xfId="0" applyBorder="1"/>
    <xf numFmtId="10" fontId="1" fillId="0" borderId="5" xfId="4" applyNumberFormat="1" applyFont="1" applyBorder="1"/>
    <xf numFmtId="178" fontId="0" fillId="0" borderId="1" xfId="0" applyNumberFormat="1" applyBorder="1"/>
    <xf numFmtId="178" fontId="0" fillId="0" borderId="0" xfId="0" applyNumberFormat="1"/>
    <xf numFmtId="178" fontId="1" fillId="0" borderId="11" xfId="0" applyNumberFormat="1" applyFont="1" applyBorder="1"/>
    <xf numFmtId="178" fontId="1" fillId="0" borderId="5" xfId="0" applyNumberFormat="1" applyFont="1" applyBorder="1"/>
    <xf numFmtId="178" fontId="0" fillId="0" borderId="0" xfId="0" applyNumberFormat="1" applyBorder="1"/>
    <xf numFmtId="178" fontId="1" fillId="0" borderId="0" xfId="0" applyNumberFormat="1" applyFont="1"/>
    <xf numFmtId="10" fontId="0" fillId="0" borderId="1" xfId="0" applyNumberFormat="1" applyBorder="1"/>
    <xf numFmtId="10" fontId="1" fillId="6" borderId="0" xfId="0" applyNumberFormat="1" applyFont="1" applyFill="1"/>
    <xf numFmtId="10" fontId="1" fillId="0" borderId="5" xfId="0" applyNumberFormat="1" applyFont="1" applyBorder="1"/>
    <xf numFmtId="179" fontId="2" fillId="4" borderId="0" xfId="0" applyNumberFormat="1" applyFont="1" applyFill="1"/>
    <xf numFmtId="180" fontId="2" fillId="4" borderId="0" xfId="0" applyNumberFormat="1" applyFont="1" applyFill="1"/>
    <xf numFmtId="10" fontId="0" fillId="6" borderId="0" xfId="0" applyNumberFormat="1" applyFill="1"/>
    <xf numFmtId="9" fontId="0" fillId="6" borderId="0" xfId="0" applyNumberFormat="1" applyFill="1"/>
    <xf numFmtId="10" fontId="0" fillId="0" borderId="1" xfId="4" applyNumberFormat="1" applyFont="1" applyBorder="1"/>
    <xf numFmtId="43" fontId="0" fillId="8" borderId="1" xfId="0" applyNumberFormat="1" applyFill="1" applyBorder="1"/>
    <xf numFmtId="10" fontId="0" fillId="8" borderId="1" xfId="0" applyNumberFormat="1" applyFill="1" applyBorder="1"/>
    <xf numFmtId="0" fontId="0" fillId="8" borderId="1" xfId="0" applyFill="1" applyBorder="1"/>
    <xf numFmtId="0" fontId="0" fillId="8" borderId="0" xfId="0" applyFill="1"/>
    <xf numFmtId="181" fontId="0" fillId="0" borderId="1" xfId="0" applyNumberFormat="1" applyBorder="1"/>
    <xf numFmtId="0" fontId="1" fillId="8" borderId="5" xfId="0" applyFont="1" applyFill="1" applyBorder="1"/>
    <xf numFmtId="2" fontId="1" fillId="0" borderId="0" xfId="0" applyNumberFormat="1" applyFont="1"/>
    <xf numFmtId="0" fontId="1" fillId="0" borderId="0" xfId="0" applyFont="1" applyFill="1" applyBorder="1"/>
    <xf numFmtId="182" fontId="0" fillId="0" borderId="0" xfId="4" applyNumberFormat="1" applyFont="1"/>
    <xf numFmtId="0" fontId="0" fillId="0" borderId="6" xfId="0" applyBorder="1"/>
    <xf numFmtId="0" fontId="5" fillId="4" borderId="0" xfId="0" applyFont="1" applyFill="1" applyAlignment="1">
      <alignment wrapText="1"/>
    </xf>
    <xf numFmtId="0" fontId="5" fillId="4" borderId="0" xfId="0" applyFont="1" applyFill="1" applyBorder="1" applyAlignment="1"/>
    <xf numFmtId="0" fontId="12" fillId="0" borderId="6" xfId="0" applyFont="1" applyBorder="1"/>
    <xf numFmtId="0" fontId="5" fillId="4" borderId="0" xfId="0" applyFont="1" applyFill="1" applyAlignment="1">
      <alignment horizontal="right" wrapText="1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6" borderId="1" xfId="0" applyFill="1" applyBorder="1"/>
    <xf numFmtId="183" fontId="0" fillId="6" borderId="1" xfId="0" applyNumberFormat="1" applyFill="1" applyBorder="1"/>
    <xf numFmtId="183" fontId="0" fillId="0" borderId="1" xfId="0" applyNumberFormat="1" applyBorder="1"/>
    <xf numFmtId="0" fontId="2" fillId="4" borderId="6" xfId="0" applyFont="1" applyFill="1" applyBorder="1"/>
    <xf numFmtId="43" fontId="0" fillId="6" borderId="1" xfId="1" applyFont="1" applyFill="1" applyBorder="1"/>
    <xf numFmtId="0" fontId="1" fillId="6" borderId="4" xfId="0" applyFont="1" applyFill="1" applyBorder="1"/>
    <xf numFmtId="43" fontId="1" fillId="6" borderId="4" xfId="1" applyFont="1" applyFill="1" applyBorder="1"/>
    <xf numFmtId="0" fontId="1" fillId="6" borderId="1" xfId="0" applyFont="1" applyFill="1" applyBorder="1"/>
    <xf numFmtId="183" fontId="1" fillId="6" borderId="1" xfId="0" applyNumberFormat="1" applyFont="1" applyFill="1" applyBorder="1"/>
    <xf numFmtId="2" fontId="5" fillId="0" borderId="0" xfId="0" applyNumberFormat="1" applyFont="1"/>
    <xf numFmtId="9" fontId="1" fillId="0" borderId="0" xfId="0" applyNumberFormat="1" applyFont="1"/>
    <xf numFmtId="9" fontId="1" fillId="0" borderId="0" xfId="0" applyNumberFormat="1" applyFont="1" applyAlignment="1">
      <alignment horizontal="left"/>
    </xf>
    <xf numFmtId="43" fontId="0" fillId="6" borderId="0" xfId="1" applyFont="1" applyFill="1"/>
    <xf numFmtId="0" fontId="0" fillId="0" borderId="0" xfId="0" applyAlignment="1">
      <alignment vertical="center"/>
    </xf>
    <xf numFmtId="0" fontId="13" fillId="0" borderId="0" xfId="0" applyFont="1"/>
    <xf numFmtId="0" fontId="12" fillId="0" borderId="1" xfId="0" applyFont="1" applyBorder="1"/>
    <xf numFmtId="43" fontId="13" fillId="0" borderId="0" xfId="1" applyFont="1" applyBorder="1"/>
    <xf numFmtId="43" fontId="12" fillId="0" borderId="1" xfId="1" applyFont="1" applyBorder="1"/>
    <xf numFmtId="43" fontId="12" fillId="0" borderId="1" xfId="1" applyFont="1" applyFill="1" applyBorder="1"/>
    <xf numFmtId="0" fontId="12" fillId="0" borderId="0" xfId="0" applyFont="1"/>
    <xf numFmtId="0" fontId="13" fillId="0" borderId="2" xfId="0" applyFont="1" applyBorder="1"/>
    <xf numFmtId="0" fontId="13" fillId="0" borderId="3" xfId="0" applyFont="1" applyBorder="1"/>
    <xf numFmtId="0" fontId="15" fillId="0" borderId="0" xfId="0" applyFont="1"/>
    <xf numFmtId="0" fontId="12" fillId="0" borderId="4" xfId="0" applyFont="1" applyBorder="1"/>
    <xf numFmtId="0" fontId="12" fillId="0" borderId="5" xfId="0" applyFont="1" applyBorder="1"/>
    <xf numFmtId="43" fontId="12" fillId="0" borderId="5" xfId="1" applyFont="1" applyFill="1" applyBorder="1"/>
    <xf numFmtId="43" fontId="12" fillId="0" borderId="4" xfId="1" applyFont="1" applyFill="1" applyBorder="1"/>
    <xf numFmtId="43" fontId="12" fillId="0" borderId="5" xfId="1" applyFont="1" applyBorder="1"/>
    <xf numFmtId="10" fontId="13" fillId="0" borderId="0" xfId="0" applyNumberFormat="1" applyFont="1" applyAlignment="1">
      <alignment horizontal="right"/>
    </xf>
    <xf numFmtId="10" fontId="13" fillId="0" borderId="0" xfId="0" applyNumberFormat="1" applyFont="1"/>
    <xf numFmtId="0" fontId="13" fillId="0" borderId="10" xfId="0" applyFont="1" applyBorder="1"/>
    <xf numFmtId="0" fontId="13" fillId="0" borderId="10" xfId="0" applyFont="1" applyBorder="1" applyAlignment="1">
      <alignment horizontal="right"/>
    </xf>
    <xf numFmtId="0" fontId="13" fillId="0" borderId="9" xfId="0" applyFont="1" applyBorder="1"/>
    <xf numFmtId="0" fontId="13" fillId="0" borderId="0" xfId="0" applyFont="1" applyAlignment="1">
      <alignment horizontal="right"/>
    </xf>
    <xf numFmtId="0" fontId="13" fillId="0" borderId="12" xfId="0" applyFont="1" applyBorder="1"/>
    <xf numFmtId="0" fontId="12" fillId="0" borderId="11" xfId="0" applyFont="1" applyBorder="1"/>
    <xf numFmtId="0" fontId="12" fillId="0" borderId="10" xfId="0" applyFont="1" applyBorder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17" fontId="12" fillId="0" borderId="0" xfId="0" applyNumberFormat="1" applyFont="1"/>
    <xf numFmtId="3" fontId="13" fillId="0" borderId="0" xfId="0" applyNumberFormat="1" applyFont="1"/>
    <xf numFmtId="178" fontId="13" fillId="0" borderId="1" xfId="1" applyNumberFormat="1" applyFont="1" applyBorder="1"/>
    <xf numFmtId="178" fontId="13" fillId="0" borderId="2" xfId="1" applyNumberFormat="1" applyFont="1" applyBorder="1"/>
    <xf numFmtId="178" fontId="13" fillId="0" borderId="0" xfId="1" applyNumberFormat="1" applyFont="1" applyBorder="1"/>
    <xf numFmtId="177" fontId="12" fillId="0" borderId="4" xfId="1" applyNumberFormat="1" applyFont="1" applyBorder="1"/>
    <xf numFmtId="178" fontId="13" fillId="0" borderId="0" xfId="1" applyNumberFormat="1" applyFont="1"/>
    <xf numFmtId="178" fontId="12" fillId="0" borderId="4" xfId="0" applyNumberFormat="1" applyFont="1" applyBorder="1"/>
    <xf numFmtId="178" fontId="12" fillId="0" borderId="14" xfId="1" applyNumberFormat="1" applyFont="1" applyBorder="1"/>
    <xf numFmtId="174" fontId="13" fillId="0" borderId="0" xfId="0" applyNumberFormat="1" applyFont="1"/>
    <xf numFmtId="0" fontId="12" fillId="0" borderId="6" xfId="0" applyFont="1" applyBorder="1" applyAlignment="1">
      <alignment horizontal="right"/>
    </xf>
    <xf numFmtId="1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2" fillId="6" borderId="0" xfId="0" applyFont="1" applyFill="1"/>
    <xf numFmtId="0" fontId="18" fillId="0" borderId="8" xfId="0" applyFont="1" applyBorder="1" applyAlignment="1">
      <alignment horizontal="centerContinuous"/>
    </xf>
    <xf numFmtId="0" fontId="18" fillId="0" borderId="8" xfId="0" applyFont="1" applyFill="1" applyBorder="1" applyAlignment="1">
      <alignment horizontal="centerContinuous"/>
    </xf>
    <xf numFmtId="0" fontId="13" fillId="0" borderId="7" xfId="0" applyFont="1" applyBorder="1"/>
    <xf numFmtId="0" fontId="13" fillId="0" borderId="0" xfId="0" applyFont="1" applyFill="1" applyBorder="1" applyAlignment="1"/>
    <xf numFmtId="0" fontId="13" fillId="0" borderId="7" xfId="0" applyFont="1" applyFill="1" applyBorder="1" applyAlignment="1"/>
    <xf numFmtId="0" fontId="18" fillId="0" borderId="8" xfId="0" applyFont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176" fontId="13" fillId="0" borderId="0" xfId="0" applyNumberFormat="1" applyFont="1"/>
    <xf numFmtId="177" fontId="13" fillId="0" borderId="0" xfId="1" applyNumberFormat="1" applyFont="1"/>
    <xf numFmtId="173" fontId="13" fillId="0" borderId="0" xfId="4" applyNumberFormat="1" applyFont="1"/>
    <xf numFmtId="2" fontId="13" fillId="0" borderId="0" xfId="0" applyNumberFormat="1" applyFont="1"/>
    <xf numFmtId="0" fontId="12" fillId="0" borderId="13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10" fontId="13" fillId="0" borderId="0" xfId="4" applyNumberFormat="1" applyFont="1" applyAlignment="1">
      <alignment horizontal="right"/>
    </xf>
    <xf numFmtId="0" fontId="14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/>
    </xf>
    <xf numFmtId="0" fontId="5" fillId="4" borderId="15" xfId="0" applyFont="1" applyFill="1" applyBorder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2060"/>
                </a:solidFill>
              </a:rPr>
              <a:t>Football Field Analysis - Valuation Summary(Rs.)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Analysis'!$N$6:$N$10</c:f>
              <c:numCache>
                <c:formatCode>General</c:formatCode>
                <c:ptCount val="5"/>
                <c:pt idx="0">
                  <c:v>352</c:v>
                </c:pt>
                <c:pt idx="1">
                  <c:v>605</c:v>
                </c:pt>
                <c:pt idx="2">
                  <c:v>918</c:v>
                </c:pt>
                <c:pt idx="3">
                  <c:v>1632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B-4AEC-AF58-494E5B2CD81B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Analysis'!$O$6:$O$10</c:f>
              <c:numCache>
                <c:formatCode>General</c:formatCode>
                <c:ptCount val="5"/>
                <c:pt idx="0">
                  <c:v>352</c:v>
                </c:pt>
                <c:pt idx="1">
                  <c:v>605</c:v>
                </c:pt>
                <c:pt idx="2">
                  <c:v>918</c:v>
                </c:pt>
                <c:pt idx="3">
                  <c:v>1632</c:v>
                </c:pt>
                <c:pt idx="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B-4AEC-AF58-494E5B2CD81B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Analysis'!$P$6:$P$10</c:f>
              <c:numCache>
                <c:formatCode>General</c:formatCode>
                <c:ptCount val="5"/>
                <c:pt idx="0">
                  <c:v>2459</c:v>
                </c:pt>
                <c:pt idx="1">
                  <c:v>1528</c:v>
                </c:pt>
                <c:pt idx="2">
                  <c:v>1250</c:v>
                </c:pt>
                <c:pt idx="3">
                  <c:v>2840</c:v>
                </c:pt>
                <c:pt idx="4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CB-4AEC-AF58-494E5B2CD81B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Analysis'!$L$6:$L$10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Analysis'!$Q$6:$Q$10</c:f>
              <c:numCache>
                <c:formatCode>General</c:formatCode>
                <c:ptCount val="5"/>
                <c:pt idx="0">
                  <c:v>2459</c:v>
                </c:pt>
                <c:pt idx="1">
                  <c:v>1528</c:v>
                </c:pt>
                <c:pt idx="2">
                  <c:v>1250</c:v>
                </c:pt>
                <c:pt idx="3">
                  <c:v>2840</c:v>
                </c:pt>
                <c:pt idx="4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CB-4AEC-AF58-494E5B2C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206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13304328"/>
        <c:axId val="513310232"/>
      </c:stockChart>
      <c:catAx>
        <c:axId val="51330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10232"/>
        <c:crosses val="autoZero"/>
        <c:auto val="1"/>
        <c:lblAlgn val="ctr"/>
        <c:lblOffset val="100"/>
        <c:noMultiLvlLbl val="0"/>
      </c:catAx>
      <c:valAx>
        <c:axId val="513310232"/>
        <c:scaling>
          <c:orientation val="minMax"/>
        </c:scaling>
        <c:delete val="0"/>
        <c:axPos val="l"/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0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176212</xdr:rowOff>
    </xdr:from>
    <xdr:to>
      <xdr:col>9</xdr:col>
      <xdr:colOff>333375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8FB33-AC7E-4498-A138-9157DD022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14</xdr:row>
      <xdr:rowOff>76200</xdr:rowOff>
    </xdr:from>
    <xdr:to>
      <xdr:col>9</xdr:col>
      <xdr:colOff>0</xdr:colOff>
      <xdr:row>14</xdr:row>
      <xdr:rowOff>76203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FF8E788-952C-465E-ACDE-5976541B9FC7}"/>
            </a:ext>
          </a:extLst>
        </xdr:cNvPr>
        <xdr:cNvCxnSpPr/>
      </xdr:nvCxnSpPr>
      <xdr:spPr>
        <a:xfrm flipV="1">
          <a:off x="1457325" y="2362200"/>
          <a:ext cx="3543300" cy="3"/>
        </a:xfrm>
        <a:prstGeom prst="line">
          <a:avLst/>
        </a:prstGeom>
        <a:ln w="15875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4433-6013-4F24-BC81-B2A143558F04}">
  <sheetPr>
    <tabColor rgb="FF002060"/>
  </sheetPr>
  <dimension ref="D5:Q9"/>
  <sheetViews>
    <sheetView showGridLines="0" tabSelected="1" workbookViewId="0">
      <selection activeCell="D5" sqref="D5:Q9"/>
    </sheetView>
  </sheetViews>
  <sheetFormatPr defaultRowHeight="15" x14ac:dyDescent="0.25"/>
  <cols>
    <col min="1" max="1" width="1.85546875" customWidth="1"/>
  </cols>
  <sheetData>
    <row r="5" spans="4:17" x14ac:dyDescent="0.25">
      <c r="D5" s="222" t="str">
        <f>"FINANCIALS FOR "&amp;'Data Sheet'!B1</f>
        <v>FINANCIALS FOR TATA MOTORS LTD</v>
      </c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</row>
    <row r="6" spans="4:17" x14ac:dyDescent="0.25"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</row>
    <row r="7" spans="4:17" x14ac:dyDescent="0.25"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</row>
    <row r="8" spans="4:17" x14ac:dyDescent="0.25">
      <c r="D8" s="168"/>
      <c r="E8" s="168"/>
      <c r="F8" s="223" t="s">
        <v>391</v>
      </c>
      <c r="G8" s="223"/>
      <c r="H8" s="223"/>
      <c r="I8" s="223"/>
      <c r="J8" s="223"/>
      <c r="K8" s="223"/>
      <c r="L8" s="223"/>
      <c r="M8" s="223"/>
      <c r="N8" s="223"/>
      <c r="O8" s="223"/>
      <c r="P8" s="168"/>
      <c r="Q8" s="168"/>
    </row>
    <row r="9" spans="4:17" x14ac:dyDescent="0.25">
      <c r="D9" s="168"/>
      <c r="E9" s="168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168"/>
      <c r="Q9" s="168"/>
    </row>
  </sheetData>
  <mergeCells count="2">
    <mergeCell ref="D5:Q7"/>
    <mergeCell ref="F8:O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5C5E-8702-4C17-956F-C3CA1EF689BA}">
  <dimension ref="A2:M105"/>
  <sheetViews>
    <sheetView showGridLines="0" zoomScaleNormal="100" workbookViewId="0">
      <pane ySplit="3" topLeftCell="A4" activePane="bottomLeft" state="frozen"/>
      <selection pane="bottomLeft" activeCell="B105" sqref="B105"/>
    </sheetView>
  </sheetViews>
  <sheetFormatPr defaultRowHeight="15" x14ac:dyDescent="0.25"/>
  <cols>
    <col min="1" max="1" width="1.85546875" customWidth="1"/>
    <col min="2" max="2" width="25.5703125" bestFit="1" customWidth="1"/>
    <col min="3" max="13" width="12.28515625" bestFit="1" customWidth="1"/>
  </cols>
  <sheetData>
    <row r="2" spans="1:13" x14ac:dyDescent="0.25">
      <c r="B2" s="224" t="str">
        <f>"Historical Financial Statement - "&amp;'Data Sheet'!B1</f>
        <v>Historical Financial Statement - TATA MOTORS LTD</v>
      </c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</row>
    <row r="3" spans="1:13" x14ac:dyDescent="0.25">
      <c r="B3" s="8" t="s">
        <v>0</v>
      </c>
      <c r="C3" s="9">
        <f>'Data Sheet'!B16</f>
        <v>41729</v>
      </c>
      <c r="D3" s="9">
        <f>'Data Sheet'!C16</f>
        <v>42094</v>
      </c>
      <c r="E3" s="9">
        <f>'Data Sheet'!D16</f>
        <v>42460</v>
      </c>
      <c r="F3" s="9">
        <f>'Data Sheet'!E16</f>
        <v>42825</v>
      </c>
      <c r="G3" s="9">
        <f>'Data Sheet'!F16</f>
        <v>43190</v>
      </c>
      <c r="H3" s="9">
        <f>'Data Sheet'!G16</f>
        <v>43555</v>
      </c>
      <c r="I3" s="9">
        <f>'Data Sheet'!H16</f>
        <v>43921</v>
      </c>
      <c r="J3" s="9">
        <f>'Data Sheet'!I16</f>
        <v>44286</v>
      </c>
      <c r="K3" s="9">
        <f>'Data Sheet'!J16</f>
        <v>44651</v>
      </c>
      <c r="L3" s="9">
        <f>'Data Sheet'!K16</f>
        <v>45016</v>
      </c>
      <c r="M3" s="10" t="s">
        <v>1</v>
      </c>
    </row>
    <row r="5" spans="1:13" x14ac:dyDescent="0.25">
      <c r="A5" t="s">
        <v>2</v>
      </c>
      <c r="B5" s="18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B6" s="169" t="s">
        <v>4</v>
      </c>
      <c r="C6" s="13">
        <f>IFERROR('Data Sheet'!B17,0)</f>
        <v>232833.66</v>
      </c>
      <c r="D6" s="13">
        <f>IFERROR('Data Sheet'!C17,0)</f>
        <v>263158.98</v>
      </c>
      <c r="E6" s="13">
        <f>IFERROR('Data Sheet'!D17,0)</f>
        <v>273045.59999999998</v>
      </c>
      <c r="F6" s="13">
        <f>IFERROR('Data Sheet'!E17,0)</f>
        <v>269692.51</v>
      </c>
      <c r="G6" s="13">
        <f>IFERROR('Data Sheet'!F17,0)</f>
        <v>291550.48</v>
      </c>
      <c r="H6" s="13">
        <f>IFERROR('Data Sheet'!G17,0)</f>
        <v>301938.40000000002</v>
      </c>
      <c r="I6" s="13">
        <f>IFERROR('Data Sheet'!H17,0)</f>
        <v>261067.97</v>
      </c>
      <c r="J6" s="13">
        <f>IFERROR('Data Sheet'!I17,0)</f>
        <v>249794.75</v>
      </c>
      <c r="K6" s="13">
        <f>IFERROR('Data Sheet'!J17,0)</f>
        <v>278453.62</v>
      </c>
      <c r="L6" s="13">
        <f>IFERROR('Data Sheet'!K17,0)</f>
        <v>345966.97</v>
      </c>
      <c r="M6" s="13">
        <f>IFERROR(SUM('Data Sheet'!H42:K42),0)</f>
        <v>423873.81</v>
      </c>
    </row>
    <row r="7" spans="1:13" x14ac:dyDescent="0.25">
      <c r="B7" s="15" t="s">
        <v>5</v>
      </c>
      <c r="C7" s="16" t="s">
        <v>6</v>
      </c>
      <c r="D7" s="17">
        <f>D6/C6-1</f>
        <v>0.13024457030826198</v>
      </c>
      <c r="E7" s="17">
        <f t="shared" ref="E7:M7" si="0">E6/D6-1</f>
        <v>3.75690010654397E-2</v>
      </c>
      <c r="F7" s="17">
        <f t="shared" si="0"/>
        <v>-1.2280329732469508E-2</v>
      </c>
      <c r="G7" s="17">
        <f t="shared" si="0"/>
        <v>8.104774581985974E-2</v>
      </c>
      <c r="H7" s="17">
        <f t="shared" si="0"/>
        <v>3.5629919045237157E-2</v>
      </c>
      <c r="I7" s="17">
        <f t="shared" si="0"/>
        <v>-0.135360159555724</v>
      </c>
      <c r="J7" s="17">
        <f t="shared" si="0"/>
        <v>-4.3181168490336042E-2</v>
      </c>
      <c r="K7" s="17">
        <f t="shared" si="0"/>
        <v>0.11472967306158344</v>
      </c>
      <c r="L7" s="17">
        <f t="shared" si="0"/>
        <v>0.24245815155859707</v>
      </c>
      <c r="M7" s="17">
        <f t="shared" si="0"/>
        <v>0.22518577423734998</v>
      </c>
    </row>
    <row r="9" spans="1:13" x14ac:dyDescent="0.25">
      <c r="B9" s="169" t="s">
        <v>7</v>
      </c>
      <c r="C9" s="13">
        <f>IFERROR(SUM('Data Sheet'!B18,'Data Sheet'!B20:B22)-1*'Data Sheet'!B19,0)</f>
        <v>180131.06000000003</v>
      </c>
      <c r="D9" s="13">
        <f>IFERROR(SUM('Data Sheet'!C18,'Data Sheet'!C20:C22)-1*'Data Sheet'!C19,0)</f>
        <v>202856.88</v>
      </c>
      <c r="E9" s="13">
        <f>IFERROR(SUM('Data Sheet'!D18,'Data Sheet'!D20:D22)-1*'Data Sheet'!D19,0)</f>
        <v>205509.07</v>
      </c>
      <c r="F9" s="13">
        <f>IFERROR(SUM('Data Sheet'!E18,'Data Sheet'!E20:E22)-1*'Data Sheet'!E19,0)</f>
        <v>205454.23999999996</v>
      </c>
      <c r="G9" s="13">
        <f>IFERROR(SUM('Data Sheet'!F18,'Data Sheet'!F20:F22)-1*'Data Sheet'!F19,0)</f>
        <v>228429.83</v>
      </c>
      <c r="H9" s="13">
        <f>IFERROR(SUM('Data Sheet'!G18,'Data Sheet'!G20:G22)-1*'Data Sheet'!G19,0)</f>
        <v>242845.53</v>
      </c>
      <c r="I9" s="13">
        <f>IFERROR(SUM('Data Sheet'!H18,'Data Sheet'!H20:H22)-1*'Data Sheet'!H19,0)</f>
        <v>210376.07000000004</v>
      </c>
      <c r="J9" s="13">
        <f>IFERROR(SUM('Data Sheet'!I18,'Data Sheet'!I20:I22)-1*'Data Sheet'!I19,0)</f>
        <v>195326.04</v>
      </c>
      <c r="K9" s="13">
        <f>IFERROR(SUM('Data Sheet'!J18,'Data Sheet'!J20:J22)-1*'Data Sheet'!J19,0)</f>
        <v>223300.00999999998</v>
      </c>
      <c r="L9" s="13">
        <f>IFERROR(SUM('Data Sheet'!K18,'Data Sheet'!K20:K22)-1*'Data Sheet'!K19,0)</f>
        <v>274403.64</v>
      </c>
      <c r="M9" s="13">
        <f>IFERROR(SUM('Data Sheet'!H43:K43),0)</f>
        <v>368356.38</v>
      </c>
    </row>
    <row r="10" spans="1:13" x14ac:dyDescent="0.25">
      <c r="B10" s="15" t="s">
        <v>8</v>
      </c>
      <c r="C10" s="17">
        <f>C9/C6</f>
        <v>0.77364698901353024</v>
      </c>
      <c r="D10" s="17">
        <f t="shared" ref="D10:M10" si="1">D9/D6</f>
        <v>0.77085296500237244</v>
      </c>
      <c r="E10" s="17">
        <f t="shared" si="1"/>
        <v>0.75265475803309057</v>
      </c>
      <c r="F10" s="17">
        <f t="shared" si="1"/>
        <v>0.76180921746770036</v>
      </c>
      <c r="G10" s="17">
        <f t="shared" si="1"/>
        <v>0.78350009919380004</v>
      </c>
      <c r="H10" s="17">
        <f t="shared" si="1"/>
        <v>0.80428832503583503</v>
      </c>
      <c r="I10" s="17">
        <f t="shared" si="1"/>
        <v>0.80582872728508226</v>
      </c>
      <c r="J10" s="17">
        <f t="shared" si="1"/>
        <v>0.7819461377791167</v>
      </c>
      <c r="K10" s="17">
        <f t="shared" si="1"/>
        <v>0.80192891728252624</v>
      </c>
      <c r="L10" s="17">
        <f t="shared" si="1"/>
        <v>0.79314982005363122</v>
      </c>
      <c r="M10" s="17">
        <f t="shared" si="1"/>
        <v>0.86902368419506737</v>
      </c>
    </row>
    <row r="12" spans="1:13" x14ac:dyDescent="0.25">
      <c r="B12" s="170" t="s">
        <v>9</v>
      </c>
      <c r="C12" s="22">
        <f>C6-C9</f>
        <v>52702.599999999977</v>
      </c>
      <c r="D12" s="22">
        <f t="shared" ref="D12:M12" si="2">D6-D9</f>
        <v>60302.099999999977</v>
      </c>
      <c r="E12" s="22">
        <f t="shared" si="2"/>
        <v>67536.52999999997</v>
      </c>
      <c r="F12" s="22">
        <f t="shared" si="2"/>
        <v>64238.270000000048</v>
      </c>
      <c r="G12" s="22">
        <f t="shared" si="2"/>
        <v>63120.649999999994</v>
      </c>
      <c r="H12" s="22">
        <f t="shared" si="2"/>
        <v>59092.870000000024</v>
      </c>
      <c r="I12" s="22">
        <f t="shared" si="2"/>
        <v>50691.899999999965</v>
      </c>
      <c r="J12" s="22">
        <f t="shared" si="2"/>
        <v>54468.709999999992</v>
      </c>
      <c r="K12" s="22">
        <f t="shared" si="2"/>
        <v>55153.610000000015</v>
      </c>
      <c r="L12" s="22">
        <f t="shared" si="2"/>
        <v>71563.329999999958</v>
      </c>
      <c r="M12" s="22">
        <f t="shared" si="2"/>
        <v>55517.429999999993</v>
      </c>
    </row>
    <row r="13" spans="1:13" x14ac:dyDescent="0.25">
      <c r="B13" s="15" t="s">
        <v>10</v>
      </c>
      <c r="C13" s="17">
        <f>C12/C6</f>
        <v>0.22635301098646982</v>
      </c>
      <c r="D13" s="17">
        <f t="shared" ref="D13:M13" si="3">D12/D6</f>
        <v>0.22914703499762759</v>
      </c>
      <c r="E13" s="17">
        <f t="shared" si="3"/>
        <v>0.24734524196690946</v>
      </c>
      <c r="F13" s="17">
        <f t="shared" si="3"/>
        <v>0.23819078253229964</v>
      </c>
      <c r="G13" s="17">
        <f t="shared" si="3"/>
        <v>0.21649990080619999</v>
      </c>
      <c r="H13" s="17">
        <f t="shared" si="3"/>
        <v>0.19571167496416494</v>
      </c>
      <c r="I13" s="17">
        <f t="shared" si="3"/>
        <v>0.19417127271491774</v>
      </c>
      <c r="J13" s="17">
        <f t="shared" si="3"/>
        <v>0.2180538622208833</v>
      </c>
      <c r="K13" s="17">
        <f t="shared" si="3"/>
        <v>0.19807108271747378</v>
      </c>
      <c r="L13" s="17">
        <f t="shared" si="3"/>
        <v>0.20685017994636876</v>
      </c>
      <c r="M13" s="17">
        <f t="shared" si="3"/>
        <v>0.1309763158049326</v>
      </c>
    </row>
    <row r="15" spans="1:13" x14ac:dyDescent="0.25">
      <c r="B15" s="169" t="s">
        <v>11</v>
      </c>
      <c r="C15" s="12">
        <f>IFERROR(SUM('Data Sheet'!B23:B24),0)</f>
        <v>17849.240000000002</v>
      </c>
      <c r="D15" s="12">
        <f>IFERROR(SUM('Data Sheet'!C23:C24),0)</f>
        <v>21063.449999999997</v>
      </c>
      <c r="E15" s="12">
        <f>IFERROR(SUM('Data Sheet'!D23:D24),0)</f>
        <v>29141.280000000002</v>
      </c>
      <c r="F15" s="12">
        <f>IFERROR(SUM('Data Sheet'!E23:E24),0)</f>
        <v>34649.58</v>
      </c>
      <c r="G15" s="12">
        <f>IFERROR(SUM('Data Sheet'!F23:F24),0)</f>
        <v>31662.97</v>
      </c>
      <c r="H15" s="12">
        <f>IFERROR(SUM('Data Sheet'!G23:G24),0)</f>
        <v>34428.54</v>
      </c>
      <c r="I15" s="12">
        <f>IFERROR(SUM('Data Sheet'!H23:H24),0)</f>
        <v>32704.83</v>
      </c>
      <c r="J15" s="12">
        <f>IFERROR(SUM('Data Sheet'!I23:I24),0)</f>
        <v>22181.280000000002</v>
      </c>
      <c r="K15" s="12">
        <f>IFERROR(SUM('Data Sheet'!J23:J24),0)</f>
        <v>30433.52</v>
      </c>
      <c r="L15" s="12">
        <f>IFERROR(SUM('Data Sheet'!K23:K24),0)</f>
        <v>39747.53</v>
      </c>
    </row>
    <row r="16" spans="1:13" x14ac:dyDescent="0.25">
      <c r="B16" s="15" t="s">
        <v>12</v>
      </c>
      <c r="C16" s="17">
        <f>C15/C6</f>
        <v>7.6660908908102038E-2</v>
      </c>
      <c r="D16" s="17">
        <f t="shared" ref="D16:M16" si="4">D15/D6</f>
        <v>8.0040779911823637E-2</v>
      </c>
      <c r="E16" s="17">
        <f t="shared" si="4"/>
        <v>0.10672678849247161</v>
      </c>
      <c r="F16" s="17">
        <f t="shared" si="4"/>
        <v>0.12847809529452636</v>
      </c>
      <c r="G16" s="17">
        <f t="shared" si="4"/>
        <v>0.10860201636437025</v>
      </c>
      <c r="H16" s="17">
        <f t="shared" si="4"/>
        <v>0.11402504616835751</v>
      </c>
      <c r="I16" s="17">
        <f t="shared" si="4"/>
        <v>0.12527323822987554</v>
      </c>
      <c r="J16" s="17">
        <f t="shared" si="4"/>
        <v>8.8798023177028354E-2</v>
      </c>
      <c r="K16" s="17">
        <f t="shared" si="4"/>
        <v>0.10929475436519734</v>
      </c>
      <c r="L16" s="17">
        <f t="shared" si="4"/>
        <v>0.11488822184383672</v>
      </c>
      <c r="M16" s="17">
        <f t="shared" si="4"/>
        <v>0</v>
      </c>
    </row>
    <row r="18" spans="2:13" x14ac:dyDescent="0.25">
      <c r="B18" s="170" t="s">
        <v>13</v>
      </c>
      <c r="C18" s="22">
        <f t="shared" ref="C18:M18" si="5">C12-C15</f>
        <v>34853.359999999971</v>
      </c>
      <c r="D18" s="22">
        <f t="shared" si="5"/>
        <v>39238.64999999998</v>
      </c>
      <c r="E18" s="22">
        <f t="shared" si="5"/>
        <v>38395.249999999971</v>
      </c>
      <c r="F18" s="22">
        <f t="shared" si="5"/>
        <v>29588.690000000046</v>
      </c>
      <c r="G18" s="22">
        <f t="shared" si="5"/>
        <v>31457.679999999993</v>
      </c>
      <c r="H18" s="22">
        <f t="shared" si="5"/>
        <v>24664.330000000024</v>
      </c>
      <c r="I18" s="22">
        <f t="shared" si="5"/>
        <v>17987.069999999963</v>
      </c>
      <c r="J18" s="22">
        <f t="shared" si="5"/>
        <v>32287.429999999989</v>
      </c>
      <c r="K18" s="22">
        <f t="shared" si="5"/>
        <v>24720.090000000015</v>
      </c>
      <c r="L18" s="22">
        <f t="shared" si="5"/>
        <v>31815.799999999959</v>
      </c>
      <c r="M18" s="22">
        <f t="shared" si="5"/>
        <v>55517.429999999993</v>
      </c>
    </row>
    <row r="19" spans="2:13" x14ac:dyDescent="0.25">
      <c r="B19" s="15" t="s">
        <v>14</v>
      </c>
      <c r="C19" s="17">
        <f>C18/C6</f>
        <v>0.14969210207836775</v>
      </c>
      <c r="D19" s="17">
        <f t="shared" ref="D19:M19" si="6">D18/D6</f>
        <v>0.14910625508580397</v>
      </c>
      <c r="E19" s="17">
        <f t="shared" si="6"/>
        <v>0.14061845347443788</v>
      </c>
      <c r="F19" s="17">
        <f t="shared" si="6"/>
        <v>0.10971268723777329</v>
      </c>
      <c r="G19" s="17">
        <f t="shared" si="6"/>
        <v>0.10789788444182975</v>
      </c>
      <c r="H19" s="17">
        <f t="shared" si="6"/>
        <v>8.1686628795807431E-2</v>
      </c>
      <c r="I19" s="17">
        <f t="shared" si="6"/>
        <v>6.8898034485042198E-2</v>
      </c>
      <c r="J19" s="17">
        <f t="shared" si="6"/>
        <v>0.12925583904385496</v>
      </c>
      <c r="K19" s="17">
        <f t="shared" si="6"/>
        <v>8.877632835227646E-2</v>
      </c>
      <c r="L19" s="17">
        <f t="shared" si="6"/>
        <v>9.1961958102532049E-2</v>
      </c>
      <c r="M19" s="17">
        <f t="shared" si="6"/>
        <v>0.1309763158049326</v>
      </c>
    </row>
    <row r="21" spans="2:13" x14ac:dyDescent="0.25">
      <c r="B21" s="169" t="s">
        <v>15</v>
      </c>
      <c r="C21" s="12">
        <f>IFERROR('Data Sheet'!B27,0)</f>
        <v>4749.4399999999996</v>
      </c>
      <c r="D21" s="12">
        <f>IFERROR('Data Sheet'!C27,0)</f>
        <v>4861.49</v>
      </c>
      <c r="E21" s="12">
        <f>IFERROR('Data Sheet'!D27,0)</f>
        <v>4889.08</v>
      </c>
      <c r="F21" s="12">
        <f>IFERROR('Data Sheet'!E27,0)</f>
        <v>4238.01</v>
      </c>
      <c r="G21" s="12">
        <f>IFERROR('Data Sheet'!F27,0)</f>
        <v>4681.79</v>
      </c>
      <c r="H21" s="12">
        <f>IFERROR('Data Sheet'!G27,0)</f>
        <v>5758.6</v>
      </c>
      <c r="I21" s="12">
        <f>IFERROR('Data Sheet'!H27,0)</f>
        <v>7243.33</v>
      </c>
      <c r="J21" s="12">
        <f>IFERROR('Data Sheet'!I27,0)</f>
        <v>8097.17</v>
      </c>
      <c r="K21" s="12">
        <f>IFERROR('Data Sheet'!J27,0)</f>
        <v>9311.86</v>
      </c>
      <c r="L21" s="12">
        <f>IFERROR('Data Sheet'!K27,0)</f>
        <v>10225.48</v>
      </c>
      <c r="M21" s="12">
        <f>IFERROR(SUM('Data Sheet'!H46:K46),0)</f>
        <v>10393.66</v>
      </c>
    </row>
    <row r="22" spans="2:13" x14ac:dyDescent="0.25">
      <c r="B22" s="15" t="s">
        <v>16</v>
      </c>
      <c r="C22" s="17">
        <f>C21/C6</f>
        <v>2.0398425210512945E-2</v>
      </c>
      <c r="D22" s="17">
        <f t="shared" ref="D22:M22" si="7">D21/D6</f>
        <v>1.8473585814932098E-2</v>
      </c>
      <c r="E22" s="17">
        <f t="shared" si="7"/>
        <v>1.7905727101993223E-2</v>
      </c>
      <c r="F22" s="17">
        <f t="shared" si="7"/>
        <v>1.5714229512714312E-2</v>
      </c>
      <c r="G22" s="17">
        <f t="shared" si="7"/>
        <v>1.605824830060304E-2</v>
      </c>
      <c r="H22" s="17">
        <f t="shared" si="7"/>
        <v>1.9072102124141878E-2</v>
      </c>
      <c r="I22" s="17">
        <f t="shared" si="7"/>
        <v>2.7744996829752802E-2</v>
      </c>
      <c r="J22" s="17">
        <f t="shared" si="7"/>
        <v>3.2415292955516477E-2</v>
      </c>
      <c r="K22" s="17">
        <f t="shared" si="7"/>
        <v>3.3441332168710897E-2</v>
      </c>
      <c r="L22" s="17">
        <f t="shared" si="7"/>
        <v>2.9556231914277829E-2</v>
      </c>
      <c r="M22" s="17">
        <f t="shared" si="7"/>
        <v>2.452064684062457E-2</v>
      </c>
    </row>
    <row r="24" spans="2:13" x14ac:dyDescent="0.25">
      <c r="B24" s="169" t="s">
        <v>17</v>
      </c>
      <c r="C24" s="12">
        <f>IFERROR('Data Sheet'!B26,0)</f>
        <v>11078.16</v>
      </c>
      <c r="D24" s="12">
        <f>IFERROR('Data Sheet'!C26,0)</f>
        <v>13388.63</v>
      </c>
      <c r="E24" s="12">
        <f>IFERROR('Data Sheet'!D26,0)</f>
        <v>16710.78</v>
      </c>
      <c r="F24" s="12">
        <f>IFERROR('Data Sheet'!E26,0)</f>
        <v>17904.990000000002</v>
      </c>
      <c r="G24" s="12">
        <f>IFERROR('Data Sheet'!F26,0)</f>
        <v>21553.59</v>
      </c>
      <c r="H24" s="12">
        <f>IFERROR('Data Sheet'!G26,0)</f>
        <v>23590.63</v>
      </c>
      <c r="I24" s="12">
        <f>IFERROR('Data Sheet'!H26,0)</f>
        <v>21425.43</v>
      </c>
      <c r="J24" s="12">
        <f>IFERROR('Data Sheet'!I26,0)</f>
        <v>23546.71</v>
      </c>
      <c r="K24" s="12">
        <f>IFERROR('Data Sheet'!J26,0)</f>
        <v>24835.69</v>
      </c>
      <c r="L24" s="12">
        <f>IFERROR('Data Sheet'!K26,0)</f>
        <v>24860.36</v>
      </c>
      <c r="M24" s="12">
        <f>IFERROR(SUM('Data Sheet'!H45:K45),0)</f>
        <v>27169.800000000003</v>
      </c>
    </row>
    <row r="25" spans="2:13" x14ac:dyDescent="0.25">
      <c r="B25" s="15" t="s">
        <v>18</v>
      </c>
      <c r="C25" s="17">
        <f>C24/C6</f>
        <v>4.757971849946438E-2</v>
      </c>
      <c r="D25" s="17">
        <f t="shared" ref="D25:M25" si="8">D24/D6</f>
        <v>5.0876584184966822E-2</v>
      </c>
      <c r="E25" s="17">
        <f t="shared" si="8"/>
        <v>6.1201425695927715E-2</v>
      </c>
      <c r="F25" s="17">
        <f t="shared" si="8"/>
        <v>6.63903865924938E-2</v>
      </c>
      <c r="G25" s="17">
        <f t="shared" si="8"/>
        <v>7.3927472182518786E-2</v>
      </c>
      <c r="H25" s="17">
        <f t="shared" si="8"/>
        <v>7.8130605447998658E-2</v>
      </c>
      <c r="I25" s="17">
        <f t="shared" si="8"/>
        <v>8.206839774331566E-2</v>
      </c>
      <c r="J25" s="17">
        <f t="shared" si="8"/>
        <v>9.4264230933596482E-2</v>
      </c>
      <c r="K25" s="17">
        <f t="shared" si="8"/>
        <v>8.9191478279219347E-2</v>
      </c>
      <c r="L25" s="17">
        <f t="shared" si="8"/>
        <v>7.1857611147098821E-2</v>
      </c>
      <c r="M25" s="17">
        <f t="shared" si="8"/>
        <v>6.4098793931146633E-2</v>
      </c>
    </row>
    <row r="27" spans="2:13" x14ac:dyDescent="0.25">
      <c r="B27" s="170" t="s">
        <v>19</v>
      </c>
      <c r="C27" s="23">
        <f>IFERROR(C18-SUM(C21,C24),0)</f>
        <v>19025.759999999973</v>
      </c>
      <c r="D27" s="23">
        <f t="shared" ref="D27:M27" si="9">IFERROR(D18-SUM(D21,D24),0)</f>
        <v>20988.529999999981</v>
      </c>
      <c r="E27" s="23">
        <f t="shared" si="9"/>
        <v>16795.38999999997</v>
      </c>
      <c r="F27" s="23">
        <f t="shared" si="9"/>
        <v>7445.690000000046</v>
      </c>
      <c r="G27" s="23">
        <f t="shared" si="9"/>
        <v>5222.299999999992</v>
      </c>
      <c r="H27" s="23">
        <f t="shared" si="9"/>
        <v>-4684.8999999999796</v>
      </c>
      <c r="I27" s="23">
        <f t="shared" si="9"/>
        <v>-10681.690000000039</v>
      </c>
      <c r="J27" s="23">
        <f t="shared" si="9"/>
        <v>643.549999999992</v>
      </c>
      <c r="K27" s="23">
        <f t="shared" si="9"/>
        <v>-9427.4599999999882</v>
      </c>
      <c r="L27" s="23">
        <f t="shared" si="9"/>
        <v>-3270.0400000000373</v>
      </c>
      <c r="M27" s="23">
        <f t="shared" si="9"/>
        <v>17953.969999999987</v>
      </c>
    </row>
    <row r="28" spans="2:13" x14ac:dyDescent="0.25">
      <c r="B28" s="15" t="s">
        <v>20</v>
      </c>
      <c r="C28" s="17">
        <f>C27/C6</f>
        <v>8.1713958368390432E-2</v>
      </c>
      <c r="D28" s="17">
        <f t="shared" ref="D28:M28" si="10">D27/D6</f>
        <v>7.9756085085905037E-2</v>
      </c>
      <c r="E28" s="17">
        <f t="shared" si="10"/>
        <v>6.1511300676516931E-2</v>
      </c>
      <c r="F28" s="17">
        <f t="shared" si="10"/>
        <v>2.7608071132565179E-2</v>
      </c>
      <c r="G28" s="17">
        <f t="shared" si="10"/>
        <v>1.7912163958707913E-2</v>
      </c>
      <c r="H28" s="17">
        <f t="shared" si="10"/>
        <v>-1.5516078776333117E-2</v>
      </c>
      <c r="I28" s="17">
        <f t="shared" si="10"/>
        <v>-4.0915360088026265E-2</v>
      </c>
      <c r="J28" s="17">
        <f t="shared" si="10"/>
        <v>2.5763151547420113E-3</v>
      </c>
      <c r="K28" s="17">
        <f t="shared" si="10"/>
        <v>-3.3856482095653805E-2</v>
      </c>
      <c r="L28" s="17">
        <f t="shared" si="10"/>
        <v>-9.4518849588445895E-3</v>
      </c>
      <c r="M28" s="17">
        <f t="shared" si="10"/>
        <v>4.2356875033161372E-2</v>
      </c>
    </row>
    <row r="30" spans="2:13" x14ac:dyDescent="0.25">
      <c r="B30" s="169" t="s">
        <v>21</v>
      </c>
      <c r="C30" s="13">
        <f>IFERROR('Data Sheet'!B29,0)</f>
        <v>4764.79</v>
      </c>
      <c r="D30" s="13">
        <f>IFERROR('Data Sheet'!C29,0)</f>
        <v>7642.91</v>
      </c>
      <c r="E30" s="13">
        <f>IFERROR('Data Sheet'!D29,0)</f>
        <v>3025.05</v>
      </c>
      <c r="F30" s="13">
        <f>IFERROR('Data Sheet'!E29,0)</f>
        <v>3251.23</v>
      </c>
      <c r="G30" s="13">
        <f>IFERROR('Data Sheet'!F29,0)</f>
        <v>4341.93</v>
      </c>
      <c r="H30" s="13">
        <f>IFERROR('Data Sheet'!G29,0)</f>
        <v>-2437.4499999999998</v>
      </c>
      <c r="I30" s="13">
        <f>IFERROR('Data Sheet'!H29,0)</f>
        <v>395.25</v>
      </c>
      <c r="J30" s="13">
        <f>IFERROR('Data Sheet'!I29,0)</f>
        <v>2541.86</v>
      </c>
      <c r="K30" s="13">
        <f>IFERROR('Data Sheet'!J29,0)</f>
        <v>4231.29</v>
      </c>
      <c r="L30" s="13">
        <f>IFERROR('Data Sheet'!K29,0)</f>
        <v>704.06</v>
      </c>
      <c r="M30" s="13">
        <f>IFERROR(SUM('Data Sheet'!H48:K48),0)</f>
        <v>3686.9900000000002</v>
      </c>
    </row>
    <row r="31" spans="2:13" x14ac:dyDescent="0.25">
      <c r="B31" s="15" t="s">
        <v>22</v>
      </c>
      <c r="C31" s="17">
        <f>C30/C27</f>
        <v>0.25043887865714731</v>
      </c>
      <c r="D31" s="17">
        <f t="shared" ref="D31:M31" si="11">D30/D27</f>
        <v>0.3641469888553418</v>
      </c>
      <c r="E31" s="17">
        <f t="shared" si="11"/>
        <v>0.18011192356950362</v>
      </c>
      <c r="F31" s="17">
        <f t="shared" si="11"/>
        <v>0.43665932908836924</v>
      </c>
      <c r="G31" s="17">
        <f t="shared" si="11"/>
        <v>0.8314210213890445</v>
      </c>
      <c r="H31" s="17">
        <f t="shared" si="11"/>
        <v>0.52027791414971725</v>
      </c>
      <c r="I31" s="17">
        <f t="shared" si="11"/>
        <v>-3.7002571690434617E-2</v>
      </c>
      <c r="J31" s="17">
        <f t="shared" si="11"/>
        <v>3.9497474943672315</v>
      </c>
      <c r="K31" s="17">
        <f t="shared" si="11"/>
        <v>-0.4488260888935095</v>
      </c>
      <c r="L31" s="17">
        <f t="shared" si="11"/>
        <v>-0.21530623478611635</v>
      </c>
      <c r="M31" s="17">
        <f t="shared" si="11"/>
        <v>0.20535792362357758</v>
      </c>
    </row>
    <row r="33" spans="1:13" x14ac:dyDescent="0.25">
      <c r="B33" s="170" t="s">
        <v>23</v>
      </c>
      <c r="C33" s="23">
        <f>C27-C30</f>
        <v>14260.969999999972</v>
      </c>
      <c r="D33" s="23">
        <f t="shared" ref="D33:M33" si="12">D27-D30</f>
        <v>13345.619999999981</v>
      </c>
      <c r="E33" s="23">
        <f t="shared" si="12"/>
        <v>13770.339999999971</v>
      </c>
      <c r="F33" s="23">
        <f t="shared" si="12"/>
        <v>4194.4600000000464</v>
      </c>
      <c r="G33" s="23">
        <f t="shared" si="12"/>
        <v>880.36999999999171</v>
      </c>
      <c r="H33" s="23">
        <f t="shared" si="12"/>
        <v>-2247.4499999999798</v>
      </c>
      <c r="I33" s="23">
        <f t="shared" si="12"/>
        <v>-11076.940000000039</v>
      </c>
      <c r="J33" s="23">
        <f t="shared" si="12"/>
        <v>-1898.3100000000081</v>
      </c>
      <c r="K33" s="23">
        <f t="shared" si="12"/>
        <v>-13658.749999999989</v>
      </c>
      <c r="L33" s="23">
        <f t="shared" si="12"/>
        <v>-3974.1000000000372</v>
      </c>
      <c r="M33" s="23">
        <f t="shared" si="12"/>
        <v>14266.979999999987</v>
      </c>
    </row>
    <row r="34" spans="1:13" x14ac:dyDescent="0.25">
      <c r="B34" s="15" t="s">
        <v>24</v>
      </c>
      <c r="C34" s="17">
        <f>C33/C6</f>
        <v>6.124960626397391E-2</v>
      </c>
      <c r="D34" s="17">
        <f t="shared" ref="D34:M34" si="13">D33/D6</f>
        <v>5.0713146858982282E-2</v>
      </c>
      <c r="E34" s="17">
        <f t="shared" si="13"/>
        <v>5.0432381990407359E-2</v>
      </c>
      <c r="F34" s="17">
        <f t="shared" si="13"/>
        <v>1.5552749314395296E-2</v>
      </c>
      <c r="G34" s="17">
        <f t="shared" si="13"/>
        <v>3.01961430487095E-3</v>
      </c>
      <c r="H34" s="17">
        <f t="shared" si="13"/>
        <v>-7.4434056747998256E-3</v>
      </c>
      <c r="I34" s="17">
        <f t="shared" si="13"/>
        <v>-4.2429333632923408E-2</v>
      </c>
      <c r="J34" s="17">
        <f t="shared" si="13"/>
        <v>-7.5994791724005731E-3</v>
      </c>
      <c r="K34" s="17">
        <f t="shared" si="13"/>
        <v>-4.9052154538339235E-2</v>
      </c>
      <c r="L34" s="17">
        <f t="shared" si="13"/>
        <v>-1.1486934720964945E-2</v>
      </c>
      <c r="M34" s="17">
        <f t="shared" si="13"/>
        <v>3.3658555125168001E-2</v>
      </c>
    </row>
    <row r="36" spans="1:13" x14ac:dyDescent="0.25">
      <c r="B36" s="169" t="s">
        <v>25</v>
      </c>
      <c r="C36">
        <f>IFERROR('Data Sheet'!B93,0)</f>
        <v>288.74</v>
      </c>
      <c r="D36">
        <f>IFERROR('Data Sheet'!C93,0)</f>
        <v>288.74</v>
      </c>
      <c r="E36">
        <f>IFERROR('Data Sheet'!D93,0)</f>
        <v>288.72000000000003</v>
      </c>
      <c r="F36">
        <f>IFERROR('Data Sheet'!E93,0)</f>
        <v>288.73</v>
      </c>
      <c r="G36">
        <f>IFERROR('Data Sheet'!F93,0)</f>
        <v>288.73</v>
      </c>
      <c r="H36">
        <f>IFERROR('Data Sheet'!G93,0)</f>
        <v>288.73</v>
      </c>
      <c r="I36">
        <f>IFERROR('Data Sheet'!H93,0)</f>
        <v>308.89999999999998</v>
      </c>
      <c r="J36">
        <f>IFERROR('Data Sheet'!I93,0)</f>
        <v>332.03</v>
      </c>
      <c r="K36">
        <f>IFERROR('Data Sheet'!J93,0)</f>
        <v>332.07</v>
      </c>
      <c r="L36">
        <f>IFERROR('Data Sheet'!K93,0)</f>
        <v>332.13</v>
      </c>
      <c r="M36">
        <f>L36</f>
        <v>332.13</v>
      </c>
    </row>
    <row r="38" spans="1:13" x14ac:dyDescent="0.25">
      <c r="B38" s="169" t="s">
        <v>26</v>
      </c>
      <c r="C38" s="13">
        <f>IFERROR(C33/C36,0)</f>
        <v>49.390351180993186</v>
      </c>
      <c r="D38" s="13">
        <f t="shared" ref="D38:M38" si="14">IFERROR(D33/D36,0)</f>
        <v>46.220198102098706</v>
      </c>
      <c r="E38" s="13">
        <f t="shared" si="14"/>
        <v>47.694444444444336</v>
      </c>
      <c r="F38" s="13">
        <f t="shared" si="14"/>
        <v>14.527274616423808</v>
      </c>
      <c r="G38" s="13">
        <f t="shared" si="14"/>
        <v>3.049111626779315</v>
      </c>
      <c r="H38" s="13">
        <f t="shared" si="14"/>
        <v>-7.7839157690575265</v>
      </c>
      <c r="I38" s="13">
        <f t="shared" si="14"/>
        <v>-35.859307219164904</v>
      </c>
      <c r="J38" s="13">
        <f t="shared" si="14"/>
        <v>-5.7172845827184542</v>
      </c>
      <c r="K38" s="13">
        <f t="shared" si="14"/>
        <v>-41.132140813683833</v>
      </c>
      <c r="L38" s="13">
        <f t="shared" si="14"/>
        <v>-11.965495438533218</v>
      </c>
      <c r="M38" s="13">
        <f t="shared" si="14"/>
        <v>42.956011200433529</v>
      </c>
    </row>
    <row r="39" spans="1:13" x14ac:dyDescent="0.25">
      <c r="B39" s="15" t="s">
        <v>27</v>
      </c>
      <c r="C39" s="17"/>
      <c r="D39" s="17">
        <f>IFERROR(D38/C38-1,0)</f>
        <v>-6.4185676009415493E-2</v>
      </c>
      <c r="E39" s="17">
        <f t="shared" ref="E39:M39" si="15">IFERROR(E38/D38-1,0)</f>
        <v>3.189614936502605E-2</v>
      </c>
      <c r="F39" s="17">
        <f t="shared" si="15"/>
        <v>-0.69540950134463697</v>
      </c>
      <c r="G39" s="17">
        <f t="shared" si="15"/>
        <v>-0.79011124197155724</v>
      </c>
      <c r="H39" s="17">
        <f t="shared" si="15"/>
        <v>-3.5528470983790919</v>
      </c>
      <c r="I39" s="17">
        <f t="shared" si="15"/>
        <v>3.6068467700681115</v>
      </c>
      <c r="J39" s="17">
        <f t="shared" si="15"/>
        <v>-0.84056344011958861</v>
      </c>
      <c r="K39" s="17">
        <f t="shared" si="15"/>
        <v>6.194349033807641</v>
      </c>
      <c r="L39" s="17">
        <f t="shared" si="15"/>
        <v>-0.70909621522659627</v>
      </c>
      <c r="M39" s="17">
        <f t="shared" si="15"/>
        <v>-4.5899901864572747</v>
      </c>
    </row>
    <row r="41" spans="1:13" x14ac:dyDescent="0.25">
      <c r="B41" s="169" t="s">
        <v>28</v>
      </c>
      <c r="C41" s="13">
        <f>IFERROR('Data Sheet'!B31/'Historical FS'!C36,0)</f>
        <v>2.2296183417607534</v>
      </c>
      <c r="D41" s="13">
        <f>IFERROR('Data Sheet'!C31/'Historical FS'!D36,0)</f>
        <v>0</v>
      </c>
      <c r="E41" s="13">
        <f>IFERROR('Data Sheet'!D31/'Historical FS'!E36,0)</f>
        <v>0.23524522028262676</v>
      </c>
      <c r="F41" s="13">
        <f>IFERROR('Data Sheet'!E31/'Historical FS'!F36,0)</f>
        <v>0</v>
      </c>
      <c r="G41" s="13">
        <f>IFERROR('Data Sheet'!F31/'Historical FS'!G36,0)</f>
        <v>0</v>
      </c>
      <c r="H41" s="13">
        <f>IFERROR('Data Sheet'!G31/'Historical FS'!H36,0)</f>
        <v>0</v>
      </c>
      <c r="I41" s="13">
        <f>IFERROR('Data Sheet'!H31/'Historical FS'!I36,0)</f>
        <v>0</v>
      </c>
      <c r="J41" s="13">
        <f>IFERROR('Data Sheet'!I31/'Historical FS'!J36,0)</f>
        <v>0</v>
      </c>
      <c r="K41" s="13">
        <f>IFERROR('Data Sheet'!J31/'Historical FS'!K36,0)</f>
        <v>0</v>
      </c>
      <c r="L41" s="13">
        <f>IFERROR('Data Sheet'!K31/'Historical FS'!L36,0)</f>
        <v>2.3063860536536898</v>
      </c>
      <c r="M41" s="13">
        <f>IFERROR('Data Sheet'!L31/'Historical FS'!M36,0)</f>
        <v>0</v>
      </c>
    </row>
    <row r="42" spans="1:13" x14ac:dyDescent="0.25">
      <c r="B42" s="15" t="s">
        <v>29</v>
      </c>
      <c r="C42" s="17">
        <f>IFERROR(C41/C38,0)</f>
        <v>4.5142791829728357E-2</v>
      </c>
      <c r="D42" s="17">
        <f t="shared" ref="D42:M42" si="16">IFERROR(D41/D38,0)</f>
        <v>0</v>
      </c>
      <c r="E42" s="17">
        <f t="shared" si="16"/>
        <v>4.9323400874633563E-3</v>
      </c>
      <c r="F42" s="17">
        <f t="shared" si="16"/>
        <v>0</v>
      </c>
      <c r="G42" s="17">
        <f t="shared" si="16"/>
        <v>0</v>
      </c>
      <c r="H42" s="17">
        <f t="shared" si="16"/>
        <v>0</v>
      </c>
      <c r="I42" s="17">
        <f t="shared" si="16"/>
        <v>0</v>
      </c>
      <c r="J42" s="17">
        <f t="shared" si="16"/>
        <v>0</v>
      </c>
      <c r="K42" s="17">
        <f t="shared" si="16"/>
        <v>0</v>
      </c>
      <c r="L42" s="17">
        <f t="shared" si="16"/>
        <v>-0.19275307616818721</v>
      </c>
      <c r="M42" s="17">
        <f t="shared" si="16"/>
        <v>0</v>
      </c>
    </row>
    <row r="44" spans="1:13" x14ac:dyDescent="0.25">
      <c r="B44" s="169" t="s">
        <v>30</v>
      </c>
      <c r="C44" s="14">
        <f>IFERROR(IF(C38&gt;C41,1-C42,0),0)</f>
        <v>0.95485720817027164</v>
      </c>
      <c r="D44" s="14">
        <f t="shared" ref="D44:M44" si="17">IFERROR(IF(D38&gt;D41,1-D42,0),0)</f>
        <v>1</v>
      </c>
      <c r="E44" s="14">
        <f t="shared" si="17"/>
        <v>0.99506765991253665</v>
      </c>
      <c r="F44" s="14">
        <f t="shared" si="17"/>
        <v>1</v>
      </c>
      <c r="G44" s="14">
        <f t="shared" si="17"/>
        <v>1</v>
      </c>
      <c r="H44" s="14">
        <f t="shared" si="17"/>
        <v>0</v>
      </c>
      <c r="I44" s="14">
        <f t="shared" si="17"/>
        <v>0</v>
      </c>
      <c r="J44" s="14">
        <f t="shared" si="17"/>
        <v>0</v>
      </c>
      <c r="K44" s="14">
        <f t="shared" si="17"/>
        <v>0</v>
      </c>
      <c r="L44" s="14">
        <f t="shared" si="17"/>
        <v>0</v>
      </c>
      <c r="M44" s="14">
        <f t="shared" si="17"/>
        <v>1</v>
      </c>
    </row>
    <row r="46" spans="1:13" x14ac:dyDescent="0.25">
      <c r="A46" t="s">
        <v>2</v>
      </c>
      <c r="B46" s="18" t="s">
        <v>31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x14ac:dyDescent="0.25">
      <c r="B47" s="171" t="s">
        <v>32</v>
      </c>
      <c r="C47" s="13">
        <f>IFERROR('Data Sheet'!B57,0)</f>
        <v>643.78</v>
      </c>
      <c r="D47" s="13">
        <f>IFERROR('Data Sheet'!C57,0)</f>
        <v>643.78</v>
      </c>
      <c r="E47" s="13">
        <f>IFERROR('Data Sheet'!D57,0)</f>
        <v>679.18</v>
      </c>
      <c r="F47" s="13">
        <f>IFERROR('Data Sheet'!E57,0)</f>
        <v>679.22</v>
      </c>
      <c r="G47" s="13">
        <f>IFERROR('Data Sheet'!F57,0)</f>
        <v>679.22</v>
      </c>
      <c r="H47" s="13">
        <f>IFERROR('Data Sheet'!G57,0)</f>
        <v>679.22</v>
      </c>
      <c r="I47" s="13">
        <f>IFERROR('Data Sheet'!H57,0)</f>
        <v>719.54</v>
      </c>
      <c r="J47" s="13">
        <f>IFERROR('Data Sheet'!I57,0)</f>
        <v>765.81</v>
      </c>
      <c r="K47" s="13">
        <f>IFERROR('Data Sheet'!J57,0)</f>
        <v>765.88</v>
      </c>
      <c r="L47" s="13">
        <f>IFERROR('Data Sheet'!K57,0)</f>
        <v>766.02</v>
      </c>
    </row>
    <row r="48" spans="1:13" x14ac:dyDescent="0.25">
      <c r="B48" s="171" t="s">
        <v>33</v>
      </c>
      <c r="C48" s="13">
        <f>IFERROR('Data Sheet'!B58,0)</f>
        <v>64959.67</v>
      </c>
      <c r="D48" s="13">
        <f>IFERROR('Data Sheet'!C58,0)</f>
        <v>55618.14</v>
      </c>
      <c r="E48" s="13">
        <f>IFERROR('Data Sheet'!D58,0)</f>
        <v>78273.23</v>
      </c>
      <c r="F48" s="13">
        <f>IFERROR('Data Sheet'!E58,0)</f>
        <v>57382.67</v>
      </c>
      <c r="G48" s="13">
        <f>IFERROR('Data Sheet'!F58,0)</f>
        <v>94748.69</v>
      </c>
      <c r="H48" s="13">
        <f>IFERROR('Data Sheet'!G58,0)</f>
        <v>59500.34</v>
      </c>
      <c r="I48" s="13">
        <f>IFERROR('Data Sheet'!H58,0)</f>
        <v>61491.49</v>
      </c>
      <c r="J48" s="13">
        <f>IFERROR('Data Sheet'!I58,0)</f>
        <v>54480.91</v>
      </c>
      <c r="K48" s="13">
        <f>IFERROR('Data Sheet'!J58,0)</f>
        <v>43795.360000000001</v>
      </c>
      <c r="L48" s="13">
        <f>IFERROR('Data Sheet'!K58,0)</f>
        <v>44555.77</v>
      </c>
    </row>
    <row r="49" spans="2:12" x14ac:dyDescent="0.25">
      <c r="B49" s="171" t="s">
        <v>34</v>
      </c>
      <c r="C49" s="13">
        <f>IFERROR('Data Sheet'!B59,0)</f>
        <v>60642.28</v>
      </c>
      <c r="D49" s="13">
        <f>IFERROR('Data Sheet'!C59,0)</f>
        <v>73610.39</v>
      </c>
      <c r="E49" s="13">
        <f>IFERROR('Data Sheet'!D59,0)</f>
        <v>69359.960000000006</v>
      </c>
      <c r="F49" s="13">
        <f>IFERROR('Data Sheet'!E59,0)</f>
        <v>78603.98</v>
      </c>
      <c r="G49" s="13">
        <f>IFERROR('Data Sheet'!F59,0)</f>
        <v>88950.47</v>
      </c>
      <c r="H49" s="13">
        <f>IFERROR('Data Sheet'!G59,0)</f>
        <v>106175.34</v>
      </c>
      <c r="I49" s="13">
        <f>IFERROR('Data Sheet'!H59,0)</f>
        <v>124787.64</v>
      </c>
      <c r="J49" s="13">
        <f>IFERROR('Data Sheet'!I59,0)</f>
        <v>142130.57</v>
      </c>
      <c r="K49" s="13">
        <f>IFERROR('Data Sheet'!J59,0)</f>
        <v>146449.03</v>
      </c>
      <c r="L49" s="13">
        <f>IFERROR('Data Sheet'!K59,0)</f>
        <v>134113.44</v>
      </c>
    </row>
    <row r="50" spans="2:12" x14ac:dyDescent="0.25">
      <c r="B50" s="171" t="s">
        <v>35</v>
      </c>
      <c r="C50" s="13">
        <f>IFERROR('Data Sheet'!B60,0)</f>
        <v>92180.26</v>
      </c>
      <c r="D50" s="13">
        <f>IFERROR('Data Sheet'!C60,0)</f>
        <v>107442.48</v>
      </c>
      <c r="E50" s="13">
        <f>IFERROR('Data Sheet'!D60,0)</f>
        <v>114871.75</v>
      </c>
      <c r="F50" s="13">
        <f>IFERROR('Data Sheet'!E60,0)</f>
        <v>135914.49</v>
      </c>
      <c r="G50" s="13">
        <f>IFERROR('Data Sheet'!F60,0)</f>
        <v>142813.43</v>
      </c>
      <c r="H50" s="13">
        <f>IFERROR('Data Sheet'!G60,0)</f>
        <v>139348.59</v>
      </c>
      <c r="I50" s="13">
        <f>IFERROR('Data Sheet'!H60,0)</f>
        <v>133180.72</v>
      </c>
      <c r="J50" s="13">
        <f>IFERROR('Data Sheet'!I60,0)</f>
        <v>144192.62</v>
      </c>
      <c r="K50" s="13">
        <f>IFERROR('Data Sheet'!J60,0)</f>
        <v>138051.22</v>
      </c>
      <c r="L50" s="13">
        <f>IFERROR('Data Sheet'!K60,0)</f>
        <v>155239.20000000001</v>
      </c>
    </row>
    <row r="51" spans="2:12" x14ac:dyDescent="0.25">
      <c r="B51" s="172" t="s">
        <v>36</v>
      </c>
      <c r="C51" s="23">
        <f>IFERROR('Data Sheet'!B61,0)</f>
        <v>218425.99</v>
      </c>
      <c r="D51" s="23">
        <f>IFERROR('Data Sheet'!C61,0)</f>
        <v>237314.79</v>
      </c>
      <c r="E51" s="23">
        <f>IFERROR('Data Sheet'!D61,0)</f>
        <v>263184.12</v>
      </c>
      <c r="F51" s="23">
        <f>IFERROR('Data Sheet'!E61,0)</f>
        <v>272580.36</v>
      </c>
      <c r="G51" s="23">
        <f>IFERROR('Data Sheet'!F61,0)</f>
        <v>327191.81</v>
      </c>
      <c r="H51" s="23">
        <f>IFERROR('Data Sheet'!G61,0)</f>
        <v>305703.49</v>
      </c>
      <c r="I51" s="23">
        <f>IFERROR('Data Sheet'!H61,0)</f>
        <v>320179.39</v>
      </c>
      <c r="J51" s="23">
        <f>IFERROR('Data Sheet'!I61,0)</f>
        <v>341569.91</v>
      </c>
      <c r="K51" s="23">
        <f>IFERROR('Data Sheet'!J61,0)</f>
        <v>329061.49</v>
      </c>
      <c r="L51" s="23">
        <f>IFERROR('Data Sheet'!K61,0)</f>
        <v>334674.43</v>
      </c>
    </row>
    <row r="52" spans="2:12" x14ac:dyDescent="0.25">
      <c r="B52" s="1"/>
    </row>
    <row r="53" spans="2:12" x14ac:dyDescent="0.25">
      <c r="B53" s="171" t="s">
        <v>37</v>
      </c>
      <c r="C53" s="13">
        <f>IFERROR('Data Sheet'!B62,0)</f>
        <v>69091.67</v>
      </c>
      <c r="D53" s="13">
        <f>IFERROR('Data Sheet'!C62,0)</f>
        <v>88479.49</v>
      </c>
      <c r="E53" s="13">
        <f>IFERROR('Data Sheet'!D62,0)</f>
        <v>107231.76</v>
      </c>
      <c r="F53" s="13">
        <f>IFERROR('Data Sheet'!E62,0)</f>
        <v>95944.08</v>
      </c>
      <c r="G53" s="13">
        <f>IFERROR('Data Sheet'!F62,0)</f>
        <v>121413.86</v>
      </c>
      <c r="H53" s="13">
        <f>IFERROR('Data Sheet'!G62,0)</f>
        <v>111234.47</v>
      </c>
      <c r="I53" s="13">
        <f>IFERROR('Data Sheet'!H62,0)</f>
        <v>127107.14</v>
      </c>
      <c r="J53" s="13">
        <f>IFERROR('Data Sheet'!I62,0)</f>
        <v>138707.60999999999</v>
      </c>
      <c r="K53" s="13">
        <f>IFERROR('Data Sheet'!J62,0)</f>
        <v>138855.45000000001</v>
      </c>
      <c r="L53" s="13">
        <f>IFERROR('Data Sheet'!K62,0)</f>
        <v>132079.76</v>
      </c>
    </row>
    <row r="54" spans="2:12" x14ac:dyDescent="0.25">
      <c r="B54" s="171" t="s">
        <v>38</v>
      </c>
      <c r="C54" s="13">
        <f>IFERROR('Data Sheet'!B63,0)</f>
        <v>33262.559999999998</v>
      </c>
      <c r="D54" s="13">
        <f>IFERROR('Data Sheet'!C63,0)</f>
        <v>28640.09</v>
      </c>
      <c r="E54" s="13">
        <f>IFERROR('Data Sheet'!D63,0)</f>
        <v>25918.94</v>
      </c>
      <c r="F54" s="13">
        <f>IFERROR('Data Sheet'!E63,0)</f>
        <v>33698.839999999997</v>
      </c>
      <c r="G54" s="13">
        <f>IFERROR('Data Sheet'!F63,0)</f>
        <v>40033.5</v>
      </c>
      <c r="H54" s="13">
        <f>IFERROR('Data Sheet'!G63,0)</f>
        <v>31883.84</v>
      </c>
      <c r="I54" s="13">
        <f>IFERROR('Data Sheet'!H63,0)</f>
        <v>35622.29</v>
      </c>
      <c r="J54" s="13">
        <f>IFERROR('Data Sheet'!I63,0)</f>
        <v>20963.93</v>
      </c>
      <c r="K54" s="13">
        <f>IFERROR('Data Sheet'!J63,0)</f>
        <v>10251.09</v>
      </c>
      <c r="L54" s="13">
        <f>IFERROR('Data Sheet'!K63,0)</f>
        <v>14274.5</v>
      </c>
    </row>
    <row r="55" spans="2:12" x14ac:dyDescent="0.25">
      <c r="B55" s="171" t="s">
        <v>39</v>
      </c>
      <c r="C55" s="13">
        <f>IFERROR('Data Sheet'!B64,0)</f>
        <v>10686.67</v>
      </c>
      <c r="D55" s="13">
        <f>IFERROR('Data Sheet'!C64,0)</f>
        <v>15336.74</v>
      </c>
      <c r="E55" s="13">
        <f>IFERROR('Data Sheet'!D64,0)</f>
        <v>23767.02</v>
      </c>
      <c r="F55" s="13">
        <f>IFERROR('Data Sheet'!E64,0)</f>
        <v>20337.919999999998</v>
      </c>
      <c r="G55" s="13">
        <f>IFERROR('Data Sheet'!F64,0)</f>
        <v>20812.75</v>
      </c>
      <c r="H55" s="13">
        <f>IFERROR('Data Sheet'!G64,0)</f>
        <v>15770.72</v>
      </c>
      <c r="I55" s="13">
        <f>IFERROR('Data Sheet'!H64,0)</f>
        <v>16308.48</v>
      </c>
      <c r="J55" s="13">
        <f>IFERROR('Data Sheet'!I64,0)</f>
        <v>24620.28</v>
      </c>
      <c r="K55" s="13">
        <f>IFERROR('Data Sheet'!J64,0)</f>
        <v>29379.53</v>
      </c>
      <c r="L55" s="13">
        <f>IFERROR('Data Sheet'!K64,0)</f>
        <v>26379.16</v>
      </c>
    </row>
    <row r="56" spans="2:12" x14ac:dyDescent="0.25">
      <c r="B56" s="171" t="s">
        <v>40</v>
      </c>
      <c r="C56" s="13">
        <f>IFERROR('Data Sheet'!B65-SUM('Data Sheet'!B67:B69),0)</f>
        <v>37828.179999999993</v>
      </c>
      <c r="D56" s="13">
        <f>IFERROR('Data Sheet'!C65-SUM('Data Sheet'!C67:C69),0)</f>
        <v>30891.17</v>
      </c>
      <c r="E56" s="13">
        <f>IFERROR('Data Sheet'!D65-SUM('Data Sheet'!D67:D69),0)</f>
        <v>29579.359999999986</v>
      </c>
      <c r="F56" s="13">
        <f>IFERROR('Data Sheet'!E65-SUM('Data Sheet'!E67:E69),0)</f>
        <v>37360.780000000013</v>
      </c>
      <c r="G56" s="13">
        <f>IFERROR('Data Sheet'!F65-SUM('Data Sheet'!F67:F69),0)</f>
        <v>48286.860000000015</v>
      </c>
      <c r="H56" s="13">
        <f>IFERROR('Data Sheet'!G65-SUM('Data Sheet'!G67:G69),0)</f>
        <v>56155.739999999991</v>
      </c>
      <c r="I56" s="13">
        <f>IFERROR('Data Sheet'!H65-SUM('Data Sheet'!H67:H69),0)</f>
        <v>58784.94</v>
      </c>
      <c r="J56" s="13">
        <f>IFERROR('Data Sheet'!I65-SUM('Data Sheet'!I67:I69),0)</f>
        <v>61717.959999999992</v>
      </c>
      <c r="K56" s="13">
        <f>IFERROR('Data Sheet'!J65-SUM('Data Sheet'!J67:J69),0)</f>
        <v>62223.770000000019</v>
      </c>
      <c r="L56" s="13">
        <f>IFERROR('Data Sheet'!K65-SUM('Data Sheet'!K67:K69),0)</f>
        <v>68432.090000000011</v>
      </c>
    </row>
    <row r="57" spans="2:12" x14ac:dyDescent="0.25">
      <c r="B57" s="172" t="s">
        <v>41</v>
      </c>
      <c r="C57" s="23">
        <f>SUM(C53:C56)</f>
        <v>150869.07999999999</v>
      </c>
      <c r="D57" s="23">
        <f t="shared" ref="D57:L57" si="18">SUM(D53:D56)</f>
        <v>163347.49</v>
      </c>
      <c r="E57" s="23">
        <f t="shared" si="18"/>
        <v>186497.07999999996</v>
      </c>
      <c r="F57" s="23">
        <f t="shared" si="18"/>
        <v>187341.62</v>
      </c>
      <c r="G57" s="23">
        <f t="shared" si="18"/>
        <v>230546.97</v>
      </c>
      <c r="H57" s="23">
        <f t="shared" si="18"/>
        <v>215044.77</v>
      </c>
      <c r="I57" s="23">
        <f t="shared" si="18"/>
        <v>237822.85</v>
      </c>
      <c r="J57" s="23">
        <f t="shared" si="18"/>
        <v>246009.77999999997</v>
      </c>
      <c r="K57" s="23">
        <f t="shared" si="18"/>
        <v>240709.84000000003</v>
      </c>
      <c r="L57" s="23">
        <f t="shared" si="18"/>
        <v>241165.51</v>
      </c>
    </row>
    <row r="58" spans="2:12" x14ac:dyDescent="0.25">
      <c r="B58" s="1"/>
    </row>
    <row r="59" spans="2:12" x14ac:dyDescent="0.25">
      <c r="B59" s="171" t="s">
        <v>42</v>
      </c>
      <c r="C59" s="13">
        <f>IFERROR('Data Sheet'!B67,0)</f>
        <v>10574.23</v>
      </c>
      <c r="D59" s="13">
        <f>IFERROR('Data Sheet'!C67,0)</f>
        <v>12579.2</v>
      </c>
      <c r="E59" s="13">
        <f>IFERROR('Data Sheet'!D67,0)</f>
        <v>13570.91</v>
      </c>
      <c r="F59" s="13">
        <f>IFERROR('Data Sheet'!E67,0)</f>
        <v>14075.55</v>
      </c>
      <c r="G59" s="13">
        <f>IFERROR('Data Sheet'!F67,0)</f>
        <v>19893.3</v>
      </c>
      <c r="H59" s="13">
        <f>IFERROR('Data Sheet'!G67,0)</f>
        <v>18996.169999999998</v>
      </c>
      <c r="I59" s="13">
        <f>IFERROR('Data Sheet'!H67,0)</f>
        <v>11172.69</v>
      </c>
      <c r="J59" s="13">
        <f>IFERROR('Data Sheet'!I67,0)</f>
        <v>12679.08</v>
      </c>
      <c r="K59" s="13">
        <f>IFERROR('Data Sheet'!J67,0)</f>
        <v>12442.12</v>
      </c>
      <c r="L59" s="13">
        <f>IFERROR('Data Sheet'!K67,0)</f>
        <v>15737.97</v>
      </c>
    </row>
    <row r="60" spans="2:12" x14ac:dyDescent="0.25">
      <c r="B60" s="171" t="s">
        <v>43</v>
      </c>
      <c r="C60" s="13">
        <f>IFERROR('Data Sheet'!B68,0)</f>
        <v>27270.89</v>
      </c>
      <c r="D60" s="13">
        <f>IFERROR('Data Sheet'!C68,0)</f>
        <v>29272.34</v>
      </c>
      <c r="E60" s="13">
        <f>IFERROR('Data Sheet'!D68,0)</f>
        <v>32655.73</v>
      </c>
      <c r="F60" s="13">
        <f>IFERROR('Data Sheet'!E68,0)</f>
        <v>35085.31</v>
      </c>
      <c r="G60" s="13">
        <f>IFERROR('Data Sheet'!F68,0)</f>
        <v>42137.63</v>
      </c>
      <c r="H60" s="13">
        <f>IFERROR('Data Sheet'!G68,0)</f>
        <v>39013.730000000003</v>
      </c>
      <c r="I60" s="13">
        <f>IFERROR('Data Sheet'!H68,0)</f>
        <v>37456.879999999997</v>
      </c>
      <c r="J60" s="13">
        <f>IFERROR('Data Sheet'!I68,0)</f>
        <v>36088.589999999997</v>
      </c>
      <c r="K60" s="13">
        <f>IFERROR('Data Sheet'!J68,0)</f>
        <v>35240.339999999997</v>
      </c>
      <c r="L60" s="13">
        <f>IFERROR('Data Sheet'!K68,0)</f>
        <v>40755.39</v>
      </c>
    </row>
    <row r="61" spans="2:12" x14ac:dyDescent="0.25">
      <c r="B61" s="171" t="s">
        <v>44</v>
      </c>
      <c r="C61" s="13">
        <f>IFERROR('Data Sheet'!B69,0)</f>
        <v>29711.79</v>
      </c>
      <c r="D61" s="13">
        <f>IFERROR('Data Sheet'!C69,0)</f>
        <v>32115.759999999998</v>
      </c>
      <c r="E61" s="13">
        <f>IFERROR('Data Sheet'!D69,0)</f>
        <v>30460.400000000001</v>
      </c>
      <c r="F61" s="13">
        <f>IFERROR('Data Sheet'!E69,0)</f>
        <v>36077.879999999997</v>
      </c>
      <c r="G61" s="13">
        <f>IFERROR('Data Sheet'!F69,0)</f>
        <v>34613.910000000003</v>
      </c>
      <c r="H61" s="13">
        <f>IFERROR('Data Sheet'!G69,0)</f>
        <v>32648.82</v>
      </c>
      <c r="I61" s="13">
        <f>IFERROR('Data Sheet'!H69,0)</f>
        <v>33726.97</v>
      </c>
      <c r="J61" s="13">
        <f>IFERROR('Data Sheet'!I69,0)</f>
        <v>46792.46</v>
      </c>
      <c r="K61" s="13">
        <f>IFERROR('Data Sheet'!J69,0)</f>
        <v>40669.19</v>
      </c>
      <c r="L61" s="13">
        <f>IFERROR('Data Sheet'!K69,0)</f>
        <v>37015.56</v>
      </c>
    </row>
    <row r="62" spans="2:12" x14ac:dyDescent="0.25">
      <c r="B62" s="173" t="s">
        <v>45</v>
      </c>
      <c r="C62" s="23">
        <f>IFERROR(SUM(C59:C61),0)</f>
        <v>67556.91</v>
      </c>
      <c r="D62" s="23">
        <f t="shared" ref="D62:L62" si="19">IFERROR(SUM(D59:D61),0)</f>
        <v>73967.3</v>
      </c>
      <c r="E62" s="23">
        <f t="shared" si="19"/>
        <v>76687.040000000008</v>
      </c>
      <c r="F62" s="23">
        <f t="shared" si="19"/>
        <v>85238.739999999991</v>
      </c>
      <c r="G62" s="23">
        <f t="shared" si="19"/>
        <v>96644.84</v>
      </c>
      <c r="H62" s="23">
        <f t="shared" si="19"/>
        <v>90658.72</v>
      </c>
      <c r="I62" s="23">
        <f t="shared" si="19"/>
        <v>82356.540000000008</v>
      </c>
      <c r="J62" s="23">
        <f t="shared" si="19"/>
        <v>95560.13</v>
      </c>
      <c r="K62" s="23">
        <f t="shared" si="19"/>
        <v>88351.65</v>
      </c>
      <c r="L62" s="23">
        <f t="shared" si="19"/>
        <v>93508.92</v>
      </c>
    </row>
    <row r="63" spans="2:12" x14ac:dyDescent="0.25">
      <c r="B63" s="169"/>
    </row>
    <row r="64" spans="2:12" x14ac:dyDescent="0.25">
      <c r="B64" s="173" t="s">
        <v>46</v>
      </c>
      <c r="C64" s="23">
        <f>IFERROR(C62+C57,0)</f>
        <v>218425.99</v>
      </c>
      <c r="D64" s="23">
        <f t="shared" ref="D64:L64" si="20">IFERROR(D62+D57,0)</f>
        <v>237314.78999999998</v>
      </c>
      <c r="E64" s="23">
        <f t="shared" si="20"/>
        <v>263184.12</v>
      </c>
      <c r="F64" s="23">
        <f t="shared" si="20"/>
        <v>272580.36</v>
      </c>
      <c r="G64" s="23">
        <f t="shared" si="20"/>
        <v>327191.81</v>
      </c>
      <c r="H64" s="23">
        <f t="shared" si="20"/>
        <v>305703.49</v>
      </c>
      <c r="I64" s="23">
        <f t="shared" si="20"/>
        <v>320179.39</v>
      </c>
      <c r="J64" s="23">
        <f t="shared" si="20"/>
        <v>341569.91</v>
      </c>
      <c r="K64" s="23">
        <f t="shared" si="20"/>
        <v>329061.49</v>
      </c>
      <c r="L64" s="23">
        <f t="shared" si="20"/>
        <v>334674.43</v>
      </c>
    </row>
    <row r="65" spans="1:13" x14ac:dyDescent="0.25">
      <c r="B65" s="11"/>
    </row>
    <row r="66" spans="1:13" x14ac:dyDescent="0.25">
      <c r="B66" s="15" t="s">
        <v>47</v>
      </c>
      <c r="C66" s="15" t="b">
        <f>C64=C51</f>
        <v>1</v>
      </c>
      <c r="D66" s="15" t="b">
        <f t="shared" ref="D66:L66" si="21">D64=D51</f>
        <v>1</v>
      </c>
      <c r="E66" s="15" t="b">
        <f t="shared" si="21"/>
        <v>1</v>
      </c>
      <c r="F66" s="15" t="b">
        <f t="shared" si="21"/>
        <v>1</v>
      </c>
      <c r="G66" s="15" t="b">
        <f t="shared" si="21"/>
        <v>1</v>
      </c>
      <c r="H66" s="15" t="b">
        <f t="shared" si="21"/>
        <v>1</v>
      </c>
      <c r="I66" s="15" t="b">
        <f t="shared" si="21"/>
        <v>1</v>
      </c>
      <c r="J66" s="15" t="b">
        <f t="shared" si="21"/>
        <v>1</v>
      </c>
      <c r="K66" s="15" t="b">
        <f t="shared" si="21"/>
        <v>1</v>
      </c>
      <c r="L66" s="15" t="b">
        <f t="shared" si="21"/>
        <v>1</v>
      </c>
    </row>
    <row r="68" spans="1:13" x14ac:dyDescent="0.25">
      <c r="A68" t="s">
        <v>2</v>
      </c>
      <c r="B68" s="18" t="s">
        <v>48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spans="1:13" x14ac:dyDescent="0.25">
      <c r="B69" s="174" t="s">
        <v>49</v>
      </c>
    </row>
    <row r="70" spans="1:13" x14ac:dyDescent="0.25">
      <c r="B70" s="169" t="s">
        <v>50</v>
      </c>
      <c r="C70" s="13">
        <f>IFERROR('Cash Flow Data (Manual)'!E6,0)</f>
        <v>36303</v>
      </c>
      <c r="D70" s="13">
        <f>IFERROR('Cash Flow Data (Manual)'!F6,0)</f>
        <v>43397</v>
      </c>
      <c r="E70" s="13">
        <f>IFERROR('Cash Flow Data (Manual)'!G6,0)</f>
        <v>38626</v>
      </c>
      <c r="F70" s="13">
        <f>IFERROR('Cash Flow Data (Manual)'!H6,0)</f>
        <v>28840</v>
      </c>
      <c r="G70" s="13">
        <f>IFERROR('Cash Flow Data (Manual)'!I6,0)</f>
        <v>33312</v>
      </c>
      <c r="H70" s="13">
        <f>IFERROR('Cash Flow Data (Manual)'!J6,0)</f>
        <v>28771</v>
      </c>
      <c r="I70" s="13">
        <f>IFERROR('Cash Flow Data (Manual)'!K6,0)</f>
        <v>23352</v>
      </c>
      <c r="J70" s="13">
        <f>IFERROR('Cash Flow Data (Manual)'!L6,0)</f>
        <v>31198</v>
      </c>
      <c r="K70" s="13">
        <f>IFERROR('Cash Flow Data (Manual)'!M6,0)</f>
        <v>26943</v>
      </c>
      <c r="L70" s="13">
        <f>IFERROR('Cash Flow Data (Manual)'!N6,0)</f>
        <v>41694</v>
      </c>
    </row>
    <row r="71" spans="1:13" x14ac:dyDescent="0.25">
      <c r="B71" s="169" t="s">
        <v>42</v>
      </c>
      <c r="C71" s="13">
        <f>IFERROR('Cash Flow Data (Manual)'!E7,0)</f>
        <v>445</v>
      </c>
      <c r="D71" s="13">
        <f>IFERROR('Cash Flow Data (Manual)'!F7,0)</f>
        <v>-3179</v>
      </c>
      <c r="E71" s="13">
        <f>IFERROR('Cash Flow Data (Manual)'!G7,0)</f>
        <v>-2223</v>
      </c>
      <c r="F71" s="13">
        <f>IFERROR('Cash Flow Data (Manual)'!H7,0)</f>
        <v>-4152</v>
      </c>
      <c r="G71" s="13">
        <f>IFERROR('Cash Flow Data (Manual)'!I7,0)</f>
        <v>-10688</v>
      </c>
      <c r="H71" s="13">
        <f>IFERROR('Cash Flow Data (Manual)'!J7,0)</f>
        <v>-9109</v>
      </c>
      <c r="I71" s="13">
        <f>IFERROR('Cash Flow Data (Manual)'!K7,0)</f>
        <v>9950</v>
      </c>
      <c r="J71" s="13">
        <f>IFERROR('Cash Flow Data (Manual)'!L7,0)</f>
        <v>-5505</v>
      </c>
      <c r="K71" s="13">
        <f>IFERROR('Cash Flow Data (Manual)'!M7,0)</f>
        <v>185</v>
      </c>
      <c r="L71" s="13">
        <f>IFERROR('Cash Flow Data (Manual)'!N7,0)</f>
        <v>-2213</v>
      </c>
    </row>
    <row r="72" spans="1:13" x14ac:dyDescent="0.25">
      <c r="B72" s="169" t="s">
        <v>43</v>
      </c>
      <c r="C72" s="13">
        <f>IFERROR('Cash Flow Data (Manual)'!E8,0)</f>
        <v>-2853</v>
      </c>
      <c r="D72" s="13">
        <f>IFERROR('Cash Flow Data (Manual)'!F8,0)</f>
        <v>-3692</v>
      </c>
      <c r="E72" s="13">
        <f>IFERROR('Cash Flow Data (Manual)'!G8,0)</f>
        <v>-5743</v>
      </c>
      <c r="F72" s="13">
        <f>IFERROR('Cash Flow Data (Manual)'!H8,0)</f>
        <v>-6621</v>
      </c>
      <c r="G72" s="13">
        <f>IFERROR('Cash Flow Data (Manual)'!I8,0)</f>
        <v>-3560</v>
      </c>
      <c r="H72" s="13">
        <f>IFERROR('Cash Flow Data (Manual)'!J8,0)</f>
        <v>2069</v>
      </c>
      <c r="I72" s="13">
        <f>IFERROR('Cash Flow Data (Manual)'!K8,0)</f>
        <v>2326</v>
      </c>
      <c r="J72" s="13">
        <f>IFERROR('Cash Flow Data (Manual)'!L8,0)</f>
        <v>3814</v>
      </c>
      <c r="K72" s="13">
        <f>IFERROR('Cash Flow Data (Manual)'!M8,0)</f>
        <v>472</v>
      </c>
      <c r="L72" s="13">
        <f>IFERROR('Cash Flow Data (Manual)'!N8,0)</f>
        <v>-5665</v>
      </c>
    </row>
    <row r="73" spans="1:13" x14ac:dyDescent="0.25">
      <c r="B73" s="169" t="s">
        <v>51</v>
      </c>
      <c r="C73" s="13">
        <f>IFERROR('Cash Flow Data (Manual)'!E9,0)</f>
        <v>4694</v>
      </c>
      <c r="D73" s="13">
        <f>IFERROR('Cash Flow Data (Manual)'!F9,0)</f>
        <v>3598</v>
      </c>
      <c r="E73" s="13">
        <f>IFERROR('Cash Flow Data (Manual)'!G9,0)</f>
        <v>3947</v>
      </c>
      <c r="F73" s="13">
        <f>IFERROR('Cash Flow Data (Manual)'!H9,0)</f>
        <v>9301</v>
      </c>
      <c r="G73" s="13">
        <f>IFERROR('Cash Flow Data (Manual)'!I9,0)</f>
        <v>7320</v>
      </c>
      <c r="H73" s="13">
        <f>IFERROR('Cash Flow Data (Manual)'!J9,0)</f>
        <v>-4692</v>
      </c>
      <c r="I73" s="13">
        <f>IFERROR('Cash Flow Data (Manual)'!K9,0)</f>
        <v>-8085</v>
      </c>
      <c r="J73" s="13">
        <f>IFERROR('Cash Flow Data (Manual)'!L9,0)</f>
        <v>5748</v>
      </c>
      <c r="K73" s="13">
        <f>IFERROR('Cash Flow Data (Manual)'!M9,0)</f>
        <v>-7012</v>
      </c>
      <c r="L73" s="13">
        <f>IFERROR('Cash Flow Data (Manual)'!N9,0)</f>
        <v>6945</v>
      </c>
    </row>
    <row r="74" spans="1:13" x14ac:dyDescent="0.25">
      <c r="B74" s="169" t="s">
        <v>52</v>
      </c>
      <c r="C74" s="13">
        <f>IFERROR('Cash Flow Data (Manual)'!E10,0)</f>
        <v>0</v>
      </c>
      <c r="D74" s="13">
        <f>IFERROR('Cash Flow Data (Manual)'!F10,0)</f>
        <v>0</v>
      </c>
      <c r="E74" s="13">
        <f>IFERROR('Cash Flow Data (Manual)'!G10,0)</f>
        <v>-520</v>
      </c>
      <c r="F74" s="13">
        <f>IFERROR('Cash Flow Data (Manual)'!H10,0)</f>
        <v>0</v>
      </c>
      <c r="G74" s="13">
        <f>IFERROR('Cash Flow Data (Manual)'!I10,0)</f>
        <v>0</v>
      </c>
      <c r="H74" s="13">
        <f>IFERROR('Cash Flow Data (Manual)'!J10,0)</f>
        <v>0</v>
      </c>
      <c r="I74" s="13">
        <f>IFERROR('Cash Flow Data (Manual)'!K10,0)</f>
        <v>0</v>
      </c>
      <c r="J74" s="13">
        <f>IFERROR('Cash Flow Data (Manual)'!L10,0)</f>
        <v>0</v>
      </c>
      <c r="K74" s="13">
        <f>IFERROR('Cash Flow Data (Manual)'!M10,0)</f>
        <v>0</v>
      </c>
      <c r="L74" s="13">
        <f>IFERROR('Cash Flow Data (Manual)'!N10,0)</f>
        <v>0</v>
      </c>
    </row>
    <row r="75" spans="1:13" x14ac:dyDescent="0.25">
      <c r="B75" s="169" t="s">
        <v>53</v>
      </c>
      <c r="C75" s="13">
        <f>IFERROR('Cash Flow Data (Manual)'!E11,0)</f>
        <v>1870</v>
      </c>
      <c r="D75" s="13">
        <f>IFERROR('Cash Flow Data (Manual)'!F11,0)</f>
        <v>-398</v>
      </c>
      <c r="E75" s="13">
        <f>IFERROR('Cash Flow Data (Manual)'!G11,0)</f>
        <v>5852</v>
      </c>
      <c r="F75" s="13">
        <f>IFERROR('Cash Flow Data (Manual)'!H11,0)</f>
        <v>4727</v>
      </c>
      <c r="G75" s="13">
        <f>IFERROR('Cash Flow Data (Manual)'!I11,0)</f>
        <v>494</v>
      </c>
      <c r="H75" s="13">
        <f>IFERROR('Cash Flow Data (Manual)'!J11,0)</f>
        <v>4512</v>
      </c>
      <c r="I75" s="13">
        <f>IFERROR('Cash Flow Data (Manual)'!K11,0)</f>
        <v>875</v>
      </c>
      <c r="J75" s="13">
        <f>IFERROR('Cash Flow Data (Manual)'!L11,0)</f>
        <v>-4150</v>
      </c>
      <c r="K75" s="13">
        <f>IFERROR('Cash Flow Data (Manual)'!M11,0)</f>
        <v>-4396</v>
      </c>
      <c r="L75" s="13">
        <f>IFERROR('Cash Flow Data (Manual)'!N11,0)</f>
        <v>-2194</v>
      </c>
    </row>
    <row r="76" spans="1:13" x14ac:dyDescent="0.25">
      <c r="B76" s="169" t="s">
        <v>54</v>
      </c>
      <c r="C76" s="13">
        <f>IFERROR('Cash Flow Data (Manual)'!E13,0)</f>
        <v>-4308</v>
      </c>
      <c r="D76" s="13">
        <f>IFERROR('Cash Flow Data (Manual)'!F13,0)</f>
        <v>-4194</v>
      </c>
      <c r="E76" s="13">
        <f>IFERROR('Cash Flow Data (Manual)'!G13,0)</f>
        <v>-2040</v>
      </c>
      <c r="F76" s="13">
        <f>IFERROR('Cash Flow Data (Manual)'!H13,0)</f>
        <v>-1895</v>
      </c>
      <c r="G76" s="13">
        <f>IFERROR('Cash Flow Data (Manual)'!I13,0)</f>
        <v>-3021</v>
      </c>
      <c r="H76" s="13">
        <f>IFERROR('Cash Flow Data (Manual)'!J13,0)</f>
        <v>-2659</v>
      </c>
      <c r="I76" s="13">
        <f>IFERROR('Cash Flow Data (Manual)'!K13,0)</f>
        <v>-1785</v>
      </c>
      <c r="J76" s="13">
        <f>IFERROR('Cash Flow Data (Manual)'!L13,0)</f>
        <v>-2105</v>
      </c>
      <c r="K76" s="13">
        <f>IFERROR('Cash Flow Data (Manual)'!M13,0)</f>
        <v>-1910</v>
      </c>
      <c r="L76" s="13">
        <f>IFERROR('Cash Flow Data (Manual)'!N13,0)</f>
        <v>-3179</v>
      </c>
    </row>
    <row r="77" spans="1:13" x14ac:dyDescent="0.25">
      <c r="B77" s="174" t="s">
        <v>55</v>
      </c>
      <c r="C77" s="20">
        <f t="shared" ref="C77:L77" si="22">SUM(C70:C76)</f>
        <v>36151</v>
      </c>
      <c r="D77" s="20">
        <f t="shared" si="22"/>
        <v>35532</v>
      </c>
      <c r="E77" s="20">
        <f t="shared" si="22"/>
        <v>37899</v>
      </c>
      <c r="F77" s="20">
        <f t="shared" si="22"/>
        <v>30200</v>
      </c>
      <c r="G77" s="20">
        <f t="shared" si="22"/>
        <v>23857</v>
      </c>
      <c r="H77" s="20">
        <f t="shared" si="22"/>
        <v>18892</v>
      </c>
      <c r="I77" s="20">
        <f t="shared" si="22"/>
        <v>26633</v>
      </c>
      <c r="J77" s="20">
        <f t="shared" si="22"/>
        <v>29000</v>
      </c>
      <c r="K77" s="20">
        <f t="shared" si="22"/>
        <v>14282</v>
      </c>
      <c r="L77" s="20">
        <f t="shared" si="22"/>
        <v>35388</v>
      </c>
    </row>
    <row r="79" spans="1:13" x14ac:dyDescent="0.25">
      <c r="B79" s="174" t="s">
        <v>56</v>
      </c>
    </row>
    <row r="80" spans="1:13" x14ac:dyDescent="0.25">
      <c r="B80" s="169" t="s">
        <v>57</v>
      </c>
      <c r="C80" s="13">
        <f>IFERROR('Cash Flow Data (Manual)'!E15,0)</f>
        <v>-26975</v>
      </c>
      <c r="D80" s="13">
        <f>IFERROR('Cash Flow Data (Manual)'!F15,0)</f>
        <v>-31962</v>
      </c>
      <c r="E80" s="13">
        <f>IFERROR('Cash Flow Data (Manual)'!G15,0)</f>
        <v>-31503</v>
      </c>
      <c r="F80" s="13">
        <f>IFERROR('Cash Flow Data (Manual)'!H15,0)</f>
        <v>-16072</v>
      </c>
      <c r="G80" s="13">
        <f>IFERROR('Cash Flow Data (Manual)'!I15,0)</f>
        <v>-35079</v>
      </c>
      <c r="H80" s="13">
        <f>IFERROR('Cash Flow Data (Manual)'!J15,0)</f>
        <v>-35304</v>
      </c>
      <c r="I80" s="13">
        <f>IFERROR('Cash Flow Data (Manual)'!K15,0)</f>
        <v>-29702</v>
      </c>
      <c r="J80" s="13">
        <f>IFERROR('Cash Flow Data (Manual)'!L15,0)</f>
        <v>-20205</v>
      </c>
      <c r="K80" s="13">
        <f>IFERROR('Cash Flow Data (Manual)'!M15,0)</f>
        <v>-15168</v>
      </c>
      <c r="L80" s="13">
        <f>IFERROR('Cash Flow Data (Manual)'!N15,0)</f>
        <v>-19230</v>
      </c>
    </row>
    <row r="81" spans="2:12" x14ac:dyDescent="0.25">
      <c r="B81" s="169" t="s">
        <v>58</v>
      </c>
      <c r="C81" s="13">
        <f>IFERROR('Cash Flow Data (Manual)'!E16,0)</f>
        <v>50</v>
      </c>
      <c r="D81" s="13">
        <f>IFERROR('Cash Flow Data (Manual)'!F16,0)</f>
        <v>74</v>
      </c>
      <c r="E81" s="13">
        <f>IFERROR('Cash Flow Data (Manual)'!G16,0)</f>
        <v>59</v>
      </c>
      <c r="F81" s="13">
        <f>IFERROR('Cash Flow Data (Manual)'!H16,0)</f>
        <v>53</v>
      </c>
      <c r="G81" s="13">
        <f>IFERROR('Cash Flow Data (Manual)'!I16,0)</f>
        <v>30</v>
      </c>
      <c r="H81" s="13">
        <f>IFERROR('Cash Flow Data (Manual)'!J16,0)</f>
        <v>67</v>
      </c>
      <c r="I81" s="13">
        <f>IFERROR('Cash Flow Data (Manual)'!K16,0)</f>
        <v>171</v>
      </c>
      <c r="J81" s="13">
        <f>IFERROR('Cash Flow Data (Manual)'!L16,0)</f>
        <v>351</v>
      </c>
      <c r="K81" s="13">
        <f>IFERROR('Cash Flow Data (Manual)'!M16,0)</f>
        <v>230</v>
      </c>
      <c r="L81" s="13">
        <f>IFERROR('Cash Flow Data (Manual)'!N16,0)</f>
        <v>285</v>
      </c>
    </row>
    <row r="82" spans="2:12" x14ac:dyDescent="0.25">
      <c r="B82" s="169" t="s">
        <v>59</v>
      </c>
      <c r="C82" s="13">
        <f>IFERROR('Cash Flow Data (Manual)'!E17,0)</f>
        <v>-429</v>
      </c>
      <c r="D82" s="13">
        <f>IFERROR('Cash Flow Data (Manual)'!F17,0)</f>
        <v>-5461</v>
      </c>
      <c r="E82" s="13">
        <f>IFERROR('Cash Flow Data (Manual)'!G17,0)</f>
        <v>-4728</v>
      </c>
      <c r="F82" s="13">
        <f>IFERROR('Cash Flow Data (Manual)'!H17,0)</f>
        <v>-6</v>
      </c>
      <c r="G82" s="13">
        <f>IFERROR('Cash Flow Data (Manual)'!I17,0)</f>
        <v>-329</v>
      </c>
      <c r="H82" s="13">
        <f>IFERROR('Cash Flow Data (Manual)'!J17,0)</f>
        <v>-130</v>
      </c>
      <c r="I82" s="13">
        <f>IFERROR('Cash Flow Data (Manual)'!K17,0)</f>
        <v>-1439</v>
      </c>
      <c r="J82" s="13">
        <f>IFERROR('Cash Flow Data (Manual)'!L17,0)</f>
        <v>-7530</v>
      </c>
      <c r="K82" s="13">
        <f>IFERROR('Cash Flow Data (Manual)'!M17,0)</f>
        <v>-3008</v>
      </c>
      <c r="L82" s="13">
        <f>IFERROR('Cash Flow Data (Manual)'!N17,0)</f>
        <v>-50</v>
      </c>
    </row>
    <row r="83" spans="2:12" x14ac:dyDescent="0.25">
      <c r="B83" s="169" t="s">
        <v>60</v>
      </c>
      <c r="C83" s="13">
        <f>IFERROR('Cash Flow Data (Manual)'!E18,0)</f>
        <v>4</v>
      </c>
      <c r="D83" s="13">
        <f>IFERROR('Cash Flow Data (Manual)'!F18,0)</f>
        <v>42</v>
      </c>
      <c r="E83" s="13">
        <f>IFERROR('Cash Flow Data (Manual)'!G18,0)</f>
        <v>89</v>
      </c>
      <c r="F83" s="13">
        <f>IFERROR('Cash Flow Data (Manual)'!H18,0)</f>
        <v>1965</v>
      </c>
      <c r="G83" s="13">
        <f>IFERROR('Cash Flow Data (Manual)'!I18,0)</f>
        <v>2381</v>
      </c>
      <c r="H83" s="13">
        <f>IFERROR('Cash Flow Data (Manual)'!J18,0)</f>
        <v>5644</v>
      </c>
      <c r="I83" s="13">
        <f>IFERROR('Cash Flow Data (Manual)'!K18,0)</f>
        <v>21</v>
      </c>
      <c r="J83" s="13">
        <f>IFERROR('Cash Flow Data (Manual)'!L18,0)</f>
        <v>226</v>
      </c>
      <c r="K83" s="13">
        <f>IFERROR('Cash Flow Data (Manual)'!M18,0)</f>
        <v>104</v>
      </c>
      <c r="L83" s="13">
        <f>IFERROR('Cash Flow Data (Manual)'!N18,0)</f>
        <v>6895</v>
      </c>
    </row>
    <row r="84" spans="2:12" x14ac:dyDescent="0.25">
      <c r="B84" s="169" t="s">
        <v>61</v>
      </c>
      <c r="C84" s="13">
        <f>IFERROR('Cash Flow Data (Manual)'!E19,0)</f>
        <v>653</v>
      </c>
      <c r="D84" s="13">
        <f>IFERROR('Cash Flow Data (Manual)'!F19,0)</f>
        <v>698</v>
      </c>
      <c r="E84" s="13">
        <f>IFERROR('Cash Flow Data (Manual)'!G19,0)</f>
        <v>731</v>
      </c>
      <c r="F84" s="13">
        <f>IFERROR('Cash Flow Data (Manual)'!H19,0)</f>
        <v>638</v>
      </c>
      <c r="G84" s="13">
        <f>IFERROR('Cash Flow Data (Manual)'!I19,0)</f>
        <v>690</v>
      </c>
      <c r="H84" s="13">
        <f>IFERROR('Cash Flow Data (Manual)'!J19,0)</f>
        <v>761</v>
      </c>
      <c r="I84" s="13">
        <f>IFERROR('Cash Flow Data (Manual)'!K19,0)</f>
        <v>1104</v>
      </c>
      <c r="J84" s="13">
        <f>IFERROR('Cash Flow Data (Manual)'!L19,0)</f>
        <v>428</v>
      </c>
      <c r="K84" s="13">
        <f>IFERROR('Cash Flow Data (Manual)'!M19,0)</f>
        <v>653</v>
      </c>
      <c r="L84" s="13">
        <f>IFERROR('Cash Flow Data (Manual)'!N19,0)</f>
        <v>973</v>
      </c>
    </row>
    <row r="85" spans="2:12" x14ac:dyDescent="0.25">
      <c r="B85" s="169" t="s">
        <v>62</v>
      </c>
      <c r="C85" s="13">
        <f>IFERROR('Cash Flow Data (Manual)'!E20,0)</f>
        <v>40</v>
      </c>
      <c r="D85" s="13">
        <f>IFERROR('Cash Flow Data (Manual)'!F20,0)</f>
        <v>80</v>
      </c>
      <c r="E85" s="13">
        <f>IFERROR('Cash Flow Data (Manual)'!G20,0)</f>
        <v>58</v>
      </c>
      <c r="F85" s="13">
        <f>IFERROR('Cash Flow Data (Manual)'!H20,0)</f>
        <v>620</v>
      </c>
      <c r="G85" s="13">
        <f>IFERROR('Cash Flow Data (Manual)'!I20,0)</f>
        <v>1797</v>
      </c>
      <c r="H85" s="13">
        <f>IFERROR('Cash Flow Data (Manual)'!J20,0)</f>
        <v>232</v>
      </c>
      <c r="I85" s="13">
        <f>IFERROR('Cash Flow Data (Manual)'!K20,0)</f>
        <v>21</v>
      </c>
      <c r="J85" s="13">
        <f>IFERROR('Cash Flow Data (Manual)'!L20,0)</f>
        <v>18</v>
      </c>
      <c r="K85" s="13">
        <f>IFERROR('Cash Flow Data (Manual)'!M20,0)</f>
        <v>32</v>
      </c>
      <c r="L85" s="13">
        <f>IFERROR('Cash Flow Data (Manual)'!N20,0)</f>
        <v>46</v>
      </c>
    </row>
    <row r="86" spans="2:12" x14ac:dyDescent="0.25">
      <c r="B86" s="169" t="s">
        <v>63</v>
      </c>
      <c r="C86" s="13">
        <f>IFERROR('Cash Flow Data (Manual)'!E21,0)</f>
        <v>0</v>
      </c>
      <c r="D86" s="13">
        <f>IFERROR('Cash Flow Data (Manual)'!F21,0)</f>
        <v>0</v>
      </c>
      <c r="E86" s="13">
        <f>IFERROR('Cash Flow Data (Manual)'!G21,0)</f>
        <v>0</v>
      </c>
      <c r="F86" s="13">
        <f>IFERROR('Cash Flow Data (Manual)'!H21,0)</f>
        <v>0</v>
      </c>
      <c r="G86" s="13">
        <f>IFERROR('Cash Flow Data (Manual)'!I21,0)</f>
        <v>0</v>
      </c>
      <c r="H86" s="13">
        <f>IFERROR('Cash Flow Data (Manual)'!J21,0)</f>
        <v>0</v>
      </c>
      <c r="I86" s="13">
        <f>IFERROR('Cash Flow Data (Manual)'!K21,0)</f>
        <v>0</v>
      </c>
      <c r="J86" s="13">
        <f>IFERROR('Cash Flow Data (Manual)'!L21,0)</f>
        <v>0</v>
      </c>
      <c r="K86" s="13">
        <f>IFERROR('Cash Flow Data (Manual)'!M21,0)</f>
        <v>0</v>
      </c>
      <c r="L86" s="13">
        <f>IFERROR('Cash Flow Data (Manual)'!N21,0)</f>
        <v>0</v>
      </c>
    </row>
    <row r="87" spans="2:12" x14ac:dyDescent="0.25">
      <c r="B87" s="169" t="s">
        <v>64</v>
      </c>
      <c r="C87" s="13">
        <f>IFERROR('Cash Flow Data (Manual)'!E22,0)</f>
        <v>0</v>
      </c>
      <c r="D87" s="13">
        <f>IFERROR('Cash Flow Data (Manual)'!F22,0)</f>
        <v>-160</v>
      </c>
      <c r="E87" s="13">
        <f>IFERROR('Cash Flow Data (Manual)'!G22,0)</f>
        <v>0</v>
      </c>
      <c r="F87" s="13">
        <f>IFERROR('Cash Flow Data (Manual)'!H22,0)</f>
        <v>-107</v>
      </c>
      <c r="G87" s="13">
        <f>IFERROR('Cash Flow Data (Manual)'!I22,0)</f>
        <v>-4</v>
      </c>
      <c r="H87" s="13">
        <f>IFERROR('Cash Flow Data (Manual)'!J22,0)</f>
        <v>-9</v>
      </c>
      <c r="I87" s="13">
        <f>IFERROR('Cash Flow Data (Manual)'!K22,0)</f>
        <v>-606</v>
      </c>
      <c r="J87" s="13">
        <f>IFERROR('Cash Flow Data (Manual)'!L22,0)</f>
        <v>-10</v>
      </c>
      <c r="K87" s="13">
        <f>IFERROR('Cash Flow Data (Manual)'!M22,0)</f>
        <v>0</v>
      </c>
      <c r="L87" s="13">
        <f>IFERROR('Cash Flow Data (Manual)'!N22,0)</f>
        <v>0</v>
      </c>
    </row>
    <row r="88" spans="2:12" x14ac:dyDescent="0.25">
      <c r="B88" s="169" t="s">
        <v>65</v>
      </c>
      <c r="C88" s="13">
        <f>IFERROR('Cash Flow Data (Manual)'!E23,0)</f>
        <v>0</v>
      </c>
      <c r="D88" s="13">
        <f>IFERROR('Cash Flow Data (Manual)'!F23,0)</f>
        <v>0</v>
      </c>
      <c r="E88" s="13">
        <f>IFERROR('Cash Flow Data (Manual)'!G23,0)</f>
        <v>0</v>
      </c>
      <c r="F88" s="13">
        <f>IFERROR('Cash Flow Data (Manual)'!H23,0)</f>
        <v>0</v>
      </c>
      <c r="G88" s="13">
        <f>IFERROR('Cash Flow Data (Manual)'!I23,0)</f>
        <v>14</v>
      </c>
      <c r="H88" s="13">
        <f>IFERROR('Cash Flow Data (Manual)'!J23,0)</f>
        <v>533</v>
      </c>
      <c r="I88" s="13">
        <f>IFERROR('Cash Flow Data (Manual)'!K23,0)</f>
        <v>0</v>
      </c>
      <c r="J88" s="13">
        <f>IFERROR('Cash Flow Data (Manual)'!L23,0)</f>
        <v>0</v>
      </c>
      <c r="K88" s="13">
        <f>IFERROR('Cash Flow Data (Manual)'!M23,0)</f>
        <v>0</v>
      </c>
      <c r="L88" s="13">
        <f>IFERROR('Cash Flow Data (Manual)'!N23,0)</f>
        <v>19</v>
      </c>
    </row>
    <row r="89" spans="2:12" x14ac:dyDescent="0.25">
      <c r="B89" s="169" t="s">
        <v>66</v>
      </c>
      <c r="C89" s="13">
        <f>IFERROR('Cash Flow Data (Manual)'!E24,0)</f>
        <v>-185</v>
      </c>
      <c r="D89" s="13">
        <f>IFERROR('Cash Flow Data (Manual)'!F24,0)</f>
        <v>0</v>
      </c>
      <c r="E89" s="13">
        <f>IFERROR('Cash Flow Data (Manual)'!G24,0)</f>
        <v>-111</v>
      </c>
      <c r="F89" s="13">
        <f>IFERROR('Cash Flow Data (Manual)'!H24,0)</f>
        <v>0</v>
      </c>
      <c r="G89" s="13">
        <f>IFERROR('Cash Flow Data (Manual)'!I24,0)</f>
        <v>0</v>
      </c>
      <c r="H89" s="13">
        <f>IFERROR('Cash Flow Data (Manual)'!J24,0)</f>
        <v>-8</v>
      </c>
      <c r="I89" s="13">
        <f>IFERROR('Cash Flow Data (Manual)'!K24,0)</f>
        <v>-27</v>
      </c>
      <c r="J89" s="13">
        <f>IFERROR('Cash Flow Data (Manual)'!L24,0)</f>
        <v>0</v>
      </c>
      <c r="K89" s="13">
        <f>IFERROR('Cash Flow Data (Manual)'!M24,0)</f>
        <v>-98</v>
      </c>
      <c r="L89" s="13">
        <f>IFERROR('Cash Flow Data (Manual)'!N24,0)</f>
        <v>0</v>
      </c>
    </row>
    <row r="90" spans="2:12" x14ac:dyDescent="0.25">
      <c r="B90" s="169" t="s">
        <v>67</v>
      </c>
      <c r="C90" s="13">
        <f>IFERROR('Cash Flow Data (Manual)'!E25,0)</f>
        <v>0</v>
      </c>
      <c r="D90" s="13">
        <f>IFERROR('Cash Flow Data (Manual)'!F25,0)</f>
        <v>0</v>
      </c>
      <c r="E90" s="13">
        <f>IFERROR('Cash Flow Data (Manual)'!G25,0)</f>
        <v>0</v>
      </c>
      <c r="F90" s="13">
        <f>IFERROR('Cash Flow Data (Manual)'!H25,0)</f>
        <v>0</v>
      </c>
      <c r="G90" s="13">
        <f>IFERROR('Cash Flow Data (Manual)'!I25,0)</f>
        <v>0</v>
      </c>
      <c r="H90" s="13">
        <f>IFERROR('Cash Flow Data (Manual)'!J25,0)</f>
        <v>0</v>
      </c>
      <c r="I90" s="13">
        <f>IFERROR('Cash Flow Data (Manual)'!K25,0)</f>
        <v>0</v>
      </c>
      <c r="J90" s="13">
        <f>IFERROR('Cash Flow Data (Manual)'!L25,0)</f>
        <v>0</v>
      </c>
      <c r="K90" s="13">
        <f>IFERROR('Cash Flow Data (Manual)'!M25,0)</f>
        <v>0</v>
      </c>
      <c r="L90" s="13">
        <f>IFERROR('Cash Flow Data (Manual)'!N25,0)</f>
        <v>0</v>
      </c>
    </row>
    <row r="91" spans="2:12" x14ac:dyDescent="0.25">
      <c r="B91" s="169" t="s">
        <v>68</v>
      </c>
      <c r="C91" s="13">
        <f>IFERROR('Cash Flow Data (Manual)'!E26,0)</f>
        <v>-1149</v>
      </c>
      <c r="D91" s="13">
        <f>IFERROR('Cash Flow Data (Manual)'!F26,0)</f>
        <v>456</v>
      </c>
      <c r="E91" s="13">
        <f>IFERROR('Cash Flow Data (Manual)'!G26,0)</f>
        <v>-1289</v>
      </c>
      <c r="F91" s="13">
        <f>IFERROR('Cash Flow Data (Manual)'!H26,0)</f>
        <v>-26663</v>
      </c>
      <c r="G91" s="13">
        <f>IFERROR('Cash Flow Data (Manual)'!I26,0)</f>
        <v>5360</v>
      </c>
      <c r="H91" s="13">
        <f>IFERROR('Cash Flow Data (Manual)'!J26,0)</f>
        <v>7335</v>
      </c>
      <c r="I91" s="13">
        <f>IFERROR('Cash Flow Data (Manual)'!K26,0)</f>
        <v>-2659</v>
      </c>
      <c r="J91" s="13">
        <f>IFERROR('Cash Flow Data (Manual)'!L26,0)</f>
        <v>1051</v>
      </c>
      <c r="K91" s="13">
        <f>IFERROR('Cash Flow Data (Manual)'!M26,0)</f>
        <v>12813</v>
      </c>
      <c r="L91" s="13">
        <f>IFERROR('Cash Flow Data (Manual)'!N26,0)</f>
        <v>-4357</v>
      </c>
    </row>
    <row r="92" spans="2:12" x14ac:dyDescent="0.25">
      <c r="B92" s="174" t="s">
        <v>69</v>
      </c>
      <c r="C92" s="20">
        <f>SUM(C80:C91)</f>
        <v>-27991</v>
      </c>
      <c r="D92" s="20">
        <f t="shared" ref="D92:L92" si="23">SUM(D80:D91)</f>
        <v>-36233</v>
      </c>
      <c r="E92" s="20">
        <f t="shared" si="23"/>
        <v>-36694</v>
      </c>
      <c r="F92" s="20">
        <f t="shared" si="23"/>
        <v>-39572</v>
      </c>
      <c r="G92" s="20">
        <f t="shared" si="23"/>
        <v>-25140</v>
      </c>
      <c r="H92" s="20">
        <f t="shared" si="23"/>
        <v>-20879</v>
      </c>
      <c r="I92" s="20">
        <f t="shared" si="23"/>
        <v>-33116</v>
      </c>
      <c r="J92" s="20">
        <f t="shared" si="23"/>
        <v>-25671</v>
      </c>
      <c r="K92" s="20">
        <f t="shared" si="23"/>
        <v>-4442</v>
      </c>
      <c r="L92" s="20">
        <f t="shared" si="23"/>
        <v>-15419</v>
      </c>
    </row>
    <row r="94" spans="2:12" x14ac:dyDescent="0.25">
      <c r="B94" s="174" t="s">
        <v>70</v>
      </c>
    </row>
    <row r="95" spans="2:12" x14ac:dyDescent="0.25">
      <c r="B95" s="169" t="s">
        <v>71</v>
      </c>
      <c r="C95" s="13">
        <f>IFERROR('Cash Flow Data (Manual)'!E28,0)</f>
        <v>0</v>
      </c>
      <c r="D95" s="13">
        <f>IFERROR('Cash Flow Data (Manual)'!F28,0)</f>
        <v>0</v>
      </c>
      <c r="E95" s="13">
        <f>IFERROR('Cash Flow Data (Manual)'!G28,0)</f>
        <v>7433</v>
      </c>
      <c r="F95" s="13">
        <f>IFERROR('Cash Flow Data (Manual)'!H28,0)</f>
        <v>5</v>
      </c>
      <c r="G95" s="13">
        <f>IFERROR('Cash Flow Data (Manual)'!I28,0)</f>
        <v>0</v>
      </c>
      <c r="H95" s="13">
        <f>IFERROR('Cash Flow Data (Manual)'!J28,0)</f>
        <v>0</v>
      </c>
      <c r="I95" s="13">
        <f>IFERROR('Cash Flow Data (Manual)'!K28,0)</f>
        <v>3889</v>
      </c>
      <c r="J95" s="13">
        <f>IFERROR('Cash Flow Data (Manual)'!L28,0)</f>
        <v>2603</v>
      </c>
      <c r="K95" s="13">
        <f>IFERROR('Cash Flow Data (Manual)'!M28,0)</f>
        <v>19</v>
      </c>
      <c r="L95" s="13">
        <f>IFERROR('Cash Flow Data (Manual)'!N28,0)</f>
        <v>20</v>
      </c>
    </row>
    <row r="96" spans="2:12" x14ac:dyDescent="0.25">
      <c r="B96" s="169" t="s">
        <v>72</v>
      </c>
      <c r="C96" s="13">
        <f>IFERROR('Cash Flow Data (Manual)'!E29,0)</f>
        <v>-658</v>
      </c>
      <c r="D96" s="13">
        <f>IFERROR('Cash Flow Data (Manual)'!F29,0)</f>
        <v>-744</v>
      </c>
      <c r="E96" s="13">
        <f>IFERROR('Cash Flow Data (Manual)'!G29,0)</f>
        <v>0</v>
      </c>
      <c r="F96" s="13">
        <f>IFERROR('Cash Flow Data (Manual)'!H29,0)</f>
        <v>0</v>
      </c>
      <c r="G96" s="13">
        <f>IFERROR('Cash Flow Data (Manual)'!I29,0)</f>
        <v>0</v>
      </c>
      <c r="H96" s="13">
        <f>IFERROR('Cash Flow Data (Manual)'!J29,0)</f>
        <v>0</v>
      </c>
      <c r="I96" s="13">
        <f>IFERROR('Cash Flow Data (Manual)'!K29,0)</f>
        <v>0</v>
      </c>
      <c r="J96" s="13">
        <f>IFERROR('Cash Flow Data (Manual)'!L29,0)</f>
        <v>0</v>
      </c>
      <c r="K96" s="13">
        <f>IFERROR('Cash Flow Data (Manual)'!M29,0)</f>
        <v>0</v>
      </c>
      <c r="L96" s="13">
        <f>IFERROR('Cash Flow Data (Manual)'!N29,0)</f>
        <v>0</v>
      </c>
    </row>
    <row r="97" spans="2:12" x14ac:dyDescent="0.25">
      <c r="B97" s="169" t="s">
        <v>73</v>
      </c>
      <c r="C97" s="13">
        <f>IFERROR('Cash Flow Data (Manual)'!E30,0)</f>
        <v>33258</v>
      </c>
      <c r="D97" s="13">
        <f>IFERROR('Cash Flow Data (Manual)'!F30,0)</f>
        <v>36363</v>
      </c>
      <c r="E97" s="13">
        <f>IFERROR('Cash Flow Data (Manual)'!G30,0)</f>
        <v>19519</v>
      </c>
      <c r="F97" s="13">
        <f>IFERROR('Cash Flow Data (Manual)'!H30,0)</f>
        <v>33390</v>
      </c>
      <c r="G97" s="13">
        <f>IFERROR('Cash Flow Data (Manual)'!I30,0)</f>
        <v>37482</v>
      </c>
      <c r="H97" s="13">
        <f>IFERROR('Cash Flow Data (Manual)'!J30,0)</f>
        <v>51128</v>
      </c>
      <c r="I97" s="13">
        <f>IFERROR('Cash Flow Data (Manual)'!K30,0)</f>
        <v>38297</v>
      </c>
      <c r="J97" s="13">
        <f>IFERROR('Cash Flow Data (Manual)'!L30,0)</f>
        <v>46641</v>
      </c>
      <c r="K97" s="13">
        <f>IFERROR('Cash Flow Data (Manual)'!M30,0)</f>
        <v>46578</v>
      </c>
      <c r="L97" s="13">
        <f>IFERROR('Cash Flow Data (Manual)'!N30,0)</f>
        <v>43934</v>
      </c>
    </row>
    <row r="98" spans="2:12" x14ac:dyDescent="0.25">
      <c r="B98" s="169" t="s">
        <v>74</v>
      </c>
      <c r="C98" s="13">
        <f>IFERROR('Cash Flow Data (Manual)'!E31,0)</f>
        <v>-29141</v>
      </c>
      <c r="D98" s="13">
        <f>IFERROR('Cash Flow Data (Manual)'!F31,0)</f>
        <v>-23332</v>
      </c>
      <c r="E98" s="13">
        <f>IFERROR('Cash Flow Data (Manual)'!G31,0)</f>
        <v>-24924</v>
      </c>
      <c r="F98" s="13">
        <f>IFERROR('Cash Flow Data (Manual)'!H31,0)</f>
        <v>-21732</v>
      </c>
      <c r="G98" s="13">
        <f>IFERROR('Cash Flow Data (Manual)'!I31,0)</f>
        <v>-29964</v>
      </c>
      <c r="H98" s="13">
        <f>IFERROR('Cash Flow Data (Manual)'!J31,0)</f>
        <v>-35198</v>
      </c>
      <c r="I98" s="13">
        <f>IFERROR('Cash Flow Data (Manual)'!K31,0)</f>
        <v>-29847</v>
      </c>
      <c r="J98" s="13">
        <f>IFERROR('Cash Flow Data (Manual)'!L31,0)</f>
        <v>-29709</v>
      </c>
      <c r="K98" s="13">
        <f>IFERROR('Cash Flow Data (Manual)'!M31,0)</f>
        <v>-42816</v>
      </c>
      <c r="L98" s="13">
        <f>IFERROR('Cash Flow Data (Manual)'!N31,0)</f>
        <v>-62557</v>
      </c>
    </row>
    <row r="99" spans="2:12" x14ac:dyDescent="0.25">
      <c r="B99" s="169" t="s">
        <v>75</v>
      </c>
      <c r="C99" s="13">
        <f>IFERROR('Cash Flow Data (Manual)'!E32,0)</f>
        <v>-6171</v>
      </c>
      <c r="D99" s="13">
        <f>IFERROR('Cash Flow Data (Manual)'!F32,0)</f>
        <v>-6307</v>
      </c>
      <c r="E99" s="13">
        <f>IFERROR('Cash Flow Data (Manual)'!G32,0)</f>
        <v>-5716</v>
      </c>
      <c r="F99" s="13">
        <f>IFERROR('Cash Flow Data (Manual)'!H32,0)</f>
        <v>-5336</v>
      </c>
      <c r="G99" s="13">
        <f>IFERROR('Cash Flow Data (Manual)'!I32,0)</f>
        <v>-5411</v>
      </c>
      <c r="H99" s="13">
        <f>IFERROR('Cash Flow Data (Manual)'!J32,0)</f>
        <v>-7005</v>
      </c>
      <c r="I99" s="13">
        <f>IFERROR('Cash Flow Data (Manual)'!K32,0)</f>
        <v>-7518</v>
      </c>
      <c r="J99" s="13">
        <f>IFERROR('Cash Flow Data (Manual)'!L32,0)</f>
        <v>-8123</v>
      </c>
      <c r="K99" s="13">
        <f>IFERROR('Cash Flow Data (Manual)'!M32,0)</f>
        <v>-9251</v>
      </c>
      <c r="L99" s="13">
        <f>IFERROR('Cash Flow Data (Manual)'!N32,0)</f>
        <v>-9336</v>
      </c>
    </row>
    <row r="100" spans="2:12" x14ac:dyDescent="0.25">
      <c r="B100" s="169" t="s">
        <v>76</v>
      </c>
      <c r="C100" s="13">
        <f>IFERROR('Cash Flow Data (Manual)'!E33,0)</f>
        <v>-722</v>
      </c>
      <c r="D100" s="13">
        <f>IFERROR('Cash Flow Data (Manual)'!F33,0)</f>
        <v>-720</v>
      </c>
      <c r="E100" s="13">
        <f>IFERROR('Cash Flow Data (Manual)'!G33,0)</f>
        <v>-108</v>
      </c>
      <c r="F100" s="13">
        <f>IFERROR('Cash Flow Data (Manual)'!H33,0)</f>
        <v>-121</v>
      </c>
      <c r="G100" s="13">
        <f>IFERROR('Cash Flow Data (Manual)'!I33,0)</f>
        <v>-96</v>
      </c>
      <c r="H100" s="13">
        <f>IFERROR('Cash Flow Data (Manual)'!J33,0)</f>
        <v>-95</v>
      </c>
      <c r="I100" s="13">
        <f>IFERROR('Cash Flow Data (Manual)'!K33,0)</f>
        <v>-57</v>
      </c>
      <c r="J100" s="13">
        <f>IFERROR('Cash Flow Data (Manual)'!L33,0)</f>
        <v>-30</v>
      </c>
      <c r="K100" s="13">
        <f>IFERROR('Cash Flow Data (Manual)'!M33,0)</f>
        <v>-100</v>
      </c>
      <c r="L100" s="13">
        <f>IFERROR('Cash Flow Data (Manual)'!N33,0)</f>
        <v>-141</v>
      </c>
    </row>
    <row r="101" spans="2:12" x14ac:dyDescent="0.25">
      <c r="B101" s="169" t="s">
        <v>77</v>
      </c>
      <c r="C101" s="13">
        <f>IFERROR('Cash Flow Data (Manual)'!E34,0)</f>
        <v>0</v>
      </c>
      <c r="D101" s="13">
        <f>IFERROR('Cash Flow Data (Manual)'!F34,0)</f>
        <v>0</v>
      </c>
      <c r="E101" s="13">
        <f>IFERROR('Cash Flow Data (Manual)'!G34,0)</f>
        <v>0</v>
      </c>
      <c r="F101" s="13">
        <f>IFERROR('Cash Flow Data (Manual)'!H34,0)</f>
        <v>0</v>
      </c>
      <c r="G101" s="13">
        <f>IFERROR('Cash Flow Data (Manual)'!I34,0)</f>
        <v>0</v>
      </c>
      <c r="H101" s="13">
        <f>IFERROR('Cash Flow Data (Manual)'!J34,0)</f>
        <v>0</v>
      </c>
      <c r="I101" s="13">
        <f>IFERROR('Cash Flow Data (Manual)'!K34,0)</f>
        <v>-1346</v>
      </c>
      <c r="J101" s="13">
        <f>IFERROR('Cash Flow Data (Manual)'!L34,0)</f>
        <v>-1477</v>
      </c>
      <c r="K101" s="13">
        <f>IFERROR('Cash Flow Data (Manual)'!M34,0)</f>
        <v>-1559</v>
      </c>
      <c r="L101" s="13">
        <f>IFERROR('Cash Flow Data (Manual)'!N34,0)</f>
        <v>-1517</v>
      </c>
    </row>
    <row r="102" spans="2:12" x14ac:dyDescent="0.25">
      <c r="B102" s="169" t="s">
        <v>78</v>
      </c>
      <c r="C102" s="13">
        <f>IFERROR('Cash Flow Data (Manual)'!E35,0)</f>
        <v>-450</v>
      </c>
      <c r="D102" s="13">
        <f>IFERROR('Cash Flow Data (Manual)'!F35,0)</f>
        <v>-57</v>
      </c>
      <c r="E102" s="13">
        <f>IFERROR('Cash Flow Data (Manual)'!G35,0)</f>
        <v>0</v>
      </c>
      <c r="F102" s="13">
        <f>IFERROR('Cash Flow Data (Manual)'!H35,0)</f>
        <v>0</v>
      </c>
      <c r="G102" s="13">
        <f>IFERROR('Cash Flow Data (Manual)'!I35,0)</f>
        <v>0</v>
      </c>
      <c r="H102" s="13">
        <f>IFERROR('Cash Flow Data (Manual)'!J35,0)</f>
        <v>0</v>
      </c>
      <c r="I102" s="13">
        <f>IFERROR('Cash Flow Data (Manual)'!K35,0)</f>
        <v>-29</v>
      </c>
      <c r="J102" s="13">
        <f>IFERROR('Cash Flow Data (Manual)'!L35,0)</f>
        <v>0</v>
      </c>
      <c r="K102" s="13">
        <f>IFERROR('Cash Flow Data (Manual)'!M35,0)</f>
        <v>3750</v>
      </c>
      <c r="L102" s="13">
        <f>IFERROR('Cash Flow Data (Manual)'!N35,0)</f>
        <v>3355</v>
      </c>
    </row>
    <row r="103" spans="2:12" x14ac:dyDescent="0.25">
      <c r="B103" s="174" t="s">
        <v>79</v>
      </c>
      <c r="C103" s="20">
        <f>SUM(C95:C102)</f>
        <v>-3884</v>
      </c>
      <c r="D103" s="20">
        <f t="shared" ref="D103:L103" si="24">SUM(D95:D102)</f>
        <v>5203</v>
      </c>
      <c r="E103" s="20">
        <f t="shared" si="24"/>
        <v>-3796</v>
      </c>
      <c r="F103" s="20">
        <f t="shared" si="24"/>
        <v>6206</v>
      </c>
      <c r="G103" s="20">
        <f t="shared" si="24"/>
        <v>2011</v>
      </c>
      <c r="H103" s="20">
        <f t="shared" si="24"/>
        <v>8830</v>
      </c>
      <c r="I103" s="20">
        <f t="shared" si="24"/>
        <v>3389</v>
      </c>
      <c r="J103" s="20">
        <f t="shared" si="24"/>
        <v>9905</v>
      </c>
      <c r="K103" s="20">
        <f t="shared" si="24"/>
        <v>-3379</v>
      </c>
      <c r="L103" s="20">
        <f t="shared" si="24"/>
        <v>-26242</v>
      </c>
    </row>
    <row r="105" spans="2:12" x14ac:dyDescent="0.25">
      <c r="B105" s="174" t="s">
        <v>80</v>
      </c>
      <c r="C105" s="20">
        <f>IFERROR(C103+C92+C77,0)</f>
        <v>4276</v>
      </c>
      <c r="D105" s="20">
        <f t="shared" ref="D105:L105" si="25">IFERROR(D103+D92+D77,0)</f>
        <v>4502</v>
      </c>
      <c r="E105" s="20">
        <f t="shared" si="25"/>
        <v>-2591</v>
      </c>
      <c r="F105" s="20">
        <f t="shared" si="25"/>
        <v>-3166</v>
      </c>
      <c r="G105" s="20">
        <f t="shared" si="25"/>
        <v>728</v>
      </c>
      <c r="H105" s="20">
        <f t="shared" si="25"/>
        <v>6843</v>
      </c>
      <c r="I105" s="20">
        <f t="shared" si="25"/>
        <v>-3094</v>
      </c>
      <c r="J105" s="20">
        <f t="shared" si="25"/>
        <v>13234</v>
      </c>
      <c r="K105" s="20">
        <f t="shared" si="25"/>
        <v>6461</v>
      </c>
      <c r="L105" s="20">
        <f t="shared" si="25"/>
        <v>-6273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3E4A-C50E-4923-90AB-0008938320D6}">
  <dimension ref="B2:O41"/>
  <sheetViews>
    <sheetView showGridLines="0" workbookViewId="0">
      <pane ySplit="3" topLeftCell="A4" activePane="bottomLeft" state="frozen"/>
      <selection pane="bottomLeft" activeCell="P12" sqref="P12"/>
    </sheetView>
  </sheetViews>
  <sheetFormatPr defaultRowHeight="15" x14ac:dyDescent="0.25"/>
  <cols>
    <col min="1" max="1" width="1.85546875" customWidth="1"/>
    <col min="2" max="2" width="26.140625" bestFit="1" customWidth="1"/>
    <col min="4" max="9" width="9.28515625" bestFit="1" customWidth="1"/>
    <col min="10" max="11" width="9.85546875" bestFit="1" customWidth="1"/>
    <col min="12" max="12" width="9.28515625" bestFit="1" customWidth="1"/>
    <col min="13" max="13" width="19.7109375" customWidth="1"/>
    <col min="14" max="14" width="11.140625" customWidth="1"/>
    <col min="15" max="15" width="10.140625" customWidth="1"/>
  </cols>
  <sheetData>
    <row r="2" spans="2:15" x14ac:dyDescent="0.25">
      <c r="B2" s="224" t="str">
        <f>"Ratio Analysis - "&amp;'Data Sheet'!B1</f>
        <v>Ratio Analysis - TATA MOTORS LTD</v>
      </c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</row>
    <row r="3" spans="2:15" x14ac:dyDescent="0.25">
      <c r="B3" s="8" t="s">
        <v>0</v>
      </c>
      <c r="C3" s="9">
        <f>'Data Sheet'!B16</f>
        <v>41729</v>
      </c>
      <c r="D3" s="9">
        <f>'Data Sheet'!C16</f>
        <v>42094</v>
      </c>
      <c r="E3" s="9">
        <f>'Data Sheet'!D16</f>
        <v>42460</v>
      </c>
      <c r="F3" s="9">
        <f>'Data Sheet'!E16</f>
        <v>42825</v>
      </c>
      <c r="G3" s="9">
        <f>'Data Sheet'!F16</f>
        <v>43190</v>
      </c>
      <c r="H3" s="9">
        <f>'Data Sheet'!G16</f>
        <v>43555</v>
      </c>
      <c r="I3" s="9">
        <f>'Data Sheet'!H16</f>
        <v>43921</v>
      </c>
      <c r="J3" s="9">
        <f>'Data Sheet'!I16</f>
        <v>44286</v>
      </c>
      <c r="K3" s="9">
        <f>'Data Sheet'!J16</f>
        <v>44651</v>
      </c>
      <c r="L3" s="9">
        <f>'Data Sheet'!K16</f>
        <v>45016</v>
      </c>
      <c r="M3" s="35" t="s">
        <v>81</v>
      </c>
      <c r="N3" s="35" t="s">
        <v>82</v>
      </c>
      <c r="O3" s="35" t="s">
        <v>83</v>
      </c>
    </row>
    <row r="5" spans="2:15" x14ac:dyDescent="0.25">
      <c r="B5" s="175" t="s">
        <v>5</v>
      </c>
      <c r="C5" s="24"/>
      <c r="D5" s="25">
        <f>IFERROR('Historical FS'!D7,0)</f>
        <v>0.13024457030826198</v>
      </c>
      <c r="E5" s="25">
        <f>IFERROR('Historical FS'!E7,0)</f>
        <v>3.75690010654397E-2</v>
      </c>
      <c r="F5" s="25">
        <f>IFERROR('Historical FS'!F7,0)</f>
        <v>-1.2280329732469508E-2</v>
      </c>
      <c r="G5" s="25">
        <f>IFERROR('Historical FS'!G7,0)</f>
        <v>8.104774581985974E-2</v>
      </c>
      <c r="H5" s="25">
        <f>IFERROR('Historical FS'!H7,0)</f>
        <v>3.5629919045237157E-2</v>
      </c>
      <c r="I5" s="25">
        <f>IFERROR('Historical FS'!I7,0)</f>
        <v>-0.135360159555724</v>
      </c>
      <c r="J5" s="25">
        <f>IFERROR('Historical FS'!J7,0)</f>
        <v>-4.3181168490336042E-2</v>
      </c>
      <c r="K5" s="25">
        <f>IFERROR('Historical FS'!K7,0)</f>
        <v>0.11472967306158344</v>
      </c>
      <c r="L5" s="25">
        <f>IFERROR('Historical FS'!L7,0)</f>
        <v>0.24245815155859707</v>
      </c>
      <c r="M5" s="24"/>
      <c r="N5" s="25">
        <f>IFERROR(AVERAGE(D5:L5),0)</f>
        <v>5.0095267008938835E-2</v>
      </c>
      <c r="O5" s="25">
        <f>IFERROR(MEDIAN(C5:L5),0)</f>
        <v>3.75690010654397E-2</v>
      </c>
    </row>
    <row r="6" spans="2:15" x14ac:dyDescent="0.25">
      <c r="B6" s="169" t="s">
        <v>84</v>
      </c>
      <c r="D6" s="26">
        <f>IFERROR('Historical FS'!D18/'Historical FS'!C18-1,0)</f>
        <v>0.12582115468924693</v>
      </c>
      <c r="E6" s="26">
        <f>IFERROR('Historical FS'!E18/'Historical FS'!D18-1,0)</f>
        <v>-2.1494113584437979E-2</v>
      </c>
      <c r="F6" s="26">
        <f>IFERROR('Historical FS'!F18/'Historical FS'!E18-1,0)</f>
        <v>-0.22936587208052905</v>
      </c>
      <c r="G6" s="26">
        <f>IFERROR('Historical FS'!G18/'Historical FS'!F18-1,0)</f>
        <v>6.3165689322506102E-2</v>
      </c>
      <c r="H6" s="26">
        <f>IFERROR('Historical FS'!H18/'Historical FS'!G18-1,0)</f>
        <v>-0.21595203460649259</v>
      </c>
      <c r="I6" s="26">
        <f>IFERROR('Historical FS'!I18/'Historical FS'!H18-1,0)</f>
        <v>-0.27072537547138131</v>
      </c>
      <c r="J6" s="26">
        <f>IFERROR('Historical FS'!J18/'Historical FS'!I18-1,0)</f>
        <v>0.79503554497758966</v>
      </c>
      <c r="K6" s="26">
        <f>IFERROR('Historical FS'!K18/'Historical FS'!J18-1,0)</f>
        <v>-0.234374182150762</v>
      </c>
      <c r="L6" s="26">
        <f>IFERROR('Historical FS'!L18/'Historical FS'!K18-1,0)</f>
        <v>0.28704223973294352</v>
      </c>
      <c r="N6" s="26">
        <f t="shared" ref="N6:N9" si="0">IFERROR(AVERAGE(D6:L6),0)</f>
        <v>3.3239227869853699E-2</v>
      </c>
      <c r="O6" s="26">
        <f t="shared" ref="O6:O31" si="1">IFERROR(MEDIAN(C6:L6),0)</f>
        <v>-2.1494113584437979E-2</v>
      </c>
    </row>
    <row r="7" spans="2:15" x14ac:dyDescent="0.25">
      <c r="B7" s="169" t="s">
        <v>85</v>
      </c>
      <c r="D7" s="26">
        <f>IFERROR('Historical FS'!D27/'Historical FS'!C27-1,0)</f>
        <v>0.103163815795007</v>
      </c>
      <c r="E7" s="26">
        <f>IFERROR('Historical FS'!E27/'Historical FS'!D27-1,0)</f>
        <v>-0.19978245260625749</v>
      </c>
      <c r="F7" s="26">
        <f>IFERROR('Historical FS'!F27/'Historical FS'!E27-1,0)</f>
        <v>-0.55668251823863213</v>
      </c>
      <c r="G7" s="26">
        <f>IFERROR('Historical FS'!G27/'Historical FS'!F27-1,0)</f>
        <v>-0.29861436616351744</v>
      </c>
      <c r="H7" s="26">
        <f>IFERROR('Historical FS'!H27/'Historical FS'!G27-1,0)</f>
        <v>-1.897095149646705</v>
      </c>
      <c r="I7" s="26">
        <f>IFERROR('Historical FS'!I27/'Historical FS'!H27-1,0)</f>
        <v>1.2800251873039095</v>
      </c>
      <c r="J7" s="26">
        <f>IFERROR('Historical FS'!J27/'Historical FS'!I27-1,0)</f>
        <v>-1.0602479570180365</v>
      </c>
      <c r="K7" s="26">
        <f>IFERROR('Historical FS'!K27/'Historical FS'!J27-1,0)</f>
        <v>-15.64914925025267</v>
      </c>
      <c r="L7" s="26">
        <f>IFERROR('Historical FS'!L27/'Historical FS'!K27-1,0)</f>
        <v>-0.65313668793078505</v>
      </c>
      <c r="N7" s="26">
        <f t="shared" si="0"/>
        <v>-2.1035021531952989</v>
      </c>
      <c r="O7" s="26">
        <f t="shared" si="1"/>
        <v>-0.55668251823863213</v>
      </c>
    </row>
    <row r="8" spans="2:15" x14ac:dyDescent="0.25">
      <c r="B8" s="169" t="s">
        <v>86</v>
      </c>
      <c r="D8" s="26">
        <f>IFERROR('Historical FS'!D33/'Historical FS'!C33-1,0)</f>
        <v>-6.4185676009415382E-2</v>
      </c>
      <c r="E8" s="26">
        <f>IFERROR('Historical FS'!E33/'Historical FS'!D33-1,0)</f>
        <v>3.1824673563310757E-2</v>
      </c>
      <c r="F8" s="26">
        <f>IFERROR('Historical FS'!F33/'Historical FS'!E33-1,0)</f>
        <v>-0.69539895165986787</v>
      </c>
      <c r="G8" s="26">
        <f>IFERROR('Historical FS'!G33/'Historical FS'!F33-1,0)</f>
        <v>-0.79011124197155724</v>
      </c>
      <c r="H8" s="26">
        <f>IFERROR('Historical FS'!H33/'Historical FS'!G33-1,0)</f>
        <v>-3.5528470983790919</v>
      </c>
      <c r="I8" s="26">
        <f>IFERROR('Historical FS'!I33/'Historical FS'!H33-1,0)</f>
        <v>3.9286702707513577</v>
      </c>
      <c r="J8" s="26">
        <f>IFERROR('Historical FS'!J33/'Historical FS'!I33-1,0)</f>
        <v>-0.82862505348950144</v>
      </c>
      <c r="K8" s="26">
        <f>IFERROR('Historical FS'!K33/'Historical FS'!J33-1,0)</f>
        <v>6.1952157445306248</v>
      </c>
      <c r="L8" s="26">
        <f>IFERROR('Historical FS'!L33/'Historical FS'!K33-1,0)</f>
        <v>-0.7090436533357708</v>
      </c>
      <c r="N8" s="26">
        <f t="shared" si="0"/>
        <v>0.39061100155556538</v>
      </c>
      <c r="O8" s="26">
        <f t="shared" si="1"/>
        <v>-0.69539895165986787</v>
      </c>
    </row>
    <row r="9" spans="2:15" x14ac:dyDescent="0.25">
      <c r="B9" s="176" t="s">
        <v>87</v>
      </c>
      <c r="C9" s="27"/>
      <c r="D9" s="28">
        <f>IFERROR('Historical FS'!D41/'Historical FS'!C41-1,0)</f>
        <v>-1</v>
      </c>
      <c r="E9" s="28">
        <f>IFERROR('Historical FS'!E41/'Historical FS'!D41-1,0)</f>
        <v>0</v>
      </c>
      <c r="F9" s="28">
        <f>IFERROR('Historical FS'!F41/'Historical FS'!E41-1,0)</f>
        <v>-1</v>
      </c>
      <c r="G9" s="28">
        <f>IFERROR('Historical FS'!G41/'Historical FS'!F41-1,0)</f>
        <v>0</v>
      </c>
      <c r="H9" s="28">
        <f>IFERROR('Historical FS'!H41/'Historical FS'!G41-1,0)</f>
        <v>0</v>
      </c>
      <c r="I9" s="28">
        <f>IFERROR('Historical FS'!I41/'Historical FS'!H41-1,0)</f>
        <v>0</v>
      </c>
      <c r="J9" s="28">
        <f>IFERROR('Historical FS'!J41/'Historical FS'!I41-1,0)</f>
        <v>0</v>
      </c>
      <c r="K9" s="28">
        <f>IFERROR('Historical FS'!K41/'Historical FS'!J41-1,0)</f>
        <v>0</v>
      </c>
      <c r="L9" s="28">
        <f>IFERROR('Historical FS'!L41/'Historical FS'!K41-1,0)</f>
        <v>0</v>
      </c>
      <c r="M9" s="27"/>
      <c r="N9" s="28">
        <f t="shared" si="0"/>
        <v>-0.22222222222222221</v>
      </c>
      <c r="O9" s="28">
        <f>IFERROR(MEDIAN(C9:L9),0)</f>
        <v>0</v>
      </c>
    </row>
    <row r="11" spans="2:15" x14ac:dyDescent="0.25">
      <c r="B11" s="175" t="s">
        <v>88</v>
      </c>
      <c r="C11" s="25">
        <f>IFERROR('Historical FS'!C13,0)</f>
        <v>0.22635301098646982</v>
      </c>
      <c r="D11" s="25">
        <f>IFERROR('Historical FS'!D13,0)</f>
        <v>0.22914703499762759</v>
      </c>
      <c r="E11" s="25">
        <f>IFERROR('Historical FS'!E13,0)</f>
        <v>0.24734524196690946</v>
      </c>
      <c r="F11" s="25">
        <f>IFERROR('Historical FS'!F13,0)</f>
        <v>0.23819078253229964</v>
      </c>
      <c r="G11" s="25">
        <f>IFERROR('Historical FS'!G13,0)</f>
        <v>0.21649990080619999</v>
      </c>
      <c r="H11" s="25">
        <f>IFERROR('Historical FS'!H13,0)</f>
        <v>0.19571167496416494</v>
      </c>
      <c r="I11" s="25">
        <f>IFERROR('Historical FS'!I13,0)</f>
        <v>0.19417127271491774</v>
      </c>
      <c r="J11" s="25">
        <f>IFERROR('Historical FS'!J13,0)</f>
        <v>0.2180538622208833</v>
      </c>
      <c r="K11" s="25">
        <f>IFERROR('Historical FS'!K13,0)</f>
        <v>0.19807108271747378</v>
      </c>
      <c r="L11" s="25">
        <f>IFERROR('Historical FS'!L13,0)</f>
        <v>0.20685017994636876</v>
      </c>
      <c r="M11" s="24"/>
      <c r="N11" s="25">
        <f>IFERROR(AVERAGE(C11:L11),0)</f>
        <v>0.21703940438533151</v>
      </c>
      <c r="O11" s="25">
        <f t="shared" si="1"/>
        <v>0.21727688151354163</v>
      </c>
    </row>
    <row r="12" spans="2:15" x14ac:dyDescent="0.25">
      <c r="B12" s="169" t="s">
        <v>89</v>
      </c>
      <c r="C12" s="26">
        <f>IFERROR('Historical FS'!C19,0)</f>
        <v>0.14969210207836775</v>
      </c>
      <c r="D12" s="26">
        <f>IFERROR('Historical FS'!D19,0)</f>
        <v>0.14910625508580397</v>
      </c>
      <c r="E12" s="26">
        <f>IFERROR('Historical FS'!E19,0)</f>
        <v>0.14061845347443788</v>
      </c>
      <c r="F12" s="26">
        <f>IFERROR('Historical FS'!F19,0)</f>
        <v>0.10971268723777329</v>
      </c>
      <c r="G12" s="26">
        <f>IFERROR('Historical FS'!G19,0)</f>
        <v>0.10789788444182975</v>
      </c>
      <c r="H12" s="26">
        <f>IFERROR('Historical FS'!H19,0)</f>
        <v>8.1686628795807431E-2</v>
      </c>
      <c r="I12" s="26">
        <f>IFERROR('Historical FS'!I19,0)</f>
        <v>6.8898034485042198E-2</v>
      </c>
      <c r="J12" s="26">
        <f>IFERROR('Historical FS'!J19,0)</f>
        <v>0.12925583904385496</v>
      </c>
      <c r="K12" s="26">
        <f>IFERROR('Historical FS'!K19,0)</f>
        <v>8.877632835227646E-2</v>
      </c>
      <c r="L12" s="26">
        <f>IFERROR('Historical FS'!L19,0)</f>
        <v>9.1961958102532049E-2</v>
      </c>
      <c r="N12" s="26">
        <f t="shared" ref="N12:N41" si="2">IFERROR(AVERAGE(C12:L12),0)</f>
        <v>0.11176061710977256</v>
      </c>
      <c r="O12" s="26">
        <f t="shared" si="1"/>
        <v>0.10880528583980152</v>
      </c>
    </row>
    <row r="13" spans="2:15" x14ac:dyDescent="0.25">
      <c r="B13" s="169" t="s">
        <v>90</v>
      </c>
      <c r="C13" s="26">
        <f>IFERROR(('Historical FS'!C18-'Historical FS'!C24)/'Historical FS'!C6,0)</f>
        <v>0.10211238357890337</v>
      </c>
      <c r="D13" s="26">
        <f>IFERROR(('Historical FS'!D18-'Historical FS'!D24)/'Historical FS'!D6,0)</f>
        <v>9.8229670900837146E-2</v>
      </c>
      <c r="E13" s="26">
        <f>IFERROR(('Historical FS'!E18-'Historical FS'!E24)/'Historical FS'!E6,0)</f>
        <v>7.941702777851016E-2</v>
      </c>
      <c r="F13" s="26">
        <f>IFERROR(('Historical FS'!F18-'Historical FS'!F24)/'Historical FS'!F6,0)</f>
        <v>4.3322300645279484E-2</v>
      </c>
      <c r="G13" s="26">
        <f>IFERROR(('Historical FS'!G18-'Historical FS'!G24)/'Historical FS'!G6,0)</f>
        <v>3.3970412259310953E-2</v>
      </c>
      <c r="H13" s="26">
        <f>IFERROR(('Historical FS'!H18-'Historical FS'!H24)/'Historical FS'!H6,0)</f>
        <v>3.5560233478087663E-3</v>
      </c>
      <c r="I13" s="26">
        <f>IFERROR(('Historical FS'!I18-'Historical FS'!I24)/'Historical FS'!I6,0)</f>
        <v>-1.3170363258273456E-2</v>
      </c>
      <c r="J13" s="26">
        <f>IFERROR(('Historical FS'!J18-'Historical FS'!J24)/'Historical FS'!J6,0)</f>
        <v>3.4991608110258483E-2</v>
      </c>
      <c r="K13" s="26">
        <f>IFERROR(('Historical FS'!K18-'Historical FS'!K24)/'Historical FS'!K6,0)</f>
        <v>-4.1514992694289269E-4</v>
      </c>
      <c r="L13" s="26">
        <f>IFERROR(('Historical FS'!L18-'Historical FS'!L24)/'Historical FS'!L6,0)</f>
        <v>2.0104346955433228E-2</v>
      </c>
      <c r="N13" s="26">
        <f t="shared" si="2"/>
        <v>4.0211826039112518E-2</v>
      </c>
      <c r="O13" s="26">
        <f t="shared" si="1"/>
        <v>3.4481010184784722E-2</v>
      </c>
    </row>
    <row r="14" spans="2:15" x14ac:dyDescent="0.25">
      <c r="B14" s="169" t="s">
        <v>91</v>
      </c>
      <c r="C14" s="26">
        <f>IFERROR('Historical FS'!C28,0)</f>
        <v>8.1713958368390432E-2</v>
      </c>
      <c r="D14" s="26">
        <f>IFERROR('Historical FS'!D28,0)</f>
        <v>7.9756085085905037E-2</v>
      </c>
      <c r="E14" s="26">
        <f>IFERROR('Historical FS'!E28,0)</f>
        <v>6.1511300676516931E-2</v>
      </c>
      <c r="F14" s="26">
        <f>IFERROR('Historical FS'!F28,0)</f>
        <v>2.7608071132565179E-2</v>
      </c>
      <c r="G14" s="26">
        <f>IFERROR('Historical FS'!G28,0)</f>
        <v>1.7912163958707913E-2</v>
      </c>
      <c r="H14" s="26">
        <f>IFERROR('Historical FS'!H28,0)</f>
        <v>-1.5516078776333117E-2</v>
      </c>
      <c r="I14" s="26">
        <f>IFERROR('Historical FS'!I28,0)</f>
        <v>-4.0915360088026265E-2</v>
      </c>
      <c r="J14" s="26">
        <f>IFERROR('Historical FS'!J28,0)</f>
        <v>2.5763151547420113E-3</v>
      </c>
      <c r="K14" s="26">
        <f>IFERROR('Historical FS'!K28,0)</f>
        <v>-3.3856482095653805E-2</v>
      </c>
      <c r="L14" s="26">
        <f>IFERROR('Historical FS'!L28,0)</f>
        <v>-9.4518849588445895E-3</v>
      </c>
      <c r="N14" s="26">
        <f t="shared" si="2"/>
        <v>1.7133808845796978E-2</v>
      </c>
      <c r="O14" s="26">
        <f t="shared" si="1"/>
        <v>1.0244239556724962E-2</v>
      </c>
    </row>
    <row r="15" spans="2:15" x14ac:dyDescent="0.25">
      <c r="B15" s="176" t="s">
        <v>92</v>
      </c>
      <c r="C15" s="28">
        <f>IFERROR('Historical FS'!C34,0)</f>
        <v>6.124960626397391E-2</v>
      </c>
      <c r="D15" s="28">
        <f>IFERROR('Historical FS'!D34,0)</f>
        <v>5.0713146858982282E-2</v>
      </c>
      <c r="E15" s="28">
        <f>IFERROR('Historical FS'!E34,0)</f>
        <v>5.0432381990407359E-2</v>
      </c>
      <c r="F15" s="28">
        <f>IFERROR('Historical FS'!F34,0)</f>
        <v>1.5552749314395296E-2</v>
      </c>
      <c r="G15" s="28">
        <f>IFERROR('Historical FS'!G34,0)</f>
        <v>3.01961430487095E-3</v>
      </c>
      <c r="H15" s="28">
        <f>IFERROR('Historical FS'!H34,0)</f>
        <v>-7.4434056747998256E-3</v>
      </c>
      <c r="I15" s="28">
        <f>IFERROR('Historical FS'!I34,0)</f>
        <v>-4.2429333632923408E-2</v>
      </c>
      <c r="J15" s="28">
        <f>IFERROR('Historical FS'!J34,0)</f>
        <v>-7.5994791724005731E-3</v>
      </c>
      <c r="K15" s="28">
        <f>IFERROR('Historical FS'!K34,0)</f>
        <v>-4.9052154538339235E-2</v>
      </c>
      <c r="L15" s="28">
        <f>IFERROR('Historical FS'!L34,0)</f>
        <v>-1.1486934720964945E-2</v>
      </c>
      <c r="M15" s="27"/>
      <c r="N15" s="28">
        <f t="shared" si="2"/>
        <v>6.2956190993201811E-3</v>
      </c>
      <c r="O15" s="28">
        <f t="shared" si="1"/>
        <v>-2.2118956849644378E-3</v>
      </c>
    </row>
    <row r="16" spans="2:15" x14ac:dyDescent="0.25">
      <c r="N16" s="14"/>
    </row>
    <row r="17" spans="2:15" x14ac:dyDescent="0.25">
      <c r="B17" s="175" t="s">
        <v>93</v>
      </c>
      <c r="C17" s="25">
        <f>IFERROR('Historical FS'!C16,0)</f>
        <v>7.6660908908102038E-2</v>
      </c>
      <c r="D17" s="25">
        <f>IFERROR('Historical FS'!D16,0)</f>
        <v>8.0040779911823637E-2</v>
      </c>
      <c r="E17" s="25">
        <f>IFERROR('Historical FS'!E16,0)</f>
        <v>0.10672678849247161</v>
      </c>
      <c r="F17" s="25">
        <f>IFERROR('Historical FS'!F16,0)</f>
        <v>0.12847809529452636</v>
      </c>
      <c r="G17" s="25">
        <f>IFERROR('Historical FS'!G16,0)</f>
        <v>0.10860201636437025</v>
      </c>
      <c r="H17" s="25">
        <f>IFERROR('Historical FS'!H16,0)</f>
        <v>0.11402504616835751</v>
      </c>
      <c r="I17" s="25">
        <f>IFERROR('Historical FS'!I16,0)</f>
        <v>0.12527323822987554</v>
      </c>
      <c r="J17" s="25">
        <f>IFERROR('Historical FS'!J16,0)</f>
        <v>8.8798023177028354E-2</v>
      </c>
      <c r="K17" s="25">
        <f>IFERROR('Historical FS'!K16,0)</f>
        <v>0.10929475436519734</v>
      </c>
      <c r="L17" s="25">
        <f>IFERROR('Historical FS'!L16,0)</f>
        <v>0.11488822184383672</v>
      </c>
      <c r="M17" s="24"/>
      <c r="N17" s="25">
        <f t="shared" si="2"/>
        <v>0.10527878727555892</v>
      </c>
      <c r="O17" s="25">
        <f t="shared" si="1"/>
        <v>0.1089483853647838</v>
      </c>
    </row>
    <row r="18" spans="2:15" x14ac:dyDescent="0.25">
      <c r="B18" s="169" t="s">
        <v>18</v>
      </c>
      <c r="C18" s="26">
        <f>IFERROR('Historical FS'!C25,0)</f>
        <v>4.757971849946438E-2</v>
      </c>
      <c r="D18" s="26">
        <f>IFERROR('Historical FS'!D25,0)</f>
        <v>5.0876584184966822E-2</v>
      </c>
      <c r="E18" s="26">
        <f>IFERROR('Historical FS'!E25,0)</f>
        <v>6.1201425695927715E-2</v>
      </c>
      <c r="F18" s="26">
        <f>IFERROR('Historical FS'!F25,0)</f>
        <v>6.63903865924938E-2</v>
      </c>
      <c r="G18" s="26">
        <f>IFERROR('Historical FS'!G25,0)</f>
        <v>7.3927472182518786E-2</v>
      </c>
      <c r="H18" s="26">
        <f>IFERROR('Historical FS'!H25,0)</f>
        <v>7.8130605447998658E-2</v>
      </c>
      <c r="I18" s="26">
        <f>IFERROR('Historical FS'!I25,0)</f>
        <v>8.206839774331566E-2</v>
      </c>
      <c r="J18" s="26">
        <f>IFERROR('Historical FS'!J25,0)</f>
        <v>9.4264230933596482E-2</v>
      </c>
      <c r="K18" s="26">
        <f>IFERROR('Historical FS'!K25,0)</f>
        <v>8.9191478279219347E-2</v>
      </c>
      <c r="L18" s="26">
        <f>IFERROR('Historical FS'!L25,0)</f>
        <v>7.1857611147098821E-2</v>
      </c>
      <c r="N18" s="26">
        <f t="shared" si="2"/>
        <v>7.1548791070660034E-2</v>
      </c>
      <c r="O18" s="26">
        <f t="shared" si="1"/>
        <v>7.2892541664808796E-2</v>
      </c>
    </row>
    <row r="19" spans="2:15" x14ac:dyDescent="0.25">
      <c r="B19" s="176" t="s">
        <v>94</v>
      </c>
      <c r="C19" s="28">
        <f>C13</f>
        <v>0.10211238357890337</v>
      </c>
      <c r="D19" s="28">
        <f t="shared" ref="D19:L19" si="3">D13</f>
        <v>9.8229670900837146E-2</v>
      </c>
      <c r="E19" s="28">
        <f t="shared" si="3"/>
        <v>7.941702777851016E-2</v>
      </c>
      <c r="F19" s="28">
        <f t="shared" si="3"/>
        <v>4.3322300645279484E-2</v>
      </c>
      <c r="G19" s="28">
        <f t="shared" si="3"/>
        <v>3.3970412259310953E-2</v>
      </c>
      <c r="H19" s="28">
        <f t="shared" si="3"/>
        <v>3.5560233478087663E-3</v>
      </c>
      <c r="I19" s="28">
        <f t="shared" si="3"/>
        <v>-1.3170363258273456E-2</v>
      </c>
      <c r="J19" s="28">
        <f t="shared" si="3"/>
        <v>3.4991608110258483E-2</v>
      </c>
      <c r="K19" s="28">
        <f t="shared" si="3"/>
        <v>-4.1514992694289269E-4</v>
      </c>
      <c r="L19" s="28">
        <f t="shared" si="3"/>
        <v>2.0104346955433228E-2</v>
      </c>
      <c r="M19" s="27"/>
      <c r="N19" s="28">
        <f t="shared" si="2"/>
        <v>4.0211826039112518E-2</v>
      </c>
      <c r="O19" s="28">
        <f t="shared" si="1"/>
        <v>3.4481010184784722E-2</v>
      </c>
    </row>
    <row r="20" spans="2:15" x14ac:dyDescent="0.25">
      <c r="N20" s="14"/>
    </row>
    <row r="21" spans="2:15" x14ac:dyDescent="0.25">
      <c r="B21" s="175" t="s">
        <v>95</v>
      </c>
      <c r="C21" s="25">
        <f>IFERROR(('Historical FS'!C18-'Historical FS'!C24)/SUM('Historical FS'!C47:C49),0)</f>
        <v>0.18832478532145183</v>
      </c>
      <c r="D21" s="25">
        <f>IFERROR(('Historical FS'!D18-'Historical FS'!D24)/SUM('Historical FS'!D47:D49),0)</f>
        <v>0.19904181268509033</v>
      </c>
      <c r="E21" s="25">
        <f>IFERROR(('Historical FS'!E18-'Historical FS'!E24)/SUM('Historical FS'!E47:E49),0)</f>
        <v>0.1462081011853561</v>
      </c>
      <c r="F21" s="25">
        <f>IFERROR(('Historical FS'!F18-'Historical FS'!F24)/SUM('Historical FS'!F47:F49),0)</f>
        <v>8.5490986154773282E-2</v>
      </c>
      <c r="G21" s="25">
        <f>IFERROR(('Historical FS'!G18-'Historical FS'!G24)/SUM('Historical FS'!G47:G49),0)</f>
        <v>5.3716113570365424E-2</v>
      </c>
      <c r="H21" s="25">
        <f>IFERROR(('Historical FS'!H18-'Historical FS'!H24)/SUM('Historical FS'!H47:H49),0)</f>
        <v>6.4542733637543747E-3</v>
      </c>
      <c r="I21" s="25">
        <f>IFERROR(('Historical FS'!I18-'Historical FS'!I24)/SUM('Historical FS'!I47:I49),0)</f>
        <v>-1.8387082646096023E-2</v>
      </c>
      <c r="J21" s="25">
        <f>IFERROR(('Historical FS'!J18-'Historical FS'!J24)/SUM('Historical FS'!J47:J49),0)</f>
        <v>4.4284324706251613E-2</v>
      </c>
      <c r="K21" s="25">
        <f>IFERROR(('Historical FS'!K18-'Historical FS'!K24)/SUM('Historical FS'!K47:K49),0)</f>
        <v>-6.0520306054739361E-4</v>
      </c>
      <c r="L21" s="25">
        <f>IFERROR(('Historical FS'!L18-'Historical FS'!L24)/SUM('Historical FS'!L47:L49),0)</f>
        <v>3.8762956416083731E-2</v>
      </c>
      <c r="M21" s="24"/>
      <c r="N21" s="25">
        <f t="shared" si="2"/>
        <v>7.4329106769648337E-2</v>
      </c>
      <c r="O21" s="25">
        <f t="shared" si="1"/>
        <v>4.9000219138308515E-2</v>
      </c>
    </row>
    <row r="22" spans="2:15" x14ac:dyDescent="0.25">
      <c r="B22" s="169" t="s">
        <v>96</v>
      </c>
      <c r="C22" s="26">
        <f>IFERROR('Historical FS'!C44,0)</f>
        <v>0.95485720817027164</v>
      </c>
      <c r="D22" s="26">
        <f>IFERROR('Historical FS'!D44,0)</f>
        <v>1</v>
      </c>
      <c r="E22" s="26">
        <f>IFERROR('Historical FS'!E44,0)</f>
        <v>0.99506765991253665</v>
      </c>
      <c r="F22" s="26">
        <f>IFERROR('Historical FS'!F44,0)</f>
        <v>1</v>
      </c>
      <c r="G22" s="26">
        <f>IFERROR('Historical FS'!G44,0)</f>
        <v>1</v>
      </c>
      <c r="H22" s="26">
        <f>IFERROR('Historical FS'!H44,0)</f>
        <v>0</v>
      </c>
      <c r="I22" s="26">
        <f>IFERROR('Historical FS'!I44,0)</f>
        <v>0</v>
      </c>
      <c r="J22" s="26">
        <f>IFERROR('Historical FS'!J44,0)</f>
        <v>0</v>
      </c>
      <c r="K22" s="26">
        <f>IFERROR('Historical FS'!K44,0)</f>
        <v>0</v>
      </c>
      <c r="L22" s="26">
        <f>IFERROR('Historical FS'!L44,0)</f>
        <v>0</v>
      </c>
      <c r="N22" s="26">
        <f t="shared" si="2"/>
        <v>0.49499248680828084</v>
      </c>
      <c r="O22" s="26">
        <f t="shared" si="1"/>
        <v>0.47742860408513582</v>
      </c>
    </row>
    <row r="23" spans="2:15" x14ac:dyDescent="0.25">
      <c r="B23" s="169" t="s">
        <v>97</v>
      </c>
      <c r="C23" s="26">
        <f>IFERROR(('Historical FS'!C33)/SUM('Historical FS'!C47:C48),0)</f>
        <v>0.21738140295975247</v>
      </c>
      <c r="D23" s="26">
        <f>IFERROR(('Historical FS'!D33)/SUM('Historical FS'!D47:D48),0)</f>
        <v>0.2372052002491202</v>
      </c>
      <c r="E23" s="26">
        <f>IFERROR(('Historical FS'!E33)/SUM('Historical FS'!E47:E48),0)</f>
        <v>0.17441316864171685</v>
      </c>
      <c r="F23" s="26">
        <f>IFERROR(('Historical FS'!F33)/SUM('Historical FS'!F47:F48),0)</f>
        <v>7.2241189530689517E-2</v>
      </c>
      <c r="G23" s="26">
        <f>IFERROR(('Historical FS'!G33)/SUM('Historical FS'!G47:G48),0)</f>
        <v>9.2254980749341738E-3</v>
      </c>
      <c r="H23" s="26">
        <f>IFERROR(('Historical FS'!H33)/SUM('Historical FS'!H47:H48),0)</f>
        <v>-3.7345736658758885E-2</v>
      </c>
      <c r="I23" s="26">
        <f>IFERROR(('Historical FS'!I33)/SUM('Historical FS'!I47:I48),0)</f>
        <v>-0.1780542775131683</v>
      </c>
      <c r="J23" s="26">
        <f>IFERROR(('Historical FS'!J33)/SUM('Historical FS'!J47:J48),0)</f>
        <v>-3.4360591904822733E-2</v>
      </c>
      <c r="K23" s="26">
        <f>IFERROR(('Historical FS'!K33)/SUM('Historical FS'!K47:K48),0)</f>
        <v>-0.30651638060341208</v>
      </c>
      <c r="L23" s="26">
        <f>IFERROR(('Historical FS'!L33)/SUM('Historical FS'!L47:L48),0)</f>
        <v>-8.7686298356707396E-2</v>
      </c>
      <c r="N23" s="26">
        <f t="shared" si="2"/>
        <v>6.6503174419343929E-3</v>
      </c>
      <c r="O23" s="26">
        <f t="shared" si="1"/>
        <v>-1.2567546914944279E-2</v>
      </c>
    </row>
    <row r="24" spans="2:15" x14ac:dyDescent="0.25">
      <c r="B24" s="169" t="s">
        <v>98</v>
      </c>
      <c r="C24" s="26">
        <f>IFERROR(C22*C23,0)</f>
        <v>0.20756819953828606</v>
      </c>
      <c r="D24" s="26">
        <f t="shared" ref="D24:L24" si="4">IFERROR(D22*D23,0)</f>
        <v>0.2372052002491202</v>
      </c>
      <c r="E24" s="26">
        <f t="shared" si="4"/>
        <v>0.17355290357824379</v>
      </c>
      <c r="F24" s="26">
        <f t="shared" si="4"/>
        <v>7.2241189530689517E-2</v>
      </c>
      <c r="G24" s="26">
        <f t="shared" si="4"/>
        <v>9.2254980749341738E-3</v>
      </c>
      <c r="H24" s="26">
        <f t="shared" si="4"/>
        <v>0</v>
      </c>
      <c r="I24" s="26">
        <f t="shared" si="4"/>
        <v>0</v>
      </c>
      <c r="J24" s="26">
        <f t="shared" si="4"/>
        <v>0</v>
      </c>
      <c r="K24" s="26">
        <f t="shared" si="4"/>
        <v>0</v>
      </c>
      <c r="L24" s="26">
        <f t="shared" si="4"/>
        <v>0</v>
      </c>
      <c r="N24" s="26">
        <f t="shared" si="2"/>
        <v>6.9979299097127384E-2</v>
      </c>
      <c r="O24" s="26">
        <f t="shared" si="1"/>
        <v>4.6127490374670869E-3</v>
      </c>
    </row>
    <row r="25" spans="2:15" x14ac:dyDescent="0.25">
      <c r="B25" s="176" t="s">
        <v>99</v>
      </c>
      <c r="C25" s="29">
        <f>IFERROR(('Historical FS'!C18-'Historical FS'!C24)/'Historical FS'!C21,0)</f>
        <v>5.0058954318824904</v>
      </c>
      <c r="D25" s="29">
        <f>IFERROR(('Historical FS'!D18-'Historical FS'!D24)/'Historical FS'!D21,0)</f>
        <v>5.3173039541375138</v>
      </c>
      <c r="E25" s="29">
        <f>IFERROR(('Historical FS'!E18-'Historical FS'!E24)/'Historical FS'!E21,0)</f>
        <v>4.4352863933500721</v>
      </c>
      <c r="F25" s="29">
        <f>IFERROR(('Historical FS'!F18-'Historical FS'!F24)/'Historical FS'!F21,0)</f>
        <v>2.7568835373205922</v>
      </c>
      <c r="G25" s="29">
        <f>IFERROR(('Historical FS'!G18-'Historical FS'!G24)/'Historical FS'!G21,0)</f>
        <v>2.1154494328024094</v>
      </c>
      <c r="H25" s="29">
        <f>IFERROR(('Historical FS'!H18-'Historical FS'!H24)/'Historical FS'!H21,0)</f>
        <v>0.18645156808947008</v>
      </c>
      <c r="I25" s="29">
        <f>IFERROR(('Historical FS'!I18-'Historical FS'!I24)/'Historical FS'!I21,0)</f>
        <v>-0.47469326953211261</v>
      </c>
      <c r="J25" s="29">
        <f>IFERROR(('Historical FS'!J18-'Historical FS'!J24)/'Historical FS'!J21,0)</f>
        <v>1.079478385658198</v>
      </c>
      <c r="K25" s="29">
        <f>IFERROR(('Historical FS'!K18-'Historical FS'!K24)/'Historical FS'!K21,0)</f>
        <v>-1.2414275987824557E-2</v>
      </c>
      <c r="L25" s="29">
        <f>IFERROR(('Historical FS'!L18-'Historical FS'!L24)/'Historical FS'!L21,0)</f>
        <v>0.68020669934320532</v>
      </c>
      <c r="M25" s="27"/>
      <c r="N25" s="29">
        <f t="shared" si="2"/>
        <v>2.1089847857064017</v>
      </c>
      <c r="O25" s="29">
        <f t="shared" si="1"/>
        <v>1.5974639092303038</v>
      </c>
    </row>
    <row r="26" spans="2:15" x14ac:dyDescent="0.25">
      <c r="C26" s="14"/>
      <c r="N26" s="14"/>
    </row>
    <row r="27" spans="2:15" x14ac:dyDescent="0.25">
      <c r="B27" s="175" t="s">
        <v>100</v>
      </c>
      <c r="C27" s="30">
        <f>IFERROR('Historical FS'!C6/'Historical FS'!C59,0)</f>
        <v>22.018970648453838</v>
      </c>
      <c r="D27" s="30">
        <f>IFERROR('Historical FS'!D6/'Historical FS'!D59,0)</f>
        <v>20.92016821419486</v>
      </c>
      <c r="E27" s="30">
        <f>IFERROR('Historical FS'!E6/'Historical FS'!E59,0)</f>
        <v>20.119918266350599</v>
      </c>
      <c r="F27" s="30">
        <f>IFERROR('Historical FS'!F6/'Historical FS'!F59,0)</f>
        <v>19.160353236640844</v>
      </c>
      <c r="G27" s="30">
        <f>IFERROR('Historical FS'!G6/'Historical FS'!G59,0)</f>
        <v>14.655712224718874</v>
      </c>
      <c r="H27" s="30">
        <f>IFERROR('Historical FS'!H6/'Historical FS'!H59,0)</f>
        <v>15.894698773489607</v>
      </c>
      <c r="I27" s="30">
        <f>IFERROR('Historical FS'!I6/'Historical FS'!I59,0)</f>
        <v>23.366617170976728</v>
      </c>
      <c r="J27" s="30">
        <f>IFERROR('Historical FS'!J6/'Historical FS'!J59,0)</f>
        <v>19.701330853658153</v>
      </c>
      <c r="K27" s="30">
        <f>IFERROR('Historical FS'!K6/'Historical FS'!K59,0)</f>
        <v>22.379917570317598</v>
      </c>
      <c r="L27" s="30">
        <f>IFERROR('Historical FS'!L6/'Historical FS'!L59,0)</f>
        <v>21.982947610142858</v>
      </c>
      <c r="M27" s="24"/>
      <c r="N27" s="30">
        <f t="shared" si="2"/>
        <v>20.020063456894395</v>
      </c>
      <c r="O27" s="30">
        <f t="shared" si="1"/>
        <v>20.520043240272727</v>
      </c>
    </row>
    <row r="28" spans="2:15" x14ac:dyDescent="0.25">
      <c r="B28" s="169" t="s">
        <v>101</v>
      </c>
      <c r="C28" s="31">
        <f>IFERROR('Historical FS'!C6/'Historical FS'!C50,0)</f>
        <v>2.5258516302731193</v>
      </c>
      <c r="D28" s="31">
        <f>IFERROR('Historical FS'!D6/'Historical FS'!D50,0)</f>
        <v>2.4493010585757142</v>
      </c>
      <c r="E28" s="31">
        <f>IFERROR('Historical FS'!E6/'Historical FS'!E50,0)</f>
        <v>2.3769603927858673</v>
      </c>
      <c r="F28" s="31">
        <f>IFERROR('Historical FS'!F6/'Historical FS'!F50,0)</f>
        <v>1.9842807783040648</v>
      </c>
      <c r="G28" s="31">
        <f>IFERROR('Historical FS'!G6/'Historical FS'!G50,0)</f>
        <v>2.0414780318629697</v>
      </c>
      <c r="H28" s="31">
        <f>IFERROR('Historical FS'!H6/'Historical FS'!H50,0)</f>
        <v>2.1667847518227492</v>
      </c>
      <c r="I28" s="31">
        <f>IFERROR('Historical FS'!I6/'Historical FS'!I50,0)</f>
        <v>1.9602534811345065</v>
      </c>
      <c r="J28" s="31">
        <f>IFERROR('Historical FS'!J6/'Historical FS'!J50,0)</f>
        <v>1.7323684804395676</v>
      </c>
      <c r="K28" s="31">
        <f>IFERROR('Historical FS'!K6/'Historical FS'!K50,0)</f>
        <v>2.0170312149360217</v>
      </c>
      <c r="L28" s="31">
        <f>IFERROR('Historical FS'!L6/'Historical FS'!L50,0)</f>
        <v>2.2286057258733614</v>
      </c>
      <c r="N28" s="31">
        <f t="shared" si="2"/>
        <v>2.1482915546007941</v>
      </c>
      <c r="O28" s="31">
        <f t="shared" si="1"/>
        <v>2.1041313918428592</v>
      </c>
    </row>
    <row r="29" spans="2:15" x14ac:dyDescent="0.25">
      <c r="B29" s="169" t="s">
        <v>102</v>
      </c>
      <c r="C29" s="31">
        <f>IFERROR('Historical FS'!C6/'Historical FS'!C60,0)</f>
        <v>8.5378093637574715</v>
      </c>
      <c r="D29" s="31">
        <f>IFERROR('Historical FS'!D6/'Historical FS'!D60,0)</f>
        <v>8.9900219797938927</v>
      </c>
      <c r="E29" s="31">
        <f>IFERROR('Historical FS'!E6/'Historical FS'!E60,0)</f>
        <v>8.3613381173839922</v>
      </c>
      <c r="F29" s="31">
        <f>IFERROR('Historical FS'!F6/'Historical FS'!F60,0)</f>
        <v>7.6867643466738649</v>
      </c>
      <c r="G29" s="31">
        <f>IFERROR('Historical FS'!G6/'Historical FS'!G60,0)</f>
        <v>6.9190051742350009</v>
      </c>
      <c r="H29" s="31">
        <f>IFERROR('Historical FS'!H6/'Historical FS'!H60,0)</f>
        <v>7.7392856309817084</v>
      </c>
      <c r="I29" s="31">
        <f>IFERROR('Historical FS'!I6/'Historical FS'!I60,0)</f>
        <v>6.9698269049637886</v>
      </c>
      <c r="J29" s="31">
        <f>IFERROR('Historical FS'!J6/'Historical FS'!J60,0)</f>
        <v>6.9217098811563442</v>
      </c>
      <c r="K29" s="31">
        <f>IFERROR('Historical FS'!K6/'Historical FS'!K60,0)</f>
        <v>7.9015588385356104</v>
      </c>
      <c r="L29" s="31">
        <f>IFERROR('Historical FS'!L6/'Historical FS'!L60,0)</f>
        <v>8.4888641723217457</v>
      </c>
      <c r="N29" s="31">
        <f t="shared" si="2"/>
        <v>7.8516184409803413</v>
      </c>
      <c r="O29" s="31">
        <f t="shared" si="1"/>
        <v>7.8204222347586594</v>
      </c>
    </row>
    <row r="30" spans="2:15" x14ac:dyDescent="0.25">
      <c r="B30" s="169" t="s">
        <v>103</v>
      </c>
      <c r="C30" s="31">
        <f>IFERROR('Historical FS'!C6/'Historical FS'!C53,0)</f>
        <v>3.3699237549186467</v>
      </c>
      <c r="D30" s="31">
        <f>IFERROR('Historical FS'!D6/'Historical FS'!D53,0)</f>
        <v>2.9742370802544178</v>
      </c>
      <c r="E30" s="31">
        <f>IFERROR('Historical FS'!E6/'Historical FS'!E53,0)</f>
        <v>2.546312771514708</v>
      </c>
      <c r="F30" s="31">
        <f>IFERROR('Historical FS'!F6/'Historical FS'!F53,0)</f>
        <v>2.8109343484246239</v>
      </c>
      <c r="G30" s="31">
        <f>IFERROR('Historical FS'!G6/'Historical FS'!G53,0)</f>
        <v>2.4012948768781421</v>
      </c>
      <c r="H30" s="31">
        <f>IFERROR('Historical FS'!H6/'Historical FS'!H53,0)</f>
        <v>2.7144319562092578</v>
      </c>
      <c r="I30" s="31">
        <f>IFERROR('Historical FS'!I6/'Historical FS'!I53,0)</f>
        <v>2.0539205744067566</v>
      </c>
      <c r="J30" s="31">
        <f>IFERROR('Historical FS'!J6/'Historical FS'!J53,0)</f>
        <v>1.8008727134726064</v>
      </c>
      <c r="K30" s="31">
        <f>IFERROR('Historical FS'!K6/'Historical FS'!K53,0)</f>
        <v>2.0053488717943728</v>
      </c>
      <c r="L30" s="31">
        <f>IFERROR('Historical FS'!L6/'Historical FS'!L53,0)</f>
        <v>2.6193791539294131</v>
      </c>
      <c r="N30" s="31">
        <f t="shared" si="2"/>
        <v>2.5296656101802943</v>
      </c>
      <c r="O30" s="31">
        <f t="shared" si="1"/>
        <v>2.5828459627220606</v>
      </c>
    </row>
    <row r="31" spans="2:15" x14ac:dyDescent="0.25">
      <c r="B31" s="176" t="s">
        <v>104</v>
      </c>
      <c r="C31" s="29">
        <f>IFERROR('Historical FS'!C6/SUM('Historical FS'!C47:C48),0)</f>
        <v>3.549106944832932</v>
      </c>
      <c r="D31" s="29">
        <f>IFERROR('Historical FS'!D6/SUM('Historical FS'!D47:D48),0)</f>
        <v>4.6773906756114965</v>
      </c>
      <c r="E31" s="29">
        <f>IFERROR('Historical FS'!E6/SUM('Historical FS'!E47:E48),0)</f>
        <v>3.4583567493379874</v>
      </c>
      <c r="F31" s="29">
        <f>IFERROR('Historical FS'!F6/SUM('Historical FS'!F47:F48),0)</f>
        <v>4.6449144180459854</v>
      </c>
      <c r="G31" s="29">
        <f>IFERROR('Historical FS'!G6/SUM('Historical FS'!G47:G48),0)</f>
        <v>3.0551908765475422</v>
      </c>
      <c r="H31" s="29">
        <f>IFERROR('Historical FS'!H6/SUM('Historical FS'!H47:H48),0)</f>
        <v>5.0172915853821474</v>
      </c>
      <c r="I31" s="29">
        <f>IFERROR('Historical FS'!I6/SUM('Historical FS'!I47:I48),0)</f>
        <v>4.196490075795241</v>
      </c>
      <c r="J31" s="29">
        <f>IFERROR('Historical FS'!J6/SUM('Historical FS'!J47:J48),0)</f>
        <v>4.5214403678625628</v>
      </c>
      <c r="K31" s="29">
        <f>IFERROR('Historical FS'!K6/SUM('Historical FS'!K47:K48),0)</f>
        <v>6.2487852671963351</v>
      </c>
      <c r="L31" s="29">
        <f>IFERROR('Historical FS'!L6/SUM('Historical FS'!L47:L48),0)</f>
        <v>7.6335680916398054</v>
      </c>
      <c r="M31" s="27"/>
      <c r="N31" s="29">
        <f t="shared" si="2"/>
        <v>4.700253505225203</v>
      </c>
      <c r="O31" s="29">
        <f t="shared" si="1"/>
        <v>4.5831773929542745</v>
      </c>
    </row>
    <row r="32" spans="2:15" x14ac:dyDescent="0.25">
      <c r="N32" s="14"/>
    </row>
    <row r="33" spans="2:15" x14ac:dyDescent="0.25">
      <c r="B33" s="177" t="s">
        <v>105</v>
      </c>
      <c r="N33" s="14"/>
    </row>
    <row r="34" spans="2:15" x14ac:dyDescent="0.25">
      <c r="B34" s="175" t="s">
        <v>106</v>
      </c>
      <c r="C34" s="32">
        <f>IFERROR(365/C27,0)</f>
        <v>16.576615039251624</v>
      </c>
      <c r="D34" s="32">
        <f t="shared" ref="D34:L34" si="5">IFERROR(365/D27,0)</f>
        <v>17.447278447423685</v>
      </c>
      <c r="E34" s="32">
        <f t="shared" si="5"/>
        <v>18.141226776772818</v>
      </c>
      <c r="F34" s="32">
        <f t="shared" si="5"/>
        <v>19.049753180019717</v>
      </c>
      <c r="G34" s="32">
        <f t="shared" si="5"/>
        <v>24.904964999543136</v>
      </c>
      <c r="H34" s="32">
        <f t="shared" si="5"/>
        <v>22.963631157878556</v>
      </c>
      <c r="I34" s="32">
        <f t="shared" si="5"/>
        <v>15.620575170519771</v>
      </c>
      <c r="J34" s="32">
        <f t="shared" si="5"/>
        <v>18.52666719376608</v>
      </c>
      <c r="K34" s="32">
        <f t="shared" si="5"/>
        <v>16.309264717046954</v>
      </c>
      <c r="L34" s="32">
        <f t="shared" si="5"/>
        <v>16.603778823163378</v>
      </c>
      <c r="M34" s="24"/>
      <c r="N34" s="32">
        <f t="shared" si="2"/>
        <v>18.614375550538572</v>
      </c>
      <c r="O34" s="32">
        <f t="shared" ref="O34:O37" si="6">IFERROR(MEDIAN(C34:L34),0)</f>
        <v>17.794252612098251</v>
      </c>
    </row>
    <row r="35" spans="2:15" x14ac:dyDescent="0.25">
      <c r="B35" s="169" t="s">
        <v>107</v>
      </c>
      <c r="C35" s="33">
        <f>IFERROR(365/C28,0)</f>
        <v>144.50571665626009</v>
      </c>
      <c r="D35" s="33">
        <f t="shared" ref="D35:L35" si="7">IFERROR(365/D28,0)</f>
        <v>149.02210519283818</v>
      </c>
      <c r="E35" s="33">
        <f t="shared" si="7"/>
        <v>153.55745981623585</v>
      </c>
      <c r="F35" s="33">
        <f t="shared" si="7"/>
        <v>183.94574194885871</v>
      </c>
      <c r="G35" s="33">
        <f t="shared" si="7"/>
        <v>178.79202925682029</v>
      </c>
      <c r="H35" s="33">
        <f t="shared" si="7"/>
        <v>168.45235766633192</v>
      </c>
      <c r="I35" s="33">
        <f t="shared" si="7"/>
        <v>186.20040903524091</v>
      </c>
      <c r="J35" s="33">
        <f t="shared" si="7"/>
        <v>210.69420514242194</v>
      </c>
      <c r="K35" s="33">
        <f t="shared" si="7"/>
        <v>180.95902398395825</v>
      </c>
      <c r="L35" s="33">
        <f t="shared" si="7"/>
        <v>163.77953074537726</v>
      </c>
      <c r="N35" s="33">
        <f t="shared" si="2"/>
        <v>171.99085794443434</v>
      </c>
      <c r="O35" s="33">
        <f t="shared" si="6"/>
        <v>173.6221934615761</v>
      </c>
    </row>
    <row r="36" spans="2:15" x14ac:dyDescent="0.25">
      <c r="B36" s="169" t="s">
        <v>108</v>
      </c>
      <c r="C36" s="33">
        <f>IFERROR(365/C29,0)</f>
        <v>42.751013105235728</v>
      </c>
      <c r="D36" s="33">
        <f t="shared" ref="D36:L36" si="8">IFERROR(365/D29,0)</f>
        <v>40.600568143256986</v>
      </c>
      <c r="E36" s="33">
        <f t="shared" si="8"/>
        <v>43.653299851746382</v>
      </c>
      <c r="F36" s="33">
        <f t="shared" si="8"/>
        <v>47.484218786795374</v>
      </c>
      <c r="G36" s="33">
        <f t="shared" si="8"/>
        <v>52.753248596949661</v>
      </c>
      <c r="H36" s="33">
        <f t="shared" si="8"/>
        <v>47.161975588398164</v>
      </c>
      <c r="I36" s="33">
        <f t="shared" si="8"/>
        <v>52.368588915752468</v>
      </c>
      <c r="J36" s="33">
        <f t="shared" si="8"/>
        <v>52.732634893247351</v>
      </c>
      <c r="K36" s="33">
        <f t="shared" si="8"/>
        <v>46.193416698982041</v>
      </c>
      <c r="L36" s="33">
        <f t="shared" si="8"/>
        <v>42.997507392107408</v>
      </c>
      <c r="N36" s="33">
        <f t="shared" si="2"/>
        <v>46.869647197247154</v>
      </c>
      <c r="O36" s="33">
        <f t="shared" si="6"/>
        <v>46.677696143690099</v>
      </c>
    </row>
    <row r="37" spans="2:15" x14ac:dyDescent="0.25">
      <c r="B37" s="176" t="s">
        <v>109</v>
      </c>
      <c r="C37" s="34">
        <f>IFERROR((SUM(C34,C36)-C35),0)</f>
        <v>-85.178088511772742</v>
      </c>
      <c r="D37" s="34">
        <f t="shared" ref="D37:L37" si="9">IFERROR((SUM(D34,D36)-D35),0)</f>
        <v>-90.974258602157505</v>
      </c>
      <c r="E37" s="34">
        <f t="shared" si="9"/>
        <v>-91.762933187716641</v>
      </c>
      <c r="F37" s="34">
        <f t="shared" si="9"/>
        <v>-117.41176998204362</v>
      </c>
      <c r="G37" s="34">
        <f t="shared" si="9"/>
        <v>-101.13381566032749</v>
      </c>
      <c r="H37" s="34">
        <f t="shared" si="9"/>
        <v>-98.326750920055204</v>
      </c>
      <c r="I37" s="34">
        <f t="shared" si="9"/>
        <v>-118.21124494896867</v>
      </c>
      <c r="J37" s="34">
        <f t="shared" si="9"/>
        <v>-139.43490305540851</v>
      </c>
      <c r="K37" s="34">
        <f t="shared" si="9"/>
        <v>-118.45634256792925</v>
      </c>
      <c r="L37" s="34">
        <f t="shared" si="9"/>
        <v>-104.17824453010647</v>
      </c>
      <c r="M37" s="27"/>
      <c r="N37" s="34">
        <f t="shared" si="2"/>
        <v>-106.50683519664862</v>
      </c>
      <c r="O37" s="34">
        <f t="shared" si="6"/>
        <v>-102.65603009521698</v>
      </c>
    </row>
    <row r="38" spans="2:15" x14ac:dyDescent="0.25">
      <c r="N38" s="14"/>
    </row>
    <row r="39" spans="2:15" x14ac:dyDescent="0.25">
      <c r="B39" s="175" t="s">
        <v>110</v>
      </c>
      <c r="C39" s="25">
        <f>IFERROR('Historical FS'!C77/'Historical FS'!C6,0)</f>
        <v>0.15526535123830462</v>
      </c>
      <c r="D39" s="25">
        <f>IFERROR('Historical FS'!D77/'Historical FS'!D6,0)</f>
        <v>0.13502104317321797</v>
      </c>
      <c r="E39" s="25">
        <f>IFERROR('Historical FS'!E77/'Historical FS'!E6,0)</f>
        <v>0.13880099148274136</v>
      </c>
      <c r="F39" s="25">
        <f>IFERROR('Historical FS'!F77/'Historical FS'!F6,0)</f>
        <v>0.11197937977587882</v>
      </c>
      <c r="G39" s="25">
        <f>IFERROR('Historical FS'!G77/'Historical FS'!G6,0)</f>
        <v>8.1828025115925046E-2</v>
      </c>
      <c r="H39" s="25">
        <f>IFERROR('Historical FS'!H77/'Historical FS'!H6,0)</f>
        <v>6.2569053820249423E-2</v>
      </c>
      <c r="I39" s="25">
        <f>IFERROR('Historical FS'!I77/'Historical FS'!I6,0)</f>
        <v>0.10201557854837573</v>
      </c>
      <c r="J39" s="25">
        <f>IFERROR('Historical FS'!J77/'Historical FS'!J6,0)</f>
        <v>0.11609531425300171</v>
      </c>
      <c r="K39" s="25">
        <f>IFERROR('Historical FS'!K77/'Historical FS'!K6,0)</f>
        <v>5.1290408794110849E-2</v>
      </c>
      <c r="L39" s="25">
        <f>IFERROR('Historical FS'!L77/'Historical FS'!L6,0)</f>
        <v>0.10228722123386519</v>
      </c>
      <c r="M39" s="24"/>
      <c r="N39" s="25">
        <f t="shared" si="2"/>
        <v>0.10571523674356706</v>
      </c>
      <c r="O39" s="25">
        <f t="shared" ref="O39:O41" si="10">IFERROR(MEDIAN(C39:L39),0)</f>
        <v>0.10713330050487201</v>
      </c>
    </row>
    <row r="40" spans="2:15" x14ac:dyDescent="0.25">
      <c r="B40" s="169" t="s">
        <v>111</v>
      </c>
      <c r="C40" s="26">
        <f>IFERROR('Historical FS'!C77/'Historical FS'!C64,0)</f>
        <v>0.16550686115695298</v>
      </c>
      <c r="D40" s="26">
        <f>IFERROR('Historical FS'!D77/'Historical FS'!D64,0)</f>
        <v>0.14972518147731123</v>
      </c>
      <c r="E40" s="26">
        <f>IFERROR('Historical FS'!E77/'Historical FS'!E64,0)</f>
        <v>0.14400184935170102</v>
      </c>
      <c r="F40" s="26">
        <f>IFERROR('Historical FS'!F77/'Historical FS'!F64,0)</f>
        <v>0.11079301531482313</v>
      </c>
      <c r="G40" s="26">
        <f>IFERROR('Historical FS'!G77/'Historical FS'!G64,0)</f>
        <v>7.291441677589669E-2</v>
      </c>
      <c r="H40" s="26">
        <f>IFERROR('Historical FS'!H77/'Historical FS'!H64,0)</f>
        <v>6.1798443975893111E-2</v>
      </c>
      <c r="I40" s="26">
        <f>IFERROR('Historical FS'!I77/'Historical FS'!I64,0)</f>
        <v>8.3181493974362308E-2</v>
      </c>
      <c r="J40" s="26">
        <f>IFERROR('Historical FS'!J77/'Historical FS'!J64,0)</f>
        <v>8.4902092224692749E-2</v>
      </c>
      <c r="K40" s="26">
        <f>IFERROR('Historical FS'!K77/'Historical FS'!K64,0)</f>
        <v>4.3402222484314405E-2</v>
      </c>
      <c r="L40" s="26">
        <f>IFERROR('Historical FS'!L77/'Historical FS'!L64,0)</f>
        <v>0.10573858301633621</v>
      </c>
      <c r="N40" s="26">
        <f t="shared" si="2"/>
        <v>0.1021964159752284</v>
      </c>
      <c r="O40" s="26">
        <f t="shared" si="10"/>
        <v>9.5320337620514478E-2</v>
      </c>
    </row>
    <row r="41" spans="2:15" x14ac:dyDescent="0.25">
      <c r="B41" s="176" t="s">
        <v>112</v>
      </c>
      <c r="C41" s="28">
        <f>IFERROR('Historical FS'!C77/'Historical FS'!C49,0)</f>
        <v>0.59613523765927012</v>
      </c>
      <c r="D41" s="28">
        <f>IFERROR('Historical FS'!D77/'Historical FS'!D49,0)</f>
        <v>0.48270359659825196</v>
      </c>
      <c r="E41" s="28">
        <f>IFERROR('Historical FS'!E77/'Historical FS'!E49,0)</f>
        <v>0.54641034971761804</v>
      </c>
      <c r="F41" s="28">
        <f>IFERROR('Historical FS'!F77/'Historical FS'!F49,0)</f>
        <v>0.38420446394699098</v>
      </c>
      <c r="G41" s="28">
        <f>IFERROR('Historical FS'!G77/'Historical FS'!G49,0)</f>
        <v>0.2682054406233042</v>
      </c>
      <c r="H41" s="28">
        <f>IFERROR('Historical FS'!H77/'Historical FS'!H49,0)</f>
        <v>0.17793208856218404</v>
      </c>
      <c r="I41" s="28">
        <f>IFERROR('Historical FS'!I77/'Historical FS'!I49,0)</f>
        <v>0.21342658615869328</v>
      </c>
      <c r="J41" s="28">
        <f>IFERROR('Historical FS'!J77/'Historical FS'!J49,0)</f>
        <v>0.20403773797572189</v>
      </c>
      <c r="K41" s="28">
        <f>IFERROR('Historical FS'!K77/'Historical FS'!K49,0)</f>
        <v>9.7521984269885564E-2</v>
      </c>
      <c r="L41" s="28">
        <f>IFERROR('Historical FS'!L77/'Historical FS'!L49,0)</f>
        <v>0.26386617180202071</v>
      </c>
      <c r="M41" s="27"/>
      <c r="N41" s="28">
        <f t="shared" si="2"/>
        <v>0.32344436573139407</v>
      </c>
      <c r="O41" s="28">
        <f t="shared" si="10"/>
        <v>0.26603580621266243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11C8910B-1E56-46C0-A863-BF65BD186D27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  <x14:sparkline>
              <xm:f>'Ratio Analysis'!D11:L11</xm:f>
              <xm:sqref>M11</xm:sqref>
            </x14:sparkline>
            <x14:sparkline>
              <xm:f>'Ratio Analysis'!D12:L12</xm:f>
              <xm:sqref>M12</xm:sqref>
            </x14:sparkline>
            <x14:sparkline>
              <xm:f>'Ratio Analysis'!D13:L13</xm:f>
              <xm:sqref>M13</xm:sqref>
            </x14:sparkline>
            <x14:sparkline>
              <xm:f>'Ratio Analysis'!D14:L14</xm:f>
              <xm:sqref>M14</xm:sqref>
            </x14:sparkline>
            <x14:sparkline>
              <xm:f>'Ratio Analysis'!D15:L15</xm:f>
              <xm:sqref>M15</xm:sqref>
            </x14:sparkline>
            <x14:sparkline>
              <xm:f>'Ratio Analysis'!D16:L16</xm:f>
              <xm:sqref>M16</xm:sqref>
            </x14:sparkline>
            <x14:sparkline>
              <xm:f>'Ratio Analysis'!D17:L17</xm:f>
              <xm:sqref>M17</xm:sqref>
            </x14:sparkline>
            <x14:sparkline>
              <xm:f>'Ratio Analysis'!D18:L18</xm:f>
              <xm:sqref>M18</xm:sqref>
            </x14:sparkline>
            <x14:sparkline>
              <xm:f>'Ratio Analysis'!D19:L19</xm:f>
              <xm:sqref>M19</xm:sqref>
            </x14:sparkline>
            <x14:sparkline>
              <xm:f>'Ratio Analysis'!D20:L20</xm:f>
              <xm:sqref>M20</xm:sqref>
            </x14:sparkline>
            <x14:sparkline>
              <xm:f>'Ratio Analysis'!D21:L21</xm:f>
              <xm:sqref>M21</xm:sqref>
            </x14:sparkline>
            <x14:sparkline>
              <xm:f>'Ratio Analysis'!D22:L22</xm:f>
              <xm:sqref>M22</xm:sqref>
            </x14:sparkline>
            <x14:sparkline>
              <xm:f>'Ratio Analysis'!D23:L23</xm:f>
              <xm:sqref>M23</xm:sqref>
            </x14:sparkline>
            <x14:sparkline>
              <xm:f>'Ratio Analysis'!D24:L24</xm:f>
              <xm:sqref>M24</xm:sqref>
            </x14:sparkline>
            <x14:sparkline>
              <xm:f>'Ratio Analysis'!D25:L25</xm:f>
              <xm:sqref>M25</xm:sqref>
            </x14:sparkline>
            <x14:sparkline>
              <xm:f>'Ratio Analysis'!D26:L26</xm:f>
              <xm:sqref>M26</xm:sqref>
            </x14:sparkline>
            <x14:sparkline>
              <xm:f>'Ratio Analysis'!D27:L27</xm:f>
              <xm:sqref>M27</xm:sqref>
            </x14:sparkline>
            <x14:sparkline>
              <xm:f>'Ratio Analysis'!D28:L28</xm:f>
              <xm:sqref>M28</xm:sqref>
            </x14:sparkline>
            <x14:sparkline>
              <xm:f>'Ratio Analysis'!D29:L29</xm:f>
              <xm:sqref>M29</xm:sqref>
            </x14:sparkline>
            <x14:sparkline>
              <xm:f>'Ratio Analysis'!D30:L30</xm:f>
              <xm:sqref>M30</xm:sqref>
            </x14:sparkline>
            <x14:sparkline>
              <xm:f>'Ratio Analysis'!D31:L31</xm:f>
              <xm:sqref>M31</xm:sqref>
            </x14:sparkline>
            <x14:sparkline>
              <xm:f>'Ratio Analysis'!D32:L32</xm:f>
              <xm:sqref>M32</xm:sqref>
            </x14:sparkline>
            <x14:sparkline>
              <xm:f>'Ratio Analysis'!D33:L33</xm:f>
              <xm:sqref>M33</xm:sqref>
            </x14:sparkline>
            <x14:sparkline>
              <xm:f>'Ratio Analysis'!D34:L34</xm:f>
              <xm:sqref>M34</xm:sqref>
            </x14:sparkline>
            <x14:sparkline>
              <xm:f>'Ratio Analysis'!D35:L35</xm:f>
              <xm:sqref>M35</xm:sqref>
            </x14:sparkline>
            <x14:sparkline>
              <xm:f>'Ratio Analysis'!D36:L36</xm:f>
              <xm:sqref>M36</xm:sqref>
            </x14:sparkline>
            <x14:sparkline>
              <xm:f>'Ratio Analysis'!D37:L37</xm:f>
              <xm:sqref>M37</xm:sqref>
            </x14:sparkline>
            <x14:sparkline>
              <xm:f>'Ratio Analysis'!D38:L38</xm:f>
              <xm:sqref>M38</xm:sqref>
            </x14:sparkline>
            <x14:sparkline>
              <xm:f>'Ratio Analysis'!D39:L39</xm:f>
              <xm:sqref>M39</xm:sqref>
            </x14:sparkline>
            <x14:sparkline>
              <xm:f>'Ratio Analysis'!D40:L40</xm:f>
              <xm:sqref>M40</xm:sqref>
            </x14:sparkline>
            <x14:sparkline>
              <xm:f>'Ratio Analysis'!D41:L41</xm:f>
              <xm:sqref>M41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44A1-21CE-4BB2-B32E-FA7AFD36045B}">
  <dimension ref="B2:L39"/>
  <sheetViews>
    <sheetView showGridLines="0" workbookViewId="0">
      <selection activeCell="B2" sqref="B2:L2 C4:L4 B6:L19 B21:L21 C23:L23 C25:L25 B26:L29 C31:L31 B32:L38"/>
    </sheetView>
  </sheetViews>
  <sheetFormatPr defaultRowHeight="15" x14ac:dyDescent="0.25"/>
  <cols>
    <col min="1" max="1" width="1.85546875" customWidth="1"/>
    <col min="2" max="2" width="19.85546875" bestFit="1" customWidth="1"/>
    <col min="3" max="3" width="9.85546875" bestFit="1" customWidth="1"/>
  </cols>
  <sheetData>
    <row r="2" spans="2:12" x14ac:dyDescent="0.25">
      <c r="B2" s="224" t="str">
        <f>"Common Size Income Statement"&amp;" "&amp;" - "&amp;'Data Sheet'!$B$1</f>
        <v>Common Size Income Statement  - TATA MOTORS LTD</v>
      </c>
      <c r="C2" s="224"/>
      <c r="D2" s="224"/>
      <c r="E2" s="224"/>
      <c r="F2" s="224"/>
      <c r="G2" s="224"/>
      <c r="H2" s="224"/>
      <c r="I2" s="224"/>
      <c r="J2" s="224"/>
      <c r="K2" s="224"/>
      <c r="L2" s="224"/>
    </row>
    <row r="4" spans="2:12" x14ac:dyDescent="0.25">
      <c r="B4" s="69" t="s">
        <v>265</v>
      </c>
      <c r="C4" s="107">
        <f>'Data Sheet'!B16</f>
        <v>41729</v>
      </c>
      <c r="D4" s="107">
        <f>'Data Sheet'!C16</f>
        <v>42094</v>
      </c>
      <c r="E4" s="107">
        <f>'Data Sheet'!D16</f>
        <v>42460</v>
      </c>
      <c r="F4" s="107">
        <f>'Data Sheet'!E16</f>
        <v>42825</v>
      </c>
      <c r="G4" s="107">
        <f>'Data Sheet'!F16</f>
        <v>43190</v>
      </c>
      <c r="H4" s="107">
        <f>'Data Sheet'!G16</f>
        <v>43555</v>
      </c>
      <c r="I4" s="107">
        <f>'Data Sheet'!H16</f>
        <v>43921</v>
      </c>
      <c r="J4" s="107">
        <f>'Data Sheet'!I16</f>
        <v>44286</v>
      </c>
      <c r="K4" s="107">
        <f>'Data Sheet'!J16</f>
        <v>44651</v>
      </c>
      <c r="L4" s="107">
        <f>'Data Sheet'!K16</f>
        <v>45016</v>
      </c>
    </row>
    <row r="6" spans="2:12" x14ac:dyDescent="0.25">
      <c r="B6" s="108" t="str">
        <f>'Data Sheet'!A17</f>
        <v>Sales</v>
      </c>
      <c r="C6" s="14">
        <f>'Data Sheet'!B17/'Data Sheet'!B$17</f>
        <v>1</v>
      </c>
      <c r="D6" s="14">
        <f>'Data Sheet'!C17/'Data Sheet'!C$17</f>
        <v>1</v>
      </c>
      <c r="E6" s="14">
        <f>'Data Sheet'!D17/'Data Sheet'!D$17</f>
        <v>1</v>
      </c>
      <c r="F6" s="14">
        <f>'Data Sheet'!E17/'Data Sheet'!E$17</f>
        <v>1</v>
      </c>
      <c r="G6" s="14">
        <f>'Data Sheet'!F17/'Data Sheet'!F$17</f>
        <v>1</v>
      </c>
      <c r="H6" s="14">
        <f>'Data Sheet'!G17/'Data Sheet'!G$17</f>
        <v>1</v>
      </c>
      <c r="I6" s="14">
        <f>'Data Sheet'!H17/'Data Sheet'!H$17</f>
        <v>1</v>
      </c>
      <c r="J6" s="14">
        <f>'Data Sheet'!I17/'Data Sheet'!I$17</f>
        <v>1</v>
      </c>
      <c r="K6" s="14">
        <f>'Data Sheet'!J17/'Data Sheet'!J$17</f>
        <v>1</v>
      </c>
      <c r="L6" s="14">
        <f>'Data Sheet'!K17/'Data Sheet'!K$17</f>
        <v>1</v>
      </c>
    </row>
    <row r="7" spans="2:12" x14ac:dyDescent="0.25">
      <c r="B7" s="108" t="str">
        <f>'Data Sheet'!A18</f>
        <v>Raw Material Cost</v>
      </c>
      <c r="C7" s="14">
        <f>'Data Sheet'!B18/'Data Sheet'!B$17</f>
        <v>0.62889098595108628</v>
      </c>
      <c r="D7" s="14">
        <f>'Data Sheet'!C18/'Data Sheet'!C$17</f>
        <v>0.62034880968150885</v>
      </c>
      <c r="E7" s="14">
        <f>'Data Sheet'!D18/'Data Sheet'!D$17</f>
        <v>0.60844785632875986</v>
      </c>
      <c r="F7" s="14">
        <f>'Data Sheet'!E18/'Data Sheet'!E$17</f>
        <v>0.64256170851760019</v>
      </c>
      <c r="G7" s="14">
        <f>'Data Sheet'!F18/'Data Sheet'!F$17</f>
        <v>0.6444735745247272</v>
      </c>
      <c r="H7" s="14">
        <f>'Data Sheet'!G18/'Data Sheet'!G$17</f>
        <v>0.64340246222408271</v>
      </c>
      <c r="I7" s="14">
        <f>'Data Sheet'!H18/'Data Sheet'!H$17</f>
        <v>0.63163558516963991</v>
      </c>
      <c r="J7" s="14">
        <f>'Data Sheet'!I18/'Data Sheet'!I$17</f>
        <v>0.6149343010611712</v>
      </c>
      <c r="K7" s="14">
        <f>'Data Sheet'!J18/'Data Sheet'!J$17</f>
        <v>0.64389656704768283</v>
      </c>
      <c r="L7" s="14">
        <f>'Data Sheet'!K18/'Data Sheet'!K$17</f>
        <v>0.66842005177546293</v>
      </c>
    </row>
    <row r="8" spans="2:12" x14ac:dyDescent="0.25">
      <c r="B8" s="108" t="str">
        <f>'Data Sheet'!A19</f>
        <v>Change in Inventory</v>
      </c>
      <c r="C8" s="14">
        <f>'Data Sheet'!B19/'Data Sheet'!B$17</f>
        <v>1.220004014883415E-2</v>
      </c>
      <c r="D8" s="14">
        <f>'Data Sheet'!C19/'Data Sheet'!C$17</f>
        <v>1.2655277809634314E-2</v>
      </c>
      <c r="E8" s="14">
        <f>'Data Sheet'!D19/'Data Sheet'!D$17</f>
        <v>1.0075203555743071E-2</v>
      </c>
      <c r="F8" s="14">
        <f>'Data Sheet'!E19/'Data Sheet'!E$17</f>
        <v>2.7438359337454348E-2</v>
      </c>
      <c r="G8" s="14">
        <f>'Data Sheet'!F19/'Data Sheet'!F$17</f>
        <v>7.0196420187680708E-3</v>
      </c>
      <c r="H8" s="14">
        <f>'Data Sheet'!G19/'Data Sheet'!G$17</f>
        <v>-6.8003274840166073E-3</v>
      </c>
      <c r="I8" s="14">
        <f>'Data Sheet'!H19/'Data Sheet'!H$17</f>
        <v>-8.5463950250197294E-3</v>
      </c>
      <c r="J8" s="14">
        <f>'Data Sheet'!I19/'Data Sheet'!I$17</f>
        <v>-1.8752035421080705E-2</v>
      </c>
      <c r="K8" s="14">
        <f>'Data Sheet'!J19/'Data Sheet'!J$17</f>
        <v>-5.7118668451859233E-3</v>
      </c>
      <c r="L8" s="14">
        <f>'Data Sheet'!K19/'Data Sheet'!K$17</f>
        <v>1.3821030371772196E-2</v>
      </c>
    </row>
    <row r="9" spans="2:12" x14ac:dyDescent="0.25">
      <c r="B9" s="108" t="str">
        <f>'Data Sheet'!A20</f>
        <v>Power and Fuel</v>
      </c>
      <c r="C9" s="14">
        <f>'Data Sheet'!B20/'Data Sheet'!B$17</f>
        <v>4.847623835831984E-3</v>
      </c>
      <c r="D9" s="14">
        <f>'Data Sheet'!C20/'Data Sheet'!C$17</f>
        <v>4.2626324209038965E-3</v>
      </c>
      <c r="E9" s="14">
        <f>'Data Sheet'!D20/'Data Sheet'!D$17</f>
        <v>4.1884212746881849E-3</v>
      </c>
      <c r="F9" s="14">
        <f>'Data Sheet'!E20/'Data Sheet'!E$17</f>
        <v>4.3005272931013168E-3</v>
      </c>
      <c r="G9" s="14">
        <f>'Data Sheet'!F20/'Data Sheet'!F$17</f>
        <v>4.4866329837632236E-3</v>
      </c>
      <c r="H9" s="14">
        <f>'Data Sheet'!G20/'Data Sheet'!G$17</f>
        <v>5.252495210943689E-3</v>
      </c>
      <c r="I9" s="14">
        <f>'Data Sheet'!H20/'Data Sheet'!H$17</f>
        <v>4.8452899066859867E-3</v>
      </c>
      <c r="J9" s="14">
        <f>'Data Sheet'!I20/'Data Sheet'!I$17</f>
        <v>4.4551376680254488E-3</v>
      </c>
      <c r="K9" s="14">
        <f>'Data Sheet'!J20/'Data Sheet'!J$17</f>
        <v>7.8228108508698862E-3</v>
      </c>
      <c r="L9" s="14">
        <f>'Data Sheet'!K20/'Data Sheet'!K$17</f>
        <v>7.2646530389880865E-3</v>
      </c>
    </row>
    <row r="10" spans="2:12" x14ac:dyDescent="0.25">
      <c r="B10" s="108" t="str">
        <f>'Data Sheet'!A21</f>
        <v>Other Mfr. Exp</v>
      </c>
      <c r="C10" s="14">
        <f>'Data Sheet'!B21/'Data Sheet'!B$17</f>
        <v>5.9295722104785023E-2</v>
      </c>
      <c r="D10" s="14">
        <f>'Data Sheet'!C21/'Data Sheet'!C$17</f>
        <v>6.1457792548063536E-2</v>
      </c>
      <c r="E10" s="14">
        <f>'Data Sheet'!D21/'Data Sheet'!D$17</f>
        <v>4.4320545725695638E-2</v>
      </c>
      <c r="F10" s="14">
        <f>'Data Sheet'!E21/'Data Sheet'!E$17</f>
        <v>3.7329067833585743E-2</v>
      </c>
      <c r="G10" s="14">
        <f>'Data Sheet'!F21/'Data Sheet'!F$17</f>
        <v>3.7632110912662539E-2</v>
      </c>
      <c r="H10" s="14">
        <f>'Data Sheet'!G21/'Data Sheet'!G$17</f>
        <v>3.8731542592793759E-2</v>
      </c>
      <c r="I10" s="14">
        <f>'Data Sheet'!H21/'Data Sheet'!H$17</f>
        <v>4.4208831899217663E-2</v>
      </c>
      <c r="J10" s="14">
        <f>'Data Sheet'!I21/'Data Sheet'!I$17</f>
        <v>3.3119871414431248E-2</v>
      </c>
      <c r="K10" s="14">
        <f>'Data Sheet'!J21/'Data Sheet'!J$17</f>
        <v>3.3856194794666339E-2</v>
      </c>
      <c r="L10" s="14">
        <f>'Data Sheet'!K21/'Data Sheet'!K$17</f>
        <v>3.4008940217616732E-2</v>
      </c>
    </row>
    <row r="11" spans="2:12" x14ac:dyDescent="0.25">
      <c r="B11" s="108" t="str">
        <f>'Data Sheet'!A22</f>
        <v>Employee Cost</v>
      </c>
      <c r="C11" s="14">
        <f>'Data Sheet'!B22/'Data Sheet'!B$17</f>
        <v>9.2812697270660938E-2</v>
      </c>
      <c r="D11" s="14">
        <f>'Data Sheet'!C22/'Data Sheet'!C$17</f>
        <v>9.7439008161530352E-2</v>
      </c>
      <c r="E11" s="14">
        <f>'Data Sheet'!D22/'Data Sheet'!D$17</f>
        <v>0.10577313825968997</v>
      </c>
      <c r="F11" s="14">
        <f>'Data Sheet'!E22/'Data Sheet'!E$17</f>
        <v>0.10505627316086753</v>
      </c>
      <c r="G11" s="14">
        <f>'Data Sheet'!F22/'Data Sheet'!F$17</f>
        <v>0.10392742279141506</v>
      </c>
      <c r="H11" s="14">
        <f>'Data Sheet'!G22/'Data Sheet'!G$17</f>
        <v>0.11010149752399827</v>
      </c>
      <c r="I11" s="14">
        <f>'Data Sheet'!H22/'Data Sheet'!H$17</f>
        <v>0.11659262528451882</v>
      </c>
      <c r="J11" s="14">
        <f>'Data Sheet'!I22/'Data Sheet'!I$17</f>
        <v>0.11068479221440802</v>
      </c>
      <c r="K11" s="14">
        <f>'Data Sheet'!J22/'Data Sheet'!J$17</f>
        <v>0.11064147774412127</v>
      </c>
      <c r="L11" s="14">
        <f>'Data Sheet'!K22/'Data Sheet'!K$17</f>
        <v>9.7277205393335675E-2</v>
      </c>
    </row>
    <row r="12" spans="2:12" x14ac:dyDescent="0.25">
      <c r="B12" s="108" t="str">
        <f>'Data Sheet'!A23</f>
        <v>Selling and admin</v>
      </c>
      <c r="C12" s="14">
        <f>'Data Sheet'!B23/'Data Sheet'!B$17</f>
        <v>9.6024732850052696E-2</v>
      </c>
      <c r="D12" s="14">
        <f>'Data Sheet'!C23/'Data Sheet'!C$17</f>
        <v>8.96910681140351E-2</v>
      </c>
      <c r="E12" s="14">
        <f>'Data Sheet'!D23/'Data Sheet'!D$17</f>
        <v>8.0542956927341092E-2</v>
      </c>
      <c r="F12" s="14">
        <f>'Data Sheet'!E23/'Data Sheet'!E$17</f>
        <v>0.1113838126242364</v>
      </c>
      <c r="G12" s="14">
        <f>'Data Sheet'!F23/'Data Sheet'!F$17</f>
        <v>0.10634377964323709</v>
      </c>
      <c r="H12" s="14">
        <f>'Data Sheet'!G23/'Data Sheet'!G$17</f>
        <v>0.1083658123643763</v>
      </c>
      <c r="I12" s="14">
        <f>'Data Sheet'!H23/'Data Sheet'!H$17</f>
        <v>0.11203335284677013</v>
      </c>
      <c r="J12" s="14">
        <f>'Data Sheet'!I23/'Data Sheet'!I$17</f>
        <v>9.2138805959692913E-2</v>
      </c>
      <c r="K12" s="14">
        <f>'Data Sheet'!J23/'Data Sheet'!J$17</f>
        <v>0.10488425325553319</v>
      </c>
      <c r="L12" s="14">
        <f>'Data Sheet'!K23/'Data Sheet'!K$17</f>
        <v>0.10070091373173573</v>
      </c>
    </row>
    <row r="13" spans="2:12" x14ac:dyDescent="0.25">
      <c r="B13" s="108" t="str">
        <f>'Data Sheet'!A24</f>
        <v>Other Expenses</v>
      </c>
      <c r="C13" s="14">
        <f>'Data Sheet'!B24/'Data Sheet'!B$17</f>
        <v>-1.9363823941950662E-2</v>
      </c>
      <c r="D13" s="14">
        <f>'Data Sheet'!C24/'Data Sheet'!C$17</f>
        <v>-9.6502882022114541E-3</v>
      </c>
      <c r="E13" s="14">
        <f>'Data Sheet'!D24/'Data Sheet'!D$17</f>
        <v>2.6183831565130516E-2</v>
      </c>
      <c r="F13" s="14">
        <f>'Data Sheet'!E24/'Data Sheet'!E$17</f>
        <v>1.7094282670289951E-2</v>
      </c>
      <c r="G13" s="14">
        <f>'Data Sheet'!F24/'Data Sheet'!F$17</f>
        <v>2.2582367211331639E-3</v>
      </c>
      <c r="H13" s="14">
        <f>'Data Sheet'!G24/'Data Sheet'!G$17</f>
        <v>5.6592338039812094E-3</v>
      </c>
      <c r="I13" s="14">
        <f>'Data Sheet'!H24/'Data Sheet'!H$17</f>
        <v>1.3239885383105405E-2</v>
      </c>
      <c r="J13" s="14">
        <f>'Data Sheet'!I24/'Data Sheet'!I$17</f>
        <v>-3.3407827826645677E-3</v>
      </c>
      <c r="K13" s="14">
        <f>'Data Sheet'!J24/'Data Sheet'!J$17</f>
        <v>4.4105011096641517E-3</v>
      </c>
      <c r="L13" s="14">
        <f>'Data Sheet'!K24/'Data Sheet'!K$17</f>
        <v>1.4187308112100993E-2</v>
      </c>
    </row>
    <row r="14" spans="2:12" x14ac:dyDescent="0.25">
      <c r="B14" s="108" t="str">
        <f>'Data Sheet'!A25</f>
        <v>Other Income</v>
      </c>
      <c r="C14" s="14">
        <f>'Data Sheet'!B25/'Data Sheet'!B$17</f>
        <v>-6.7339919838050905E-4</v>
      </c>
      <c r="D14" s="14">
        <f>'Data Sheet'!C25/'Data Sheet'!C$17</f>
        <v>2.7133028103392101E-3</v>
      </c>
      <c r="E14" s="14">
        <f>'Data Sheet'!D25/'Data Sheet'!D$17</f>
        <v>-9.7771947249836663E-3</v>
      </c>
      <c r="F14" s="14">
        <f>'Data Sheet'!E25/'Data Sheet'!E$17</f>
        <v>6.9304853887117582E-3</v>
      </c>
      <c r="G14" s="14">
        <f>'Data Sheet'!F25/'Data Sheet'!F$17</f>
        <v>2.034889464081829E-2</v>
      </c>
      <c r="H14" s="14">
        <f>'Data Sheet'!G25/'Data Sheet'!G$17</f>
        <v>-8.8383094035074702E-2</v>
      </c>
      <c r="I14" s="14">
        <f>'Data Sheet'!H25/'Data Sheet'!H$17</f>
        <v>3.8959202846676288E-4</v>
      </c>
      <c r="J14" s="14">
        <f>'Data Sheet'!I25/'Data Sheet'!I$17</f>
        <v>-4.4507860953843105E-2</v>
      </c>
      <c r="K14" s="14">
        <f>'Data Sheet'!J25/'Data Sheet'!J$17</f>
        <v>8.7053994844814731E-3</v>
      </c>
      <c r="L14" s="14">
        <f>'Data Sheet'!K25/'Data Sheet'!K$17</f>
        <v>1.8289578337492739E-2</v>
      </c>
    </row>
    <row r="15" spans="2:12" x14ac:dyDescent="0.25">
      <c r="B15" s="108" t="str">
        <f>'Data Sheet'!A26</f>
        <v>Depreciation</v>
      </c>
      <c r="C15" s="14">
        <f>'Data Sheet'!B26/'Data Sheet'!B$17</f>
        <v>4.757971849946438E-2</v>
      </c>
      <c r="D15" s="14">
        <f>'Data Sheet'!C26/'Data Sheet'!C$17</f>
        <v>5.0876584184966822E-2</v>
      </c>
      <c r="E15" s="14">
        <f>'Data Sheet'!D26/'Data Sheet'!D$17</f>
        <v>6.1201425695927715E-2</v>
      </c>
      <c r="F15" s="14">
        <f>'Data Sheet'!E26/'Data Sheet'!E$17</f>
        <v>6.63903865924938E-2</v>
      </c>
      <c r="G15" s="14">
        <f>'Data Sheet'!F26/'Data Sheet'!F$17</f>
        <v>7.3927472182518786E-2</v>
      </c>
      <c r="H15" s="14">
        <f>'Data Sheet'!G26/'Data Sheet'!G$17</f>
        <v>7.8130605447998658E-2</v>
      </c>
      <c r="I15" s="14">
        <f>'Data Sheet'!H26/'Data Sheet'!H$17</f>
        <v>8.206839774331566E-2</v>
      </c>
      <c r="J15" s="14">
        <f>'Data Sheet'!I26/'Data Sheet'!I$17</f>
        <v>9.4264230933596482E-2</v>
      </c>
      <c r="K15" s="14">
        <f>'Data Sheet'!J26/'Data Sheet'!J$17</f>
        <v>8.9191478279219347E-2</v>
      </c>
      <c r="L15" s="14">
        <f>'Data Sheet'!K26/'Data Sheet'!K$17</f>
        <v>7.1857611147098821E-2</v>
      </c>
    </row>
    <row r="16" spans="2:12" x14ac:dyDescent="0.25">
      <c r="B16" s="108" t="str">
        <f>'Data Sheet'!A27</f>
        <v>Interest</v>
      </c>
      <c r="C16" s="14">
        <f>'Data Sheet'!B27/'Data Sheet'!B$17</f>
        <v>2.0398425210512945E-2</v>
      </c>
      <c r="D16" s="14">
        <f>'Data Sheet'!C27/'Data Sheet'!C$17</f>
        <v>1.8473585814932098E-2</v>
      </c>
      <c r="E16" s="14">
        <f>'Data Sheet'!D27/'Data Sheet'!D$17</f>
        <v>1.7905727101993223E-2</v>
      </c>
      <c r="F16" s="14">
        <f>'Data Sheet'!E27/'Data Sheet'!E$17</f>
        <v>1.5714229512714312E-2</v>
      </c>
      <c r="G16" s="14">
        <f>'Data Sheet'!F27/'Data Sheet'!F$17</f>
        <v>1.605824830060304E-2</v>
      </c>
      <c r="H16" s="14">
        <f>'Data Sheet'!G27/'Data Sheet'!G$17</f>
        <v>1.9072102124141878E-2</v>
      </c>
      <c r="I16" s="14">
        <f>'Data Sheet'!H27/'Data Sheet'!H$17</f>
        <v>2.7744996829752802E-2</v>
      </c>
      <c r="J16" s="14">
        <f>'Data Sheet'!I27/'Data Sheet'!I$17</f>
        <v>3.2415292955516477E-2</v>
      </c>
      <c r="K16" s="14">
        <f>'Data Sheet'!J27/'Data Sheet'!J$17</f>
        <v>3.3441332168710897E-2</v>
      </c>
      <c r="L16" s="14">
        <f>'Data Sheet'!K27/'Data Sheet'!K$17</f>
        <v>2.9556231914277829E-2</v>
      </c>
    </row>
    <row r="17" spans="2:12" x14ac:dyDescent="0.25">
      <c r="B17" s="108" t="str">
        <f>'Data Sheet'!A28</f>
        <v>Profit before tax</v>
      </c>
      <c r="C17" s="14">
        <f>'Data Sheet'!B28/'Data Sheet'!B$17</f>
        <v>8.1040559170010046E-2</v>
      </c>
      <c r="D17" s="14">
        <f>'Data Sheet'!C28/'Data Sheet'!C$17</f>
        <v>8.246938789624432E-2</v>
      </c>
      <c r="E17" s="14">
        <f>'Data Sheet'!D28/'Data Sheet'!D$17</f>
        <v>5.1734105951533375E-2</v>
      </c>
      <c r="F17" s="14">
        <f>'Data Sheet'!E28/'Data Sheet'!E$17</f>
        <v>3.453855652127677E-2</v>
      </c>
      <c r="G17" s="14">
        <f>'Data Sheet'!F28/'Data Sheet'!F$17</f>
        <v>3.8261058599526235E-2</v>
      </c>
      <c r="H17" s="14">
        <f>'Data Sheet'!G28/'Data Sheet'!G$17</f>
        <v>-0.10389917281140788</v>
      </c>
      <c r="I17" s="14">
        <f>'Data Sheet'!H28/'Data Sheet'!H$17</f>
        <v>-4.0525768059559354E-2</v>
      </c>
      <c r="J17" s="14">
        <f>'Data Sheet'!I28/'Data Sheet'!I$17</f>
        <v>-4.1931545799101064E-2</v>
      </c>
      <c r="K17" s="14">
        <f>'Data Sheet'!J28/'Data Sheet'!J$17</f>
        <v>-2.5151082611172375E-2</v>
      </c>
      <c r="L17" s="14">
        <f>'Data Sheet'!K28/'Data Sheet'!K$17</f>
        <v>8.8376933786482575E-3</v>
      </c>
    </row>
    <row r="18" spans="2:12" x14ac:dyDescent="0.25">
      <c r="B18" s="108" t="str">
        <f>'Data Sheet'!A29</f>
        <v>Tax</v>
      </c>
      <c r="C18" s="14">
        <f>'Data Sheet'!B29/'Data Sheet'!B$17</f>
        <v>2.0464352104416519E-2</v>
      </c>
      <c r="D18" s="14">
        <f>'Data Sheet'!C29/'Data Sheet'!C$17</f>
        <v>2.9042938226922752E-2</v>
      </c>
      <c r="E18" s="14">
        <f>'Data Sheet'!D29/'Data Sheet'!D$17</f>
        <v>1.1078918686109574E-2</v>
      </c>
      <c r="F18" s="14">
        <f>'Data Sheet'!E29/'Data Sheet'!E$17</f>
        <v>1.2055321818169885E-2</v>
      </c>
      <c r="G18" s="14">
        <f>'Data Sheet'!F29/'Data Sheet'!F$17</f>
        <v>1.4892549653836963E-2</v>
      </c>
      <c r="H18" s="14">
        <f>'Data Sheet'!G29/'Data Sheet'!G$17</f>
        <v>-8.0726731015332912E-3</v>
      </c>
      <c r="I18" s="14">
        <f>'Data Sheet'!H29/'Data Sheet'!H$17</f>
        <v>1.5139735448971392E-3</v>
      </c>
      <c r="J18" s="14">
        <f>'Data Sheet'!I29/'Data Sheet'!I$17</f>
        <v>1.0175794327142584E-2</v>
      </c>
      <c r="K18" s="14">
        <f>'Data Sheet'!J29/'Data Sheet'!J$17</f>
        <v>1.5195672442685429E-2</v>
      </c>
      <c r="L18" s="14">
        <f>'Data Sheet'!K29/'Data Sheet'!K$17</f>
        <v>2.0350497621203548E-3</v>
      </c>
    </row>
    <row r="19" spans="2:12" x14ac:dyDescent="0.25">
      <c r="B19" s="108" t="str">
        <f>'Data Sheet'!A30</f>
        <v>Net profit</v>
      </c>
      <c r="C19" s="14">
        <f>'Data Sheet'!B30/'Data Sheet'!B$17</f>
        <v>6.0090194862718736E-2</v>
      </c>
      <c r="D19" s="14">
        <f>'Data Sheet'!C30/'Data Sheet'!C$17</f>
        <v>5.3147682818956064E-2</v>
      </c>
      <c r="E19" s="14">
        <f>'Data Sheet'!D30/'Data Sheet'!D$17</f>
        <v>4.2407971415763523E-2</v>
      </c>
      <c r="F19" s="14">
        <f>'Data Sheet'!E30/'Data Sheet'!E$17</f>
        <v>2.764021885516954E-2</v>
      </c>
      <c r="G19" s="14">
        <f>'Data Sheet'!F30/'Data Sheet'!F$17</f>
        <v>3.0831401821049997E-2</v>
      </c>
      <c r="H19" s="14">
        <f>'Data Sheet'!G30/'Data Sheet'!G$17</f>
        <v>-9.5470566181711222E-2</v>
      </c>
      <c r="I19" s="14">
        <f>'Data Sheet'!H30/'Data Sheet'!H$17</f>
        <v>-4.6236426475450051E-2</v>
      </c>
      <c r="J19" s="14">
        <f>'Data Sheet'!I30/'Data Sheet'!I$17</f>
        <v>-5.3849770661713266E-2</v>
      </c>
      <c r="K19" s="14">
        <f>'Data Sheet'!J30/'Data Sheet'!J$17</f>
        <v>-4.1089320368684734E-2</v>
      </c>
      <c r="L19" s="14">
        <f>'Data Sheet'!K30/'Data Sheet'!K$17</f>
        <v>6.9783829363826268E-3</v>
      </c>
    </row>
    <row r="20" spans="2:12" x14ac:dyDescent="0.25">
      <c r="B20" s="108"/>
    </row>
    <row r="21" spans="2:12" x14ac:dyDescent="0.25">
      <c r="B21" s="224" t="str">
        <f>"Common Size Balance Sheet"&amp;" "&amp;" - "&amp;'Data Sheet'!$B$1</f>
        <v>Common Size Balance Sheet  - TATA MOTORS LTD</v>
      </c>
      <c r="C21" s="224"/>
      <c r="D21" s="224"/>
      <c r="E21" s="224"/>
      <c r="F21" s="224"/>
      <c r="G21" s="224"/>
      <c r="H21" s="224"/>
      <c r="I21" s="224"/>
      <c r="J21" s="224"/>
      <c r="K21" s="224"/>
      <c r="L21" s="224"/>
    </row>
    <row r="22" spans="2:12" x14ac:dyDescent="0.25">
      <c r="B22" s="108"/>
    </row>
    <row r="23" spans="2:12" x14ac:dyDescent="0.25">
      <c r="B23" s="69" t="s">
        <v>265</v>
      </c>
      <c r="C23" s="107">
        <f>'Data Sheet'!B16</f>
        <v>41729</v>
      </c>
      <c r="D23" s="107">
        <f>'Data Sheet'!C16</f>
        <v>42094</v>
      </c>
      <c r="E23" s="107">
        <f>'Data Sheet'!D16</f>
        <v>42460</v>
      </c>
      <c r="F23" s="107">
        <f>'Data Sheet'!E16</f>
        <v>42825</v>
      </c>
      <c r="G23" s="107">
        <f>'Data Sheet'!F16</f>
        <v>43190</v>
      </c>
      <c r="H23" s="107">
        <f>'Data Sheet'!G16</f>
        <v>43555</v>
      </c>
      <c r="I23" s="107">
        <f>'Data Sheet'!H16</f>
        <v>43921</v>
      </c>
      <c r="J23" s="107">
        <f>'Data Sheet'!I16</f>
        <v>44286</v>
      </c>
      <c r="K23" s="107">
        <f>'Data Sheet'!J16</f>
        <v>44651</v>
      </c>
      <c r="L23" s="107">
        <f>'Data Sheet'!K16</f>
        <v>45016</v>
      </c>
    </row>
    <row r="24" spans="2:12" x14ac:dyDescent="0.25">
      <c r="B24" s="109"/>
      <c r="C24" s="110"/>
      <c r="D24" s="110"/>
      <c r="E24" s="110"/>
      <c r="F24" s="110"/>
      <c r="G24" s="110"/>
      <c r="H24" s="110"/>
      <c r="I24" s="110"/>
      <c r="J24" s="110"/>
      <c r="K24" s="110"/>
      <c r="L24" s="110"/>
    </row>
    <row r="25" spans="2:12" x14ac:dyDescent="0.25">
      <c r="B25" s="111" t="s">
        <v>36</v>
      </c>
      <c r="C25" s="112">
        <f>'Data Sheet'!B61/'Data Sheet'!B$61</f>
        <v>1</v>
      </c>
      <c r="D25" s="112">
        <f>'Data Sheet'!C61/'Data Sheet'!C$61</f>
        <v>1</v>
      </c>
      <c r="E25" s="112">
        <f>'Data Sheet'!D61/'Data Sheet'!D$61</f>
        <v>1</v>
      </c>
      <c r="F25" s="112">
        <f>'Data Sheet'!E61/'Data Sheet'!E$61</f>
        <v>1</v>
      </c>
      <c r="G25" s="112">
        <f>'Data Sheet'!F61/'Data Sheet'!F$61</f>
        <v>1</v>
      </c>
      <c r="H25" s="112">
        <f>'Data Sheet'!G61/'Data Sheet'!G$61</f>
        <v>1</v>
      </c>
      <c r="I25" s="112">
        <f>'Data Sheet'!H61/'Data Sheet'!H$61</f>
        <v>1</v>
      </c>
      <c r="J25" s="112">
        <f>'Data Sheet'!I61/'Data Sheet'!I$61</f>
        <v>1</v>
      </c>
      <c r="K25" s="112">
        <f>'Data Sheet'!J61/'Data Sheet'!J$61</f>
        <v>1</v>
      </c>
      <c r="L25" s="112">
        <f>'Data Sheet'!K61/'Data Sheet'!K$61</f>
        <v>1</v>
      </c>
    </row>
    <row r="26" spans="2:12" x14ac:dyDescent="0.25">
      <c r="B26" s="108" t="str">
        <f>'Data Sheet'!A57</f>
        <v>Equity Share Capital</v>
      </c>
      <c r="C26" s="14">
        <f>'Data Sheet'!B57/'Data Sheet'!B$61</f>
        <v>2.9473598814866307E-3</v>
      </c>
      <c r="D26" s="14">
        <f>'Data Sheet'!C57/'Data Sheet'!C$61</f>
        <v>2.7127681338360746E-3</v>
      </c>
      <c r="E26" s="14">
        <f>'Data Sheet'!D57/'Data Sheet'!D$61</f>
        <v>2.5806268250531225E-3</v>
      </c>
      <c r="F26" s="14">
        <f>'Data Sheet'!E57/'Data Sheet'!E$61</f>
        <v>2.491815624573979E-3</v>
      </c>
      <c r="G26" s="14">
        <f>'Data Sheet'!F57/'Data Sheet'!F$61</f>
        <v>2.0759077068585549E-3</v>
      </c>
      <c r="H26" s="14">
        <f>'Data Sheet'!G57/'Data Sheet'!G$61</f>
        <v>2.2218261230841693E-3</v>
      </c>
      <c r="I26" s="14">
        <f>'Data Sheet'!H57/'Data Sheet'!H$61</f>
        <v>2.2473026761653833E-3</v>
      </c>
      <c r="J26" s="14">
        <f>'Data Sheet'!I57/'Data Sheet'!I$61</f>
        <v>2.2420300429859294E-3</v>
      </c>
      <c r="K26" s="14">
        <f>'Data Sheet'!J57/'Data Sheet'!J$61</f>
        <v>2.3274677325505334E-3</v>
      </c>
      <c r="L26" s="14">
        <f>'Data Sheet'!K57/'Data Sheet'!K$61</f>
        <v>2.2888512875034999E-3</v>
      </c>
    </row>
    <row r="27" spans="2:12" x14ac:dyDescent="0.25">
      <c r="B27" s="108" t="str">
        <f>'Data Sheet'!A58</f>
        <v>Reserves</v>
      </c>
      <c r="C27" s="14">
        <f>'Data Sheet'!B58/'Data Sheet'!B$61</f>
        <v>0.29739899542174447</v>
      </c>
      <c r="D27" s="14">
        <f>'Data Sheet'!C58/'Data Sheet'!C$61</f>
        <v>0.23436440687072221</v>
      </c>
      <c r="E27" s="14">
        <f>'Data Sheet'!D58/'Data Sheet'!D$61</f>
        <v>0.2974086354450261</v>
      </c>
      <c r="F27" s="14">
        <f>'Data Sheet'!E58/'Data Sheet'!E$61</f>
        <v>0.21051652437468349</v>
      </c>
      <c r="G27" s="14">
        <f>'Data Sheet'!F58/'Data Sheet'!F$61</f>
        <v>0.28958148432871839</v>
      </c>
      <c r="H27" s="14">
        <f>'Data Sheet'!G58/'Data Sheet'!G$61</f>
        <v>0.19463415350606564</v>
      </c>
      <c r="I27" s="14">
        <f>'Data Sheet'!H58/'Data Sheet'!H$61</f>
        <v>0.19205324240264182</v>
      </c>
      <c r="J27" s="14">
        <f>'Data Sheet'!I58/'Data Sheet'!I$61</f>
        <v>0.15950149121742019</v>
      </c>
      <c r="K27" s="14">
        <f>'Data Sheet'!J58/'Data Sheet'!J$61</f>
        <v>0.13309172094249011</v>
      </c>
      <c r="L27" s="14">
        <f>'Data Sheet'!K58/'Data Sheet'!K$61</f>
        <v>0.13313168263258116</v>
      </c>
    </row>
    <row r="28" spans="2:12" x14ac:dyDescent="0.25">
      <c r="B28" s="108" t="str">
        <f>'Data Sheet'!A59</f>
        <v>Borrowings</v>
      </c>
      <c r="C28" s="14">
        <f>'Data Sheet'!B59/'Data Sheet'!B$61</f>
        <v>0.27763307837130552</v>
      </c>
      <c r="D28" s="14">
        <f>'Data Sheet'!C59/'Data Sheet'!C$61</f>
        <v>0.31018037266029647</v>
      </c>
      <c r="E28" s="14">
        <f>'Data Sheet'!D59/'Data Sheet'!D$61</f>
        <v>0.2635415844998551</v>
      </c>
      <c r="F28" s="14">
        <f>'Data Sheet'!E59/'Data Sheet'!E$61</f>
        <v>0.2883699324485447</v>
      </c>
      <c r="G28" s="14">
        <f>'Data Sheet'!F59/'Data Sheet'!F$61</f>
        <v>0.27186031948660327</v>
      </c>
      <c r="H28" s="14">
        <f>'Data Sheet'!G59/'Data Sheet'!G$61</f>
        <v>0.34731477877468786</v>
      </c>
      <c r="I28" s="14">
        <f>'Data Sheet'!H59/'Data Sheet'!H$61</f>
        <v>0.38974288757311953</v>
      </c>
      <c r="J28" s="14">
        <f>'Data Sheet'!I59/'Data Sheet'!I$61</f>
        <v>0.41610975041683274</v>
      </c>
      <c r="K28" s="14">
        <f>'Data Sheet'!J59/'Data Sheet'!J$61</f>
        <v>0.445050649956031</v>
      </c>
      <c r="L28" s="14">
        <f>'Data Sheet'!K59/'Data Sheet'!K$61</f>
        <v>0.40072807474416255</v>
      </c>
    </row>
    <row r="29" spans="2:12" x14ac:dyDescent="0.25">
      <c r="B29" s="108" t="str">
        <f>'Data Sheet'!A60</f>
        <v>Other Liabilities</v>
      </c>
      <c r="C29" s="14">
        <f>'Data Sheet'!B60/'Data Sheet'!B$61</f>
        <v>0.42202056632546336</v>
      </c>
      <c r="D29" s="14">
        <f>'Data Sheet'!C60/'Data Sheet'!C$61</f>
        <v>0.45274245233514521</v>
      </c>
      <c r="E29" s="14">
        <f>'Data Sheet'!D60/'Data Sheet'!D$61</f>
        <v>0.43646915323006569</v>
      </c>
      <c r="F29" s="14">
        <f>'Data Sheet'!E60/'Data Sheet'!E$61</f>
        <v>0.4986217275521978</v>
      </c>
      <c r="G29" s="14">
        <f>'Data Sheet'!F60/'Data Sheet'!F$61</f>
        <v>0.43648228847781978</v>
      </c>
      <c r="H29" s="14">
        <f>'Data Sheet'!G60/'Data Sheet'!G$61</f>
        <v>0.45582924159616234</v>
      </c>
      <c r="I29" s="14">
        <f>'Data Sheet'!H60/'Data Sheet'!H$61</f>
        <v>0.41595656734807318</v>
      </c>
      <c r="J29" s="14">
        <f>'Data Sheet'!I60/'Data Sheet'!I$61</f>
        <v>0.42214672832276123</v>
      </c>
      <c r="K29" s="14">
        <f>'Data Sheet'!J60/'Data Sheet'!J$61</f>
        <v>0.41953016136892834</v>
      </c>
      <c r="L29" s="14">
        <f>'Data Sheet'!K60/'Data Sheet'!K$61</f>
        <v>0.46385139133575282</v>
      </c>
    </row>
    <row r="31" spans="2:12" x14ac:dyDescent="0.25">
      <c r="B31" s="111" t="s">
        <v>46</v>
      </c>
      <c r="C31" s="112">
        <f>'Data Sheet'!B66/'Data Sheet'!B$66</f>
        <v>1</v>
      </c>
      <c r="D31" s="112">
        <f>'Data Sheet'!C66/'Data Sheet'!C$66</f>
        <v>1</v>
      </c>
      <c r="E31" s="112">
        <f>'Data Sheet'!D66/'Data Sheet'!D$66</f>
        <v>1</v>
      </c>
      <c r="F31" s="112">
        <f>'Data Sheet'!E66/'Data Sheet'!E$66</f>
        <v>1</v>
      </c>
      <c r="G31" s="112">
        <f>'Data Sheet'!F66/'Data Sheet'!F$66</f>
        <v>1</v>
      </c>
      <c r="H31" s="112">
        <f>'Data Sheet'!G66/'Data Sheet'!G$66</f>
        <v>1</v>
      </c>
      <c r="I31" s="112">
        <f>'Data Sheet'!H66/'Data Sheet'!H$66</f>
        <v>1</v>
      </c>
      <c r="J31" s="112">
        <f>'Data Sheet'!I66/'Data Sheet'!I$66</f>
        <v>1</v>
      </c>
      <c r="K31" s="112">
        <f>'Data Sheet'!J66/'Data Sheet'!J$66</f>
        <v>1</v>
      </c>
      <c r="L31" s="112">
        <f>'Data Sheet'!K66/'Data Sheet'!K$66</f>
        <v>1</v>
      </c>
    </row>
    <row r="32" spans="2:12" x14ac:dyDescent="0.25">
      <c r="B32" s="108" t="str">
        <f>'Data Sheet'!A62</f>
        <v>Net Block</v>
      </c>
      <c r="C32" s="14">
        <f>'Data Sheet'!B62/'Data Sheet'!B$66</f>
        <v>0.31631615816414521</v>
      </c>
      <c r="D32" s="14">
        <f>'Data Sheet'!C62/'Data Sheet'!C$66</f>
        <v>0.37283597031605153</v>
      </c>
      <c r="E32" s="14">
        <f>'Data Sheet'!D62/'Data Sheet'!D$66</f>
        <v>0.40744008415097382</v>
      </c>
      <c r="F32" s="14">
        <f>'Data Sheet'!E62/'Data Sheet'!E$66</f>
        <v>0.35198456704657666</v>
      </c>
      <c r="G32" s="14">
        <f>'Data Sheet'!F62/'Data Sheet'!F$66</f>
        <v>0.37107854258332446</v>
      </c>
      <c r="H32" s="14">
        <f>'Data Sheet'!G62/'Data Sheet'!G$66</f>
        <v>0.36386391925064382</v>
      </c>
      <c r="I32" s="14">
        <f>'Data Sheet'!H62/'Data Sheet'!H$66</f>
        <v>0.39698726392101624</v>
      </c>
      <c r="J32" s="14">
        <f>'Data Sheet'!I62/'Data Sheet'!I$66</f>
        <v>0.40608849298230043</v>
      </c>
      <c r="K32" s="14">
        <f>'Data Sheet'!J62/'Data Sheet'!J$66</f>
        <v>0.42197417266906562</v>
      </c>
      <c r="L32" s="14">
        <f>'Data Sheet'!K62/'Data Sheet'!K$66</f>
        <v>0.39465148263642374</v>
      </c>
    </row>
    <row r="33" spans="2:12" x14ac:dyDescent="0.25">
      <c r="B33" s="108" t="str">
        <f>'Data Sheet'!A63</f>
        <v>Capital Work in Progress</v>
      </c>
      <c r="C33" s="14">
        <f>'Data Sheet'!B63/'Data Sheet'!B$66</f>
        <v>0.15228297694793555</v>
      </c>
      <c r="D33" s="14">
        <f>'Data Sheet'!C63/'Data Sheet'!C$66</f>
        <v>0.12068396579918175</v>
      </c>
      <c r="E33" s="14">
        <f>'Data Sheet'!D63/'Data Sheet'!D$66</f>
        <v>9.8482157662096018E-2</v>
      </c>
      <c r="F33" s="14">
        <f>'Data Sheet'!E63/'Data Sheet'!E$66</f>
        <v>0.12362900980833688</v>
      </c>
      <c r="G33" s="14">
        <f>'Data Sheet'!F63/'Data Sheet'!F$66</f>
        <v>0.12235483522646853</v>
      </c>
      <c r="H33" s="14">
        <f>'Data Sheet'!G63/'Data Sheet'!G$66</f>
        <v>0.1042966176146697</v>
      </c>
      <c r="I33" s="14">
        <f>'Data Sheet'!H63/'Data Sheet'!H$66</f>
        <v>0.11125728611076434</v>
      </c>
      <c r="J33" s="14">
        <f>'Data Sheet'!I63/'Data Sheet'!I$66</f>
        <v>6.137522476731045E-2</v>
      </c>
      <c r="K33" s="14">
        <f>'Data Sheet'!J63/'Data Sheet'!J$66</f>
        <v>3.1152505873598278E-2</v>
      </c>
      <c r="L33" s="14">
        <f>'Data Sheet'!K63/'Data Sheet'!K$66</f>
        <v>4.2651899041106903E-2</v>
      </c>
    </row>
    <row r="34" spans="2:12" x14ac:dyDescent="0.25">
      <c r="B34" s="108" t="str">
        <f>'Data Sheet'!A64</f>
        <v>Investments</v>
      </c>
      <c r="C34" s="14">
        <f>'Data Sheet'!B64/'Data Sheet'!B$66</f>
        <v>4.8925816932316527E-2</v>
      </c>
      <c r="D34" s="14">
        <f>'Data Sheet'!C64/'Data Sheet'!C$66</f>
        <v>6.4626144877021785E-2</v>
      </c>
      <c r="E34" s="14">
        <f>'Data Sheet'!D64/'Data Sheet'!D$66</f>
        <v>9.0305676497502971E-2</v>
      </c>
      <c r="F34" s="14">
        <f>'Data Sheet'!E64/'Data Sheet'!E$66</f>
        <v>7.4612565630187005E-2</v>
      </c>
      <c r="G34" s="14">
        <f>'Data Sheet'!F64/'Data Sheet'!F$66</f>
        <v>6.3610241344366172E-2</v>
      </c>
      <c r="H34" s="14">
        <f>'Data Sheet'!G64/'Data Sheet'!G$66</f>
        <v>5.1588289031309388E-2</v>
      </c>
      <c r="I34" s="14">
        <f>'Data Sheet'!H64/'Data Sheet'!H$66</f>
        <v>5.0935445907370862E-2</v>
      </c>
      <c r="J34" s="14">
        <f>'Data Sheet'!I64/'Data Sheet'!I$66</f>
        <v>7.207976838475029E-2</v>
      </c>
      <c r="K34" s="14">
        <f>'Data Sheet'!J64/'Data Sheet'!J$66</f>
        <v>8.928279635517361E-2</v>
      </c>
      <c r="L34" s="14">
        <f>'Data Sheet'!K64/'Data Sheet'!K$66</f>
        <v>7.8820362822460022E-2</v>
      </c>
    </row>
    <row r="35" spans="2:12" x14ac:dyDescent="0.25">
      <c r="B35" s="108" t="str">
        <f>'Data Sheet'!A65</f>
        <v>Other Assets</v>
      </c>
      <c r="C35" s="14">
        <f>'Data Sheet'!B74/'Data Sheet'!B$66</f>
        <v>0.17318534300794514</v>
      </c>
      <c r="D35" s="14">
        <f>'Data Sheet'!C74/'Data Sheet'!C$66</f>
        <v>0.13016959457099153</v>
      </c>
      <c r="E35" s="14">
        <f>'Data Sheet'!D74/'Data Sheet'!D$66</f>
        <v>0.11239036762552386</v>
      </c>
      <c r="F35" s="14">
        <f>'Data Sheet'!E74/'Data Sheet'!E$66</f>
        <v>0.13706335995740859</v>
      </c>
      <c r="G35" s="14">
        <f>'Data Sheet'!F74/'Data Sheet'!F$66</f>
        <v>0.14757967199729119</v>
      </c>
      <c r="H35" s="14">
        <f>'Data Sheet'!G74/'Data Sheet'!G$66</f>
        <v>0.1836934867835496</v>
      </c>
      <c r="I35" s="14">
        <f>'Data Sheet'!H74/'Data Sheet'!H$66</f>
        <v>0.1836000124805035</v>
      </c>
      <c r="J35" s="14">
        <f>'Data Sheet'!I74/'Data Sheet'!I$66</f>
        <v>0.18068910109792749</v>
      </c>
      <c r="K35" s="14">
        <f>'Data Sheet'!J74/'Data Sheet'!J$66</f>
        <v>0.18909465826584576</v>
      </c>
      <c r="L35" s="14">
        <f>'Data Sheet'!K74/'Data Sheet'!K$66</f>
        <v>0.20447361335612049</v>
      </c>
    </row>
    <row r="36" spans="2:12" x14ac:dyDescent="0.25">
      <c r="B36" s="108" t="str">
        <f>'Data Sheet'!A67</f>
        <v>Receivables</v>
      </c>
      <c r="C36" s="14">
        <f>'Data Sheet'!B67/'Data Sheet'!B$66</f>
        <v>4.8411043026518961E-2</v>
      </c>
      <c r="D36" s="14">
        <f>'Data Sheet'!C67/'Data Sheet'!C$66</f>
        <v>5.3006388687363314E-2</v>
      </c>
      <c r="E36" s="14">
        <f>'Data Sheet'!D67/'Data Sheet'!D$66</f>
        <v>5.1564319306195219E-2</v>
      </c>
      <c r="F36" s="14">
        <f>'Data Sheet'!E67/'Data Sheet'!E$66</f>
        <v>5.1638166447501938E-2</v>
      </c>
      <c r="G36" s="14">
        <f>'Data Sheet'!F67/'Data Sheet'!F$66</f>
        <v>6.0800115993123419E-2</v>
      </c>
      <c r="H36" s="14">
        <f>'Data Sheet'!G67/'Data Sheet'!G$66</f>
        <v>6.2139198999658127E-2</v>
      </c>
      <c r="I36" s="14">
        <f>'Data Sheet'!H67/'Data Sheet'!H$66</f>
        <v>3.4895094278241959E-2</v>
      </c>
      <c r="J36" s="14">
        <f>'Data Sheet'!I67/'Data Sheet'!I$66</f>
        <v>3.7120014464974392E-2</v>
      </c>
      <c r="K36" s="14">
        <f>'Data Sheet'!J67/'Data Sheet'!J$66</f>
        <v>3.7810927070195913E-2</v>
      </c>
      <c r="L36" s="14">
        <f>'Data Sheet'!K67/'Data Sheet'!K$66</f>
        <v>4.7024715930643397E-2</v>
      </c>
    </row>
    <row r="37" spans="2:12" x14ac:dyDescent="0.25">
      <c r="B37" s="108" t="str">
        <f>'Data Sheet'!A68</f>
        <v>Inventory</v>
      </c>
      <c r="C37" s="14">
        <f>'Data Sheet'!B68/'Data Sheet'!B$66</f>
        <v>0.12485185485481834</v>
      </c>
      <c r="D37" s="14">
        <f>'Data Sheet'!C68/'Data Sheet'!C$66</f>
        <v>0.1233481486762793</v>
      </c>
      <c r="E37" s="14">
        <f>'Data Sheet'!D68/'Data Sheet'!D$66</f>
        <v>0.12407940874244236</v>
      </c>
      <c r="F37" s="14">
        <f>'Data Sheet'!E68/'Data Sheet'!E$66</f>
        <v>0.12871547311772571</v>
      </c>
      <c r="G37" s="14">
        <f>'Data Sheet'!F68/'Data Sheet'!F$66</f>
        <v>0.12878571135383859</v>
      </c>
      <c r="H37" s="14">
        <f>'Data Sheet'!G68/'Data Sheet'!G$66</f>
        <v>0.12761951131143451</v>
      </c>
      <c r="I37" s="14">
        <f>'Data Sheet'!H68/'Data Sheet'!H$66</f>
        <v>0.11698716772494318</v>
      </c>
      <c r="J37" s="14">
        <f>'Data Sheet'!I68/'Data Sheet'!I$66</f>
        <v>0.1056550619461767</v>
      </c>
      <c r="K37" s="14">
        <f>'Data Sheet'!J68/'Data Sheet'!J$66</f>
        <v>0.1070934797019244</v>
      </c>
      <c r="L37" s="14">
        <f>'Data Sheet'!K68/'Data Sheet'!K$66</f>
        <v>0.12177622891596469</v>
      </c>
    </row>
    <row r="38" spans="2:12" x14ac:dyDescent="0.25">
      <c r="B38" s="108" t="str">
        <f>'Data Sheet'!A69</f>
        <v>Cash &amp; Bank</v>
      </c>
      <c r="C38" s="14">
        <f>'Data Sheet'!B69/'Data Sheet'!B$66</f>
        <v>0.13602680706632028</v>
      </c>
      <c r="D38" s="14">
        <f>'Data Sheet'!C69/'Data Sheet'!C$66</f>
        <v>0.13532978707311077</v>
      </c>
      <c r="E38" s="14">
        <f>'Data Sheet'!D69/'Data Sheet'!D$66</f>
        <v>0.11573798601526566</v>
      </c>
      <c r="F38" s="14">
        <f>'Data Sheet'!E69/'Data Sheet'!E$66</f>
        <v>0.13235685799226327</v>
      </c>
      <c r="G38" s="14">
        <f>'Data Sheet'!F69/'Data Sheet'!F$66</f>
        <v>0.10579088150158772</v>
      </c>
      <c r="H38" s="14">
        <f>'Data Sheet'!G69/'Data Sheet'!G$66</f>
        <v>0.10679897700873484</v>
      </c>
      <c r="I38" s="14">
        <f>'Data Sheet'!H69/'Data Sheet'!H$66</f>
        <v>0.10533772957715985</v>
      </c>
      <c r="J38" s="14">
        <f>'Data Sheet'!I69/'Data Sheet'!I$66</f>
        <v>0.13699233635656022</v>
      </c>
      <c r="K38" s="14">
        <f>'Data Sheet'!J69/'Data Sheet'!J$66</f>
        <v>0.12359146006419652</v>
      </c>
      <c r="L38" s="14">
        <f>'Data Sheet'!K69/'Data Sheet'!K$66</f>
        <v>0.11060169729728082</v>
      </c>
    </row>
    <row r="39" spans="2:12" x14ac:dyDescent="0.25">
      <c r="B39" s="108"/>
    </row>
  </sheetData>
  <mergeCells count="2">
    <mergeCell ref="B2:L2"/>
    <mergeCell ref="B21:L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DD3B-8424-4E6C-8975-D52B5E340906}">
  <dimension ref="B2:M47"/>
  <sheetViews>
    <sheetView showGridLines="0" workbookViewId="0">
      <pane ySplit="4" topLeftCell="A12" activePane="bottomLeft" state="frozen"/>
      <selection pane="bottomLeft" activeCell="L12" sqref="L12"/>
    </sheetView>
  </sheetViews>
  <sheetFormatPr defaultRowHeight="15" x14ac:dyDescent="0.25"/>
  <cols>
    <col min="1" max="1" width="1.85546875" customWidth="1"/>
    <col min="2" max="2" width="19.7109375" bestFit="1" customWidth="1"/>
    <col min="3" max="3" width="11.5703125" bestFit="1" customWidth="1"/>
    <col min="4" max="11" width="11.28515625" bestFit="1" customWidth="1"/>
    <col min="13" max="13" width="9.7109375" bestFit="1" customWidth="1"/>
  </cols>
  <sheetData>
    <row r="2" spans="2:13" x14ac:dyDescent="0.25">
      <c r="B2" s="224" t="str">
        <f>'Data Sheet'!B1&amp; " - "&amp;'Data Sheet'!A15&amp; " FORECASTING"</f>
        <v>TATA MOTORS LTD - PROFIT &amp; LOSS FORECASTING</v>
      </c>
      <c r="C2" s="224"/>
      <c r="D2" s="224"/>
      <c r="E2" s="224"/>
      <c r="F2" s="224"/>
      <c r="G2" s="224"/>
      <c r="H2" s="224"/>
      <c r="I2" s="224"/>
      <c r="J2" s="224"/>
      <c r="K2" s="224"/>
    </row>
    <row r="3" spans="2:13" x14ac:dyDescent="0.25">
      <c r="B3" s="8" t="s">
        <v>113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2:13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2:13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2:13" x14ac:dyDescent="0.25">
      <c r="B6" s="174" t="s">
        <v>4</v>
      </c>
      <c r="C6" s="53">
        <f>'Historical FS'!I6</f>
        <v>261067.97</v>
      </c>
      <c r="D6" s="53">
        <f>'Historical FS'!J6</f>
        <v>249794.75</v>
      </c>
      <c r="E6" s="53">
        <f>'Historical FS'!K6</f>
        <v>278453.62</v>
      </c>
      <c r="F6" s="53">
        <f>'Historical FS'!L6</f>
        <v>345966.97</v>
      </c>
      <c r="G6" s="54">
        <f t="shared" ref="G6:K6" si="1">FORECAST(G3,$C$6:$F$6,$C$3:$F$3)</f>
        <v>354659.79499999998</v>
      </c>
      <c r="H6" s="54">
        <f t="shared" si="1"/>
        <v>382995.38199999998</v>
      </c>
      <c r="I6" s="54">
        <f t="shared" si="1"/>
        <v>411330.96899999992</v>
      </c>
      <c r="J6" s="54">
        <f t="shared" si="1"/>
        <v>439666.55599999998</v>
      </c>
      <c r="K6" s="54">
        <f t="shared" si="1"/>
        <v>468002.14299999992</v>
      </c>
    </row>
    <row r="7" spans="2:13" x14ac:dyDescent="0.25">
      <c r="B7" s="39" t="s">
        <v>5</v>
      </c>
      <c r="C7" s="46">
        <f>'Historical FS'!I7</f>
        <v>-0.135360159555724</v>
      </c>
      <c r="D7" s="46">
        <f>'Historical FS'!J7</f>
        <v>-4.3181168490336042E-2</v>
      </c>
      <c r="E7" s="46">
        <f>'Historical FS'!K7</f>
        <v>0.11472967306158344</v>
      </c>
      <c r="F7" s="46">
        <f>'Historical FS'!L7</f>
        <v>0.24245815155859707</v>
      </c>
      <c r="G7" s="42">
        <f t="shared" ref="G7:K7" si="2">G6/F6-1</f>
        <v>2.5126170281515536E-2</v>
      </c>
      <c r="H7" s="42">
        <f t="shared" si="2"/>
        <v>7.9895120336377579E-2</v>
      </c>
      <c r="I7" s="42">
        <f t="shared" si="2"/>
        <v>7.3984147934190947E-2</v>
      </c>
      <c r="J7" s="42">
        <f t="shared" si="2"/>
        <v>6.8887560469583997E-2</v>
      </c>
      <c r="K7" s="42">
        <f t="shared" si="2"/>
        <v>6.4447901741245817E-2</v>
      </c>
    </row>
    <row r="8" spans="2:13" x14ac:dyDescent="0.25">
      <c r="G8" s="36"/>
      <c r="H8" s="36"/>
      <c r="I8" s="36"/>
      <c r="J8" s="36"/>
      <c r="K8" s="36"/>
    </row>
    <row r="9" spans="2:13" x14ac:dyDescent="0.25">
      <c r="B9" s="169" t="s">
        <v>7</v>
      </c>
      <c r="C9" s="38">
        <f>'Historical FS'!I9</f>
        <v>210376.07000000004</v>
      </c>
      <c r="D9" s="38">
        <f>'Historical FS'!J9</f>
        <v>195326.04</v>
      </c>
      <c r="E9" s="38">
        <f>'Historical FS'!K9</f>
        <v>223300.00999999998</v>
      </c>
      <c r="F9" s="38">
        <f>'Historical FS'!L9</f>
        <v>274403.64</v>
      </c>
      <c r="G9" s="41">
        <f t="shared" ref="G9:K9" si="3">FORECAST(G3,$C$9:$F$9,$C$3:$F$3)</f>
        <v>280865.61</v>
      </c>
      <c r="H9" s="41">
        <f t="shared" si="3"/>
        <v>302871.27799999993</v>
      </c>
      <c r="I9" s="41">
        <f t="shared" si="3"/>
        <v>324876.94599999994</v>
      </c>
      <c r="J9" s="41">
        <f t="shared" si="3"/>
        <v>346882.61399999994</v>
      </c>
      <c r="K9" s="41">
        <f t="shared" si="3"/>
        <v>368888.28199999995</v>
      </c>
    </row>
    <row r="10" spans="2:13" x14ac:dyDescent="0.25">
      <c r="B10" s="39" t="s">
        <v>8</v>
      </c>
      <c r="C10" s="40">
        <f>C9/C6</f>
        <v>0.80582872728508226</v>
      </c>
      <c r="D10" s="40">
        <f t="shared" ref="D10:K10" si="4">D9/D6</f>
        <v>0.7819461377791167</v>
      </c>
      <c r="E10" s="40">
        <f t="shared" si="4"/>
        <v>0.80192891728252624</v>
      </c>
      <c r="F10" s="40">
        <f t="shared" si="4"/>
        <v>0.79314982005363122</v>
      </c>
      <c r="G10" s="42">
        <f t="shared" si="4"/>
        <v>0.79192965754688938</v>
      </c>
      <c r="H10" s="42">
        <f t="shared" si="4"/>
        <v>0.79079616161011557</v>
      </c>
      <c r="I10" s="42">
        <f t="shared" si="4"/>
        <v>0.78981883321311508</v>
      </c>
      <c r="J10" s="42">
        <f t="shared" si="4"/>
        <v>0.78896747834511194</v>
      </c>
      <c r="K10" s="42">
        <f t="shared" si="4"/>
        <v>0.7882192154833787</v>
      </c>
    </row>
    <row r="11" spans="2:13" x14ac:dyDescent="0.25">
      <c r="G11" s="36"/>
      <c r="H11" s="36"/>
      <c r="I11" s="36"/>
      <c r="J11" s="36"/>
      <c r="K11" s="36"/>
    </row>
    <row r="12" spans="2:13" x14ac:dyDescent="0.25">
      <c r="B12" s="178" t="s">
        <v>9</v>
      </c>
      <c r="C12" s="55">
        <f>C6-C9</f>
        <v>50691.899999999965</v>
      </c>
      <c r="D12" s="55">
        <f t="shared" ref="D12:K12" si="5">D6-D9</f>
        <v>54468.709999999992</v>
      </c>
      <c r="E12" s="55">
        <f t="shared" si="5"/>
        <v>55153.610000000015</v>
      </c>
      <c r="F12" s="55">
        <f t="shared" si="5"/>
        <v>71563.329999999958</v>
      </c>
      <c r="G12" s="56">
        <f t="shared" si="5"/>
        <v>73794.184999999998</v>
      </c>
      <c r="H12" s="56">
        <f t="shared" si="5"/>
        <v>80124.10400000005</v>
      </c>
      <c r="I12" s="56">
        <f t="shared" si="5"/>
        <v>86454.022999999986</v>
      </c>
      <c r="J12" s="56">
        <f t="shared" si="5"/>
        <v>92783.942000000039</v>
      </c>
      <c r="K12" s="56">
        <f t="shared" si="5"/>
        <v>99113.860999999975</v>
      </c>
    </row>
    <row r="13" spans="2:13" x14ac:dyDescent="0.25">
      <c r="B13" s="39" t="s">
        <v>88</v>
      </c>
      <c r="C13" s="40">
        <f t="shared" ref="C13" si="6">C12/C6</f>
        <v>0.19417127271491774</v>
      </c>
      <c r="D13" s="40">
        <f>D12/D6</f>
        <v>0.2180538622208833</v>
      </c>
      <c r="E13" s="40">
        <f t="shared" ref="E13:K13" si="7">E12/E6</f>
        <v>0.19807108271747378</v>
      </c>
      <c r="F13" s="40">
        <f t="shared" si="7"/>
        <v>0.20685017994636876</v>
      </c>
      <c r="G13" s="42">
        <f t="shared" si="7"/>
        <v>0.2080703424531106</v>
      </c>
      <c r="H13" s="42">
        <f t="shared" si="7"/>
        <v>0.20920383838988443</v>
      </c>
      <c r="I13" s="42">
        <f t="shared" si="7"/>
        <v>0.21018116678688495</v>
      </c>
      <c r="J13" s="42">
        <f t="shared" si="7"/>
        <v>0.21103252165488803</v>
      </c>
      <c r="K13" s="42">
        <f t="shared" si="7"/>
        <v>0.2117807845166213</v>
      </c>
    </row>
    <row r="14" spans="2:13" x14ac:dyDescent="0.25">
      <c r="G14" s="36"/>
      <c r="H14" s="36"/>
      <c r="I14" s="36"/>
      <c r="J14" s="36"/>
      <c r="K14" s="36"/>
    </row>
    <row r="15" spans="2:13" x14ac:dyDescent="0.25">
      <c r="B15" s="169" t="s">
        <v>114</v>
      </c>
      <c r="C15" s="38">
        <f>'Historical FS'!I15</f>
        <v>32704.83</v>
      </c>
      <c r="D15" s="38">
        <f>'Historical FS'!J15</f>
        <v>22181.280000000002</v>
      </c>
      <c r="E15" s="38">
        <f>'Historical FS'!K15</f>
        <v>30433.52</v>
      </c>
      <c r="F15" s="38">
        <f>'Historical FS'!L15</f>
        <v>39747.53</v>
      </c>
      <c r="G15" s="41">
        <f t="shared" ref="G15:K15" si="8">FORECAST(G3,$C$15:$F$15,$C$3:$F$3)</f>
        <v>38611.875</v>
      </c>
      <c r="H15" s="41">
        <f t="shared" si="8"/>
        <v>41549.908999999992</v>
      </c>
      <c r="I15" s="41">
        <f t="shared" si="8"/>
        <v>44487.942999999992</v>
      </c>
      <c r="J15" s="41">
        <f t="shared" si="8"/>
        <v>47425.976999999992</v>
      </c>
      <c r="K15" s="41">
        <f t="shared" si="8"/>
        <v>50364.010999999991</v>
      </c>
      <c r="M15" s="38"/>
    </row>
    <row r="16" spans="2:13" x14ac:dyDescent="0.25">
      <c r="B16" s="39" t="s">
        <v>12</v>
      </c>
      <c r="C16" s="40">
        <f>C15/C6</f>
        <v>0.12527323822987554</v>
      </c>
      <c r="D16" s="40">
        <f t="shared" ref="D16:K16" si="9">D15/D6</f>
        <v>8.8798023177028354E-2</v>
      </c>
      <c r="E16" s="40">
        <f t="shared" si="9"/>
        <v>0.10929475436519734</v>
      </c>
      <c r="F16" s="40">
        <f t="shared" si="9"/>
        <v>0.11488822184383672</v>
      </c>
      <c r="G16" s="42">
        <f t="shared" si="9"/>
        <v>0.1088701779687207</v>
      </c>
      <c r="H16" s="42">
        <f t="shared" si="9"/>
        <v>0.10848671016090736</v>
      </c>
      <c r="I16" s="42">
        <f t="shared" si="9"/>
        <v>0.1081560746766918</v>
      </c>
      <c r="J16" s="42">
        <f t="shared" si="9"/>
        <v>0.10786805671887401</v>
      </c>
      <c r="K16" s="42">
        <f t="shared" si="9"/>
        <v>0.10761491534452226</v>
      </c>
    </row>
    <row r="17" spans="2:11" x14ac:dyDescent="0.25">
      <c r="G17" s="36"/>
      <c r="H17" s="36"/>
      <c r="I17" s="36"/>
      <c r="J17" s="36"/>
      <c r="K17" s="36"/>
    </row>
    <row r="18" spans="2:11" x14ac:dyDescent="0.25">
      <c r="B18" s="178" t="s">
        <v>13</v>
      </c>
      <c r="C18" s="55">
        <f>C12-C15</f>
        <v>17987.069999999963</v>
      </c>
      <c r="D18" s="55">
        <f t="shared" ref="D18:K18" si="10">D12-D15</f>
        <v>32287.429999999989</v>
      </c>
      <c r="E18" s="55">
        <f t="shared" si="10"/>
        <v>24720.090000000015</v>
      </c>
      <c r="F18" s="55">
        <f t="shared" si="10"/>
        <v>31815.799999999959</v>
      </c>
      <c r="G18" s="56">
        <f t="shared" si="10"/>
        <v>35182.31</v>
      </c>
      <c r="H18" s="56">
        <f t="shared" si="10"/>
        <v>38574.195000000058</v>
      </c>
      <c r="I18" s="56">
        <f t="shared" si="10"/>
        <v>41966.079999999994</v>
      </c>
      <c r="J18" s="56">
        <f t="shared" si="10"/>
        <v>45357.965000000047</v>
      </c>
      <c r="K18" s="56">
        <f t="shared" si="10"/>
        <v>48749.849999999984</v>
      </c>
    </row>
    <row r="19" spans="2:11" x14ac:dyDescent="0.25">
      <c r="B19" s="39" t="s">
        <v>14</v>
      </c>
      <c r="C19" s="40">
        <f>C18/C6</f>
        <v>6.8898034485042198E-2</v>
      </c>
      <c r="D19" s="40">
        <f t="shared" ref="D19:K19" si="11">D18/D6</f>
        <v>0.12925583904385496</v>
      </c>
      <c r="E19" s="40">
        <f t="shared" si="11"/>
        <v>8.877632835227646E-2</v>
      </c>
      <c r="F19" s="40">
        <f t="shared" si="11"/>
        <v>9.1961958102532049E-2</v>
      </c>
      <c r="G19" s="42">
        <f t="shared" si="11"/>
        <v>9.9200164484389897E-2</v>
      </c>
      <c r="H19" s="42">
        <f t="shared" si="11"/>
        <v>0.10071712822897708</v>
      </c>
      <c r="I19" s="42">
        <f t="shared" si="11"/>
        <v>0.10202509211019314</v>
      </c>
      <c r="J19" s="42">
        <f t="shared" si="11"/>
        <v>0.10316446493601403</v>
      </c>
      <c r="K19" s="42">
        <f t="shared" si="11"/>
        <v>0.10416586917209905</v>
      </c>
    </row>
    <row r="20" spans="2:11" x14ac:dyDescent="0.25">
      <c r="G20" s="36"/>
      <c r="H20" s="36"/>
      <c r="I20" s="36"/>
      <c r="J20" s="36"/>
      <c r="K20" s="36"/>
    </row>
    <row r="21" spans="2:11" x14ac:dyDescent="0.25">
      <c r="B21" s="169" t="s">
        <v>17</v>
      </c>
      <c r="C21" s="38">
        <f>'Historical FS'!I24</f>
        <v>21425.43</v>
      </c>
      <c r="D21" s="38">
        <f>'Historical FS'!J24</f>
        <v>23546.71</v>
      </c>
      <c r="E21" s="38">
        <f>'Historical FS'!K24</f>
        <v>24835.69</v>
      </c>
      <c r="F21" s="38">
        <f>'Historical FS'!L24</f>
        <v>24860.36</v>
      </c>
      <c r="G21" s="41">
        <f t="shared" ref="G21:K21" si="12">FORECAST(G3,$C$21:$F$21,$C$3:$F$3)</f>
        <v>26565.489999999998</v>
      </c>
      <c r="H21" s="41">
        <f t="shared" si="12"/>
        <v>27724.866999999998</v>
      </c>
      <c r="I21" s="41">
        <f t="shared" si="12"/>
        <v>28884.243999999999</v>
      </c>
      <c r="J21" s="41">
        <f t="shared" si="12"/>
        <v>30043.620999999999</v>
      </c>
      <c r="K21" s="41">
        <f t="shared" si="12"/>
        <v>31202.998</v>
      </c>
    </row>
    <row r="22" spans="2:11" x14ac:dyDescent="0.25">
      <c r="B22" s="39" t="s">
        <v>18</v>
      </c>
      <c r="C22" s="40">
        <f t="shared" ref="C22:K22" si="13">C21/C6</f>
        <v>8.206839774331566E-2</v>
      </c>
      <c r="D22" s="40">
        <f t="shared" si="13"/>
        <v>9.4264230933596482E-2</v>
      </c>
      <c r="E22" s="40">
        <f t="shared" si="13"/>
        <v>8.9191478279219347E-2</v>
      </c>
      <c r="F22" s="40">
        <f t="shared" si="13"/>
        <v>7.1857611147098821E-2</v>
      </c>
      <c r="G22" s="42">
        <f t="shared" si="13"/>
        <v>7.4904148636300877E-2</v>
      </c>
      <c r="H22" s="42">
        <f t="shared" si="13"/>
        <v>7.2389559516934335E-2</v>
      </c>
      <c r="I22" s="42">
        <f t="shared" si="13"/>
        <v>7.0221418217600834E-2</v>
      </c>
      <c r="J22" s="42">
        <f t="shared" si="13"/>
        <v>6.8332741233108479E-2</v>
      </c>
      <c r="K22" s="42">
        <f t="shared" si="13"/>
        <v>6.6672767350981987E-2</v>
      </c>
    </row>
    <row r="23" spans="2:11" x14ac:dyDescent="0.25">
      <c r="B23" s="39"/>
      <c r="C23" s="40"/>
      <c r="D23" s="40"/>
      <c r="E23" s="40"/>
      <c r="F23" s="40"/>
      <c r="G23" s="42"/>
      <c r="H23" s="42"/>
      <c r="I23" s="42"/>
      <c r="J23" s="42"/>
      <c r="K23" s="42"/>
    </row>
    <row r="24" spans="2:11" x14ac:dyDescent="0.25">
      <c r="B24" s="178" t="s">
        <v>115</v>
      </c>
      <c r="C24" s="55">
        <f>C18-C21</f>
        <v>-3438.360000000037</v>
      </c>
      <c r="D24" s="55">
        <f t="shared" ref="D24:K24" si="14">D18-D21</f>
        <v>8740.7199999999903</v>
      </c>
      <c r="E24" s="55">
        <f t="shared" si="14"/>
        <v>-115.59999999998399</v>
      </c>
      <c r="F24" s="55">
        <f t="shared" si="14"/>
        <v>6955.4399999999587</v>
      </c>
      <c r="G24" s="56">
        <f t="shared" si="14"/>
        <v>8616.82</v>
      </c>
      <c r="H24" s="56">
        <f t="shared" si="14"/>
        <v>10849.32800000006</v>
      </c>
      <c r="I24" s="56">
        <f t="shared" si="14"/>
        <v>13081.835999999996</v>
      </c>
      <c r="J24" s="56">
        <f t="shared" si="14"/>
        <v>15314.344000000048</v>
      </c>
      <c r="K24" s="56">
        <f t="shared" si="14"/>
        <v>17546.851999999984</v>
      </c>
    </row>
    <row r="25" spans="2:11" x14ac:dyDescent="0.25">
      <c r="B25" s="39" t="s">
        <v>116</v>
      </c>
      <c r="C25" s="40">
        <f>C24/C6</f>
        <v>-1.3170363258273456E-2</v>
      </c>
      <c r="D25" s="40">
        <f t="shared" ref="D25:K25" si="15">D24/D6</f>
        <v>3.4991608110258483E-2</v>
      </c>
      <c r="E25" s="40">
        <f t="shared" si="15"/>
        <v>-4.1514992694289269E-4</v>
      </c>
      <c r="F25" s="40">
        <f t="shared" si="15"/>
        <v>2.0104346955433228E-2</v>
      </c>
      <c r="G25" s="42">
        <f t="shared" si="15"/>
        <v>2.4296015848089013E-2</v>
      </c>
      <c r="H25" s="42">
        <f t="shared" si="15"/>
        <v>2.8327568712042749E-2</v>
      </c>
      <c r="I25" s="42">
        <f t="shared" si="15"/>
        <v>3.180367389259231E-2</v>
      </c>
      <c r="J25" s="42">
        <f t="shared" si="15"/>
        <v>3.4831723702905548E-2</v>
      </c>
      <c r="K25" s="42">
        <f t="shared" si="15"/>
        <v>3.7493101821117064E-2</v>
      </c>
    </row>
    <row r="26" spans="2:11" x14ac:dyDescent="0.25">
      <c r="B26" s="39"/>
      <c r="C26" s="40"/>
      <c r="D26" s="40"/>
      <c r="E26" s="40"/>
      <c r="F26" s="40"/>
      <c r="G26" s="42"/>
      <c r="H26" s="42"/>
      <c r="I26" s="42"/>
      <c r="J26" s="42"/>
      <c r="K26" s="42"/>
    </row>
    <row r="27" spans="2:11" x14ac:dyDescent="0.25">
      <c r="B27" s="169" t="s">
        <v>15</v>
      </c>
      <c r="C27" s="38">
        <f>'Historical FS'!I21</f>
        <v>7243.33</v>
      </c>
      <c r="D27" s="38">
        <f>'Historical FS'!J21</f>
        <v>8097.17</v>
      </c>
      <c r="E27" s="38">
        <f>'Historical FS'!K21</f>
        <v>9311.86</v>
      </c>
      <c r="F27" s="38">
        <f>'Historical FS'!L21</f>
        <v>10225.48</v>
      </c>
      <c r="G27" s="41">
        <f t="shared" ref="G27:K27" si="16">FORECAST(G3,$C$27:$F$27,$C$3:$F$3)</f>
        <v>11259.744999999999</v>
      </c>
      <c r="H27" s="41">
        <f t="shared" si="16"/>
        <v>12275.858999999999</v>
      </c>
      <c r="I27" s="41">
        <f t="shared" si="16"/>
        <v>13291.972999999998</v>
      </c>
      <c r="J27" s="41">
        <f t="shared" si="16"/>
        <v>14308.087</v>
      </c>
      <c r="K27" s="41">
        <f t="shared" si="16"/>
        <v>15324.200999999999</v>
      </c>
    </row>
    <row r="28" spans="2:11" x14ac:dyDescent="0.25">
      <c r="B28" s="39" t="s">
        <v>16</v>
      </c>
      <c r="C28" s="40">
        <f t="shared" ref="C28:K28" si="17">C27/C6</f>
        <v>2.7744996829752802E-2</v>
      </c>
      <c r="D28" s="40">
        <f t="shared" si="17"/>
        <v>3.2415292955516477E-2</v>
      </c>
      <c r="E28" s="40">
        <f t="shared" si="17"/>
        <v>3.3441332168710897E-2</v>
      </c>
      <c r="F28" s="40">
        <f t="shared" si="17"/>
        <v>2.9556231914277829E-2</v>
      </c>
      <c r="G28" s="42">
        <f t="shared" si="17"/>
        <v>3.1748016433607876E-2</v>
      </c>
      <c r="H28" s="42">
        <f t="shared" si="17"/>
        <v>3.2052237642907142E-2</v>
      </c>
      <c r="I28" s="42">
        <f t="shared" si="17"/>
        <v>3.231454473830294E-2</v>
      </c>
      <c r="J28" s="42">
        <f t="shared" si="17"/>
        <v>3.254304154987854E-2</v>
      </c>
      <c r="K28" s="42">
        <f t="shared" si="17"/>
        <v>3.2743869294632702E-2</v>
      </c>
    </row>
    <row r="29" spans="2:11" x14ac:dyDescent="0.25">
      <c r="G29" s="36"/>
      <c r="H29" s="36"/>
      <c r="I29" s="36"/>
      <c r="J29" s="36"/>
      <c r="K29" s="36"/>
    </row>
    <row r="30" spans="2:11" x14ac:dyDescent="0.25">
      <c r="B30" s="178" t="s">
        <v>117</v>
      </c>
      <c r="C30" s="55">
        <f>C24-C27</f>
        <v>-10681.690000000037</v>
      </c>
      <c r="D30" s="55">
        <f t="shared" ref="D30:K30" si="18">D24-D27</f>
        <v>643.54999999999018</v>
      </c>
      <c r="E30" s="55">
        <f t="shared" si="18"/>
        <v>-9427.4599999999846</v>
      </c>
      <c r="F30" s="55">
        <f t="shared" si="18"/>
        <v>-3270.0400000000409</v>
      </c>
      <c r="G30" s="56">
        <f t="shared" si="18"/>
        <v>-2642.9249999999993</v>
      </c>
      <c r="H30" s="56">
        <f t="shared" si="18"/>
        <v>-1426.530999999939</v>
      </c>
      <c r="I30" s="56">
        <f t="shared" si="18"/>
        <v>-210.13700000000244</v>
      </c>
      <c r="J30" s="56">
        <f t="shared" si="18"/>
        <v>1006.2570000000487</v>
      </c>
      <c r="K30" s="56">
        <f t="shared" si="18"/>
        <v>2222.6509999999853</v>
      </c>
    </row>
    <row r="31" spans="2:11" x14ac:dyDescent="0.25">
      <c r="B31" s="39" t="s">
        <v>118</v>
      </c>
      <c r="C31" s="40">
        <f>C30/C6</f>
        <v>-4.0915360088026258E-2</v>
      </c>
      <c r="D31" s="40">
        <f t="shared" ref="D31:K31" si="19">D30/D6</f>
        <v>2.576315154742004E-3</v>
      </c>
      <c r="E31" s="40">
        <f t="shared" si="19"/>
        <v>-3.3856482095653791E-2</v>
      </c>
      <c r="F31" s="40">
        <f t="shared" si="19"/>
        <v>-9.4518849588445999E-3</v>
      </c>
      <c r="G31" s="42">
        <f t="shared" si="19"/>
        <v>-7.4520005855188611E-3</v>
      </c>
      <c r="H31" s="42">
        <f t="shared" si="19"/>
        <v>-3.7246689308643912E-3</v>
      </c>
      <c r="I31" s="42">
        <f t="shared" si="19"/>
        <v>-5.1087084571062888E-4</v>
      </c>
      <c r="J31" s="42">
        <f t="shared" si="19"/>
        <v>2.2886821530270062E-3</v>
      </c>
      <c r="K31" s="42">
        <f t="shared" si="19"/>
        <v>4.7492325264843621E-3</v>
      </c>
    </row>
    <row r="32" spans="2:11" x14ac:dyDescent="0.25">
      <c r="B32" s="39"/>
      <c r="C32" s="40"/>
      <c r="D32" s="40"/>
      <c r="E32" s="40"/>
      <c r="F32" s="40"/>
      <c r="G32" s="42"/>
      <c r="H32" s="42"/>
      <c r="I32" s="42"/>
      <c r="J32" s="42"/>
      <c r="K32" s="42"/>
    </row>
    <row r="33" spans="2:11" x14ac:dyDescent="0.25">
      <c r="B33" s="169" t="s">
        <v>21</v>
      </c>
      <c r="C33" s="38">
        <f>'Historical FS'!I30</f>
        <v>395.25</v>
      </c>
      <c r="D33" s="38">
        <f>'Historical FS'!J30</f>
        <v>2541.86</v>
      </c>
      <c r="E33" s="38">
        <f>'Historical FS'!K30</f>
        <v>4231.29</v>
      </c>
      <c r="F33" s="38">
        <f>'Historical FS'!L30</f>
        <v>704.06</v>
      </c>
      <c r="G33" s="41">
        <f>FORECAST(G3,$C$33:$F$33,$C$3:$F$3)</f>
        <v>2622.0799999999995</v>
      </c>
      <c r="H33" s="41">
        <f t="shared" ref="H33:K33" si="20">FORECAST(H3,$C$33:$F$33,$C$3:$F$3)</f>
        <v>2883.6659999999993</v>
      </c>
      <c r="I33" s="41">
        <f t="shared" si="20"/>
        <v>3145.2519999999995</v>
      </c>
      <c r="J33" s="41">
        <f t="shared" si="20"/>
        <v>3406.8379999999993</v>
      </c>
      <c r="K33" s="41">
        <f t="shared" si="20"/>
        <v>3668.4239999999991</v>
      </c>
    </row>
    <row r="34" spans="2:11" x14ac:dyDescent="0.25">
      <c r="B34" s="39" t="s">
        <v>22</v>
      </c>
      <c r="C34" s="40">
        <f>C33/C30</f>
        <v>-3.7002571690434624E-2</v>
      </c>
      <c r="D34" s="40">
        <f t="shared" ref="D34:K34" si="21">D33/D30</f>
        <v>3.9497474943672426</v>
      </c>
      <c r="E34" s="40">
        <f t="shared" si="21"/>
        <v>-0.44882608889350967</v>
      </c>
      <c r="F34" s="40">
        <f t="shared" si="21"/>
        <v>-0.2153062347861161</v>
      </c>
      <c r="G34" s="42">
        <f t="shared" si="21"/>
        <v>-0.9921129052091906</v>
      </c>
      <c r="H34" s="42">
        <f t="shared" si="21"/>
        <v>-2.0214534419512247</v>
      </c>
      <c r="I34" s="42">
        <f t="shared" si="21"/>
        <v>-14.967625882162412</v>
      </c>
      <c r="J34" s="42">
        <f t="shared" si="21"/>
        <v>3.3856539631523899</v>
      </c>
      <c r="K34" s="42">
        <f t="shared" si="21"/>
        <v>1.6504723413617448</v>
      </c>
    </row>
    <row r="35" spans="2:11" x14ac:dyDescent="0.25">
      <c r="B35" s="39"/>
      <c r="C35" s="40"/>
      <c r="D35" s="40"/>
      <c r="E35" s="40"/>
      <c r="F35" s="40"/>
      <c r="G35" s="42"/>
      <c r="H35" s="42"/>
      <c r="I35" s="42"/>
      <c r="J35" s="42"/>
      <c r="K35" s="42"/>
    </row>
    <row r="36" spans="2:11" ht="15.75" thickBot="1" x14ac:dyDescent="0.3">
      <c r="B36" s="179" t="s">
        <v>23</v>
      </c>
      <c r="C36" s="58">
        <f>C30-C33</f>
        <v>-11076.940000000037</v>
      </c>
      <c r="D36" s="58">
        <f t="shared" ref="D36:K36" si="22">D30-D33</f>
        <v>-1898.3100000000099</v>
      </c>
      <c r="E36" s="58">
        <f t="shared" si="22"/>
        <v>-13658.749999999985</v>
      </c>
      <c r="F36" s="58">
        <f t="shared" si="22"/>
        <v>-3974.1000000000408</v>
      </c>
      <c r="G36" s="59">
        <f t="shared" si="22"/>
        <v>-5265.0049999999992</v>
      </c>
      <c r="H36" s="59">
        <f t="shared" si="22"/>
        <v>-4310.1969999999383</v>
      </c>
      <c r="I36" s="59">
        <f t="shared" si="22"/>
        <v>-3355.3890000000019</v>
      </c>
      <c r="J36" s="59">
        <f t="shared" si="22"/>
        <v>-2400.5809999999506</v>
      </c>
      <c r="K36" s="59">
        <f t="shared" si="22"/>
        <v>-1445.7730000000138</v>
      </c>
    </row>
    <row r="37" spans="2:11" x14ac:dyDescent="0.25">
      <c r="B37" s="39" t="s">
        <v>24</v>
      </c>
      <c r="C37" s="40">
        <f>C36/C6</f>
        <v>-4.2429333632923401E-2</v>
      </c>
      <c r="D37" s="40">
        <f t="shared" ref="D37:K37" si="23">D36/D6</f>
        <v>-7.5994791724005809E-3</v>
      </c>
      <c r="E37" s="40">
        <f t="shared" si="23"/>
        <v>-4.9052154538339221E-2</v>
      </c>
      <c r="F37" s="40">
        <f t="shared" si="23"/>
        <v>-1.1486934720964955E-2</v>
      </c>
      <c r="G37" s="42">
        <f t="shared" si="23"/>
        <v>-1.4845226536038571E-2</v>
      </c>
      <c r="H37" s="42">
        <f t="shared" si="23"/>
        <v>-1.1253913761289003E-2</v>
      </c>
      <c r="I37" s="42">
        <f t="shared" si="23"/>
        <v>-8.1573945384112393E-3</v>
      </c>
      <c r="J37" s="42">
        <f t="shared" si="23"/>
        <v>-5.4600036487650215E-3</v>
      </c>
      <c r="K37" s="42">
        <f t="shared" si="23"/>
        <v>-3.0892444011736374E-3</v>
      </c>
    </row>
    <row r="38" spans="2:11" x14ac:dyDescent="0.25">
      <c r="G38" s="36"/>
      <c r="H38" s="36"/>
      <c r="I38" s="36"/>
      <c r="J38" s="36"/>
      <c r="K38" s="36"/>
    </row>
    <row r="39" spans="2:11" x14ac:dyDescent="0.25">
      <c r="B39" s="169" t="s">
        <v>25</v>
      </c>
      <c r="C39" s="45">
        <f>'Historical FS'!I36</f>
        <v>308.89999999999998</v>
      </c>
      <c r="D39" s="45">
        <f>'Historical FS'!J36</f>
        <v>332.03</v>
      </c>
      <c r="E39" s="45">
        <f>'Historical FS'!K36</f>
        <v>332.07</v>
      </c>
      <c r="F39" s="45">
        <f>'Historical FS'!L36</f>
        <v>332.13</v>
      </c>
      <c r="G39" s="47">
        <f>FORECAST(G3,$C$39:$F$39,$C$3:$F$3)</f>
        <v>343.71500000000003</v>
      </c>
      <c r="H39" s="47">
        <f t="shared" ref="H39:K39" si="24">FORECAST(H3,$C$39:$F$39,$C$3:$F$3)</f>
        <v>350.6880000000001</v>
      </c>
      <c r="I39" s="47">
        <f t="shared" si="24"/>
        <v>357.66100000000006</v>
      </c>
      <c r="J39" s="47">
        <f t="shared" si="24"/>
        <v>364.63400000000007</v>
      </c>
      <c r="K39" s="47">
        <f t="shared" si="24"/>
        <v>371.60700000000008</v>
      </c>
    </row>
    <row r="40" spans="2:11" x14ac:dyDescent="0.25">
      <c r="G40" s="36"/>
      <c r="H40" s="36"/>
      <c r="I40" s="36"/>
      <c r="J40" s="36"/>
      <c r="K40" s="36"/>
    </row>
    <row r="41" spans="2:11" x14ac:dyDescent="0.25">
      <c r="B41" s="169" t="s">
        <v>26</v>
      </c>
      <c r="C41" s="38">
        <f>C36/C39</f>
        <v>-35.859307219164897</v>
      </c>
      <c r="D41" s="38">
        <f t="shared" ref="D41:K41" si="25">D36/D39</f>
        <v>-5.7172845827184595</v>
      </c>
      <c r="E41" s="38">
        <f t="shared" si="25"/>
        <v>-41.132140813683819</v>
      </c>
      <c r="F41" s="38">
        <f t="shared" si="25"/>
        <v>-11.965495438533228</v>
      </c>
      <c r="G41" s="41">
        <f t="shared" si="25"/>
        <v>-15.317937826396866</v>
      </c>
      <c r="H41" s="41">
        <f t="shared" si="25"/>
        <v>-12.290688589287164</v>
      </c>
      <c r="I41" s="41">
        <f t="shared" si="25"/>
        <v>-9.3814785509183309</v>
      </c>
      <c r="J41" s="41">
        <f t="shared" si="25"/>
        <v>-6.5835358194791214</v>
      </c>
      <c r="K41" s="41">
        <f t="shared" si="25"/>
        <v>-3.8905967863899589</v>
      </c>
    </row>
    <row r="42" spans="2:11" x14ac:dyDescent="0.25">
      <c r="B42" s="39" t="s">
        <v>119</v>
      </c>
      <c r="C42" s="40">
        <f>'Historical FS'!I39</f>
        <v>3.6068467700681115</v>
      </c>
      <c r="D42" s="40">
        <f>D41/C41-1</f>
        <v>-0.84056344011958839</v>
      </c>
      <c r="E42" s="40">
        <f t="shared" ref="E42:K42" si="26">E41/D41-1</f>
        <v>6.1943490338076321</v>
      </c>
      <c r="F42" s="40">
        <f t="shared" si="26"/>
        <v>-0.70909621522659583</v>
      </c>
      <c r="G42" s="42">
        <f t="shared" si="26"/>
        <v>0.28017581094616095</v>
      </c>
      <c r="H42" s="42">
        <f t="shared" si="26"/>
        <v>-0.19762772714046073</v>
      </c>
      <c r="I42" s="42">
        <f t="shared" si="26"/>
        <v>-0.23670032945953612</v>
      </c>
      <c r="J42" s="42">
        <f t="shared" si="26"/>
        <v>-0.29824112651894574</v>
      </c>
      <c r="K42" s="42">
        <f t="shared" si="26"/>
        <v>-0.40904144929558894</v>
      </c>
    </row>
    <row r="43" spans="2:11" x14ac:dyDescent="0.25">
      <c r="G43" s="36"/>
      <c r="H43" s="36"/>
      <c r="I43" s="36"/>
      <c r="J43" s="36"/>
      <c r="K43" s="36"/>
    </row>
    <row r="44" spans="2:11" x14ac:dyDescent="0.25">
      <c r="B44" s="169" t="s">
        <v>28</v>
      </c>
      <c r="C44" s="38">
        <f>'Historical FS'!I41</f>
        <v>0</v>
      </c>
      <c r="D44" s="38">
        <f>'Historical FS'!J41</f>
        <v>0</v>
      </c>
      <c r="E44" s="38">
        <f>'Historical FS'!K41</f>
        <v>0</v>
      </c>
      <c r="F44" s="38">
        <f>'Historical FS'!L41</f>
        <v>2.3063860536536898</v>
      </c>
      <c r="G44" s="41">
        <f>FORECAST(G3,$C$44:$F$44,$C$3:$F$3)</f>
        <v>2.3063860536536898</v>
      </c>
      <c r="H44" s="41">
        <f t="shared" ref="H44:K44" si="27">FORECAST(H3,$C$44:$F$44,$C$3:$F$3)</f>
        <v>2.9983018697497967</v>
      </c>
      <c r="I44" s="41">
        <f t="shared" si="27"/>
        <v>3.6902176858459037</v>
      </c>
      <c r="J44" s="41">
        <f t="shared" si="27"/>
        <v>4.3821335019420111</v>
      </c>
      <c r="K44" s="41">
        <f t="shared" si="27"/>
        <v>5.0740493180381172</v>
      </c>
    </row>
    <row r="45" spans="2:11" x14ac:dyDescent="0.25">
      <c r="B45" s="39" t="s">
        <v>120</v>
      </c>
      <c r="C45" s="40">
        <f>'Historical FS'!I42</f>
        <v>0</v>
      </c>
      <c r="D45" s="40">
        <f>IFERROR(D44/C44-1,0)</f>
        <v>0</v>
      </c>
      <c r="E45" s="40">
        <f t="shared" ref="E45:K45" si="28">IFERROR(E44/D44-1,0)</f>
        <v>0</v>
      </c>
      <c r="F45" s="40">
        <f t="shared" si="28"/>
        <v>0</v>
      </c>
      <c r="G45" s="42">
        <f t="shared" si="28"/>
        <v>0</v>
      </c>
      <c r="H45" s="42">
        <f t="shared" si="28"/>
        <v>0.30000000000000004</v>
      </c>
      <c r="I45" s="42">
        <f t="shared" si="28"/>
        <v>0.23076923076923084</v>
      </c>
      <c r="J45" s="42">
        <f t="shared" si="28"/>
        <v>0.18750000000000022</v>
      </c>
      <c r="K45" s="42">
        <f t="shared" si="28"/>
        <v>0.15789473684210509</v>
      </c>
    </row>
    <row r="46" spans="2:11" x14ac:dyDescent="0.25">
      <c r="G46" s="36"/>
      <c r="H46" s="36"/>
      <c r="I46" s="36"/>
      <c r="J46" s="36"/>
      <c r="K46" s="36"/>
    </row>
    <row r="47" spans="2:11" x14ac:dyDescent="0.25">
      <c r="B47" s="169" t="s">
        <v>30</v>
      </c>
      <c r="C47">
        <f>IFERROR(IF(C41&gt;C44,1-C44,0),0)</f>
        <v>0</v>
      </c>
      <c r="D47">
        <f t="shared" ref="D47:K47" si="29">IFERROR(IF(D41&gt;D44,1-D44,0),0)</f>
        <v>0</v>
      </c>
      <c r="E47">
        <f t="shared" si="29"/>
        <v>0</v>
      </c>
      <c r="F47">
        <f t="shared" si="29"/>
        <v>0</v>
      </c>
      <c r="G47" s="36">
        <f t="shared" si="29"/>
        <v>0</v>
      </c>
      <c r="H47" s="36">
        <f t="shared" si="29"/>
        <v>0</v>
      </c>
      <c r="I47" s="36">
        <f t="shared" si="29"/>
        <v>0</v>
      </c>
      <c r="J47" s="36">
        <f t="shared" si="29"/>
        <v>0</v>
      </c>
      <c r="K47" s="36">
        <f t="shared" si="29"/>
        <v>0</v>
      </c>
    </row>
  </sheetData>
  <mergeCells count="1">
    <mergeCell ref="B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0499-59F6-4F93-9DE0-F0796AC313D7}">
  <dimension ref="A2:K23"/>
  <sheetViews>
    <sheetView showGridLines="0" workbookViewId="0">
      <pane ySplit="4" topLeftCell="A5" activePane="bottomLeft" state="frozen"/>
      <selection pane="bottomLeft" activeCell="L1" activeCellId="1" sqref="M1:M1048576 L1:L1048576"/>
    </sheetView>
  </sheetViews>
  <sheetFormatPr defaultRowHeight="15" x14ac:dyDescent="0.25"/>
  <cols>
    <col min="1" max="1" width="1.85546875" customWidth="1"/>
    <col min="2" max="2" width="24.42578125" bestFit="1" customWidth="1"/>
    <col min="3" max="11" width="11.28515625" bestFit="1" customWidth="1"/>
  </cols>
  <sheetData>
    <row r="2" spans="1:11" x14ac:dyDescent="0.25">
      <c r="B2" s="224" t="str">
        <f>'Data Sheet'!B1&amp; " - "&amp;'Data Sheet'!A55&amp; " FORECASTING"</f>
        <v>TATA MOTORS LTD - BALANCE SHEET FORECASTING</v>
      </c>
      <c r="C2" s="224"/>
      <c r="D2" s="224"/>
      <c r="E2" s="224"/>
      <c r="F2" s="224"/>
      <c r="G2" s="224"/>
      <c r="H2" s="224"/>
      <c r="I2" s="224"/>
      <c r="J2" s="224"/>
      <c r="K2" s="224"/>
    </row>
    <row r="3" spans="1:11" x14ac:dyDescent="0.25">
      <c r="B3" s="8" t="s">
        <v>113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1:11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1:11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1:11" x14ac:dyDescent="0.25">
      <c r="B6" s="171" t="s">
        <v>32</v>
      </c>
      <c r="C6" s="13">
        <f>'Historical FS'!I47</f>
        <v>719.54</v>
      </c>
      <c r="D6" s="13">
        <f>'Historical FS'!J47</f>
        <v>765.81</v>
      </c>
      <c r="E6" s="13">
        <f>'Historical FS'!K47</f>
        <v>765.88</v>
      </c>
      <c r="F6" s="13">
        <f>'Historical FS'!L47</f>
        <v>766.02</v>
      </c>
      <c r="G6" s="48">
        <f>FORECAST(G3,$C$6:$F$6,$C$3:$F$3)</f>
        <v>789.19</v>
      </c>
      <c r="H6" s="48">
        <f t="shared" ref="H6:K6" si="1">FORECAST(H3,$C$6:$F$6,$C$3:$F$3)</f>
        <v>803.14100000000008</v>
      </c>
      <c r="I6" s="48">
        <f t="shared" si="1"/>
        <v>817.09199999999998</v>
      </c>
      <c r="J6" s="48">
        <f t="shared" si="1"/>
        <v>831.04300000000001</v>
      </c>
      <c r="K6" s="48">
        <f t="shared" si="1"/>
        <v>844.99400000000003</v>
      </c>
    </row>
    <row r="7" spans="1:11" x14ac:dyDescent="0.25">
      <c r="B7" s="171" t="s">
        <v>33</v>
      </c>
      <c r="C7" s="13">
        <f>'Historical FS'!I48</f>
        <v>61491.49</v>
      </c>
      <c r="D7" s="13">
        <f>'Historical FS'!J48</f>
        <v>54480.91</v>
      </c>
      <c r="E7" s="13">
        <f>'Historical FS'!K48</f>
        <v>43795.360000000001</v>
      </c>
      <c r="F7" s="13">
        <f>'Historical FS'!L48</f>
        <v>44555.77</v>
      </c>
      <c r="G7" s="48">
        <f>FORECAST(G3,$C$7:$F$7,$C$3:$F$3)</f>
        <v>35707.704999999994</v>
      </c>
      <c r="H7" s="48">
        <f t="shared" ref="H7:K7" si="2">FORECAST(H3,$C$7:$F$7,$C$3:$F$3)</f>
        <v>29558.433999999994</v>
      </c>
      <c r="I7" s="48">
        <f t="shared" si="2"/>
        <v>23409.162999999993</v>
      </c>
      <c r="J7" s="48">
        <f t="shared" si="2"/>
        <v>17259.891999999993</v>
      </c>
      <c r="K7" s="48">
        <f t="shared" si="2"/>
        <v>11110.620999999992</v>
      </c>
    </row>
    <row r="8" spans="1:11" x14ac:dyDescent="0.25">
      <c r="B8" s="171" t="s">
        <v>34</v>
      </c>
      <c r="C8" s="13">
        <f>'Historical FS'!I49</f>
        <v>124787.64</v>
      </c>
      <c r="D8" s="13">
        <f>'Historical FS'!J49</f>
        <v>142130.57</v>
      </c>
      <c r="E8" s="13">
        <f>'Historical FS'!K49</f>
        <v>146449.03</v>
      </c>
      <c r="F8" s="13">
        <f>'Historical FS'!L49</f>
        <v>134113.44</v>
      </c>
      <c r="G8" s="48">
        <f>FORECAST(G3,$C$8:$F$8,$C$3:$F$3)</f>
        <v>144944.13499999998</v>
      </c>
      <c r="H8" s="48">
        <f t="shared" ref="H8:K8" si="3">FORECAST(H3,$C$8:$F$8,$C$3:$F$3)</f>
        <v>148173.72099999999</v>
      </c>
      <c r="I8" s="48">
        <f t="shared" si="3"/>
        <v>151403.307</v>
      </c>
      <c r="J8" s="48">
        <f t="shared" si="3"/>
        <v>154632.89299999998</v>
      </c>
      <c r="K8" s="48">
        <f t="shared" si="3"/>
        <v>157862.47899999999</v>
      </c>
    </row>
    <row r="9" spans="1:11" x14ac:dyDescent="0.25">
      <c r="B9" s="171" t="s">
        <v>35</v>
      </c>
      <c r="C9" s="13">
        <f>'Historical FS'!I50</f>
        <v>133180.72</v>
      </c>
      <c r="D9" s="13">
        <f>'Historical FS'!J50</f>
        <v>144192.62</v>
      </c>
      <c r="E9" s="13">
        <f>'Historical FS'!K50</f>
        <v>138051.22</v>
      </c>
      <c r="F9" s="13">
        <f>'Historical FS'!L50</f>
        <v>155239.20000000001</v>
      </c>
      <c r="G9" s="48">
        <f>FORECAST(G3,$C$9:$F$9,$C$3:$F$3)</f>
        <v>157674.45000000001</v>
      </c>
      <c r="H9" s="48">
        <f t="shared" ref="H9:K9" si="4">FORECAST(H3,$C$9:$F$9,$C$3:$F$3)</f>
        <v>163677.85400000002</v>
      </c>
      <c r="I9" s="48">
        <f t="shared" si="4"/>
        <v>169681.25800000003</v>
      </c>
      <c r="J9" s="48">
        <f t="shared" si="4"/>
        <v>175684.66200000001</v>
      </c>
      <c r="K9" s="48">
        <f t="shared" si="4"/>
        <v>181688.06600000002</v>
      </c>
    </row>
    <row r="10" spans="1:11" ht="15.75" thickBot="1" x14ac:dyDescent="0.3">
      <c r="A10" t="s">
        <v>2</v>
      </c>
      <c r="B10" s="182" t="s">
        <v>36</v>
      </c>
      <c r="C10" s="60">
        <f>SUM(C6:C9)</f>
        <v>320179.39</v>
      </c>
      <c r="D10" s="60">
        <f t="shared" ref="D10:K10" si="5">SUM(D6:D9)</f>
        <v>341569.91000000003</v>
      </c>
      <c r="E10" s="60">
        <f t="shared" si="5"/>
        <v>329061.49</v>
      </c>
      <c r="F10" s="60">
        <f t="shared" si="5"/>
        <v>334674.43</v>
      </c>
      <c r="G10" s="61">
        <f t="shared" si="5"/>
        <v>339115.48</v>
      </c>
      <c r="H10" s="61">
        <f t="shared" si="5"/>
        <v>342213.15</v>
      </c>
      <c r="I10" s="61">
        <f t="shared" si="5"/>
        <v>345310.82000000007</v>
      </c>
      <c r="J10" s="61">
        <f t="shared" si="5"/>
        <v>348408.49</v>
      </c>
      <c r="K10" s="61">
        <f t="shared" si="5"/>
        <v>351506.16000000003</v>
      </c>
    </row>
    <row r="11" spans="1:11" x14ac:dyDescent="0.25">
      <c r="B11" s="1"/>
      <c r="G11" s="49"/>
      <c r="H11" s="49"/>
      <c r="I11" s="49"/>
      <c r="J11" s="49"/>
      <c r="K11" s="49"/>
    </row>
    <row r="12" spans="1:11" x14ac:dyDescent="0.25">
      <c r="B12" s="171" t="s">
        <v>37</v>
      </c>
      <c r="C12" s="13">
        <f>'Historical FS'!I53</f>
        <v>127107.14</v>
      </c>
      <c r="D12" s="13">
        <f>'Historical FS'!J53</f>
        <v>138707.60999999999</v>
      </c>
      <c r="E12" s="13">
        <f>'Historical FS'!K53</f>
        <v>138855.45000000001</v>
      </c>
      <c r="F12" s="13">
        <f>'Historical FS'!L53</f>
        <v>132079.76</v>
      </c>
      <c r="G12" s="48">
        <f>FORECAST(G3,$C$12:$F$12,$C$3:$F$3)</f>
        <v>137953.91500000001</v>
      </c>
      <c r="H12" s="48">
        <f t="shared" ref="H12:K12" si="6">FORECAST(H3,$C$12:$F$12,$C$3:$F$3)</f>
        <v>139460.48500000002</v>
      </c>
      <c r="I12" s="48">
        <f t="shared" si="6"/>
        <v>140967.05500000002</v>
      </c>
      <c r="J12" s="48">
        <f t="shared" si="6"/>
        <v>142473.62500000003</v>
      </c>
      <c r="K12" s="48">
        <f t="shared" si="6"/>
        <v>143980.19500000004</v>
      </c>
    </row>
    <row r="13" spans="1:11" x14ac:dyDescent="0.25">
      <c r="B13" s="171" t="s">
        <v>38</v>
      </c>
      <c r="C13" s="13">
        <f>'Historical FS'!I54</f>
        <v>35622.29</v>
      </c>
      <c r="D13" s="13">
        <f>'Historical FS'!J54</f>
        <v>20963.93</v>
      </c>
      <c r="E13" s="13">
        <f>'Historical FS'!K54</f>
        <v>10251.09</v>
      </c>
      <c r="F13" s="13">
        <f>'Historical FS'!L54</f>
        <v>14274.5</v>
      </c>
      <c r="G13" s="48">
        <f>FORECAST(G3,$C$13:$F$13,$C$3:$F$3)</f>
        <v>1588.9000000000015</v>
      </c>
      <c r="H13" s="48">
        <f t="shared" ref="H13:K13" si="7">FORECAST(H3,$C$13:$F$13,$C$3:$F$3)</f>
        <v>-5886.721000000005</v>
      </c>
      <c r="I13" s="48">
        <f t="shared" si="7"/>
        <v>-13362.342000000004</v>
      </c>
      <c r="J13" s="48">
        <f t="shared" si="7"/>
        <v>-20837.963000000003</v>
      </c>
      <c r="K13" s="48">
        <f t="shared" si="7"/>
        <v>-28313.584000000003</v>
      </c>
    </row>
    <row r="14" spans="1:11" x14ac:dyDescent="0.25">
      <c r="B14" s="171" t="s">
        <v>39</v>
      </c>
      <c r="C14" s="13">
        <f>'Historical FS'!I55</f>
        <v>16308.48</v>
      </c>
      <c r="D14" s="13">
        <f>'Historical FS'!J55</f>
        <v>24620.28</v>
      </c>
      <c r="E14" s="13">
        <f>'Historical FS'!K55</f>
        <v>29379.53</v>
      </c>
      <c r="F14" s="13">
        <f>'Historical FS'!L55</f>
        <v>26379.16</v>
      </c>
      <c r="G14" s="48">
        <f>FORECAST(G3,$C$14:$F$14,$C$3:$F$3)</f>
        <v>32914.684999999998</v>
      </c>
      <c r="H14" s="48">
        <f t="shared" ref="H14:K14" si="8">FORECAST(H3,$C$14:$F$14,$C$3:$F$3)</f>
        <v>36411.813999999998</v>
      </c>
      <c r="I14" s="48">
        <f t="shared" si="8"/>
        <v>39908.942999999999</v>
      </c>
      <c r="J14" s="48">
        <f t="shared" si="8"/>
        <v>43406.072</v>
      </c>
      <c r="K14" s="48">
        <f t="shared" si="8"/>
        <v>46903.201000000001</v>
      </c>
    </row>
    <row r="15" spans="1:11" x14ac:dyDescent="0.25">
      <c r="B15" s="171" t="s">
        <v>40</v>
      </c>
      <c r="C15" s="13">
        <f>'Historical FS'!I56</f>
        <v>58784.94</v>
      </c>
      <c r="D15" s="13">
        <f>'Historical FS'!J56</f>
        <v>61717.959999999992</v>
      </c>
      <c r="E15" s="13">
        <f>'Historical FS'!K56</f>
        <v>62223.770000000019</v>
      </c>
      <c r="F15" s="13">
        <f>'Historical FS'!L56</f>
        <v>68432.090000000011</v>
      </c>
      <c r="G15" s="48">
        <f>FORECAST(G3,$C$15:$F$15,$C$3:$F$3)</f>
        <v>70151.505000000005</v>
      </c>
      <c r="H15" s="48">
        <f t="shared" ref="H15:K15" si="9">FORECAST(H3,$C$15:$F$15,$C$3:$F$3)</f>
        <v>73096.231000000014</v>
      </c>
      <c r="I15" s="48">
        <f t="shared" si="9"/>
        <v>76040.957000000024</v>
      </c>
      <c r="J15" s="48">
        <f t="shared" si="9"/>
        <v>78985.683000000019</v>
      </c>
      <c r="K15" s="48">
        <f t="shared" si="9"/>
        <v>81930.409000000029</v>
      </c>
    </row>
    <row r="16" spans="1:11" x14ac:dyDescent="0.25">
      <c r="A16" t="s">
        <v>2</v>
      </c>
      <c r="B16" s="181" t="s">
        <v>41</v>
      </c>
      <c r="C16" s="62">
        <f>SUM(C12:C15)</f>
        <v>237822.85</v>
      </c>
      <c r="D16" s="62">
        <f t="shared" ref="D16:K16" si="10">SUM(D12:D15)</f>
        <v>246009.77999999997</v>
      </c>
      <c r="E16" s="62">
        <f t="shared" si="10"/>
        <v>240709.84000000003</v>
      </c>
      <c r="F16" s="62">
        <f t="shared" si="10"/>
        <v>241165.51</v>
      </c>
      <c r="G16" s="63">
        <f t="shared" si="10"/>
        <v>242609.005</v>
      </c>
      <c r="H16" s="63">
        <f t="shared" si="10"/>
        <v>243081.80900000007</v>
      </c>
      <c r="I16" s="63">
        <f t="shared" si="10"/>
        <v>243554.61300000004</v>
      </c>
      <c r="J16" s="63">
        <f t="shared" si="10"/>
        <v>244027.41700000004</v>
      </c>
      <c r="K16" s="63">
        <f t="shared" si="10"/>
        <v>244500.22100000008</v>
      </c>
    </row>
    <row r="17" spans="1:11" x14ac:dyDescent="0.25">
      <c r="B17" s="1"/>
      <c r="G17" s="49"/>
      <c r="H17" s="49"/>
      <c r="I17" s="49"/>
      <c r="J17" s="49"/>
      <c r="K17" s="49"/>
    </row>
    <row r="18" spans="1:11" x14ac:dyDescent="0.25">
      <c r="B18" s="171" t="s">
        <v>42</v>
      </c>
      <c r="C18" s="13">
        <f>'Historical FS'!I59</f>
        <v>11172.69</v>
      </c>
      <c r="D18" s="13">
        <f>'Historical FS'!J59</f>
        <v>12679.08</v>
      </c>
      <c r="E18" s="13">
        <f>'Historical FS'!K59</f>
        <v>12442.12</v>
      </c>
      <c r="F18" s="13">
        <f>'Historical FS'!L59</f>
        <v>15737.97</v>
      </c>
      <c r="G18" s="48">
        <f>FORECAST(G3,$C$18:$F$18,$C$3:$F$3)</f>
        <v>16372.684999999999</v>
      </c>
      <c r="H18" s="48">
        <f t="shared" ref="H18:K18" si="11">FORECAST(H3,$C$18:$F$18,$C$3:$F$3)</f>
        <v>17718.572999999997</v>
      </c>
      <c r="I18" s="48">
        <f t="shared" si="11"/>
        <v>19064.460999999999</v>
      </c>
      <c r="J18" s="48">
        <f t="shared" si="11"/>
        <v>20410.348999999998</v>
      </c>
      <c r="K18" s="48">
        <f t="shared" si="11"/>
        <v>21756.236999999997</v>
      </c>
    </row>
    <row r="19" spans="1:11" x14ac:dyDescent="0.25">
      <c r="B19" s="171" t="s">
        <v>43</v>
      </c>
      <c r="C19" s="13">
        <f>'Historical FS'!I60</f>
        <v>37456.879999999997</v>
      </c>
      <c r="D19" s="13">
        <f>'Historical FS'!J60</f>
        <v>36088.589999999997</v>
      </c>
      <c r="E19" s="13">
        <f>'Historical FS'!K60</f>
        <v>35240.339999999997</v>
      </c>
      <c r="F19" s="13">
        <f>'Historical FS'!L60</f>
        <v>40755.39</v>
      </c>
      <c r="G19" s="48">
        <f>FORECAST(G3,$C$19:$F$19,$C$3:$F$3)</f>
        <v>39647.12000000001</v>
      </c>
      <c r="H19" s="48">
        <f t="shared" ref="H19:K19" si="12">FORECAST(H3,$C$19:$F$19,$C$3:$F$3)</f>
        <v>40551.848000000005</v>
      </c>
      <c r="I19" s="48">
        <f t="shared" si="12"/>
        <v>41456.576000000008</v>
      </c>
      <c r="J19" s="48">
        <f t="shared" si="12"/>
        <v>42361.304000000011</v>
      </c>
      <c r="K19" s="48">
        <f t="shared" si="12"/>
        <v>43266.032000000007</v>
      </c>
    </row>
    <row r="20" spans="1:11" x14ac:dyDescent="0.25">
      <c r="B20" s="171" t="s">
        <v>44</v>
      </c>
      <c r="C20" s="13">
        <f>'Historical FS'!I61</f>
        <v>33726.97</v>
      </c>
      <c r="D20" s="13">
        <f>'Historical FS'!J61</f>
        <v>46792.46</v>
      </c>
      <c r="E20" s="13">
        <f>'Historical FS'!K61</f>
        <v>40669.19</v>
      </c>
      <c r="F20" s="13">
        <f>'Historical FS'!L61</f>
        <v>37015.56</v>
      </c>
      <c r="G20" s="48">
        <f>FORECAST(G3,$C$20:$F$20,$C$3:$F$3)</f>
        <v>40486.67</v>
      </c>
      <c r="H20" s="48">
        <f t="shared" ref="H20:K20" si="13">FORECAST(H3,$C$20:$F$20,$C$3:$F$3)</f>
        <v>40860.919999999991</v>
      </c>
      <c r="I20" s="48">
        <f t="shared" si="13"/>
        <v>41235.169999999991</v>
      </c>
      <c r="J20" s="48">
        <f t="shared" si="13"/>
        <v>41609.419999999991</v>
      </c>
      <c r="K20" s="48">
        <f t="shared" si="13"/>
        <v>41983.669999999991</v>
      </c>
    </row>
    <row r="21" spans="1:11" x14ac:dyDescent="0.25">
      <c r="A21" t="s">
        <v>2</v>
      </c>
      <c r="B21" s="181" t="s">
        <v>45</v>
      </c>
      <c r="C21" s="62">
        <f>SUM(C18:C20)</f>
        <v>82356.540000000008</v>
      </c>
      <c r="D21" s="62">
        <f t="shared" ref="D21:K21" si="14">SUM(D18:D20)</f>
        <v>95560.13</v>
      </c>
      <c r="E21" s="62">
        <f t="shared" si="14"/>
        <v>88351.65</v>
      </c>
      <c r="F21" s="62">
        <f t="shared" si="14"/>
        <v>93508.92</v>
      </c>
      <c r="G21" s="63">
        <f t="shared" si="14"/>
        <v>96506.475000000006</v>
      </c>
      <c r="H21" s="63">
        <f t="shared" si="14"/>
        <v>99131.340999999986</v>
      </c>
      <c r="I21" s="63">
        <f t="shared" si="14"/>
        <v>101756.20699999999</v>
      </c>
      <c r="J21" s="63">
        <f t="shared" si="14"/>
        <v>104381.073</v>
      </c>
      <c r="K21" s="63">
        <f t="shared" si="14"/>
        <v>107005.93899999998</v>
      </c>
    </row>
    <row r="22" spans="1:11" x14ac:dyDescent="0.25">
      <c r="G22" s="49"/>
      <c r="H22" s="49"/>
      <c r="I22" s="49"/>
      <c r="J22" s="49"/>
      <c r="K22" s="49"/>
    </row>
    <row r="23" spans="1:11" ht="15.75" thickBot="1" x14ac:dyDescent="0.3">
      <c r="A23" t="s">
        <v>2</v>
      </c>
      <c r="B23" s="180" t="s">
        <v>46</v>
      </c>
      <c r="C23" s="60">
        <f>C21+C16</f>
        <v>320179.39</v>
      </c>
      <c r="D23" s="60">
        <f t="shared" ref="D23:K23" si="15">D21+D16</f>
        <v>341569.91</v>
      </c>
      <c r="E23" s="60">
        <f t="shared" si="15"/>
        <v>329061.49</v>
      </c>
      <c r="F23" s="60">
        <f t="shared" si="15"/>
        <v>334674.43</v>
      </c>
      <c r="G23" s="61">
        <f t="shared" si="15"/>
        <v>339115.48</v>
      </c>
      <c r="H23" s="61">
        <f t="shared" si="15"/>
        <v>342213.15</v>
      </c>
      <c r="I23" s="61">
        <f t="shared" si="15"/>
        <v>345310.82000000007</v>
      </c>
      <c r="J23" s="61">
        <f t="shared" si="15"/>
        <v>348408.49000000005</v>
      </c>
      <c r="K23" s="61">
        <f t="shared" si="15"/>
        <v>351506.16000000003</v>
      </c>
    </row>
  </sheetData>
  <mergeCells count="1">
    <mergeCell ref="B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1035-75F8-403D-9870-62A6224161F9}">
  <dimension ref="A2:K42"/>
  <sheetViews>
    <sheetView showGridLines="0" workbookViewId="0">
      <pane ySplit="4" topLeftCell="A5" activePane="bottomLeft" state="frozen"/>
      <selection pane="bottomLeft" activeCell="M1" activeCellId="1" sqref="L1:L1048576 M1:M1048576"/>
    </sheetView>
  </sheetViews>
  <sheetFormatPr defaultRowHeight="15" x14ac:dyDescent="0.25"/>
  <cols>
    <col min="1" max="1" width="1.85546875" customWidth="1"/>
    <col min="2" max="2" width="28.7109375" bestFit="1" customWidth="1"/>
    <col min="3" max="9" width="11.140625" bestFit="1" customWidth="1"/>
    <col min="10" max="11" width="12.7109375" bestFit="1" customWidth="1"/>
  </cols>
  <sheetData>
    <row r="2" spans="1:11" x14ac:dyDescent="0.25">
      <c r="B2" s="224" t="str">
        <f>'Data Sheet'!B1&amp; " - "&amp;'Data Sheet'!A80&amp; " FORECASTING"</f>
        <v>TATA MOTORS LTD - CASH FLOW: FORECASTING</v>
      </c>
      <c r="C2" s="224"/>
      <c r="D2" s="224"/>
      <c r="E2" s="224"/>
      <c r="F2" s="224"/>
      <c r="G2" s="224"/>
      <c r="H2" s="224"/>
      <c r="I2" s="224"/>
      <c r="J2" s="224"/>
      <c r="K2" s="224"/>
    </row>
    <row r="3" spans="1:11" x14ac:dyDescent="0.25">
      <c r="B3" s="8" t="s">
        <v>113</v>
      </c>
      <c r="C3" s="8">
        <v>1</v>
      </c>
      <c r="D3" s="8">
        <v>2</v>
      </c>
      <c r="E3" s="8">
        <v>3</v>
      </c>
      <c r="F3" s="8">
        <v>4</v>
      </c>
      <c r="G3" s="43">
        <v>5</v>
      </c>
      <c r="H3" s="43">
        <v>6</v>
      </c>
      <c r="I3" s="43">
        <v>7</v>
      </c>
      <c r="J3" s="43">
        <v>8</v>
      </c>
      <c r="K3" s="43">
        <v>9</v>
      </c>
    </row>
    <row r="4" spans="1:11" x14ac:dyDescent="0.25">
      <c r="B4" s="8" t="s">
        <v>0</v>
      </c>
      <c r="C4" s="37">
        <f>'Historical FS'!I3</f>
        <v>43921</v>
      </c>
      <c r="D4" s="37">
        <f>'Historical FS'!J3</f>
        <v>44286</v>
      </c>
      <c r="E4" s="37">
        <f>'Historical FS'!K3</f>
        <v>44651</v>
      </c>
      <c r="F4" s="37">
        <f>'Historical FS'!L3</f>
        <v>45016</v>
      </c>
      <c r="G4" s="44">
        <f>F4+365</f>
        <v>45381</v>
      </c>
      <c r="H4" s="44">
        <f t="shared" ref="H4:K4" si="0">G4+365</f>
        <v>45746</v>
      </c>
      <c r="I4" s="44">
        <f t="shared" si="0"/>
        <v>46111</v>
      </c>
      <c r="J4" s="44">
        <f t="shared" si="0"/>
        <v>46476</v>
      </c>
      <c r="K4" s="44">
        <f t="shared" si="0"/>
        <v>46841</v>
      </c>
    </row>
    <row r="5" spans="1:11" x14ac:dyDescent="0.25">
      <c r="B5" s="50"/>
      <c r="C5" s="51"/>
      <c r="D5" s="51"/>
      <c r="E5" s="51"/>
      <c r="F5" s="51"/>
      <c r="G5" s="52"/>
      <c r="H5" s="52"/>
      <c r="I5" s="52"/>
      <c r="J5" s="52"/>
      <c r="K5" s="52"/>
    </row>
    <row r="6" spans="1:11" x14ac:dyDescent="0.25">
      <c r="A6" t="s">
        <v>2</v>
      </c>
      <c r="B6" s="174" t="s">
        <v>49</v>
      </c>
    </row>
    <row r="7" spans="1:11" x14ac:dyDescent="0.25">
      <c r="B7" s="169" t="s">
        <v>50</v>
      </c>
      <c r="C7" s="13">
        <f>'Historical FS'!I70</f>
        <v>23352</v>
      </c>
      <c r="D7" s="13">
        <f>'Historical FS'!J70</f>
        <v>31198</v>
      </c>
      <c r="E7" s="13">
        <f>'Historical FS'!K70</f>
        <v>26943</v>
      </c>
      <c r="F7" s="13">
        <f>'Historical FS'!L70</f>
        <v>41694</v>
      </c>
      <c r="G7" s="48">
        <f>FORECAST(G3,$C$7:$F$7,$C$3:$F$3)</f>
        <v>43489.5</v>
      </c>
      <c r="H7" s="48">
        <f t="shared" ref="H7:K7" si="1">FORECAST(H3,$C$7:$F$7,$C$3:$F$3)</f>
        <v>48566.600000000006</v>
      </c>
      <c r="I7" s="48">
        <f t="shared" si="1"/>
        <v>53643.700000000004</v>
      </c>
      <c r="J7" s="48">
        <f t="shared" si="1"/>
        <v>58720.800000000003</v>
      </c>
      <c r="K7" s="48">
        <f t="shared" si="1"/>
        <v>63797.9</v>
      </c>
    </row>
    <row r="8" spans="1:11" x14ac:dyDescent="0.25">
      <c r="B8" s="169" t="s">
        <v>42</v>
      </c>
      <c r="C8" s="13">
        <f>'Historical FS'!I71</f>
        <v>9950</v>
      </c>
      <c r="D8" s="13">
        <f>'Historical FS'!J71</f>
        <v>-5505</v>
      </c>
      <c r="E8" s="13">
        <f>'Historical FS'!K71</f>
        <v>185</v>
      </c>
      <c r="F8" s="13">
        <f>'Historical FS'!L71</f>
        <v>-2213</v>
      </c>
      <c r="G8" s="48">
        <f>FORECAST(G3,$C$8:$F$8,$C$3:$F$3)</f>
        <v>-7095.5</v>
      </c>
      <c r="H8" s="48">
        <f t="shared" ref="H8:K8" si="2">FORECAST(H3,$C$8:$F$8,$C$3:$F$3)</f>
        <v>-10175.400000000001</v>
      </c>
      <c r="I8" s="48">
        <f t="shared" si="2"/>
        <v>-13255.3</v>
      </c>
      <c r="J8" s="48">
        <f t="shared" si="2"/>
        <v>-16335.2</v>
      </c>
      <c r="K8" s="48">
        <f t="shared" si="2"/>
        <v>-19415.100000000002</v>
      </c>
    </row>
    <row r="9" spans="1:11" x14ac:dyDescent="0.25">
      <c r="B9" s="169" t="s">
        <v>43</v>
      </c>
      <c r="C9" s="13">
        <f>'Historical FS'!I72</f>
        <v>2326</v>
      </c>
      <c r="D9" s="13">
        <f>'Historical FS'!J72</f>
        <v>3814</v>
      </c>
      <c r="E9" s="13">
        <f>'Historical FS'!K72</f>
        <v>472</v>
      </c>
      <c r="F9" s="13">
        <f>'Historical FS'!L72</f>
        <v>-5665</v>
      </c>
      <c r="G9" s="48">
        <f>FORECAST(G3,$C$9:$F$9,$C$3:$F$3)</f>
        <v>-6592</v>
      </c>
      <c r="H9" s="48">
        <f t="shared" ref="H9:K9" si="3">FORECAST(H3,$C$9:$F$9,$C$3:$F$3)</f>
        <v>-9323.5</v>
      </c>
      <c r="I9" s="48">
        <f t="shared" si="3"/>
        <v>-12055</v>
      </c>
      <c r="J9" s="48">
        <f t="shared" si="3"/>
        <v>-14786.5</v>
      </c>
      <c r="K9" s="48">
        <f t="shared" si="3"/>
        <v>-17518</v>
      </c>
    </row>
    <row r="10" spans="1:11" x14ac:dyDescent="0.25">
      <c r="B10" s="169" t="s">
        <v>51</v>
      </c>
      <c r="C10" s="13">
        <f>'Historical FS'!I73</f>
        <v>-8085</v>
      </c>
      <c r="D10" s="13">
        <f>'Historical FS'!J73</f>
        <v>5748</v>
      </c>
      <c r="E10" s="13">
        <f>'Historical FS'!K73</f>
        <v>-7012</v>
      </c>
      <c r="F10" s="13">
        <f>'Historical FS'!L73</f>
        <v>6945</v>
      </c>
      <c r="G10" s="48">
        <f>FORECAST(G3,$C$10:$F$10,$C$3:$F$3)</f>
        <v>7481.5</v>
      </c>
      <c r="H10" s="48">
        <f t="shared" ref="H10:K10" si="4">FORECAST(H3,$C$10:$F$10,$C$3:$F$3)</f>
        <v>10714.5</v>
      </c>
      <c r="I10" s="48">
        <f t="shared" si="4"/>
        <v>13947.5</v>
      </c>
      <c r="J10" s="48">
        <f t="shared" si="4"/>
        <v>17180.5</v>
      </c>
      <c r="K10" s="48">
        <f t="shared" si="4"/>
        <v>20413.5</v>
      </c>
    </row>
    <row r="11" spans="1:11" x14ac:dyDescent="0.25">
      <c r="B11" s="169" t="s">
        <v>52</v>
      </c>
      <c r="C11" s="13">
        <f>'Historical FS'!I74</f>
        <v>0</v>
      </c>
      <c r="D11" s="13">
        <f>'Historical FS'!J74</f>
        <v>0</v>
      </c>
      <c r="E11" s="13">
        <f>'Historical FS'!K74</f>
        <v>0</v>
      </c>
      <c r="F11" s="13">
        <f>'Historical FS'!L74</f>
        <v>0</v>
      </c>
      <c r="G11" s="48">
        <f>FORECAST(G3,$C$11:$F$11,$C$3:$F$3)</f>
        <v>0</v>
      </c>
      <c r="H11" s="48">
        <f t="shared" ref="H11:K11" si="5">FORECAST(H3,$C$11:$F$11,$C$3:$F$3)</f>
        <v>0</v>
      </c>
      <c r="I11" s="48">
        <f t="shared" si="5"/>
        <v>0</v>
      </c>
      <c r="J11" s="48">
        <f t="shared" si="5"/>
        <v>0</v>
      </c>
      <c r="K11" s="48">
        <f t="shared" si="5"/>
        <v>0</v>
      </c>
    </row>
    <row r="12" spans="1:11" x14ac:dyDescent="0.25">
      <c r="B12" s="169" t="s">
        <v>53</v>
      </c>
      <c r="C12" s="13">
        <f>'Historical FS'!I75</f>
        <v>875</v>
      </c>
      <c r="D12" s="13">
        <f>'Historical FS'!J75</f>
        <v>-4150</v>
      </c>
      <c r="E12" s="13">
        <f>'Historical FS'!K75</f>
        <v>-4396</v>
      </c>
      <c r="F12" s="13">
        <f>'Historical FS'!L75</f>
        <v>-2194</v>
      </c>
      <c r="G12" s="48">
        <f>FORECAST(G3,$C$12:$F$12,$C$3:$F$3)</f>
        <v>-4829.5</v>
      </c>
      <c r="H12" s="48">
        <f t="shared" ref="H12:K12" si="6">FORECAST(H3,$C$12:$F$12,$C$3:$F$3)</f>
        <v>-5774.7999999999993</v>
      </c>
      <c r="I12" s="48">
        <f t="shared" si="6"/>
        <v>-6720.0999999999995</v>
      </c>
      <c r="J12" s="48">
        <f t="shared" si="6"/>
        <v>-7665.4</v>
      </c>
      <c r="K12" s="48">
        <f t="shared" si="6"/>
        <v>-8610.6999999999989</v>
      </c>
    </row>
    <row r="13" spans="1:11" x14ac:dyDescent="0.25">
      <c r="B13" s="169" t="s">
        <v>54</v>
      </c>
      <c r="C13" s="13">
        <f>'Historical FS'!I76</f>
        <v>-1785</v>
      </c>
      <c r="D13" s="13">
        <f>'Historical FS'!J76</f>
        <v>-2105</v>
      </c>
      <c r="E13" s="13">
        <f>'Historical FS'!K76</f>
        <v>-1910</v>
      </c>
      <c r="F13" s="13">
        <f>'Historical FS'!L76</f>
        <v>-3179</v>
      </c>
      <c r="G13" s="48">
        <f t="shared" ref="G13:K13" si="7">FORECAST(G3,$C$13:$F$13,$C$3:$F$3)</f>
        <v>-3241.5</v>
      </c>
      <c r="H13" s="48">
        <f t="shared" si="7"/>
        <v>-3640.2</v>
      </c>
      <c r="I13" s="48">
        <f t="shared" si="7"/>
        <v>-4038.9</v>
      </c>
      <c r="J13" s="48">
        <f t="shared" si="7"/>
        <v>-4437.6000000000004</v>
      </c>
      <c r="K13" s="48">
        <f t="shared" si="7"/>
        <v>-4836.2999999999993</v>
      </c>
    </row>
    <row r="14" spans="1:11" x14ac:dyDescent="0.25">
      <c r="B14" s="181" t="s">
        <v>55</v>
      </c>
      <c r="C14" s="62">
        <f t="shared" ref="C14:K14" si="8">SUM(C7:C13)</f>
        <v>26633</v>
      </c>
      <c r="D14" s="62">
        <f t="shared" si="8"/>
        <v>29000</v>
      </c>
      <c r="E14" s="62">
        <f t="shared" si="8"/>
        <v>14282</v>
      </c>
      <c r="F14" s="62">
        <f t="shared" si="8"/>
        <v>35388</v>
      </c>
      <c r="G14" s="63">
        <f t="shared" si="8"/>
        <v>29212.5</v>
      </c>
      <c r="H14" s="63">
        <f t="shared" si="8"/>
        <v>30367.200000000008</v>
      </c>
      <c r="I14" s="63">
        <f t="shared" si="8"/>
        <v>31521.900000000009</v>
      </c>
      <c r="J14" s="63">
        <f t="shared" si="8"/>
        <v>32676.600000000006</v>
      </c>
      <c r="K14" s="63">
        <f t="shared" si="8"/>
        <v>33831.300000000003</v>
      </c>
    </row>
    <row r="15" spans="1:11" x14ac:dyDescent="0.25">
      <c r="G15" s="49"/>
      <c r="H15" s="49"/>
      <c r="I15" s="49"/>
      <c r="J15" s="49"/>
      <c r="K15" s="49"/>
    </row>
    <row r="16" spans="1:11" x14ac:dyDescent="0.25">
      <c r="A16" t="s">
        <v>2</v>
      </c>
      <c r="B16" s="174" t="s">
        <v>56</v>
      </c>
      <c r="G16" s="49"/>
      <c r="H16" s="49"/>
      <c r="I16" s="49"/>
      <c r="J16" s="49"/>
      <c r="K16" s="49"/>
    </row>
    <row r="17" spans="1:11" x14ac:dyDescent="0.25">
      <c r="B17" s="169" t="s">
        <v>57</v>
      </c>
      <c r="C17" s="13">
        <f>'Historical FS'!I80</f>
        <v>-29702</v>
      </c>
      <c r="D17" s="13">
        <f>'Historical FS'!J80</f>
        <v>-20205</v>
      </c>
      <c r="E17" s="13">
        <f>'Historical FS'!K80</f>
        <v>-15168</v>
      </c>
      <c r="F17" s="13">
        <f>'Historical FS'!L80</f>
        <v>-19230</v>
      </c>
      <c r="G17" s="48">
        <f t="shared" ref="G17:K17" si="9">FORECAST(G3,$C$17:$F$17,$C$3:$F$3)</f>
        <v>-11963</v>
      </c>
      <c r="H17" s="48">
        <f t="shared" si="9"/>
        <v>-8317.6999999999971</v>
      </c>
      <c r="I17" s="48">
        <f t="shared" si="9"/>
        <v>-4672.3999999999978</v>
      </c>
      <c r="J17" s="48">
        <f t="shared" si="9"/>
        <v>-1027.0999999999985</v>
      </c>
      <c r="K17" s="48">
        <f t="shared" si="9"/>
        <v>2618.2000000000044</v>
      </c>
    </row>
    <row r="18" spans="1:11" x14ac:dyDescent="0.25">
      <c r="B18" s="169" t="s">
        <v>58</v>
      </c>
      <c r="C18" s="13">
        <f>'Historical FS'!I81</f>
        <v>171</v>
      </c>
      <c r="D18" s="13">
        <f>'Historical FS'!J81</f>
        <v>351</v>
      </c>
      <c r="E18" s="13">
        <f>'Historical FS'!K81</f>
        <v>230</v>
      </c>
      <c r="F18" s="13">
        <f>'Historical FS'!L81</f>
        <v>285</v>
      </c>
      <c r="G18" s="48">
        <f t="shared" ref="G18:K18" si="10">FORECAST(G3,$C$18:$F$18,$C$3:$F$3)</f>
        <v>314.5</v>
      </c>
      <c r="H18" s="48">
        <f t="shared" si="10"/>
        <v>336.6</v>
      </c>
      <c r="I18" s="48">
        <f t="shared" si="10"/>
        <v>358.70000000000005</v>
      </c>
      <c r="J18" s="48">
        <f t="shared" si="10"/>
        <v>380.8</v>
      </c>
      <c r="K18" s="48">
        <f t="shared" si="10"/>
        <v>402.9</v>
      </c>
    </row>
    <row r="19" spans="1:11" x14ac:dyDescent="0.25">
      <c r="B19" s="169" t="s">
        <v>59</v>
      </c>
      <c r="C19" s="13">
        <f>'Historical FS'!I82</f>
        <v>-1439</v>
      </c>
      <c r="D19" s="13">
        <f>'Historical FS'!J82</f>
        <v>-7530</v>
      </c>
      <c r="E19" s="13">
        <f>'Historical FS'!K82</f>
        <v>-3008</v>
      </c>
      <c r="F19" s="13">
        <f>'Historical FS'!L82</f>
        <v>-50</v>
      </c>
      <c r="G19" s="48">
        <f t="shared" ref="G19:K19" si="11">FORECAST(G3,$C$19:$F$19,$C$3:$F$3)</f>
        <v>-834.5</v>
      </c>
      <c r="H19" s="48">
        <f t="shared" si="11"/>
        <v>34.399999999999636</v>
      </c>
      <c r="I19" s="48">
        <f t="shared" si="11"/>
        <v>903.30000000000018</v>
      </c>
      <c r="J19" s="48">
        <f t="shared" si="11"/>
        <v>1772.1999999999998</v>
      </c>
      <c r="K19" s="48">
        <f t="shared" si="11"/>
        <v>2641.0999999999995</v>
      </c>
    </row>
    <row r="20" spans="1:11" x14ac:dyDescent="0.25">
      <c r="B20" s="169" t="s">
        <v>60</v>
      </c>
      <c r="C20" s="13">
        <f>'Historical FS'!I83</f>
        <v>21</v>
      </c>
      <c r="D20" s="13">
        <f>'Historical FS'!J83</f>
        <v>226</v>
      </c>
      <c r="E20" s="13">
        <f>'Historical FS'!K83</f>
        <v>104</v>
      </c>
      <c r="F20" s="13">
        <f>'Historical FS'!L83</f>
        <v>6895</v>
      </c>
      <c r="G20" s="48">
        <f t="shared" ref="G20:K20" si="12">FORECAST(G3,$C$20:$F$20,$C$3:$F$3)</f>
        <v>6936.5</v>
      </c>
      <c r="H20" s="48">
        <f t="shared" si="12"/>
        <v>8986.5</v>
      </c>
      <c r="I20" s="48">
        <f t="shared" si="12"/>
        <v>11036.5</v>
      </c>
      <c r="J20" s="48">
        <f t="shared" si="12"/>
        <v>13086.5</v>
      </c>
      <c r="K20" s="48">
        <f t="shared" si="12"/>
        <v>15136.5</v>
      </c>
    </row>
    <row r="21" spans="1:11" x14ac:dyDescent="0.25">
      <c r="B21" s="169" t="s">
        <v>61</v>
      </c>
      <c r="C21" s="13">
        <f>'Historical FS'!I84</f>
        <v>1104</v>
      </c>
      <c r="D21" s="13">
        <f>'Historical FS'!J84</f>
        <v>428</v>
      </c>
      <c r="E21" s="13">
        <f>'Historical FS'!K84</f>
        <v>653</v>
      </c>
      <c r="F21" s="13">
        <f>'Historical FS'!L84</f>
        <v>973</v>
      </c>
      <c r="G21" s="48">
        <f t="shared" ref="G21:K21" si="13">FORECAST(G3,$C$21:$F$21,$C$3:$F$3)</f>
        <v>747.5</v>
      </c>
      <c r="H21" s="48">
        <f t="shared" si="13"/>
        <v>730.7</v>
      </c>
      <c r="I21" s="48">
        <f t="shared" si="13"/>
        <v>713.9</v>
      </c>
      <c r="J21" s="48">
        <f t="shared" si="13"/>
        <v>697.1</v>
      </c>
      <c r="K21" s="48">
        <f t="shared" si="13"/>
        <v>680.3</v>
      </c>
    </row>
    <row r="22" spans="1:11" x14ac:dyDescent="0.25">
      <c r="B22" s="169" t="s">
        <v>62</v>
      </c>
      <c r="C22" s="13">
        <f>'Historical FS'!I85</f>
        <v>21</v>
      </c>
      <c r="D22" s="13">
        <f>'Historical FS'!J85</f>
        <v>18</v>
      </c>
      <c r="E22" s="13">
        <f>'Historical FS'!K85</f>
        <v>32</v>
      </c>
      <c r="F22" s="13">
        <f>'Historical FS'!L85</f>
        <v>46</v>
      </c>
      <c r="G22" s="48">
        <f t="shared" ref="G22:K22" si="14">FORECAST(G3,$C$22:$F$22,$C$3:$F$3)</f>
        <v>51.5</v>
      </c>
      <c r="H22" s="48">
        <f t="shared" si="14"/>
        <v>60.400000000000006</v>
      </c>
      <c r="I22" s="48">
        <f t="shared" si="14"/>
        <v>69.300000000000011</v>
      </c>
      <c r="J22" s="48">
        <f t="shared" si="14"/>
        <v>78.2</v>
      </c>
      <c r="K22" s="48">
        <f t="shared" si="14"/>
        <v>87.100000000000009</v>
      </c>
    </row>
    <row r="23" spans="1:11" x14ac:dyDescent="0.25">
      <c r="B23" s="169" t="s">
        <v>63</v>
      </c>
      <c r="C23" s="13">
        <f>'Historical FS'!I86</f>
        <v>0</v>
      </c>
      <c r="D23" s="13">
        <f>'Historical FS'!J86</f>
        <v>0</v>
      </c>
      <c r="E23" s="13">
        <f>'Historical FS'!K86</f>
        <v>0</v>
      </c>
      <c r="F23" s="13">
        <f>'Historical FS'!L86</f>
        <v>0</v>
      </c>
      <c r="G23" s="48">
        <f t="shared" ref="G23:K23" si="15">FORECAST(G3,$C$23:$F$23,$C$3:$F$3)</f>
        <v>0</v>
      </c>
      <c r="H23" s="48">
        <f t="shared" si="15"/>
        <v>0</v>
      </c>
      <c r="I23" s="48">
        <f t="shared" si="15"/>
        <v>0</v>
      </c>
      <c r="J23" s="48">
        <f t="shared" si="15"/>
        <v>0</v>
      </c>
      <c r="K23" s="48">
        <f t="shared" si="15"/>
        <v>0</v>
      </c>
    </row>
    <row r="24" spans="1:11" x14ac:dyDescent="0.25">
      <c r="B24" s="169" t="s">
        <v>64</v>
      </c>
      <c r="C24" s="13">
        <f>'Historical FS'!I87</f>
        <v>-606</v>
      </c>
      <c r="D24" s="13">
        <f>'Historical FS'!J87</f>
        <v>-10</v>
      </c>
      <c r="E24" s="13">
        <f>'Historical FS'!K87</f>
        <v>0</v>
      </c>
      <c r="F24" s="13">
        <f>'Historical FS'!L87</f>
        <v>0</v>
      </c>
      <c r="G24" s="48">
        <f t="shared" ref="G24:K24" si="16">FORECAST(G3,$C$24:$F$24,$C$3:$F$3)</f>
        <v>303</v>
      </c>
      <c r="H24" s="48">
        <f t="shared" si="16"/>
        <v>485.80000000000018</v>
      </c>
      <c r="I24" s="48">
        <f t="shared" si="16"/>
        <v>668.60000000000014</v>
      </c>
      <c r="J24" s="48">
        <f t="shared" si="16"/>
        <v>851.40000000000009</v>
      </c>
      <c r="K24" s="48">
        <f t="shared" si="16"/>
        <v>1034.2</v>
      </c>
    </row>
    <row r="25" spans="1:11" x14ac:dyDescent="0.25">
      <c r="B25" s="169" t="s">
        <v>65</v>
      </c>
      <c r="C25" s="13">
        <f>'Historical FS'!I88</f>
        <v>0</v>
      </c>
      <c r="D25" s="13">
        <f>'Historical FS'!J88</f>
        <v>0</v>
      </c>
      <c r="E25" s="13">
        <f>'Historical FS'!K88</f>
        <v>0</v>
      </c>
      <c r="F25" s="13">
        <f>'Historical FS'!L88</f>
        <v>19</v>
      </c>
      <c r="G25" s="48">
        <f t="shared" ref="G25:K25" si="17">FORECAST(G3,$C$25:$F$25,$C$3:$F$3)</f>
        <v>19</v>
      </c>
      <c r="H25" s="48">
        <f t="shared" si="17"/>
        <v>24.700000000000003</v>
      </c>
      <c r="I25" s="48">
        <f t="shared" si="17"/>
        <v>30.4</v>
      </c>
      <c r="J25" s="48">
        <f t="shared" si="17"/>
        <v>36.1</v>
      </c>
      <c r="K25" s="48">
        <f t="shared" si="17"/>
        <v>41.800000000000004</v>
      </c>
    </row>
    <row r="26" spans="1:11" x14ac:dyDescent="0.25">
      <c r="B26" s="169" t="s">
        <v>66</v>
      </c>
      <c r="C26" s="13">
        <f>'Historical FS'!I89</f>
        <v>-27</v>
      </c>
      <c r="D26" s="13">
        <f>'Historical FS'!J89</f>
        <v>0</v>
      </c>
      <c r="E26" s="13">
        <f>'Historical FS'!K89</f>
        <v>-98</v>
      </c>
      <c r="F26" s="13">
        <f>'Historical FS'!L89</f>
        <v>0</v>
      </c>
      <c r="G26" s="48">
        <f t="shared" ref="G26:K26" si="18">FORECAST(G3,$C$26:$F$26,$C$3:$F$3)</f>
        <v>-35.5</v>
      </c>
      <c r="H26" s="48">
        <f t="shared" si="18"/>
        <v>-37.200000000000003</v>
      </c>
      <c r="I26" s="48">
        <f t="shared" si="18"/>
        <v>-38.9</v>
      </c>
      <c r="J26" s="48">
        <f t="shared" si="18"/>
        <v>-40.6</v>
      </c>
      <c r="K26" s="48">
        <f t="shared" si="18"/>
        <v>-42.3</v>
      </c>
    </row>
    <row r="27" spans="1:11" x14ac:dyDescent="0.25">
      <c r="B27" s="169" t="s">
        <v>67</v>
      </c>
      <c r="C27" s="13">
        <f>'Historical FS'!I90</f>
        <v>0</v>
      </c>
      <c r="D27" s="13">
        <f>'Historical FS'!J90</f>
        <v>0</v>
      </c>
      <c r="E27" s="13">
        <f>'Historical FS'!K90</f>
        <v>0</v>
      </c>
      <c r="F27" s="13">
        <f>'Historical FS'!L90</f>
        <v>0</v>
      </c>
      <c r="G27" s="48">
        <f t="shared" ref="G27:K27" si="19">FORECAST(G3,$C$27:$F$27,$C$3:$F$3)</f>
        <v>0</v>
      </c>
      <c r="H27" s="48">
        <f t="shared" si="19"/>
        <v>0</v>
      </c>
      <c r="I27" s="48">
        <f t="shared" si="19"/>
        <v>0</v>
      </c>
      <c r="J27" s="48">
        <f t="shared" si="19"/>
        <v>0</v>
      </c>
      <c r="K27" s="48">
        <f t="shared" si="19"/>
        <v>0</v>
      </c>
    </row>
    <row r="28" spans="1:11" x14ac:dyDescent="0.25">
      <c r="B28" s="169" t="s">
        <v>68</v>
      </c>
      <c r="C28" s="13">
        <f>'Historical FS'!I91</f>
        <v>-2659</v>
      </c>
      <c r="D28" s="13">
        <f>'Historical FS'!J91</f>
        <v>1051</v>
      </c>
      <c r="E28" s="13">
        <f>'Historical FS'!K91</f>
        <v>12813</v>
      </c>
      <c r="F28" s="13">
        <f>'Historical FS'!L91</f>
        <v>-4357</v>
      </c>
      <c r="G28" s="48">
        <f t="shared" ref="G28:K28" si="20">FORECAST(G3,$C$28:$F$28,$C$3:$F$3)</f>
        <v>3379</v>
      </c>
      <c r="H28" s="48">
        <f t="shared" si="20"/>
        <v>4045.7999999999997</v>
      </c>
      <c r="I28" s="48">
        <f t="shared" si="20"/>
        <v>4712.5999999999995</v>
      </c>
      <c r="J28" s="48">
        <f t="shared" si="20"/>
        <v>5379.4</v>
      </c>
      <c r="K28" s="48">
        <f t="shared" si="20"/>
        <v>6046.2</v>
      </c>
    </row>
    <row r="29" spans="1:11" x14ac:dyDescent="0.25">
      <c r="B29" s="181" t="s">
        <v>69</v>
      </c>
      <c r="C29" s="62">
        <f>SUM(C17:C28)</f>
        <v>-33116</v>
      </c>
      <c r="D29" s="62">
        <f t="shared" ref="D29:F29" si="21">SUM(D17:D28)</f>
        <v>-25671</v>
      </c>
      <c r="E29" s="62">
        <f t="shared" si="21"/>
        <v>-4442</v>
      </c>
      <c r="F29" s="62">
        <f t="shared" si="21"/>
        <v>-15419</v>
      </c>
      <c r="G29" s="63">
        <f>SUM(G17:G28)</f>
        <v>-1082</v>
      </c>
      <c r="H29" s="63">
        <f t="shared" ref="H29:K29" si="22">SUM(H17:H28)</f>
        <v>6350.0000000000036</v>
      </c>
      <c r="I29" s="63">
        <f t="shared" si="22"/>
        <v>13782</v>
      </c>
      <c r="J29" s="63">
        <f t="shared" si="22"/>
        <v>21214</v>
      </c>
      <c r="K29" s="63">
        <f t="shared" si="22"/>
        <v>28646.000000000004</v>
      </c>
    </row>
    <row r="30" spans="1:11" x14ac:dyDescent="0.25">
      <c r="G30" s="49"/>
      <c r="H30" s="49"/>
      <c r="I30" s="49"/>
      <c r="J30" s="49"/>
      <c r="K30" s="49"/>
    </row>
    <row r="31" spans="1:11" x14ac:dyDescent="0.25">
      <c r="A31" t="s">
        <v>2</v>
      </c>
      <c r="B31" s="174" t="s">
        <v>70</v>
      </c>
      <c r="G31" s="49"/>
      <c r="H31" s="49"/>
      <c r="I31" s="49"/>
      <c r="J31" s="49"/>
      <c r="K31" s="49"/>
    </row>
    <row r="32" spans="1:11" x14ac:dyDescent="0.25">
      <c r="B32" s="169" t="s">
        <v>71</v>
      </c>
      <c r="C32" s="13">
        <f>'Historical FS'!I95</f>
        <v>3889</v>
      </c>
      <c r="D32" s="13">
        <f>'Historical FS'!J95</f>
        <v>2603</v>
      </c>
      <c r="E32" s="13">
        <f>'Historical FS'!K95</f>
        <v>19</v>
      </c>
      <c r="F32" s="13">
        <f>'Historical FS'!L95</f>
        <v>20</v>
      </c>
      <c r="G32" s="48">
        <f t="shared" ref="G32:K32" si="23">FORECAST(G3,$C$32:$F$32,$C$3:$F$3)</f>
        <v>-1915</v>
      </c>
      <c r="H32" s="48">
        <f t="shared" si="23"/>
        <v>-3334.0999999999985</v>
      </c>
      <c r="I32" s="48">
        <f t="shared" si="23"/>
        <v>-4753.1999999999989</v>
      </c>
      <c r="J32" s="48">
        <f t="shared" si="23"/>
        <v>-6172.2999999999993</v>
      </c>
      <c r="K32" s="48">
        <f t="shared" si="23"/>
        <v>-7591.4</v>
      </c>
    </row>
    <row r="33" spans="1:11" x14ac:dyDescent="0.25">
      <c r="B33" s="169" t="s">
        <v>72</v>
      </c>
      <c r="C33" s="13">
        <f>'Historical FS'!I96</f>
        <v>0</v>
      </c>
      <c r="D33" s="13">
        <f>'Historical FS'!J96</f>
        <v>0</v>
      </c>
      <c r="E33" s="13">
        <f>'Historical FS'!K96</f>
        <v>0</v>
      </c>
      <c r="F33" s="13">
        <f>'Historical FS'!L96</f>
        <v>0</v>
      </c>
      <c r="G33" s="48">
        <f t="shared" ref="G33:K33" si="24">FORECAST(G3,$C$33:$F$33,$C$3:$F$3)</f>
        <v>0</v>
      </c>
      <c r="H33" s="48">
        <f t="shared" si="24"/>
        <v>0</v>
      </c>
      <c r="I33" s="48">
        <f t="shared" si="24"/>
        <v>0</v>
      </c>
      <c r="J33" s="48">
        <f t="shared" si="24"/>
        <v>0</v>
      </c>
      <c r="K33" s="48">
        <f t="shared" si="24"/>
        <v>0</v>
      </c>
    </row>
    <row r="34" spans="1:11" x14ac:dyDescent="0.25">
      <c r="B34" s="169" t="s">
        <v>73</v>
      </c>
      <c r="C34" s="13">
        <f>'Historical FS'!I97</f>
        <v>38297</v>
      </c>
      <c r="D34" s="13">
        <f>'Historical FS'!J97</f>
        <v>46641</v>
      </c>
      <c r="E34" s="13">
        <f>'Historical FS'!K97</f>
        <v>46578</v>
      </c>
      <c r="F34" s="13">
        <f>'Historical FS'!L97</f>
        <v>43934</v>
      </c>
      <c r="G34" s="48">
        <f t="shared" ref="G34:K34" si="25">FORECAST(G3,$C$34:$F$34,$C$3:$F$3)</f>
        <v>48074.5</v>
      </c>
      <c r="H34" s="48">
        <f t="shared" si="25"/>
        <v>49759.3</v>
      </c>
      <c r="I34" s="48">
        <f t="shared" si="25"/>
        <v>51444.1</v>
      </c>
      <c r="J34" s="48">
        <f t="shared" si="25"/>
        <v>53128.9</v>
      </c>
      <c r="K34" s="48">
        <f t="shared" si="25"/>
        <v>54813.7</v>
      </c>
    </row>
    <row r="35" spans="1:11" x14ac:dyDescent="0.25">
      <c r="B35" s="169" t="s">
        <v>74</v>
      </c>
      <c r="C35" s="13">
        <f>'Historical FS'!I98</f>
        <v>-29847</v>
      </c>
      <c r="D35" s="13">
        <f>'Historical FS'!J98</f>
        <v>-29709</v>
      </c>
      <c r="E35" s="13">
        <f>'Historical FS'!K98</f>
        <v>-42816</v>
      </c>
      <c r="F35" s="13">
        <f>'Historical FS'!L98</f>
        <v>-62557</v>
      </c>
      <c r="G35" s="48">
        <f t="shared" ref="G35:K35" si="26">FORECAST(G3,$C$35:$F$35,$C$3:$F$3)</f>
        <v>-69041.5</v>
      </c>
      <c r="H35" s="48">
        <f t="shared" si="26"/>
        <v>-80165.200000000012</v>
      </c>
      <c r="I35" s="48">
        <f t="shared" si="26"/>
        <v>-91288.900000000009</v>
      </c>
      <c r="J35" s="48">
        <f t="shared" si="26"/>
        <v>-102412.6</v>
      </c>
      <c r="K35" s="48">
        <f t="shared" si="26"/>
        <v>-113536.3</v>
      </c>
    </row>
    <row r="36" spans="1:11" x14ac:dyDescent="0.25">
      <c r="B36" s="169" t="s">
        <v>75</v>
      </c>
      <c r="C36" s="13">
        <f>'Historical FS'!I99</f>
        <v>-7518</v>
      </c>
      <c r="D36" s="13">
        <f>'Historical FS'!J99</f>
        <v>-8123</v>
      </c>
      <c r="E36" s="13">
        <f>'Historical FS'!K99</f>
        <v>-9251</v>
      </c>
      <c r="F36" s="13">
        <f>'Historical FS'!L99</f>
        <v>-9336</v>
      </c>
      <c r="G36" s="48">
        <f t="shared" ref="G36:K36" si="27">FORECAST(G3,$C$36:$F$36,$C$3:$F$3)</f>
        <v>-10202.5</v>
      </c>
      <c r="H36" s="48">
        <f t="shared" si="27"/>
        <v>-10860.7</v>
      </c>
      <c r="I36" s="48">
        <f t="shared" si="27"/>
        <v>-11518.900000000001</v>
      </c>
      <c r="J36" s="48">
        <f t="shared" si="27"/>
        <v>-12177.1</v>
      </c>
      <c r="K36" s="48">
        <f t="shared" si="27"/>
        <v>-12835.3</v>
      </c>
    </row>
    <row r="37" spans="1:11" x14ac:dyDescent="0.25">
      <c r="B37" s="169" t="s">
        <v>76</v>
      </c>
      <c r="C37" s="13">
        <f>'Historical FS'!I100</f>
        <v>-57</v>
      </c>
      <c r="D37" s="13">
        <f>'Historical FS'!J100</f>
        <v>-30</v>
      </c>
      <c r="E37" s="13">
        <f>'Historical FS'!K100</f>
        <v>-100</v>
      </c>
      <c r="F37" s="13">
        <f>'Historical FS'!L100</f>
        <v>-141</v>
      </c>
      <c r="G37" s="48">
        <f t="shared" ref="G37:K37" si="28">FORECAST(G3,$C$37:$F$37,$C$3:$F$3)</f>
        <v>-162.5</v>
      </c>
      <c r="H37" s="48">
        <f t="shared" si="28"/>
        <v>-194.70000000000002</v>
      </c>
      <c r="I37" s="48">
        <f t="shared" si="28"/>
        <v>-226.90000000000003</v>
      </c>
      <c r="J37" s="48">
        <f t="shared" si="28"/>
        <v>-259.10000000000002</v>
      </c>
      <c r="K37" s="48">
        <f t="shared" si="28"/>
        <v>-291.3</v>
      </c>
    </row>
    <row r="38" spans="1:11" x14ac:dyDescent="0.25">
      <c r="B38" s="169" t="s">
        <v>77</v>
      </c>
      <c r="C38" s="13">
        <f>'Historical FS'!I101</f>
        <v>-1346</v>
      </c>
      <c r="D38" s="13">
        <f>'Historical FS'!J101</f>
        <v>-1477</v>
      </c>
      <c r="E38" s="13">
        <f>'Historical FS'!K101</f>
        <v>-1559</v>
      </c>
      <c r="F38" s="13">
        <f>'Historical FS'!L101</f>
        <v>-1517</v>
      </c>
      <c r="G38" s="48">
        <f t="shared" ref="G38:K38" si="29">FORECAST(G3,$C$38:$F$38,$C$3:$F$3)</f>
        <v>-1623.5</v>
      </c>
      <c r="H38" s="48">
        <f t="shared" si="29"/>
        <v>-1683</v>
      </c>
      <c r="I38" s="48">
        <f t="shared" si="29"/>
        <v>-1742.5</v>
      </c>
      <c r="J38" s="48">
        <f t="shared" si="29"/>
        <v>-1802</v>
      </c>
      <c r="K38" s="48">
        <f t="shared" si="29"/>
        <v>-1861.5</v>
      </c>
    </row>
    <row r="39" spans="1:11" x14ac:dyDescent="0.25">
      <c r="B39" s="169" t="s">
        <v>78</v>
      </c>
      <c r="C39" s="13">
        <f>'Historical FS'!I102</f>
        <v>-29</v>
      </c>
      <c r="D39" s="13">
        <f>'Historical FS'!J102</f>
        <v>0</v>
      </c>
      <c r="E39" s="13">
        <f>'Historical FS'!K102</f>
        <v>3750</v>
      </c>
      <c r="F39" s="13">
        <f>'Historical FS'!L102</f>
        <v>3355</v>
      </c>
      <c r="G39" s="48">
        <f t="shared" ref="G39:K39" si="30">FORECAST(G3,$C$39:$F$39,$C$3:$F$3)</f>
        <v>5244.5</v>
      </c>
      <c r="H39" s="48">
        <f t="shared" si="30"/>
        <v>6634.7000000000007</v>
      </c>
      <c r="I39" s="48">
        <f t="shared" si="30"/>
        <v>8024.9</v>
      </c>
      <c r="J39" s="48">
        <f t="shared" si="30"/>
        <v>9415.1</v>
      </c>
      <c r="K39" s="48">
        <f t="shared" si="30"/>
        <v>10805.300000000001</v>
      </c>
    </row>
    <row r="40" spans="1:11" x14ac:dyDescent="0.25">
      <c r="B40" s="181" t="s">
        <v>79</v>
      </c>
      <c r="C40" s="62">
        <f>SUM(C32:C39)</f>
        <v>3389</v>
      </c>
      <c r="D40" s="62">
        <f t="shared" ref="D40:F40" si="31">SUM(D32:D39)</f>
        <v>9905</v>
      </c>
      <c r="E40" s="62">
        <f t="shared" si="31"/>
        <v>-3379</v>
      </c>
      <c r="F40" s="62">
        <f t="shared" si="31"/>
        <v>-26242</v>
      </c>
      <c r="G40" s="63">
        <f>SUM(G32:G39)</f>
        <v>-29626</v>
      </c>
      <c r="H40" s="63">
        <f t="shared" ref="H40:K40" si="32">SUM(H32:H39)</f>
        <v>-39843.700000000012</v>
      </c>
      <c r="I40" s="63">
        <f t="shared" si="32"/>
        <v>-50061.400000000009</v>
      </c>
      <c r="J40" s="63">
        <f t="shared" si="32"/>
        <v>-60279.100000000013</v>
      </c>
      <c r="K40" s="63">
        <f t="shared" si="32"/>
        <v>-70496.800000000003</v>
      </c>
    </row>
    <row r="41" spans="1:11" x14ac:dyDescent="0.25">
      <c r="G41" s="49"/>
      <c r="H41" s="49"/>
      <c r="I41" s="49"/>
      <c r="J41" s="49"/>
      <c r="K41" s="49"/>
    </row>
    <row r="42" spans="1:11" ht="15.75" thickBot="1" x14ac:dyDescent="0.3">
      <c r="A42" t="s">
        <v>2</v>
      </c>
      <c r="B42" s="179" t="s">
        <v>80</v>
      </c>
      <c r="C42" s="60">
        <f>SUM(C40,C29,C14)</f>
        <v>-3094</v>
      </c>
      <c r="D42" s="60">
        <f t="shared" ref="D42:K42" si="33">SUM(D40,D29,D14)</f>
        <v>13234</v>
      </c>
      <c r="E42" s="60">
        <f t="shared" si="33"/>
        <v>6461</v>
      </c>
      <c r="F42" s="60">
        <f t="shared" si="33"/>
        <v>-6273</v>
      </c>
      <c r="G42" s="61">
        <f t="shared" si="33"/>
        <v>-1495.5</v>
      </c>
      <c r="H42" s="61">
        <f t="shared" si="33"/>
        <v>-3126.5000000000036</v>
      </c>
      <c r="I42" s="61">
        <f t="shared" si="33"/>
        <v>-4757.5</v>
      </c>
      <c r="J42" s="61">
        <f t="shared" si="33"/>
        <v>-6388.5000000000073</v>
      </c>
      <c r="K42" s="61">
        <f t="shared" si="33"/>
        <v>-8019.5</v>
      </c>
    </row>
  </sheetData>
  <mergeCells count="1">
    <mergeCell ref="B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3162-78D0-4FB2-8EA2-B36A41335F60}">
  <sheetPr>
    <tabColor rgb="FF002060"/>
  </sheetPr>
  <dimension ref="D5:S9"/>
  <sheetViews>
    <sheetView showGridLines="0" workbookViewId="0">
      <selection activeCell="F10" sqref="F10"/>
    </sheetView>
  </sheetViews>
  <sheetFormatPr defaultRowHeight="15" x14ac:dyDescent="0.25"/>
  <cols>
    <col min="1" max="1" width="1.85546875" customWidth="1"/>
  </cols>
  <sheetData>
    <row r="5" spans="4:19" ht="15" customHeight="1" x14ac:dyDescent="0.25">
      <c r="D5" s="222" t="str">
        <f>"DISCOUNTED CASH FLOWS FOR "&amp;'Data Sheet'!B1</f>
        <v>DISCOUNTED CASH FLOWS FOR TATA MOTORS LTD</v>
      </c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</row>
    <row r="6" spans="4:19" ht="15" customHeight="1" x14ac:dyDescent="0.25"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2"/>
    </row>
    <row r="7" spans="4:19" ht="15" customHeight="1" x14ac:dyDescent="0.25"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</row>
    <row r="8" spans="4:19" ht="15" customHeight="1" x14ac:dyDescent="0.25">
      <c r="D8" s="168"/>
      <c r="E8" s="168"/>
      <c r="F8" s="223" t="s">
        <v>392</v>
      </c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</row>
    <row r="9" spans="4:19" x14ac:dyDescent="0.25">
      <c r="D9" s="168"/>
      <c r="E9" s="168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</row>
  </sheetData>
  <mergeCells count="2">
    <mergeCell ref="D5:S7"/>
    <mergeCell ref="F8:Q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6C5-0839-4683-9674-84ED5CDE5854}">
  <dimension ref="B2:K44"/>
  <sheetViews>
    <sheetView showGridLines="0" zoomScaleNormal="100" workbookViewId="0">
      <selection activeCell="E41" sqref="E41"/>
    </sheetView>
  </sheetViews>
  <sheetFormatPr defaultRowHeight="15" x14ac:dyDescent="0.25"/>
  <cols>
    <col min="1" max="1" width="1.85546875" customWidth="1"/>
    <col min="2" max="2" width="29.85546875" customWidth="1"/>
    <col min="3" max="3" width="12.140625" bestFit="1" customWidth="1"/>
    <col min="4" max="4" width="13.5703125" customWidth="1"/>
    <col min="5" max="5" width="14.7109375" customWidth="1"/>
    <col min="6" max="6" width="18.140625" customWidth="1"/>
    <col min="7" max="7" width="17.28515625" customWidth="1"/>
    <col min="10" max="10" width="10" bestFit="1" customWidth="1"/>
    <col min="11" max="11" width="12.5703125" bestFit="1" customWidth="1"/>
  </cols>
  <sheetData>
    <row r="2" spans="2:11" x14ac:dyDescent="0.25">
      <c r="B2" s="65" t="str">
        <f>'Data Sheet'!B1&amp;" - "&amp;"WACC"</f>
        <v>TATA MOTORS LTD - WACC</v>
      </c>
      <c r="C2" s="65"/>
      <c r="D2" s="65"/>
      <c r="E2" s="65"/>
      <c r="F2" s="65"/>
      <c r="G2" s="65"/>
      <c r="H2" s="65"/>
      <c r="I2" s="65"/>
      <c r="J2" s="65"/>
      <c r="K2" s="65"/>
    </row>
    <row r="4" spans="2:11" x14ac:dyDescent="0.25">
      <c r="B4" s="174" t="s">
        <v>121</v>
      </c>
    </row>
    <row r="5" spans="2:11" x14ac:dyDescent="0.25">
      <c r="B5" s="81"/>
      <c r="C5" s="81"/>
      <c r="D5" s="81"/>
      <c r="E5" s="81"/>
      <c r="F5" s="81"/>
      <c r="G5" s="81"/>
      <c r="H5" s="187" t="s">
        <v>122</v>
      </c>
      <c r="I5" s="187" t="s">
        <v>122</v>
      </c>
      <c r="J5" s="187" t="s">
        <v>123</v>
      </c>
      <c r="K5" s="187" t="s">
        <v>124</v>
      </c>
    </row>
    <row r="6" spans="2:11" ht="17.25" x14ac:dyDescent="0.25">
      <c r="B6" s="185" t="s">
        <v>125</v>
      </c>
      <c r="C6" s="185"/>
      <c r="D6" s="186" t="s">
        <v>126</v>
      </c>
      <c r="E6" s="186" t="s">
        <v>127</v>
      </c>
      <c r="F6" s="186" t="s">
        <v>128</v>
      </c>
      <c r="G6" s="186" t="s">
        <v>394</v>
      </c>
      <c r="H6" s="185" t="s">
        <v>129</v>
      </c>
      <c r="I6" s="185" t="s">
        <v>130</v>
      </c>
      <c r="J6" s="185" t="s">
        <v>395</v>
      </c>
      <c r="K6" s="185" t="s">
        <v>396</v>
      </c>
    </row>
    <row r="8" spans="2:11" x14ac:dyDescent="0.25">
      <c r="B8" s="169" t="s">
        <v>209</v>
      </c>
      <c r="D8" s="188" t="s">
        <v>132</v>
      </c>
      <c r="E8" s="98">
        <f>Peers!F5</f>
        <v>127864.3</v>
      </c>
      <c r="F8" s="96">
        <f>Peers!E5</f>
        <v>334175.77</v>
      </c>
      <c r="G8" s="184">
        <v>0.3</v>
      </c>
      <c r="H8" s="83">
        <f>E8/F8</f>
        <v>0.38262588577262796</v>
      </c>
      <c r="I8" s="83">
        <f>E8/(E8+F8)</f>
        <v>0.27673855213466658</v>
      </c>
      <c r="J8" s="75">
        <f>'Beta - Regression'!K8</f>
        <v>1.8314982253701275</v>
      </c>
      <c r="K8" s="84">
        <f t="shared" ref="K8:K15" si="0">J8/(1+(1-G8)*H8)</f>
        <v>1.444583654978864</v>
      </c>
    </row>
    <row r="9" spans="2:11" x14ac:dyDescent="0.25">
      <c r="B9" s="169" t="s">
        <v>243</v>
      </c>
      <c r="D9" s="188" t="s">
        <v>132</v>
      </c>
      <c r="E9" s="98">
        <f>Peers!F6</f>
        <v>392.5</v>
      </c>
      <c r="F9" s="96">
        <f>Peers!E6</f>
        <v>337097.74</v>
      </c>
      <c r="G9" s="184">
        <v>0.3</v>
      </c>
      <c r="H9" s="83">
        <f>E9/F9</f>
        <v>1.1643507310372357E-3</v>
      </c>
      <c r="I9" s="83">
        <f>E9/(E9+F9)</f>
        <v>1.1629965951015354E-3</v>
      </c>
      <c r="J9" s="75">
        <f>'Beta - Comps'!X8</f>
        <v>0.95061172584491549</v>
      </c>
      <c r="K9" s="84">
        <f t="shared" si="0"/>
        <v>0.94983756500069272</v>
      </c>
    </row>
    <row r="10" spans="2:11" x14ac:dyDescent="0.25">
      <c r="B10" s="169" t="s">
        <v>250</v>
      </c>
      <c r="D10" s="188" t="s">
        <v>132</v>
      </c>
      <c r="E10" s="98">
        <f>Peers!F7</f>
        <v>125.04</v>
      </c>
      <c r="F10" s="96">
        <f>Peers!E7</f>
        <v>219457.23</v>
      </c>
      <c r="G10" s="184">
        <v>0.3</v>
      </c>
      <c r="H10" s="83">
        <f>E10/F10</f>
        <v>5.6976933500892178E-4</v>
      </c>
      <c r="I10" s="83">
        <f>E10/(E10+F10)</f>
        <v>5.6944488277673778E-4</v>
      </c>
      <c r="J10" s="75">
        <f>'Beta - Comps'!CI8</f>
        <v>1.1862467024955909</v>
      </c>
      <c r="K10" s="84">
        <f t="shared" si="0"/>
        <v>1.1857737702228195</v>
      </c>
    </row>
    <row r="11" spans="2:11" x14ac:dyDescent="0.25">
      <c r="B11" s="169" t="s">
        <v>251</v>
      </c>
      <c r="D11" s="188" t="s">
        <v>132</v>
      </c>
      <c r="E11" s="98">
        <f>Peers!F8</f>
        <v>99711.679999999993</v>
      </c>
      <c r="F11" s="96">
        <f>Peers!E8</f>
        <v>204908.65</v>
      </c>
      <c r="G11" s="184">
        <v>0.3</v>
      </c>
      <c r="H11" s="83">
        <f t="shared" ref="H11:H15" si="1">E11/F11</f>
        <v>0.48661527954041955</v>
      </c>
      <c r="I11" s="83">
        <f t="shared" ref="I11:I15" si="2">E11/(E11+F11)</f>
        <v>0.32733100906298673</v>
      </c>
      <c r="J11" s="75">
        <f>'Beta - Comps'!AV8</f>
        <v>1.3400025457007225</v>
      </c>
      <c r="K11" s="84">
        <f t="shared" si="0"/>
        <v>0.99953145189081827</v>
      </c>
    </row>
    <row r="12" spans="2:11" x14ac:dyDescent="0.25">
      <c r="B12" s="169" t="s">
        <v>252</v>
      </c>
      <c r="D12" s="188" t="s">
        <v>132</v>
      </c>
      <c r="E12" s="98">
        <f>Peers!F9</f>
        <v>416.16</v>
      </c>
      <c r="F12" s="96">
        <f>Peers!E9</f>
        <v>104407.05</v>
      </c>
      <c r="G12" s="184">
        <v>0.3</v>
      </c>
      <c r="H12" s="83">
        <f t="shared" si="1"/>
        <v>3.985937731216427E-3</v>
      </c>
      <c r="I12" s="83">
        <f t="shared" si="2"/>
        <v>3.9701131075837118E-3</v>
      </c>
      <c r="J12" s="75">
        <f>'Beta - Comps'!BV8</f>
        <v>0.97557621769323377</v>
      </c>
      <c r="K12" s="84">
        <f t="shared" si="0"/>
        <v>0.97286178115669408</v>
      </c>
    </row>
    <row r="13" spans="2:11" x14ac:dyDescent="0.25">
      <c r="B13" s="169" t="s">
        <v>253</v>
      </c>
      <c r="D13" s="188" t="s">
        <v>132</v>
      </c>
      <c r="E13" s="98">
        <f>Peers!F10</f>
        <v>650.89</v>
      </c>
      <c r="F13" s="96">
        <f>Peers!E10</f>
        <v>97160.17</v>
      </c>
      <c r="G13" s="184">
        <v>0.3</v>
      </c>
      <c r="H13" s="83">
        <f t="shared" si="1"/>
        <v>6.699144309854542E-3</v>
      </c>
      <c r="I13" s="83">
        <f t="shared" si="2"/>
        <v>6.6545644224691976E-3</v>
      </c>
      <c r="J13" s="75">
        <f>'Beta - Comps'!BI8</f>
        <v>1.0142057493917787</v>
      </c>
      <c r="K13" s="84">
        <f t="shared" si="0"/>
        <v>1.0094719306934548</v>
      </c>
    </row>
    <row r="14" spans="2:11" x14ac:dyDescent="0.25">
      <c r="B14" s="169" t="s">
        <v>254</v>
      </c>
      <c r="D14" s="188" t="s">
        <v>132</v>
      </c>
      <c r="E14" s="98">
        <f>Peers!F11</f>
        <v>12852.6</v>
      </c>
      <c r="F14" s="96">
        <f>Peers!E11</f>
        <v>96129.37</v>
      </c>
      <c r="G14" s="184">
        <v>0.3</v>
      </c>
      <c r="H14" s="83">
        <f t="shared" si="1"/>
        <v>0.13370107387575722</v>
      </c>
      <c r="I14" s="83">
        <f t="shared" si="2"/>
        <v>0.11793326914534578</v>
      </c>
      <c r="J14" s="75">
        <f>'Beta - Comps'!AI8</f>
        <v>0.73249451269564902</v>
      </c>
      <c r="K14" s="84">
        <f t="shared" si="0"/>
        <v>0.66980679157010958</v>
      </c>
    </row>
    <row r="15" spans="2:11" x14ac:dyDescent="0.25">
      <c r="B15" s="169" t="s">
        <v>131</v>
      </c>
      <c r="D15" s="188" t="s">
        <v>132</v>
      </c>
      <c r="E15" s="98">
        <f>Peers!F12</f>
        <v>34391.620000000003</v>
      </c>
      <c r="F15" s="96">
        <f>Peers!E12</f>
        <v>50927.13</v>
      </c>
      <c r="G15" s="184">
        <v>0.3</v>
      </c>
      <c r="H15" s="83">
        <f t="shared" si="1"/>
        <v>0.67531038957035283</v>
      </c>
      <c r="I15" s="83">
        <f t="shared" si="2"/>
        <v>0.40309568529778039</v>
      </c>
      <c r="J15" s="75">
        <f>'Beta - Comps'!K8</f>
        <v>1.2556640835825192</v>
      </c>
      <c r="K15" s="84">
        <f t="shared" si="0"/>
        <v>0.85261720417055664</v>
      </c>
    </row>
    <row r="17" spans="2:11" x14ac:dyDescent="0.25">
      <c r="F17" s="190" t="s">
        <v>133</v>
      </c>
      <c r="G17" s="86">
        <f>AVERAGE(G8:G15)</f>
        <v>0.3</v>
      </c>
      <c r="H17" s="86">
        <f t="shared" ref="H17:K17" si="3">AVERAGE(H8:H15)</f>
        <v>0.21133397885828431</v>
      </c>
      <c r="I17" s="86">
        <f t="shared" si="3"/>
        <v>0.14218195433108882</v>
      </c>
      <c r="J17" s="88">
        <f t="shared" si="3"/>
        <v>1.1607874703468171</v>
      </c>
      <c r="K17" s="88">
        <f t="shared" si="3"/>
        <v>1.0105605187105013</v>
      </c>
    </row>
    <row r="18" spans="2:11" x14ac:dyDescent="0.25">
      <c r="F18" s="151" t="s">
        <v>83</v>
      </c>
      <c r="G18" s="87">
        <f>MEDIAN(G8:G15)</f>
        <v>0.3</v>
      </c>
      <c r="H18" s="87">
        <f t="shared" ref="H18:K18" si="4">MEDIAN(H8:H15)</f>
        <v>7.0200109092805885E-2</v>
      </c>
      <c r="I18" s="87">
        <f t="shared" si="4"/>
        <v>6.2293916783907492E-2</v>
      </c>
      <c r="J18" s="89">
        <f t="shared" si="4"/>
        <v>1.1002262259436848</v>
      </c>
      <c r="K18" s="89">
        <f t="shared" si="4"/>
        <v>0.98619661652375612</v>
      </c>
    </row>
    <row r="21" spans="2:11" x14ac:dyDescent="0.25">
      <c r="B21" s="191" t="s">
        <v>134</v>
      </c>
      <c r="C21" s="91"/>
      <c r="D21" s="82"/>
      <c r="E21" s="82"/>
      <c r="G21" s="191" t="s">
        <v>135</v>
      </c>
      <c r="H21" s="82"/>
      <c r="I21" s="82"/>
      <c r="J21" s="82"/>
      <c r="K21" s="82"/>
    </row>
    <row r="23" spans="2:11" x14ac:dyDescent="0.25">
      <c r="G23" s="169" t="s">
        <v>136</v>
      </c>
      <c r="K23" s="183">
        <v>7.1139999999999995E-2</v>
      </c>
    </row>
    <row r="24" spans="2:11" x14ac:dyDescent="0.25">
      <c r="B24" s="169" t="s">
        <v>137</v>
      </c>
      <c r="E24" s="76">
        <f>Peers!J5</f>
        <v>7.996759064101551E-2</v>
      </c>
      <c r="G24" s="169" t="s">
        <v>138</v>
      </c>
      <c r="K24" s="93">
        <f>Rm!F8-WACC!K23</f>
        <v>8.4951666666666661E-2</v>
      </c>
    </row>
    <row r="25" spans="2:11" ht="17.25" x14ac:dyDescent="0.25">
      <c r="B25" s="169" t="s">
        <v>139</v>
      </c>
      <c r="E25" s="184">
        <v>0.3</v>
      </c>
      <c r="G25" s="169" t="s">
        <v>397</v>
      </c>
      <c r="K25" s="75">
        <f>K35</f>
        <v>1.1006189629642535</v>
      </c>
    </row>
    <row r="26" spans="2:11" x14ac:dyDescent="0.25">
      <c r="B26" s="189" t="s">
        <v>140</v>
      </c>
      <c r="C26" s="90"/>
      <c r="D26" s="90"/>
      <c r="E26" s="94">
        <f>E24*(1-E25)</f>
        <v>5.5977313448710854E-2</v>
      </c>
      <c r="G26" s="189" t="s">
        <v>135</v>
      </c>
      <c r="H26" s="90"/>
      <c r="I26" s="90"/>
      <c r="J26" s="90"/>
      <c r="K26" s="94">
        <f>K23+K24*K25</f>
        <v>0.16463941526875159</v>
      </c>
    </row>
    <row r="30" spans="2:11" x14ac:dyDescent="0.25">
      <c r="B30" s="191" t="s">
        <v>141</v>
      </c>
      <c r="C30" s="91"/>
      <c r="D30" s="82"/>
      <c r="E30" s="82"/>
      <c r="G30" s="191" t="s">
        <v>142</v>
      </c>
      <c r="H30" s="91"/>
      <c r="I30" s="82"/>
      <c r="J30" s="82"/>
      <c r="K30" s="82"/>
    </row>
    <row r="32" spans="2:11" x14ac:dyDescent="0.25">
      <c r="D32" s="70" t="s">
        <v>143</v>
      </c>
      <c r="E32" s="70" t="s">
        <v>144</v>
      </c>
      <c r="G32" s="169" t="s">
        <v>145</v>
      </c>
      <c r="K32" s="75">
        <f>K18</f>
        <v>0.98619661652375612</v>
      </c>
    </row>
    <row r="33" spans="2:11" x14ac:dyDescent="0.25">
      <c r="B33" s="169" t="s">
        <v>127</v>
      </c>
      <c r="C33" s="96">
        <f>E8</f>
        <v>127864.3</v>
      </c>
      <c r="D33" s="76">
        <f>C33/$C$35</f>
        <v>0.27673855213466658</v>
      </c>
      <c r="E33" s="76">
        <f>I17</f>
        <v>0.14218195433108882</v>
      </c>
      <c r="G33" s="169" t="s">
        <v>146</v>
      </c>
      <c r="K33" s="76">
        <f>E37</f>
        <v>0.16574838341179671</v>
      </c>
    </row>
    <row r="34" spans="2:11" x14ac:dyDescent="0.25">
      <c r="B34" s="169" t="s">
        <v>147</v>
      </c>
      <c r="C34" s="96">
        <f>F8</f>
        <v>334175.77</v>
      </c>
      <c r="D34" s="76">
        <f>C34/$C$35</f>
        <v>0.72326144786533342</v>
      </c>
      <c r="E34" s="76">
        <f>E35-E33</f>
        <v>0.85781804566891118</v>
      </c>
      <c r="G34" s="169" t="s">
        <v>139</v>
      </c>
      <c r="K34" s="76">
        <f>E25</f>
        <v>0.3</v>
      </c>
    </row>
    <row r="35" spans="2:11" x14ac:dyDescent="0.25">
      <c r="B35" s="189" t="s">
        <v>148</v>
      </c>
      <c r="C35" s="97">
        <f>SUM(C33:C34)</f>
        <v>462040.07</v>
      </c>
      <c r="D35" s="92">
        <f>C35/$C$35</f>
        <v>1</v>
      </c>
      <c r="E35" s="92">
        <f>D35</f>
        <v>1</v>
      </c>
      <c r="G35" s="189" t="s">
        <v>149</v>
      </c>
      <c r="H35" s="90"/>
      <c r="I35" s="90"/>
      <c r="J35" s="90"/>
      <c r="K35" s="95">
        <f>K32*(1+(1-K34)*K33)</f>
        <v>1.1006189629642535</v>
      </c>
    </row>
    <row r="36" spans="2:11" x14ac:dyDescent="0.25">
      <c r="B36" s="169"/>
    </row>
    <row r="37" spans="2:11" x14ac:dyDescent="0.25">
      <c r="B37" s="169" t="s">
        <v>150</v>
      </c>
      <c r="D37" s="83">
        <f>D33/D34</f>
        <v>0.38262588577262796</v>
      </c>
      <c r="E37" s="83">
        <f>E33/E34</f>
        <v>0.16574838341179671</v>
      </c>
      <c r="G37" s="191" t="s">
        <v>151</v>
      </c>
      <c r="H37" s="91"/>
      <c r="I37" s="82"/>
      <c r="J37" s="82"/>
      <c r="K37" s="82"/>
    </row>
    <row r="39" spans="2:11" x14ac:dyDescent="0.25">
      <c r="J39" s="151" t="s">
        <v>152</v>
      </c>
      <c r="K39" s="151" t="s">
        <v>153</v>
      </c>
    </row>
    <row r="40" spans="2:11" x14ac:dyDescent="0.25">
      <c r="B40" s="192" t="s">
        <v>154</v>
      </c>
      <c r="G40" s="169" t="s">
        <v>155</v>
      </c>
      <c r="J40" s="76">
        <f>E26</f>
        <v>5.5977313448710854E-2</v>
      </c>
      <c r="K40" s="76">
        <f>E33</f>
        <v>0.14218195433108882</v>
      </c>
    </row>
    <row r="41" spans="2:11" x14ac:dyDescent="0.25">
      <c r="B41" s="193" t="s">
        <v>156</v>
      </c>
      <c r="G41" s="169" t="s">
        <v>157</v>
      </c>
      <c r="J41" s="76">
        <f>K26</f>
        <v>0.16463941526875159</v>
      </c>
      <c r="K41" s="76">
        <f>E34</f>
        <v>0.85781804566891118</v>
      </c>
    </row>
    <row r="42" spans="2:11" x14ac:dyDescent="0.25">
      <c r="B42" s="193" t="s">
        <v>158</v>
      </c>
      <c r="G42" s="189" t="s">
        <v>159</v>
      </c>
      <c r="H42" s="90"/>
      <c r="I42" s="90"/>
      <c r="J42" s="90"/>
      <c r="K42" s="94">
        <f>SUMPRODUCT(J40:J41,K40:K41)</f>
        <v>0.14918962527025442</v>
      </c>
    </row>
    <row r="43" spans="2:11" x14ac:dyDescent="0.25">
      <c r="B43" s="193" t="s">
        <v>160</v>
      </c>
    </row>
    <row r="44" spans="2:11" x14ac:dyDescent="0.25">
      <c r="B44" s="193" t="s">
        <v>161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4FFD-6693-4AB1-9583-5A9980067C28}">
  <dimension ref="A2:K65"/>
  <sheetViews>
    <sheetView showGridLines="0" topLeftCell="A42" workbookViewId="0">
      <selection activeCell="B2" sqref="B2 G4:K4 G7:K11 B7:B10 G14:K17 B14:B16 G19:K19 G22:K30 B22:B30 G32:K34 G36:K37 G39:K39 G41:K41 G43 H43:K44 G46:K46 G48:K48 H50:K50 H52:K52 K54:K55 G57:K57 H59:K60 H62:K62 K64:K65"/>
    </sheetView>
  </sheetViews>
  <sheetFormatPr defaultRowHeight="15" x14ac:dyDescent="0.25"/>
  <cols>
    <col min="1" max="1" width="1.85546875" customWidth="1"/>
    <col min="7" max="9" width="11.140625" bestFit="1" customWidth="1"/>
    <col min="10" max="10" width="15" customWidth="1"/>
    <col min="11" max="11" width="11.140625" bestFit="1" customWidth="1"/>
  </cols>
  <sheetData>
    <row r="2" spans="1:11" x14ac:dyDescent="0.25">
      <c r="B2" s="65" t="str">
        <f>'Data Sheet'!B1&amp; " - Intrinsic Growth"</f>
        <v>TATA MOTORS LTD - Intrinsic Growth</v>
      </c>
      <c r="C2" s="80"/>
      <c r="D2" s="80"/>
      <c r="E2" s="80"/>
      <c r="F2" s="80"/>
      <c r="G2" s="80"/>
      <c r="H2" s="80"/>
      <c r="I2" s="80"/>
      <c r="J2" s="80"/>
      <c r="K2" s="80"/>
    </row>
    <row r="4" spans="1:11" x14ac:dyDescent="0.25">
      <c r="A4" t="s">
        <v>2</v>
      </c>
      <c r="B4" s="65" t="s">
        <v>297</v>
      </c>
      <c r="C4" s="8"/>
      <c r="D4" s="8"/>
      <c r="E4" s="8"/>
      <c r="F4" s="8"/>
      <c r="G4" s="9">
        <f>'Raw BS (Manual)'!J2</f>
        <v>43525</v>
      </c>
      <c r="H4" s="9">
        <f>'Raw BS (Manual)'!K2</f>
        <v>43891</v>
      </c>
      <c r="I4" s="9">
        <f>'Raw BS (Manual)'!L2</f>
        <v>44256</v>
      </c>
      <c r="J4" s="9">
        <f>'Raw BS (Manual)'!M2</f>
        <v>44621</v>
      </c>
      <c r="K4" s="9">
        <f>'Raw BS (Manual)'!N2</f>
        <v>44986</v>
      </c>
    </row>
    <row r="6" spans="1:11" x14ac:dyDescent="0.25">
      <c r="B6" s="11" t="s">
        <v>298</v>
      </c>
    </row>
    <row r="7" spans="1:11" x14ac:dyDescent="0.25">
      <c r="B7" s="118" t="str">
        <f>'Raw BS (Manual)'!B36</f>
        <v>Inventories</v>
      </c>
      <c r="C7" s="118"/>
      <c r="D7" s="118"/>
      <c r="E7" s="118"/>
      <c r="F7" s="118"/>
      <c r="G7" s="125">
        <f>'Raw BS (Manual)'!J36</f>
        <v>39014</v>
      </c>
      <c r="H7" s="125">
        <f>'Raw BS (Manual)'!K36</f>
        <v>37457</v>
      </c>
      <c r="I7" s="125">
        <f>'Raw BS (Manual)'!L36</f>
        <v>36089</v>
      </c>
      <c r="J7" s="125">
        <f>'Raw BS (Manual)'!M36</f>
        <v>35240</v>
      </c>
      <c r="K7" s="125">
        <f>'Raw BS (Manual)'!N36</f>
        <v>40755</v>
      </c>
    </row>
    <row r="8" spans="1:11" x14ac:dyDescent="0.25">
      <c r="B8" s="118" t="str">
        <f>'Raw BS (Manual)'!B37</f>
        <v>Trade receivables</v>
      </c>
      <c r="C8" s="118"/>
      <c r="D8" s="118"/>
      <c r="E8" s="118"/>
      <c r="F8" s="118"/>
      <c r="G8" s="125">
        <f>'Raw BS (Manual)'!J37</f>
        <v>18996</v>
      </c>
      <c r="H8" s="125">
        <f>'Raw BS (Manual)'!K37</f>
        <v>11173</v>
      </c>
      <c r="I8" s="125">
        <f>'Raw BS (Manual)'!L37</f>
        <v>12679</v>
      </c>
      <c r="J8" s="125">
        <f>'Raw BS (Manual)'!M37</f>
        <v>12442</v>
      </c>
      <c r="K8" s="125">
        <f>'Raw BS (Manual)'!N37</f>
        <v>15738</v>
      </c>
    </row>
    <row r="9" spans="1:11" x14ac:dyDescent="0.25">
      <c r="B9" s="118" t="str">
        <f>'Raw BS (Manual)'!B39</f>
        <v>Short term loans</v>
      </c>
      <c r="C9" s="118"/>
      <c r="D9" s="118"/>
      <c r="E9" s="118"/>
      <c r="F9" s="118"/>
      <c r="G9" s="125">
        <f>'Raw BS (Manual)'!J39</f>
        <v>974</v>
      </c>
      <c r="H9" s="125">
        <f>'Raw BS (Manual)'!K39</f>
        <v>39</v>
      </c>
      <c r="I9" s="125">
        <f>'Raw BS (Manual)'!L39</f>
        <v>142</v>
      </c>
      <c r="J9" s="125">
        <f>'Raw BS (Manual)'!M39</f>
        <v>47</v>
      </c>
      <c r="K9" s="125">
        <f>'Raw BS (Manual)'!N39</f>
        <v>50</v>
      </c>
    </row>
    <row r="10" spans="1:11" x14ac:dyDescent="0.25">
      <c r="B10" t="str">
        <f>'Raw BS (Manual)'!B40</f>
        <v>Other asset items</v>
      </c>
      <c r="G10" s="126">
        <f>'Raw BS (Manual)'!J40</f>
        <v>55182</v>
      </c>
      <c r="H10" s="126">
        <f>'Raw BS (Manual)'!K40</f>
        <v>58746</v>
      </c>
      <c r="I10" s="126">
        <f>'Raw BS (Manual)'!L40</f>
        <v>61576</v>
      </c>
      <c r="J10" s="126">
        <f>'Raw BS (Manual)'!M40</f>
        <v>62177</v>
      </c>
      <c r="K10" s="126">
        <f>'Raw BS (Manual)'!N40</f>
        <v>68382</v>
      </c>
    </row>
    <row r="11" spans="1:11" x14ac:dyDescent="0.25">
      <c r="B11" s="85" t="s">
        <v>45</v>
      </c>
      <c r="C11" s="123"/>
      <c r="D11" s="123"/>
      <c r="E11" s="123"/>
      <c r="F11" s="123"/>
      <c r="G11" s="127">
        <f>SUM(G7:G10)</f>
        <v>114166</v>
      </c>
      <c r="H11" s="127">
        <f t="shared" ref="H11:K11" si="0">SUM(H7:H10)</f>
        <v>107415</v>
      </c>
      <c r="I11" s="127">
        <f t="shared" si="0"/>
        <v>110486</v>
      </c>
      <c r="J11" s="127">
        <f t="shared" si="0"/>
        <v>109906</v>
      </c>
      <c r="K11" s="127">
        <f t="shared" si="0"/>
        <v>124925</v>
      </c>
    </row>
    <row r="12" spans="1:11" x14ac:dyDescent="0.25">
      <c r="G12" s="126"/>
      <c r="H12" s="126"/>
      <c r="I12" s="126"/>
      <c r="J12" s="126"/>
      <c r="K12" s="126"/>
    </row>
    <row r="13" spans="1:11" x14ac:dyDescent="0.25">
      <c r="B13" s="11" t="s">
        <v>299</v>
      </c>
      <c r="G13" s="126"/>
      <c r="H13" s="126"/>
      <c r="I13" s="126"/>
      <c r="J13" s="126"/>
      <c r="K13" s="126"/>
    </row>
    <row r="14" spans="1:11" x14ac:dyDescent="0.25">
      <c r="B14" s="118" t="str">
        <f>'Raw BS (Manual)'!B13</f>
        <v>Trade Payables</v>
      </c>
      <c r="C14" s="118"/>
      <c r="D14" s="118"/>
      <c r="E14" s="118"/>
      <c r="F14" s="118"/>
      <c r="G14" s="125">
        <f>'Raw BS (Manual)'!J13</f>
        <v>71691</v>
      </c>
      <c r="H14" s="125">
        <f>'Raw BS (Manual)'!K13</f>
        <v>66398</v>
      </c>
      <c r="I14" s="125">
        <f>'Raw BS (Manual)'!L13</f>
        <v>76040</v>
      </c>
      <c r="J14" s="125">
        <f>'Raw BS (Manual)'!M13</f>
        <v>69750</v>
      </c>
      <c r="K14" s="125">
        <f>'Raw BS (Manual)'!N13</f>
        <v>79252</v>
      </c>
    </row>
    <row r="15" spans="1:11" x14ac:dyDescent="0.25">
      <c r="B15" s="118" t="str">
        <f>'Raw BS (Manual)'!B14</f>
        <v>Advance from Customers</v>
      </c>
      <c r="C15" s="118"/>
      <c r="D15" s="118"/>
      <c r="E15" s="118"/>
      <c r="F15" s="118"/>
      <c r="G15" s="125">
        <f>'Raw BS (Manual)'!J14</f>
        <v>0</v>
      </c>
      <c r="H15" s="125">
        <f>'Raw BS (Manual)'!K14</f>
        <v>0</v>
      </c>
      <c r="I15" s="125">
        <f>'Raw BS (Manual)'!L14</f>
        <v>0</v>
      </c>
      <c r="J15" s="125">
        <f>'Raw BS (Manual)'!M14</f>
        <v>0</v>
      </c>
      <c r="K15" s="125">
        <f>'Raw BS (Manual)'!N14</f>
        <v>0</v>
      </c>
    </row>
    <row r="16" spans="1:11" x14ac:dyDescent="0.25">
      <c r="B16" s="118" t="str">
        <f>'Raw BS (Manual)'!B15</f>
        <v>Other liability items</v>
      </c>
      <c r="C16" s="118"/>
      <c r="D16" s="118"/>
      <c r="E16" s="118"/>
      <c r="F16" s="118"/>
      <c r="G16" s="125">
        <f>'Raw BS (Manual)'!J15</f>
        <v>67135</v>
      </c>
      <c r="H16" s="125">
        <f>'Raw BS (Manual)'!K15</f>
        <v>65969</v>
      </c>
      <c r="I16" s="125">
        <f>'Raw BS (Manual)'!L15</f>
        <v>66579</v>
      </c>
      <c r="J16" s="125">
        <f>'Raw BS (Manual)'!M15</f>
        <v>64030</v>
      </c>
      <c r="K16" s="125">
        <f>'Raw BS (Manual)'!N15</f>
        <v>68710</v>
      </c>
    </row>
    <row r="17" spans="1:11" x14ac:dyDescent="0.25">
      <c r="B17" s="85" t="s">
        <v>300</v>
      </c>
      <c r="C17" s="123"/>
      <c r="D17" s="123"/>
      <c r="E17" s="123"/>
      <c r="F17" s="123"/>
      <c r="G17" s="127">
        <f>SUM(G14:G16)</f>
        <v>138826</v>
      </c>
      <c r="H17" s="127">
        <f>SUM(H14:H16)</f>
        <v>132367</v>
      </c>
      <c r="I17" s="127">
        <f>SUM(I14:I16)</f>
        <v>142619</v>
      </c>
      <c r="J17" s="127">
        <f>SUM(J14:J16)</f>
        <v>133780</v>
      </c>
      <c r="K17" s="127">
        <f>SUM(K14:K16)</f>
        <v>147962</v>
      </c>
    </row>
    <row r="18" spans="1:11" x14ac:dyDescent="0.25">
      <c r="G18" s="126"/>
      <c r="H18" s="126"/>
      <c r="I18" s="126"/>
      <c r="J18" s="126"/>
      <c r="K18" s="126"/>
    </row>
    <row r="19" spans="1:11" ht="15.75" thickBot="1" x14ac:dyDescent="0.3">
      <c r="A19" t="s">
        <v>2</v>
      </c>
      <c r="B19" s="57" t="s">
        <v>301</v>
      </c>
      <c r="C19" s="57"/>
      <c r="D19" s="57"/>
      <c r="E19" s="57"/>
      <c r="F19" s="57"/>
      <c r="G19" s="128">
        <f>G11-G17</f>
        <v>-24660</v>
      </c>
      <c r="H19" s="128">
        <f t="shared" ref="H19:K19" si="1">H11-H17</f>
        <v>-24952</v>
      </c>
      <c r="I19" s="128">
        <f t="shared" si="1"/>
        <v>-32133</v>
      </c>
      <c r="J19" s="128">
        <f t="shared" si="1"/>
        <v>-23874</v>
      </c>
      <c r="K19" s="128">
        <f t="shared" si="1"/>
        <v>-23037</v>
      </c>
    </row>
    <row r="20" spans="1:11" x14ac:dyDescent="0.25">
      <c r="G20" s="126"/>
      <c r="H20" s="126"/>
      <c r="I20" s="126"/>
      <c r="J20" s="126"/>
      <c r="K20" s="126"/>
    </row>
    <row r="21" spans="1:11" x14ac:dyDescent="0.25">
      <c r="B21" s="11" t="s">
        <v>302</v>
      </c>
      <c r="G21" s="126"/>
      <c r="H21" s="126"/>
      <c r="I21" s="126"/>
      <c r="J21" s="126"/>
      <c r="K21" s="126"/>
    </row>
    <row r="22" spans="1:11" x14ac:dyDescent="0.25">
      <c r="B22" s="118" t="str">
        <f>'Raw BS (Manual)'!B19</f>
        <v>Land</v>
      </c>
      <c r="C22" s="118"/>
      <c r="D22" s="118"/>
      <c r="E22" s="118"/>
      <c r="F22" s="118"/>
      <c r="G22" s="125">
        <f>'Raw BS (Manual)'!J19</f>
        <v>7286</v>
      </c>
      <c r="H22" s="125">
        <f>'Raw BS (Manual)'!K19</f>
        <v>7675</v>
      </c>
      <c r="I22" s="125">
        <f>'Raw BS (Manual)'!L19</f>
        <v>7819</v>
      </c>
      <c r="J22" s="125">
        <f>'Raw BS (Manual)'!M19</f>
        <v>7760</v>
      </c>
      <c r="K22" s="125">
        <f>'Raw BS (Manual)'!N19</f>
        <v>8045</v>
      </c>
    </row>
    <row r="23" spans="1:11" x14ac:dyDescent="0.25">
      <c r="B23" s="118" t="str">
        <f>'Raw BS (Manual)'!B20</f>
        <v>Building</v>
      </c>
      <c r="C23" s="118"/>
      <c r="D23" s="118"/>
      <c r="E23" s="118"/>
      <c r="F23" s="118"/>
      <c r="G23" s="125">
        <f>'Raw BS (Manual)'!J20</f>
        <v>22938</v>
      </c>
      <c r="H23" s="125">
        <f>'Raw BS (Manual)'!K20</f>
        <v>32665</v>
      </c>
      <c r="I23" s="125">
        <f>'Raw BS (Manual)'!L20</f>
        <v>35537</v>
      </c>
      <c r="J23" s="125">
        <f>'Raw BS (Manual)'!M20</f>
        <v>36466</v>
      </c>
      <c r="K23" s="125">
        <f>'Raw BS (Manual)'!N20</f>
        <v>38781</v>
      </c>
    </row>
    <row r="24" spans="1:11" x14ac:dyDescent="0.25">
      <c r="B24" s="118" t="str">
        <f>'Raw BS (Manual)'!B21</f>
        <v>Plant Machinery</v>
      </c>
      <c r="C24" s="118"/>
      <c r="D24" s="118"/>
      <c r="E24" s="118"/>
      <c r="F24" s="118"/>
      <c r="G24" s="125">
        <f>'Raw BS (Manual)'!J21</f>
        <v>109415</v>
      </c>
      <c r="H24" s="125">
        <f>'Raw BS (Manual)'!K21</f>
        <v>124158</v>
      </c>
      <c r="I24" s="125">
        <f>'Raw BS (Manual)'!L21</f>
        <v>138868</v>
      </c>
      <c r="J24" s="125">
        <f>'Raw BS (Manual)'!M21</f>
        <v>148585</v>
      </c>
      <c r="K24" s="125">
        <f>'Raw BS (Manual)'!N21</f>
        <v>153672</v>
      </c>
    </row>
    <row r="25" spans="1:11" x14ac:dyDescent="0.25">
      <c r="B25" s="118" t="str">
        <f>'Raw BS (Manual)'!B22</f>
        <v>Equipments</v>
      </c>
      <c r="C25" s="118"/>
      <c r="D25" s="118"/>
      <c r="E25" s="118"/>
      <c r="F25" s="118"/>
      <c r="G25" s="125">
        <f>'Raw BS (Manual)'!J22</f>
        <v>0</v>
      </c>
      <c r="H25" s="125">
        <f>'Raw BS (Manual)'!K22</f>
        <v>0</v>
      </c>
      <c r="I25" s="125">
        <f>'Raw BS (Manual)'!L22</f>
        <v>0</v>
      </c>
      <c r="J25" s="125">
        <f>'Raw BS (Manual)'!M22</f>
        <v>0</v>
      </c>
      <c r="K25" s="125">
        <f>'Raw BS (Manual)'!N22</f>
        <v>0</v>
      </c>
    </row>
    <row r="26" spans="1:11" x14ac:dyDescent="0.25">
      <c r="B26" s="118" t="str">
        <f>'Raw BS (Manual)'!B23</f>
        <v>Computers</v>
      </c>
      <c r="C26" s="118"/>
      <c r="D26" s="118"/>
      <c r="E26" s="118"/>
      <c r="F26" s="118"/>
      <c r="G26" s="125">
        <f>'Raw BS (Manual)'!J23</f>
        <v>2335</v>
      </c>
      <c r="H26" s="125">
        <f>'Raw BS (Manual)'!K23</f>
        <v>3054</v>
      </c>
      <c r="I26" s="125">
        <f>'Raw BS (Manual)'!L23</f>
        <v>3172</v>
      </c>
      <c r="J26" s="125">
        <f>'Raw BS (Manual)'!M23</f>
        <v>3383</v>
      </c>
      <c r="K26" s="125">
        <f>'Raw BS (Manual)'!N23</f>
        <v>3499</v>
      </c>
    </row>
    <row r="27" spans="1:11" x14ac:dyDescent="0.25">
      <c r="B27" s="118" t="str">
        <f>'Raw BS (Manual)'!B24</f>
        <v>Furniture n fittings</v>
      </c>
      <c r="C27" s="118"/>
      <c r="D27" s="118"/>
      <c r="E27" s="118"/>
      <c r="F27" s="118"/>
      <c r="G27" s="125">
        <f>'Raw BS (Manual)'!J24</f>
        <v>1626</v>
      </c>
      <c r="H27" s="125">
        <f>'Raw BS (Manual)'!K24</f>
        <v>1890</v>
      </c>
      <c r="I27" s="125">
        <f>'Raw BS (Manual)'!L24</f>
        <v>1956</v>
      </c>
      <c r="J27" s="125">
        <f>'Raw BS (Manual)'!M24</f>
        <v>1984</v>
      </c>
      <c r="K27" s="125">
        <f>'Raw BS (Manual)'!N24</f>
        <v>2084</v>
      </c>
    </row>
    <row r="28" spans="1:11" x14ac:dyDescent="0.25">
      <c r="B28" s="118" t="str">
        <f>'Raw BS (Manual)'!B25</f>
        <v>Vehicles</v>
      </c>
      <c r="C28" s="118"/>
      <c r="D28" s="118"/>
      <c r="E28" s="118"/>
      <c r="F28" s="118"/>
      <c r="G28" s="125">
        <f>'Raw BS (Manual)'!J25</f>
        <v>387</v>
      </c>
      <c r="H28" s="125">
        <f>'Raw BS (Manual)'!K25</f>
        <v>601</v>
      </c>
      <c r="I28" s="125">
        <f>'Raw BS (Manual)'!L25</f>
        <v>845</v>
      </c>
      <c r="J28" s="125">
        <f>'Raw BS (Manual)'!M25</f>
        <v>725</v>
      </c>
      <c r="K28" s="125">
        <f>'Raw BS (Manual)'!N25</f>
        <v>788</v>
      </c>
    </row>
    <row r="29" spans="1:11" x14ac:dyDescent="0.25">
      <c r="B29" s="118" t="str">
        <f>'Raw BS (Manual)'!B26</f>
        <v>Intangible Assets</v>
      </c>
      <c r="C29" s="118"/>
      <c r="D29" s="118"/>
      <c r="E29" s="118"/>
      <c r="F29" s="118"/>
      <c r="G29" s="125">
        <f>'Raw BS (Manual)'!J26</f>
        <v>80480</v>
      </c>
      <c r="H29" s="125">
        <f>'Raw BS (Manual)'!K26</f>
        <v>91157</v>
      </c>
      <c r="I29" s="125">
        <f>'Raw BS (Manual)'!L26</f>
        <v>114809</v>
      </c>
      <c r="J29" s="125">
        <f>'Raw BS (Manual)'!M26</f>
        <v>114323</v>
      </c>
      <c r="K29" s="125">
        <f>'Raw BS (Manual)'!N26</f>
        <v>112538</v>
      </c>
    </row>
    <row r="30" spans="1:11" x14ac:dyDescent="0.25">
      <c r="B30" s="118" t="str">
        <f>'Raw BS (Manual)'!B27</f>
        <v>Other fixed assets</v>
      </c>
      <c r="C30" s="118"/>
      <c r="D30" s="118"/>
      <c r="E30" s="118"/>
      <c r="F30" s="118"/>
      <c r="G30" s="125">
        <f>'Raw BS (Manual)'!J27</f>
        <v>8049</v>
      </c>
      <c r="H30" s="125">
        <f>'Raw BS (Manual)'!K27</f>
        <v>9380</v>
      </c>
      <c r="I30" s="125">
        <f>'Raw BS (Manual)'!L27</f>
        <v>10686</v>
      </c>
      <c r="J30" s="125">
        <f>'Raw BS (Manual)'!M27</f>
        <v>10870</v>
      </c>
      <c r="K30" s="125">
        <f>'Raw BS (Manual)'!N27</f>
        <v>11735</v>
      </c>
    </row>
    <row r="31" spans="1:11" ht="8.25" customHeight="1" x14ac:dyDescent="0.25">
      <c r="B31" s="103"/>
      <c r="C31" s="103"/>
      <c r="D31" s="103"/>
      <c r="E31" s="103"/>
      <c r="F31" s="103"/>
      <c r="G31" s="129"/>
      <c r="H31" s="129"/>
      <c r="I31" s="129"/>
      <c r="J31" s="129"/>
      <c r="K31" s="129"/>
    </row>
    <row r="32" spans="1:11" x14ac:dyDescent="0.25">
      <c r="B32" s="85" t="s">
        <v>288</v>
      </c>
      <c r="C32" s="123"/>
      <c r="D32" s="123"/>
      <c r="E32" s="123"/>
      <c r="F32" s="123"/>
      <c r="G32" s="127">
        <f>SUM(G22:G30)</f>
        <v>232516</v>
      </c>
      <c r="H32" s="127">
        <f>SUM(H22:H30)</f>
        <v>270580</v>
      </c>
      <c r="I32" s="127">
        <f>SUM(I22:I30)</f>
        <v>313692</v>
      </c>
      <c r="J32" s="127">
        <f>SUM(J22:J30)</f>
        <v>324096</v>
      </c>
      <c r="K32" s="127">
        <f>SUM(K22:K30)</f>
        <v>331142</v>
      </c>
    </row>
    <row r="33" spans="1:11" x14ac:dyDescent="0.25">
      <c r="B33" t="s">
        <v>289</v>
      </c>
      <c r="G33" s="126">
        <f>-'Raw BS (Manual)'!J29</f>
        <v>-121283</v>
      </c>
      <c r="H33" s="126">
        <f>-'Raw BS (Manual)'!K29</f>
        <v>-143471</v>
      </c>
      <c r="I33" s="126">
        <f>-'Raw BS (Manual)'!L29</f>
        <v>-174985</v>
      </c>
      <c r="J33" s="126">
        <f>-'Raw BS (Manual)'!M29</f>
        <v>-185241</v>
      </c>
      <c r="K33" s="126">
        <f>-'Raw BS (Manual)'!N29</f>
        <v>-199062</v>
      </c>
    </row>
    <row r="34" spans="1:11" ht="15.75" thickBot="1" x14ac:dyDescent="0.3">
      <c r="A34" s="114" t="s">
        <v>2</v>
      </c>
      <c r="B34" s="57" t="s">
        <v>303</v>
      </c>
      <c r="C34" s="57"/>
      <c r="D34" s="57"/>
      <c r="E34" s="57"/>
      <c r="F34" s="57"/>
      <c r="G34" s="128">
        <f>SUM(G32:G33)</f>
        <v>111233</v>
      </c>
      <c r="H34" s="128">
        <f t="shared" ref="H34:K34" si="2">SUM(H32:H33)</f>
        <v>127109</v>
      </c>
      <c r="I34" s="128">
        <f t="shared" si="2"/>
        <v>138707</v>
      </c>
      <c r="J34" s="128">
        <f t="shared" si="2"/>
        <v>138855</v>
      </c>
      <c r="K34" s="128">
        <f t="shared" si="2"/>
        <v>132080</v>
      </c>
    </row>
    <row r="35" spans="1:11" x14ac:dyDescent="0.25">
      <c r="G35" s="126"/>
      <c r="H35" s="126"/>
      <c r="I35" s="126"/>
      <c r="J35" s="126"/>
      <c r="K35" s="126"/>
    </row>
    <row r="36" spans="1:11" x14ac:dyDescent="0.25">
      <c r="A36" t="s">
        <v>2</v>
      </c>
      <c r="B36" s="11" t="s">
        <v>304</v>
      </c>
      <c r="C36" s="11"/>
      <c r="D36" s="11"/>
      <c r="E36" s="11"/>
      <c r="F36" s="11"/>
      <c r="G36" s="130">
        <f>G34+G19</f>
        <v>86573</v>
      </c>
      <c r="H36" s="130">
        <f t="shared" ref="H36:K36" si="3">H34+H19</f>
        <v>102157</v>
      </c>
      <c r="I36" s="130">
        <f t="shared" si="3"/>
        <v>106574</v>
      </c>
      <c r="J36" s="130">
        <f t="shared" si="3"/>
        <v>114981</v>
      </c>
      <c r="K36" s="130">
        <f t="shared" si="3"/>
        <v>109043</v>
      </c>
    </row>
    <row r="37" spans="1:11" x14ac:dyDescent="0.25">
      <c r="B37" t="s">
        <v>115</v>
      </c>
      <c r="G37" s="126">
        <f>'Historical FS'!H18-'Historical FS'!H24</f>
        <v>1073.7000000000226</v>
      </c>
      <c r="H37" s="126">
        <f>'Historical FS'!I18-'Historical FS'!I24</f>
        <v>-3438.360000000037</v>
      </c>
      <c r="I37" s="126">
        <f>'Historical FS'!J18-'Historical FS'!J24</f>
        <v>8740.7199999999903</v>
      </c>
      <c r="J37" s="126">
        <f>'Historical FS'!K18-'Historical FS'!K24</f>
        <v>-115.59999999998399</v>
      </c>
      <c r="K37" s="126">
        <f>'Historical FS'!L18-'Historical FS'!L24</f>
        <v>6955.4399999999587</v>
      </c>
    </row>
    <row r="39" spans="1:11" ht="15.75" thickBot="1" x14ac:dyDescent="0.3">
      <c r="A39" t="s">
        <v>2</v>
      </c>
      <c r="B39" s="57" t="s">
        <v>305</v>
      </c>
      <c r="C39" s="57"/>
      <c r="D39" s="57"/>
      <c r="E39" s="57"/>
      <c r="F39" s="57"/>
      <c r="G39" s="124">
        <f>G37/G36</f>
        <v>1.2402250124172924E-2</v>
      </c>
      <c r="H39" s="124">
        <f t="shared" ref="H39:K39" si="4">H37/H36</f>
        <v>-3.3657605450434495E-2</v>
      </c>
      <c r="I39" s="124">
        <f t="shared" si="4"/>
        <v>8.2015500966464525E-2</v>
      </c>
      <c r="J39" s="124">
        <f t="shared" si="4"/>
        <v>-1.0053834981430324E-3</v>
      </c>
      <c r="K39" s="124">
        <f t="shared" si="4"/>
        <v>6.3786212778444817E-2</v>
      </c>
    </row>
    <row r="41" spans="1:11" x14ac:dyDescent="0.25">
      <c r="A41" t="s">
        <v>2</v>
      </c>
      <c r="B41" s="65" t="s">
        <v>306</v>
      </c>
      <c r="C41" s="8"/>
      <c r="D41" s="8"/>
      <c r="E41" s="8"/>
      <c r="F41" s="8"/>
      <c r="G41" s="9">
        <f>'Intrinsic Growth'!G4</f>
        <v>43525</v>
      </c>
      <c r="H41" s="9">
        <f>'Intrinsic Growth'!H4</f>
        <v>43891</v>
      </c>
      <c r="I41" s="9">
        <f>'Intrinsic Growth'!I4</f>
        <v>44256</v>
      </c>
      <c r="J41" s="9">
        <f>'Intrinsic Growth'!J4</f>
        <v>44621</v>
      </c>
      <c r="K41" s="9">
        <f>'Intrinsic Growth'!K4</f>
        <v>44986</v>
      </c>
    </row>
    <row r="43" spans="1:11" x14ac:dyDescent="0.25">
      <c r="B43" s="118" t="s">
        <v>307</v>
      </c>
      <c r="C43" s="118"/>
      <c r="D43" s="118"/>
      <c r="E43" s="118"/>
      <c r="F43" s="118"/>
      <c r="G43" s="125">
        <f>-SUM('Cash Flow Data (Manual)'!J15:J16)</f>
        <v>35237</v>
      </c>
      <c r="H43" s="125">
        <f>-SUM('Cash Flow Data (Manual)'!K15:K16)</f>
        <v>29531</v>
      </c>
      <c r="I43" s="125">
        <f>-SUM('Cash Flow Data (Manual)'!L15:L16)</f>
        <v>19854</v>
      </c>
      <c r="J43" s="125">
        <f>-SUM('Cash Flow Data (Manual)'!M15:M16)</f>
        <v>14938</v>
      </c>
      <c r="K43" s="125">
        <f>-SUM('Cash Flow Data (Manual)'!N15:N16)</f>
        <v>18945</v>
      </c>
    </row>
    <row r="44" spans="1:11" x14ac:dyDescent="0.25">
      <c r="B44" s="118" t="s">
        <v>308</v>
      </c>
      <c r="C44" s="118"/>
      <c r="D44" s="118"/>
      <c r="E44" s="118"/>
      <c r="F44" s="118"/>
      <c r="G44" s="125"/>
      <c r="H44" s="125">
        <f>H19-G19</f>
        <v>-292</v>
      </c>
      <c r="I44" s="125">
        <f t="shared" ref="I44:K44" si="5">I19-H19</f>
        <v>-7181</v>
      </c>
      <c r="J44" s="125">
        <f t="shared" si="5"/>
        <v>8259</v>
      </c>
      <c r="K44" s="125">
        <f t="shared" si="5"/>
        <v>837</v>
      </c>
    </row>
    <row r="45" spans="1:11" x14ac:dyDescent="0.25">
      <c r="B45" s="118"/>
      <c r="C45" s="118"/>
      <c r="D45" s="118"/>
      <c r="E45" s="118"/>
      <c r="F45" s="118"/>
      <c r="G45" s="125"/>
      <c r="H45" s="125"/>
      <c r="I45" s="125"/>
      <c r="J45" s="125"/>
      <c r="K45" s="125"/>
    </row>
    <row r="46" spans="1:11" x14ac:dyDescent="0.25">
      <c r="B46" s="118" t="s">
        <v>115</v>
      </c>
      <c r="C46" s="118"/>
      <c r="D46" s="118"/>
      <c r="E46" s="118"/>
      <c r="F46" s="118"/>
      <c r="G46" s="125">
        <f>G37</f>
        <v>1073.7000000000226</v>
      </c>
      <c r="H46" s="125">
        <f t="shared" ref="H46:K46" si="6">H37</f>
        <v>-3438.360000000037</v>
      </c>
      <c r="I46" s="125">
        <f t="shared" si="6"/>
        <v>8740.7199999999903</v>
      </c>
      <c r="J46" s="125">
        <f t="shared" si="6"/>
        <v>-115.59999999998399</v>
      </c>
      <c r="K46" s="125">
        <f t="shared" si="6"/>
        <v>6955.4399999999587</v>
      </c>
    </row>
    <row r="47" spans="1:11" x14ac:dyDescent="0.25">
      <c r="B47" s="118" t="s">
        <v>309</v>
      </c>
      <c r="C47" s="118"/>
      <c r="D47" s="118"/>
      <c r="E47" s="118"/>
      <c r="F47" s="118"/>
      <c r="G47" s="131">
        <v>0.25</v>
      </c>
      <c r="H47" s="131">
        <v>0.25</v>
      </c>
      <c r="I47" s="131">
        <v>0.25</v>
      </c>
      <c r="J47" s="131">
        <v>0.25</v>
      </c>
      <c r="K47" s="131">
        <v>0.25</v>
      </c>
    </row>
    <row r="48" spans="1:11" x14ac:dyDescent="0.25">
      <c r="B48" s="118" t="s">
        <v>312</v>
      </c>
      <c r="C48" s="118"/>
      <c r="D48" s="118"/>
      <c r="E48" s="118"/>
      <c r="F48" s="118"/>
      <c r="G48" s="125">
        <f>G46*(1-G47)</f>
        <v>805.27500000001692</v>
      </c>
      <c r="H48" s="125">
        <f t="shared" ref="H48:K48" si="7">H46*(1-H47)</f>
        <v>-2578.7700000000277</v>
      </c>
      <c r="I48" s="125">
        <f t="shared" si="7"/>
        <v>6555.5399999999927</v>
      </c>
      <c r="J48" s="125">
        <f t="shared" si="7"/>
        <v>-86.699999999987995</v>
      </c>
      <c r="K48" s="125">
        <f t="shared" si="7"/>
        <v>5216.579999999969</v>
      </c>
    </row>
    <row r="49" spans="1:11" x14ac:dyDescent="0.25">
      <c r="B49" s="118"/>
      <c r="C49" s="118"/>
      <c r="D49" s="118"/>
      <c r="E49" s="118"/>
      <c r="F49" s="118"/>
      <c r="G49" s="125"/>
      <c r="H49" s="125"/>
      <c r="I49" s="125"/>
      <c r="J49" s="125"/>
      <c r="K49" s="125"/>
    </row>
    <row r="50" spans="1:11" x14ac:dyDescent="0.25">
      <c r="B50" s="118" t="s">
        <v>310</v>
      </c>
      <c r="C50" s="118"/>
      <c r="D50" s="118"/>
      <c r="E50" s="118"/>
      <c r="F50" s="118"/>
      <c r="G50" s="125"/>
      <c r="H50" s="125">
        <f>SUM(H43:H44)</f>
        <v>29239</v>
      </c>
      <c r="I50" s="125">
        <f t="shared" ref="I50:K50" si="8">SUM(I43:I44)</f>
        <v>12673</v>
      </c>
      <c r="J50" s="125">
        <f t="shared" si="8"/>
        <v>23197</v>
      </c>
      <c r="K50" s="125">
        <f t="shared" si="8"/>
        <v>19782</v>
      </c>
    </row>
    <row r="51" spans="1:11" ht="4.5" customHeight="1" x14ac:dyDescent="0.25">
      <c r="H51" s="21"/>
      <c r="I51" s="21"/>
      <c r="J51" s="21"/>
      <c r="K51" s="21"/>
    </row>
    <row r="52" spans="1:11" ht="15.75" thickBot="1" x14ac:dyDescent="0.3">
      <c r="B52" s="57" t="s">
        <v>311</v>
      </c>
      <c r="C52" s="57"/>
      <c r="D52" s="57"/>
      <c r="E52" s="57"/>
      <c r="F52" s="57"/>
      <c r="G52" s="57"/>
      <c r="H52" s="124">
        <f>H50/H48</f>
        <v>-11.338351229461987</v>
      </c>
      <c r="I52" s="124">
        <f t="shared" ref="I52:K52" si="9">I50/I48</f>
        <v>1.9331740787181551</v>
      </c>
      <c r="J52" s="124">
        <f t="shared" si="9"/>
        <v>-267.5547866205676</v>
      </c>
      <c r="K52" s="124">
        <f t="shared" si="9"/>
        <v>3.7921396777199079</v>
      </c>
    </row>
    <row r="53" spans="1:11" x14ac:dyDescent="0.25">
      <c r="H53" s="14"/>
      <c r="I53" s="14"/>
      <c r="J53" s="14"/>
      <c r="K53" s="14"/>
    </row>
    <row r="54" spans="1:11" x14ac:dyDescent="0.25">
      <c r="J54" s="77" t="s">
        <v>313</v>
      </c>
      <c r="K54" s="132">
        <f>AVERAGE(H52:K52)</f>
        <v>-68.291956023397887</v>
      </c>
    </row>
    <row r="55" spans="1:11" x14ac:dyDescent="0.25">
      <c r="J55" s="77" t="s">
        <v>314</v>
      </c>
      <c r="K55" s="132">
        <f>MEDIAN(H52:K52)</f>
        <v>-4.7025885753719159</v>
      </c>
    </row>
    <row r="57" spans="1:11" x14ac:dyDescent="0.25">
      <c r="A57" t="s">
        <v>2</v>
      </c>
      <c r="B57" s="65" t="s">
        <v>315</v>
      </c>
      <c r="C57" s="8"/>
      <c r="D57" s="8"/>
      <c r="E57" s="8"/>
      <c r="F57" s="8"/>
      <c r="G57" s="9">
        <f>G41</f>
        <v>43525</v>
      </c>
      <c r="H57" s="9">
        <f t="shared" ref="H57:K57" si="10">H41</f>
        <v>43891</v>
      </c>
      <c r="I57" s="9">
        <f t="shared" si="10"/>
        <v>44256</v>
      </c>
      <c r="J57" s="9">
        <f t="shared" si="10"/>
        <v>44621</v>
      </c>
      <c r="K57" s="9">
        <f t="shared" si="10"/>
        <v>44986</v>
      </c>
    </row>
    <row r="59" spans="1:11" x14ac:dyDescent="0.25">
      <c r="B59" s="118" t="s">
        <v>311</v>
      </c>
      <c r="C59" s="118"/>
      <c r="D59" s="118"/>
      <c r="E59" s="118"/>
      <c r="F59" s="118"/>
      <c r="G59" s="118"/>
      <c r="H59" s="131">
        <f>H52</f>
        <v>-11.338351229461987</v>
      </c>
      <c r="I59" s="131">
        <f t="shared" ref="I59:K59" si="11">I52</f>
        <v>1.9331740787181551</v>
      </c>
      <c r="J59" s="131">
        <f t="shared" si="11"/>
        <v>-267.5547866205676</v>
      </c>
      <c r="K59" s="131">
        <f t="shared" si="11"/>
        <v>3.7921396777199079</v>
      </c>
    </row>
    <row r="60" spans="1:11" x14ac:dyDescent="0.25">
      <c r="B60" s="118" t="s">
        <v>305</v>
      </c>
      <c r="C60" s="118"/>
      <c r="D60" s="118"/>
      <c r="E60" s="118"/>
      <c r="F60" s="118"/>
      <c r="G60" s="118"/>
      <c r="H60" s="131">
        <f>H39</f>
        <v>-3.3657605450434495E-2</v>
      </c>
      <c r="I60" s="131">
        <f t="shared" ref="I60:K60" si="12">I39</f>
        <v>8.2015500966464525E-2</v>
      </c>
      <c r="J60" s="131">
        <f t="shared" si="12"/>
        <v>-1.0053834981430324E-3</v>
      </c>
      <c r="K60" s="131">
        <f t="shared" si="12"/>
        <v>6.3786212778444817E-2</v>
      </c>
    </row>
    <row r="61" spans="1:11" ht="6" customHeight="1" x14ac:dyDescent="0.25"/>
    <row r="62" spans="1:11" ht="15.75" thickBot="1" x14ac:dyDescent="0.3">
      <c r="B62" s="57" t="s">
        <v>316</v>
      </c>
      <c r="C62" s="57"/>
      <c r="D62" s="57"/>
      <c r="E62" s="57"/>
      <c r="F62" s="57"/>
      <c r="G62" s="57"/>
      <c r="H62" s="133">
        <f>H59*H60</f>
        <v>0.38162175213968041</v>
      </c>
      <c r="I62" s="133">
        <f t="shared" ref="I62:K62" si="13">I59*I60</f>
        <v>0.158550240521453</v>
      </c>
      <c r="J62" s="133">
        <f t="shared" si="13"/>
        <v>0.26899516731749884</v>
      </c>
      <c r="K62" s="133">
        <f t="shared" si="13"/>
        <v>0.24188622836862519</v>
      </c>
    </row>
    <row r="64" spans="1:11" x14ac:dyDescent="0.25">
      <c r="J64" s="77" t="s">
        <v>313</v>
      </c>
      <c r="K64" s="132">
        <f>AVERAGE(H62:K62)</f>
        <v>0.26276334708681437</v>
      </c>
    </row>
    <row r="65" spans="10:11" x14ac:dyDescent="0.25">
      <c r="J65" s="77" t="s">
        <v>314</v>
      </c>
      <c r="K65" s="132">
        <f>MEDIAN(H62:K62)</f>
        <v>0.255440697843062</v>
      </c>
    </row>
  </sheetData>
  <pageMargins left="0.7" right="0.7" top="0.75" bottom="0.75" header="0.3" footer="0.3"/>
  <ignoredErrors>
    <ignoredError sqref="G43:K43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FC14-F1B6-43CA-ABEE-C8B98359EF16}">
  <dimension ref="A2:K43"/>
  <sheetViews>
    <sheetView showGridLines="0" topLeftCell="A16" workbookViewId="0">
      <selection activeCell="G19" sqref="G19"/>
    </sheetView>
  </sheetViews>
  <sheetFormatPr defaultRowHeight="15" x14ac:dyDescent="0.25"/>
  <cols>
    <col min="1" max="1" width="1.85546875" customWidth="1"/>
    <col min="2" max="2" width="27.5703125" bestFit="1" customWidth="1"/>
    <col min="4" max="4" width="11.140625" bestFit="1" customWidth="1"/>
    <col min="6" max="6" width="10" bestFit="1" customWidth="1"/>
    <col min="7" max="9" width="11.5703125" bestFit="1" customWidth="1"/>
    <col min="10" max="11" width="10" bestFit="1" customWidth="1"/>
  </cols>
  <sheetData>
    <row r="2" spans="1:11" x14ac:dyDescent="0.25">
      <c r="B2" s="65" t="str">
        <f>"Discounted Cash Flows Valuation - "&amp;'Data Sheet'!B1</f>
        <v>Discounted Cash Flows Valuation - TATA MOTORS LTD</v>
      </c>
      <c r="C2" s="80"/>
      <c r="D2" s="80"/>
      <c r="E2" s="80"/>
      <c r="F2" s="80"/>
      <c r="G2" s="80"/>
      <c r="H2" s="80"/>
      <c r="I2" s="80"/>
      <c r="J2" s="80"/>
      <c r="K2" s="80"/>
    </row>
    <row r="4" spans="1:11" x14ac:dyDescent="0.25">
      <c r="A4" t="s">
        <v>2</v>
      </c>
      <c r="B4" s="65" t="s">
        <v>317</v>
      </c>
      <c r="C4" s="80"/>
      <c r="D4" s="80"/>
      <c r="E4" s="80"/>
      <c r="F4" s="135">
        <f>'Intrinsic Growth'!K4</f>
        <v>44986</v>
      </c>
      <c r="G4" s="134">
        <f>F4+366</f>
        <v>45352</v>
      </c>
      <c r="H4" s="134">
        <f t="shared" ref="H4:K4" si="0">G4+366</f>
        <v>45718</v>
      </c>
      <c r="I4" s="134">
        <f t="shared" si="0"/>
        <v>46084</v>
      </c>
      <c r="J4" s="134">
        <f t="shared" si="0"/>
        <v>46450</v>
      </c>
      <c r="K4" s="134">
        <f t="shared" si="0"/>
        <v>46816</v>
      </c>
    </row>
    <row r="6" spans="1:11" x14ac:dyDescent="0.25">
      <c r="B6" s="118" t="s">
        <v>115</v>
      </c>
      <c r="C6" s="118"/>
      <c r="D6" s="118"/>
      <c r="E6" s="118"/>
      <c r="F6" s="139">
        <f>'Data Sheet'!K33-'Data Sheet'!K26</f>
        <v>13283.029999999999</v>
      </c>
      <c r="G6" s="118">
        <f>F6*(1+$D$16)</f>
        <v>12818.123949999999</v>
      </c>
      <c r="H6" s="118">
        <f>G6*(1+$D$16)</f>
        <v>12369.489611749999</v>
      </c>
      <c r="I6" s="118">
        <f>H6*(1+$D$16)</f>
        <v>11936.557475338748</v>
      </c>
      <c r="J6" s="118">
        <f>I6*(1+$D$16)</f>
        <v>11518.777963701892</v>
      </c>
      <c r="K6" s="118">
        <f>J6*(1+$D$16)</f>
        <v>11115.620734972326</v>
      </c>
    </row>
    <row r="7" spans="1:11" x14ac:dyDescent="0.25">
      <c r="B7" s="118" t="s">
        <v>139</v>
      </c>
      <c r="C7" s="118"/>
      <c r="D7" s="118"/>
      <c r="E7" s="118"/>
      <c r="F7" s="140">
        <v>0.25</v>
      </c>
      <c r="G7" s="131">
        <f>F7</f>
        <v>0.25</v>
      </c>
      <c r="H7" s="131">
        <f t="shared" ref="H7:K7" si="1">G7</f>
        <v>0.25</v>
      </c>
      <c r="I7" s="131">
        <f t="shared" si="1"/>
        <v>0.25</v>
      </c>
      <c r="J7" s="131">
        <f t="shared" si="1"/>
        <v>0.25</v>
      </c>
      <c r="K7" s="131">
        <f t="shared" si="1"/>
        <v>0.25</v>
      </c>
    </row>
    <row r="8" spans="1:11" x14ac:dyDescent="0.25">
      <c r="B8" s="118" t="s">
        <v>312</v>
      </c>
      <c r="C8" s="118"/>
      <c r="D8" s="118"/>
      <c r="E8" s="118"/>
      <c r="F8" s="141">
        <f t="shared" ref="F8:K8" si="2">F6*(1-F7)</f>
        <v>9962.2724999999991</v>
      </c>
      <c r="G8" s="118">
        <f t="shared" si="2"/>
        <v>9613.592962499999</v>
      </c>
      <c r="H8" s="118">
        <f t="shared" si="2"/>
        <v>9277.1172088124986</v>
      </c>
      <c r="I8" s="118">
        <f t="shared" si="2"/>
        <v>8952.4181065040611</v>
      </c>
      <c r="J8" s="118">
        <f t="shared" si="2"/>
        <v>8639.0834727764195</v>
      </c>
      <c r="K8" s="118">
        <f t="shared" si="2"/>
        <v>8336.7155512292447</v>
      </c>
    </row>
    <row r="9" spans="1:11" x14ac:dyDescent="0.25">
      <c r="B9" s="118" t="s">
        <v>318</v>
      </c>
      <c r="C9" s="118"/>
      <c r="D9" s="118"/>
      <c r="E9" s="118"/>
      <c r="F9" s="140">
        <f>'Intrinsic Growth'!K55</f>
        <v>-4.7025885753719159</v>
      </c>
      <c r="G9" s="138">
        <f>F9+(($K$9-$F$9)/5)</f>
        <v>-3.5910708602975325</v>
      </c>
      <c r="H9" s="138">
        <f t="shared" ref="H9:J9" si="3">G9+(($K$9-$F$9)/5)</f>
        <v>-2.4795531452231492</v>
      </c>
      <c r="I9" s="138">
        <f t="shared" si="3"/>
        <v>-1.3680354301487658</v>
      </c>
      <c r="J9" s="138">
        <f t="shared" si="3"/>
        <v>-0.25651771507438248</v>
      </c>
      <c r="K9" s="131">
        <v>0.85499999999999998</v>
      </c>
    </row>
    <row r="10" spans="1:11" x14ac:dyDescent="0.25">
      <c r="B10" s="118" t="s">
        <v>319</v>
      </c>
      <c r="C10" s="118"/>
      <c r="D10" s="118"/>
      <c r="E10" s="118"/>
      <c r="F10" s="141">
        <f t="shared" ref="F10:K10" si="4">F8*(1-F9)</f>
        <v>56810.741343241811</v>
      </c>
      <c r="G10" s="118">
        <f t="shared" si="4"/>
        <v>44136.686512895176</v>
      </c>
      <c r="H10" s="118">
        <f t="shared" si="4"/>
        <v>32280.222362527333</v>
      </c>
      <c r="I10" s="118">
        <f t="shared" si="4"/>
        <v>21199.643261706944</v>
      </c>
      <c r="J10" s="118">
        <f t="shared" si="4"/>
        <v>10855.161425549888</v>
      </c>
      <c r="K10" s="118">
        <f t="shared" si="4"/>
        <v>1208.8237549282405</v>
      </c>
    </row>
    <row r="11" spans="1:11" x14ac:dyDescent="0.25">
      <c r="B11" s="118" t="s">
        <v>320</v>
      </c>
      <c r="C11" s="118"/>
      <c r="D11" s="118"/>
      <c r="E11" s="118"/>
      <c r="F11" s="141"/>
      <c r="G11" s="118">
        <v>0.5</v>
      </c>
      <c r="H11" s="118">
        <f>G11+1</f>
        <v>1.5</v>
      </c>
      <c r="I11" s="118">
        <f t="shared" ref="I11:K11" si="5">H11+1</f>
        <v>2.5</v>
      </c>
      <c r="J11" s="118">
        <f t="shared" si="5"/>
        <v>3.5</v>
      </c>
      <c r="K11" s="118">
        <f t="shared" si="5"/>
        <v>4.5</v>
      </c>
    </row>
    <row r="12" spans="1:11" x14ac:dyDescent="0.25">
      <c r="B12" s="118" t="s">
        <v>321</v>
      </c>
      <c r="C12" s="118"/>
      <c r="D12" s="118"/>
      <c r="E12" s="118"/>
      <c r="F12" s="141"/>
      <c r="G12" s="143">
        <f>1/(1+$D$18)^G11</f>
        <v>0.93283353778231737</v>
      </c>
      <c r="H12" s="143">
        <f t="shared" ref="H12:K12" si="6">1/(1+$D$18)^H11</f>
        <v>0.81173160396652833</v>
      </c>
      <c r="I12" s="143">
        <f t="shared" si="6"/>
        <v>0.70635131584627187</v>
      </c>
      <c r="J12" s="143">
        <f t="shared" si="6"/>
        <v>0.61465166436754037</v>
      </c>
      <c r="K12" s="143">
        <f t="shared" si="6"/>
        <v>0.53485660751853104</v>
      </c>
    </row>
    <row r="13" spans="1:11" ht="8.1" customHeight="1" x14ac:dyDescent="0.25">
      <c r="F13" s="142"/>
    </row>
    <row r="14" spans="1:11" ht="15.75" thickBot="1" x14ac:dyDescent="0.3">
      <c r="B14" s="57" t="s">
        <v>322</v>
      </c>
      <c r="C14" s="57"/>
      <c r="D14" s="57"/>
      <c r="E14" s="57"/>
      <c r="F14" s="144"/>
      <c r="G14" s="57">
        <f>G12*G10</f>
        <v>41172.181425813098</v>
      </c>
      <c r="H14" s="57">
        <f t="shared" ref="H14:K14" si="7">H12*H10</f>
        <v>26202.876674730509</v>
      </c>
      <c r="I14" s="57">
        <f t="shared" si="7"/>
        <v>14974.39591337825</v>
      </c>
      <c r="J14" s="57">
        <f t="shared" si="7"/>
        <v>6672.1430371925608</v>
      </c>
      <c r="K14" s="57">
        <f t="shared" si="7"/>
        <v>646.54737264873086</v>
      </c>
    </row>
    <row r="16" spans="1:11" x14ac:dyDescent="0.25">
      <c r="B16" s="36" t="s">
        <v>323</v>
      </c>
      <c r="C16" s="36"/>
      <c r="D16" s="136">
        <v>-3.5000000000000003E-2</v>
      </c>
    </row>
    <row r="17" spans="1:11" x14ac:dyDescent="0.25">
      <c r="B17" s="36" t="s">
        <v>324</v>
      </c>
      <c r="C17" s="36"/>
      <c r="D17" s="137">
        <v>7.0000000000000007E-2</v>
      </c>
    </row>
    <row r="18" spans="1:11" x14ac:dyDescent="0.25">
      <c r="B18" s="36" t="s">
        <v>159</v>
      </c>
      <c r="C18" s="36"/>
      <c r="D18" s="136">
        <f>WACC!K42</f>
        <v>0.14918962527025442</v>
      </c>
    </row>
    <row r="21" spans="1:11" x14ac:dyDescent="0.25">
      <c r="A21" t="s">
        <v>2</v>
      </c>
      <c r="B21" s="65" t="s">
        <v>325</v>
      </c>
      <c r="C21" s="80"/>
      <c r="D21" s="80"/>
      <c r="F21" s="65" t="s">
        <v>388</v>
      </c>
      <c r="G21" s="80"/>
      <c r="H21" s="80"/>
      <c r="I21" s="80"/>
      <c r="J21" s="80"/>
      <c r="K21" s="80"/>
    </row>
    <row r="22" spans="1:11" x14ac:dyDescent="0.25">
      <c r="F22" s="164">
        <f>D33</f>
        <v>97546.93173304449</v>
      </c>
      <c r="G22" s="165">
        <v>0.12</v>
      </c>
      <c r="H22" s="106">
        <v>0.13500000000000001</v>
      </c>
      <c r="I22" s="106">
        <v>0.1492</v>
      </c>
      <c r="J22" s="165">
        <v>0.16</v>
      </c>
      <c r="K22" s="106">
        <v>0.17199999999999999</v>
      </c>
    </row>
    <row r="23" spans="1:11" x14ac:dyDescent="0.25">
      <c r="B23" t="s">
        <v>326</v>
      </c>
      <c r="D23">
        <f>K10*(1+D16)</f>
        <v>1166.514923505752</v>
      </c>
      <c r="F23" s="166">
        <v>0.05</v>
      </c>
      <c r="G23" s="120">
        <f t="dataTable" ref="G23:K27" dt2D="1" dtr="1" r1="D24" r2="D25"/>
        <v>98581.261775277802</v>
      </c>
      <c r="H23" s="120">
        <v>97008.358713245805</v>
      </c>
      <c r="I23" s="120">
        <v>95957.642554872276</v>
      </c>
      <c r="J23" s="120">
        <v>95340.128192908829</v>
      </c>
      <c r="K23" s="120">
        <v>94782.22815004205</v>
      </c>
    </row>
    <row r="24" spans="1:11" x14ac:dyDescent="0.25">
      <c r="B24" t="s">
        <v>159</v>
      </c>
      <c r="D24" s="76">
        <f>D18</f>
        <v>0.14918962527025442</v>
      </c>
      <c r="F24" s="166">
        <v>0.06</v>
      </c>
      <c r="G24" s="120">
        <v>100066.78133386358</v>
      </c>
      <c r="H24" s="120">
        <v>97987.053951843482</v>
      </c>
      <c r="I24" s="120">
        <v>96662.743242216355</v>
      </c>
      <c r="J24" s="120">
        <v>95907.326569823403</v>
      </c>
      <c r="K24" s="120">
        <v>95238.842768459799</v>
      </c>
    </row>
    <row r="25" spans="1:11" x14ac:dyDescent="0.25">
      <c r="B25" t="s">
        <v>327</v>
      </c>
      <c r="D25" s="93">
        <f>D17</f>
        <v>7.0000000000000007E-2</v>
      </c>
      <c r="F25" s="166">
        <v>7.0000000000000007E-2</v>
      </c>
      <c r="G25" s="120">
        <v>102146.50871588365</v>
      </c>
      <c r="H25" s="120">
        <v>99266.886186932767</v>
      </c>
      <c r="I25" s="167">
        <v>97545.899658687718</v>
      </c>
      <c r="J25" s="120">
        <v>96600.569030496772</v>
      </c>
      <c r="K25" s="120">
        <v>95784.989664998691</v>
      </c>
    </row>
    <row r="26" spans="1:11" x14ac:dyDescent="0.25">
      <c r="F26" s="166">
        <v>0.08</v>
      </c>
      <c r="G26" s="120">
        <v>105266.09978891378</v>
      </c>
      <c r="H26" s="120">
        <v>101012.11196205452</v>
      </c>
      <c r="I26" s="120">
        <v>98684.30359437046</v>
      </c>
      <c r="J26" s="120">
        <v>97467.122106338473</v>
      </c>
      <c r="K26" s="120">
        <v>96449.864147741682</v>
      </c>
    </row>
    <row r="27" spans="1:11" ht="15.75" thickBot="1" x14ac:dyDescent="0.3">
      <c r="B27" s="57" t="s">
        <v>328</v>
      </c>
      <c r="C27" s="57"/>
      <c r="D27" s="57">
        <f>D23/(D24-D25)</f>
        <v>14730.653409770886</v>
      </c>
      <c r="F27" s="166">
        <v>0.09</v>
      </c>
      <c r="G27" s="120">
        <v>110465.418243964</v>
      </c>
      <c r="H27" s="120">
        <v>103532.99363723038</v>
      </c>
      <c r="I27" s="120">
        <v>100207.30345427034</v>
      </c>
      <c r="J27" s="120">
        <v>98581.261775277802</v>
      </c>
      <c r="K27" s="120">
        <v>97276.903138470778</v>
      </c>
    </row>
    <row r="29" spans="1:11" x14ac:dyDescent="0.25">
      <c r="A29" t="s">
        <v>2</v>
      </c>
      <c r="B29" s="65" t="s">
        <v>333</v>
      </c>
      <c r="C29" s="80"/>
      <c r="D29" s="80"/>
      <c r="F29" s="65" t="s">
        <v>389</v>
      </c>
      <c r="G29" s="80"/>
      <c r="H29" s="80"/>
      <c r="I29" s="80"/>
      <c r="J29" s="80"/>
      <c r="K29" s="80"/>
    </row>
    <row r="30" spans="1:11" x14ac:dyDescent="0.25">
      <c r="F30" s="164">
        <f>D40</f>
        <v>24.331380521703757</v>
      </c>
      <c r="G30" s="165">
        <v>0.12</v>
      </c>
      <c r="H30" s="106">
        <v>0.13500000000000001</v>
      </c>
      <c r="I30" s="106">
        <v>0.1492</v>
      </c>
      <c r="J30" s="165">
        <v>0.16</v>
      </c>
      <c r="K30" s="106">
        <v>0.17199999999999999</v>
      </c>
    </row>
    <row r="31" spans="1:11" x14ac:dyDescent="0.25">
      <c r="B31" t="s">
        <v>322</v>
      </c>
      <c r="D31">
        <f>SUM(G14:K14)</f>
        <v>89668.144423763151</v>
      </c>
      <c r="F31" s="166">
        <v>0.05</v>
      </c>
      <c r="G31">
        <f t="dataTable" ref="G31:K35" dt2D="1" dtr="1" r1="D24" r2="D25" ca="1"/>
        <v>27.158623257792932</v>
      </c>
      <c r="H31">
        <v>22.859242426602325</v>
      </c>
      <c r="I31">
        <v>19.987209801465514</v>
      </c>
      <c r="J31">
        <v>18.299293060187981</v>
      </c>
      <c r="K31">
        <v>16.774326386829816</v>
      </c>
    </row>
    <row r="32" spans="1:11" x14ac:dyDescent="0.25">
      <c r="B32" t="s">
        <v>329</v>
      </c>
      <c r="D32" s="75">
        <f>D27*K12</f>
        <v>7878.7873092813379</v>
      </c>
      <c r="F32" s="166">
        <v>0.06</v>
      </c>
      <c r="G32">
        <v>31.21914959836187</v>
      </c>
      <c r="H32">
        <v>25.534412721565324</v>
      </c>
      <c r="I32">
        <v>21.914535427820532</v>
      </c>
      <c r="J32">
        <v>19.849675844768864</v>
      </c>
      <c r="K32">
        <v>18.022438991512864</v>
      </c>
    </row>
    <row r="33" spans="2:11" x14ac:dyDescent="0.25">
      <c r="B33" s="11" t="s">
        <v>330</v>
      </c>
      <c r="C33" s="11"/>
      <c r="D33" s="145">
        <f>SUM(D31:D32)</f>
        <v>97546.93173304449</v>
      </c>
      <c r="F33" s="166">
        <v>7.0000000000000007E-2</v>
      </c>
      <c r="G33">
        <v>36.903886475158409</v>
      </c>
      <c r="H33">
        <v>29.032712338055536</v>
      </c>
      <c r="I33" s="36">
        <v>24.328559444669128</v>
      </c>
      <c r="J33">
        <v>21.744588137034352</v>
      </c>
      <c r="K33">
        <v>19.515279557898477</v>
      </c>
    </row>
    <row r="34" spans="2:11" x14ac:dyDescent="0.25">
      <c r="D34" s="93"/>
      <c r="F34" s="166">
        <v>0.08</v>
      </c>
      <c r="G34">
        <v>45.430991790353225</v>
      </c>
      <c r="H34">
        <v>33.80312090599665</v>
      </c>
      <c r="I34">
        <v>27.440278264075218</v>
      </c>
      <c r="J34">
        <v>24.113228502366269</v>
      </c>
      <c r="K34">
        <v>21.332650682194071</v>
      </c>
    </row>
    <row r="35" spans="2:11" x14ac:dyDescent="0.25">
      <c r="B35" t="s">
        <v>331</v>
      </c>
      <c r="D35" s="75">
        <f>'Data Sheet'!K69</f>
        <v>37015.56</v>
      </c>
      <c r="F35" s="166">
        <v>0.09</v>
      </c>
      <c r="G35">
        <v>59.642833982344506</v>
      </c>
      <c r="H35">
        <v>40.693711059689385</v>
      </c>
      <c r="I35">
        <v>31.603253441388745</v>
      </c>
      <c r="J35">
        <v>27.158623257792932</v>
      </c>
      <c r="K35">
        <v>23.593283056317794</v>
      </c>
    </row>
    <row r="36" spans="2:11" x14ac:dyDescent="0.25">
      <c r="B36" t="s">
        <v>332</v>
      </c>
      <c r="D36">
        <f>SUM('Raw BS (Manual)'!N7:N8)</f>
        <v>125661</v>
      </c>
    </row>
    <row r="37" spans="2:11" x14ac:dyDescent="0.25">
      <c r="B37" s="11" t="s">
        <v>334</v>
      </c>
      <c r="C37" s="11"/>
      <c r="D37" s="145">
        <f>D33+D35-D36</f>
        <v>8901.4917330445023</v>
      </c>
    </row>
    <row r="38" spans="2:11" x14ac:dyDescent="0.25">
      <c r="B38" s="11" t="s">
        <v>335</v>
      </c>
      <c r="C38" s="11"/>
      <c r="D38" s="145">
        <f>'Data Sheet'!B6</f>
        <v>365.84408866995079</v>
      </c>
    </row>
    <row r="39" spans="2:11" ht="8.1" customHeight="1" x14ac:dyDescent="0.25"/>
    <row r="40" spans="2:11" ht="15.75" thickBot="1" x14ac:dyDescent="0.3">
      <c r="B40" s="57" t="s">
        <v>336</v>
      </c>
      <c r="C40" s="57"/>
      <c r="D40" s="57">
        <f>D37/D38</f>
        <v>24.331380521703757</v>
      </c>
    </row>
    <row r="42" spans="2:11" x14ac:dyDescent="0.25">
      <c r="B42" s="146" t="s">
        <v>337</v>
      </c>
      <c r="D42">
        <v>915</v>
      </c>
    </row>
    <row r="43" spans="2:11" x14ac:dyDescent="0.25">
      <c r="B43" t="s">
        <v>338</v>
      </c>
      <c r="D43" s="147">
        <f>D42/D40</f>
        <v>37.605757683326424</v>
      </c>
    </row>
  </sheetData>
  <pageMargins left="0.7" right="0.7" top="0.75" bottom="0.75" header="0.3" footer="0.3"/>
  <pageSetup orientation="portrait" r:id="rId1"/>
  <ignoredErrors>
    <ignoredError sqref="D36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901E-5487-4483-AA5A-60B60041BE25}">
  <sheetPr>
    <tabColor rgb="FF002060"/>
  </sheetPr>
  <dimension ref="D5:S9"/>
  <sheetViews>
    <sheetView showGridLines="0" workbookViewId="0">
      <selection activeCell="D5" sqref="D5:S9"/>
    </sheetView>
  </sheetViews>
  <sheetFormatPr defaultRowHeight="15" x14ac:dyDescent="0.25"/>
  <cols>
    <col min="1" max="1" width="1.85546875" customWidth="1"/>
  </cols>
  <sheetData>
    <row r="5" spans="4:19" x14ac:dyDescent="0.25">
      <c r="D5" s="222" t="str">
        <f>"COMPARABLE VALUATION FOR "&amp;'Data Sheet'!B1</f>
        <v>COMPARABLE VALUATION FOR TATA MOTORS LTD</v>
      </c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</row>
    <row r="6" spans="4:19" x14ac:dyDescent="0.25"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2"/>
    </row>
    <row r="7" spans="4:19" x14ac:dyDescent="0.25"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</row>
    <row r="8" spans="4:19" x14ac:dyDescent="0.25">
      <c r="D8" s="168"/>
      <c r="E8" s="168"/>
      <c r="F8" s="223" t="s">
        <v>393</v>
      </c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</row>
    <row r="9" spans="4:19" x14ac:dyDescent="0.25">
      <c r="D9" s="168"/>
      <c r="E9" s="168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</row>
  </sheetData>
  <mergeCells count="2">
    <mergeCell ref="D5:S7"/>
    <mergeCell ref="F8:Q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2BEB-FFE8-406B-BEC7-9CD19FD823E7}">
  <dimension ref="B2:R34"/>
  <sheetViews>
    <sheetView showGridLines="0" topLeftCell="A11" zoomScaleNormal="100" workbookViewId="0">
      <selection activeCell="R27" sqref="R27"/>
    </sheetView>
  </sheetViews>
  <sheetFormatPr defaultRowHeight="15" x14ac:dyDescent="0.25"/>
  <cols>
    <col min="1" max="1" width="1.85546875" customWidth="1"/>
    <col min="2" max="2" width="21" customWidth="1"/>
    <col min="4" max="4" width="10" bestFit="1" customWidth="1"/>
    <col min="5" max="5" width="12.5703125" customWidth="1"/>
    <col min="6" max="6" width="11.5703125" bestFit="1" customWidth="1"/>
    <col min="7" max="7" width="10" bestFit="1" customWidth="1"/>
    <col min="8" max="8" width="11.5703125" bestFit="1" customWidth="1"/>
    <col min="9" max="9" width="5.28515625" customWidth="1"/>
    <col min="10" max="10" width="1.85546875" customWidth="1"/>
    <col min="11" max="11" width="11.5703125" bestFit="1" customWidth="1"/>
    <col min="12" max="12" width="10" bestFit="1" customWidth="1"/>
    <col min="13" max="13" width="11.42578125" bestFit="1" customWidth="1"/>
    <col min="14" max="14" width="1.85546875" customWidth="1"/>
    <col min="15" max="16" width="12.5703125" bestFit="1" customWidth="1"/>
    <col min="17" max="17" width="11.5703125" bestFit="1" customWidth="1"/>
  </cols>
  <sheetData>
    <row r="2" spans="2:18" x14ac:dyDescent="0.25">
      <c r="B2" s="65" t="str">
        <f>"Peer Pricing - "&amp;'Data Sheet'!B1</f>
        <v>Peer Pricing - TATA MOTORS LTD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</row>
    <row r="4" spans="2:18" x14ac:dyDescent="0.25">
      <c r="B4" s="151" t="s">
        <v>339</v>
      </c>
      <c r="C4" s="148"/>
      <c r="D4" s="148"/>
      <c r="E4" s="148"/>
      <c r="F4" s="148"/>
      <c r="G4" s="148"/>
      <c r="H4" s="148"/>
      <c r="I4" s="148"/>
      <c r="J4" s="148"/>
      <c r="K4" s="148"/>
    </row>
    <row r="5" spans="2:18" ht="6" customHeight="1" x14ac:dyDescent="0.25"/>
    <row r="6" spans="2:18" x14ac:dyDescent="0.25">
      <c r="B6" s="8"/>
      <c r="C6" s="8"/>
      <c r="D6" s="225" t="s">
        <v>347</v>
      </c>
      <c r="E6" s="225"/>
      <c r="F6" s="225"/>
      <c r="G6" s="225"/>
      <c r="H6" s="225"/>
      <c r="I6" s="8"/>
      <c r="J6" s="8"/>
      <c r="K6" s="225" t="s">
        <v>351</v>
      </c>
      <c r="L6" s="225"/>
      <c r="M6" s="225"/>
      <c r="N6" s="150"/>
      <c r="O6" s="225" t="s">
        <v>350</v>
      </c>
      <c r="P6" s="225"/>
      <c r="Q6" s="225"/>
      <c r="R6" s="153"/>
    </row>
    <row r="7" spans="2:18" ht="30" x14ac:dyDescent="0.25">
      <c r="B7" s="149" t="s">
        <v>340</v>
      </c>
      <c r="C7" s="152" t="s">
        <v>341</v>
      </c>
      <c r="D7" s="152" t="s">
        <v>342</v>
      </c>
      <c r="E7" s="152" t="s">
        <v>343</v>
      </c>
      <c r="F7" s="152" t="s">
        <v>344</v>
      </c>
      <c r="G7" s="152" t="s">
        <v>345</v>
      </c>
      <c r="H7" s="152" t="s">
        <v>346</v>
      </c>
      <c r="I7" s="10"/>
      <c r="J7" s="10"/>
      <c r="K7" s="10" t="s">
        <v>348</v>
      </c>
      <c r="L7" s="10" t="s">
        <v>13</v>
      </c>
      <c r="M7" s="10" t="s">
        <v>349</v>
      </c>
      <c r="N7" s="10"/>
      <c r="O7" s="152" t="s">
        <v>371</v>
      </c>
      <c r="P7" s="152" t="s">
        <v>372</v>
      </c>
      <c r="Q7" s="152" t="s">
        <v>373</v>
      </c>
      <c r="R7" s="154"/>
    </row>
    <row r="9" spans="2:18" x14ac:dyDescent="0.25">
      <c r="B9" s="155" t="str">
        <f>Peers!C17</f>
        <v>Tata Motors</v>
      </c>
      <c r="C9" s="155"/>
      <c r="D9" s="159">
        <f>Peers!D17</f>
        <v>915</v>
      </c>
      <c r="E9" s="159">
        <f>Peers!E17</f>
        <v>332.33</v>
      </c>
      <c r="F9" s="159">
        <f>E9*D9</f>
        <v>304081.95</v>
      </c>
      <c r="G9" s="159">
        <f>Peers!Q17</f>
        <v>90848.74</v>
      </c>
      <c r="H9" s="159">
        <f t="shared" ref="H9:H15" si="0">F9+G9</f>
        <v>394930.69</v>
      </c>
      <c r="I9" s="159"/>
      <c r="J9" s="159"/>
      <c r="K9" s="159">
        <f>Peers!K17</f>
        <v>423873.81</v>
      </c>
      <c r="L9" s="159">
        <f>Peers!N17</f>
        <v>61628.040875912411</v>
      </c>
      <c r="M9" s="159">
        <f>Peers!L17</f>
        <v>19774.2</v>
      </c>
      <c r="N9" s="155"/>
      <c r="O9" s="156">
        <f>$H9/K9</f>
        <v>0.93171760246286506</v>
      </c>
      <c r="P9" s="156">
        <f t="shared" ref="P9:P16" si="1">$H9/L9</f>
        <v>6.4082953861082474</v>
      </c>
      <c r="Q9" s="156">
        <f>F9/M9</f>
        <v>15.377711866978183</v>
      </c>
    </row>
    <row r="10" spans="2:18" x14ac:dyDescent="0.25">
      <c r="B10" s="118" t="str">
        <f>Peers!C18</f>
        <v>Maruti Suzuki</v>
      </c>
      <c r="C10" s="118"/>
      <c r="D10" s="119">
        <f>Peers!D18</f>
        <v>10732.85</v>
      </c>
      <c r="E10" s="119">
        <f>Peers!E18</f>
        <v>31.44</v>
      </c>
      <c r="F10" s="119">
        <f t="shared" ref="F10:F16" si="2">E10*D10</f>
        <v>337440.804</v>
      </c>
      <c r="G10" s="119">
        <f>Peers!Q18</f>
        <v>350.9</v>
      </c>
      <c r="H10" s="119">
        <f t="shared" si="0"/>
        <v>337791.70400000003</v>
      </c>
      <c r="I10" s="119"/>
      <c r="J10" s="119"/>
      <c r="K10" s="119">
        <f>Peers!K18</f>
        <v>135250.20000000001</v>
      </c>
      <c r="L10" s="119">
        <f>Peers!N18</f>
        <v>19925.420555227407</v>
      </c>
      <c r="M10" s="119">
        <f>Peers!L18</f>
        <v>12188.8</v>
      </c>
      <c r="N10" s="118"/>
      <c r="O10" s="157">
        <f t="shared" ref="O10:O16" si="3">$H10/K10</f>
        <v>2.4975320110432371</v>
      </c>
      <c r="P10" s="157">
        <f t="shared" si="1"/>
        <v>16.952801727007003</v>
      </c>
      <c r="Q10" s="157">
        <f t="shared" ref="Q10:Q16" si="4">F10/M10</f>
        <v>27.68449757154109</v>
      </c>
    </row>
    <row r="11" spans="2:18" x14ac:dyDescent="0.25">
      <c r="B11" s="118" t="str">
        <f>Peers!C19</f>
        <v>Bajaj Auto</v>
      </c>
      <c r="C11" s="118"/>
      <c r="D11" s="119">
        <f>Peers!D19</f>
        <v>7784.85</v>
      </c>
      <c r="E11" s="119">
        <f>Peers!E19</f>
        <v>28.32</v>
      </c>
      <c r="F11" s="119">
        <f t="shared" si="2"/>
        <v>220466.95200000002</v>
      </c>
      <c r="G11" s="119">
        <f>Peers!Q19</f>
        <v>-565.44000000000005</v>
      </c>
      <c r="H11" s="119">
        <f t="shared" si="0"/>
        <v>219901.51200000002</v>
      </c>
      <c r="I11" s="119"/>
      <c r="J11" s="119"/>
      <c r="K11" s="119">
        <f>Peers!K19</f>
        <v>42244.71</v>
      </c>
      <c r="L11" s="119">
        <f>Peers!N19</f>
        <v>9987.0656036446471</v>
      </c>
      <c r="M11" s="119">
        <f>Peers!L19</f>
        <v>7401.55</v>
      </c>
      <c r="N11" s="118"/>
      <c r="O11" s="157">
        <f t="shared" si="3"/>
        <v>5.2054212704975376</v>
      </c>
      <c r="P11" s="157">
        <f t="shared" si="1"/>
        <v>22.018630970016847</v>
      </c>
      <c r="Q11" s="157">
        <f t="shared" si="4"/>
        <v>29.786592267835793</v>
      </c>
    </row>
    <row r="12" spans="2:18" x14ac:dyDescent="0.25">
      <c r="B12" s="118" t="str">
        <f>Peers!C20</f>
        <v>M &amp; M</v>
      </c>
      <c r="C12" s="118"/>
      <c r="D12" s="119">
        <f>Peers!D20</f>
        <v>1646.4</v>
      </c>
      <c r="E12" s="119">
        <f>Peers!E20</f>
        <v>124.35</v>
      </c>
      <c r="F12" s="119">
        <f t="shared" si="2"/>
        <v>204729.84</v>
      </c>
      <c r="G12" s="119">
        <f>Peers!Q20</f>
        <v>88438.25</v>
      </c>
      <c r="H12" s="119">
        <f t="shared" si="0"/>
        <v>293168.08999999997</v>
      </c>
      <c r="I12" s="119"/>
      <c r="J12" s="119"/>
      <c r="K12" s="119">
        <f>Peers!K20</f>
        <v>131402.99</v>
      </c>
      <c r="L12" s="119">
        <f>Peers!N20</f>
        <v>26080.918584070794</v>
      </c>
      <c r="M12" s="119">
        <f>Peers!L20</f>
        <v>12160.24</v>
      </c>
      <c r="N12" s="118"/>
      <c r="O12" s="157">
        <f t="shared" si="3"/>
        <v>2.2310610283677716</v>
      </c>
      <c r="P12" s="157">
        <f t="shared" si="1"/>
        <v>11.240711827498881</v>
      </c>
      <c r="Q12" s="157">
        <f t="shared" si="4"/>
        <v>16.836003236778222</v>
      </c>
    </row>
    <row r="13" spans="2:18" x14ac:dyDescent="0.25">
      <c r="B13" s="118" t="str">
        <f>Peers!C21</f>
        <v>Eicher Motors</v>
      </c>
      <c r="C13" s="118"/>
      <c r="D13" s="119">
        <f>Peers!D21</f>
        <v>3840.95</v>
      </c>
      <c r="E13" s="119">
        <f>Peers!E21</f>
        <v>27.38</v>
      </c>
      <c r="F13" s="119">
        <f t="shared" si="2"/>
        <v>105165.211</v>
      </c>
      <c r="G13" s="119">
        <f>Peers!Q21</f>
        <v>-440.96</v>
      </c>
      <c r="H13" s="119">
        <f t="shared" si="0"/>
        <v>104724.25099999999</v>
      </c>
      <c r="I13" s="119"/>
      <c r="J13" s="119"/>
      <c r="K13" s="119">
        <f>Peers!K21</f>
        <v>15626.22</v>
      </c>
      <c r="L13" s="119">
        <f>Peers!N21</f>
        <v>5253.9702920443106</v>
      </c>
      <c r="M13" s="119">
        <f>Peers!L21</f>
        <v>3581.01</v>
      </c>
      <c r="N13" s="118"/>
      <c r="O13" s="157">
        <f t="shared" si="3"/>
        <v>6.7018287852084502</v>
      </c>
      <c r="P13" s="157">
        <f t="shared" si="1"/>
        <v>19.93240257916494</v>
      </c>
      <c r="Q13" s="157">
        <f t="shared" si="4"/>
        <v>29.367472026048514</v>
      </c>
    </row>
    <row r="14" spans="2:18" x14ac:dyDescent="0.25">
      <c r="B14" s="118" t="str">
        <f>Peers!C22</f>
        <v>Hero Motocorp</v>
      </c>
      <c r="C14" s="118"/>
      <c r="D14" s="119">
        <f>Peers!D22</f>
        <v>4908.8500000000004</v>
      </c>
      <c r="E14" s="119">
        <f>Peers!E22</f>
        <v>19.989999999999998</v>
      </c>
      <c r="F14" s="119">
        <f t="shared" si="2"/>
        <v>98127.911500000002</v>
      </c>
      <c r="G14" s="119">
        <f>Peers!Q22</f>
        <v>228.08999999999997</v>
      </c>
      <c r="H14" s="119">
        <f t="shared" si="0"/>
        <v>98356.001499999998</v>
      </c>
      <c r="I14" s="119"/>
      <c r="J14" s="119"/>
      <c r="K14" s="119">
        <f>Peers!K22</f>
        <v>36606.22</v>
      </c>
      <c r="L14" s="119">
        <f>Peers!N22</f>
        <v>5914.5373044524667</v>
      </c>
      <c r="M14" s="119">
        <f>Peers!L22</f>
        <v>3609.5</v>
      </c>
      <c r="N14" s="118"/>
      <c r="O14" s="157">
        <f t="shared" si="3"/>
        <v>2.6868658249882125</v>
      </c>
      <c r="P14" s="157">
        <f t="shared" si="1"/>
        <v>16.629534389098797</v>
      </c>
      <c r="Q14" s="157">
        <f t="shared" si="4"/>
        <v>27.186012328577366</v>
      </c>
    </row>
    <row r="15" spans="2:18" x14ac:dyDescent="0.25">
      <c r="B15" s="118" t="str">
        <f>Peers!C23</f>
        <v>TVS Motor Co.</v>
      </c>
      <c r="C15" s="118"/>
      <c r="D15" s="119">
        <f>Peers!D23</f>
        <v>2037.6</v>
      </c>
      <c r="E15" s="119">
        <f>Peers!E23</f>
        <v>47.51</v>
      </c>
      <c r="F15" s="119">
        <f t="shared" si="2"/>
        <v>96806.375999999989</v>
      </c>
      <c r="G15" s="119">
        <f>Peers!Q23</f>
        <v>10973.49</v>
      </c>
      <c r="H15" s="119">
        <f t="shared" si="0"/>
        <v>107779.86599999999</v>
      </c>
      <c r="I15" s="119"/>
      <c r="J15" s="119"/>
      <c r="K15" s="119">
        <f>Peers!K23</f>
        <v>37133.67</v>
      </c>
      <c r="L15" s="119">
        <f>Peers!N23</f>
        <v>5288.985643564356</v>
      </c>
      <c r="M15" s="119">
        <f>Peers!L23</f>
        <v>1702.68</v>
      </c>
      <c r="N15" s="118"/>
      <c r="O15" s="157">
        <f t="shared" si="3"/>
        <v>2.9024835412174448</v>
      </c>
      <c r="P15" s="157">
        <f t="shared" si="1"/>
        <v>20.378173295128274</v>
      </c>
      <c r="Q15" s="157">
        <f t="shared" si="4"/>
        <v>56.85529635633236</v>
      </c>
    </row>
    <row r="16" spans="2:18" x14ac:dyDescent="0.25">
      <c r="B16" s="118" t="str">
        <f>Peers!C24</f>
        <v>Ashok Leyland</v>
      </c>
      <c r="C16" s="118"/>
      <c r="D16" s="119">
        <f>Peers!D24</f>
        <v>173.45</v>
      </c>
      <c r="E16" s="119">
        <f>Peers!E24</f>
        <v>293.61</v>
      </c>
      <c r="F16" s="119">
        <f t="shared" si="2"/>
        <v>50926.654499999997</v>
      </c>
      <c r="G16" s="119">
        <f>Peers!Q24</f>
        <v>32204.9</v>
      </c>
      <c r="H16" s="119">
        <f>F16+G16</f>
        <v>83131.554499999998</v>
      </c>
      <c r="I16" s="119"/>
      <c r="J16" s="119"/>
      <c r="K16" s="119">
        <f>Peers!K24</f>
        <v>45415.61</v>
      </c>
      <c r="L16" s="119">
        <f>Peers!N24</f>
        <v>7449.6819407008088</v>
      </c>
      <c r="M16" s="119">
        <f>Peers!L24</f>
        <v>2565.36</v>
      </c>
      <c r="N16" s="118"/>
      <c r="O16" s="157">
        <f t="shared" si="3"/>
        <v>1.8304621362566746</v>
      </c>
      <c r="P16" s="157">
        <f t="shared" si="1"/>
        <v>11.15907432850477</v>
      </c>
      <c r="Q16" s="157">
        <f t="shared" si="4"/>
        <v>19.851660000935539</v>
      </c>
    </row>
    <row r="17" spans="2:17" ht="6" customHeight="1" x14ac:dyDescent="0.25"/>
    <row r="18" spans="2:17" x14ac:dyDescent="0.25">
      <c r="B18" s="155" t="s">
        <v>374</v>
      </c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6">
        <f>MAX(O9:O16)</f>
        <v>6.7018287852084502</v>
      </c>
      <c r="P18" s="156">
        <f t="shared" ref="P18:Q18" si="5">MAX(P9:P16)</f>
        <v>22.018630970016847</v>
      </c>
      <c r="Q18" s="156">
        <f t="shared" si="5"/>
        <v>56.85529635633236</v>
      </c>
    </row>
    <row r="19" spans="2:17" x14ac:dyDescent="0.25">
      <c r="B19" s="155" t="s">
        <v>375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6">
        <f>QUARTILE(O9:O16,3)</f>
        <v>3.4782179735374679</v>
      </c>
      <c r="P19" s="156">
        <f t="shared" ref="P19:Q19" si="6">QUARTILE(P9:P16,3)</f>
        <v>20.043845258155773</v>
      </c>
      <c r="Q19" s="156">
        <f t="shared" si="6"/>
        <v>29.472252086495335</v>
      </c>
    </row>
    <row r="20" spans="2:17" x14ac:dyDescent="0.25">
      <c r="B20" s="162" t="s">
        <v>133</v>
      </c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3">
        <f>AVERAGE(O9:O16)</f>
        <v>3.1234215250052748</v>
      </c>
      <c r="P20" s="163">
        <f t="shared" ref="P20:Q20" si="7">AVERAGE(P9:P16)</f>
        <v>15.589953062815971</v>
      </c>
      <c r="Q20" s="163">
        <f t="shared" si="7"/>
        <v>27.868155706878383</v>
      </c>
    </row>
    <row r="21" spans="2:17" x14ac:dyDescent="0.25">
      <c r="B21" s="162" t="s">
        <v>83</v>
      </c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3">
        <f>MEDIAN(O9:O16)</f>
        <v>2.5921989180157246</v>
      </c>
      <c r="P21" s="163">
        <f t="shared" ref="P21:Q21" si="8">MEDIAN(P9:P16)</f>
        <v>16.7911680580529</v>
      </c>
      <c r="Q21" s="163">
        <f t="shared" si="8"/>
        <v>27.435254950059228</v>
      </c>
    </row>
    <row r="22" spans="2:17" x14ac:dyDescent="0.25">
      <c r="B22" s="155" t="s">
        <v>376</v>
      </c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6">
        <f>QUARTILE(O9:O16,1)</f>
        <v>2.1309113053399975</v>
      </c>
      <c r="P22" s="156">
        <f t="shared" ref="P22:Q22" si="9">QUARTILE(P9:P16,1)</f>
        <v>11.220302452750353</v>
      </c>
      <c r="Q22" s="156">
        <f t="shared" si="9"/>
        <v>19.09774580989621</v>
      </c>
    </row>
    <row r="23" spans="2:17" x14ac:dyDescent="0.25">
      <c r="B23" s="155" t="s">
        <v>377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6">
        <f>MIN(O9:O16)</f>
        <v>0.93171760246286506</v>
      </c>
      <c r="P23" s="156">
        <f t="shared" ref="P23:Q23" si="10">MIN(P9:P16)</f>
        <v>6.4082953861082474</v>
      </c>
      <c r="Q23" s="156">
        <f t="shared" si="10"/>
        <v>15.377711866978183</v>
      </c>
    </row>
    <row r="25" spans="2:17" x14ac:dyDescent="0.25">
      <c r="B25" s="158" t="str">
        <f>'Data Sheet'!B1&amp; " Comparable Valuation"</f>
        <v>TATA MOTORS LTD Comparable Valuation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52" t="s">
        <v>371</v>
      </c>
      <c r="P25" s="152" t="s">
        <v>372</v>
      </c>
      <c r="Q25" s="152" t="s">
        <v>373</v>
      </c>
    </row>
    <row r="26" spans="2:17" ht="4.5" customHeight="1" x14ac:dyDescent="0.25"/>
    <row r="27" spans="2:17" x14ac:dyDescent="0.25">
      <c r="B27" s="118" t="s">
        <v>378</v>
      </c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9">
        <f>O$21*K9</f>
        <v>1098765.2316572028</v>
      </c>
      <c r="P27" s="119">
        <f>P$21*L9</f>
        <v>1034806.791435999</v>
      </c>
      <c r="Q27" s="119">
        <f>Q28+Q29</f>
        <v>633358.95843346126</v>
      </c>
    </row>
    <row r="28" spans="2:17" x14ac:dyDescent="0.25">
      <c r="B28" s="118" t="s">
        <v>345</v>
      </c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9">
        <f>$G$9</f>
        <v>90848.74</v>
      </c>
      <c r="P28" s="119">
        <f t="shared" ref="P28:Q28" si="11">$G$9</f>
        <v>90848.74</v>
      </c>
      <c r="Q28" s="119">
        <f t="shared" si="11"/>
        <v>90848.74</v>
      </c>
    </row>
    <row r="29" spans="2:17" x14ac:dyDescent="0.25">
      <c r="B29" s="118" t="s">
        <v>379</v>
      </c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9">
        <f>O27-O28</f>
        <v>1007916.4916572028</v>
      </c>
      <c r="P29" s="119">
        <f t="shared" ref="P29" si="12">P27-P28</f>
        <v>943958.05143599899</v>
      </c>
      <c r="Q29" s="119">
        <f>Q21*M9</f>
        <v>542510.21843346127</v>
      </c>
    </row>
    <row r="30" spans="2:17" x14ac:dyDescent="0.25">
      <c r="B30" s="118" t="s">
        <v>343</v>
      </c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9">
        <f>$E$9</f>
        <v>332.33</v>
      </c>
      <c r="P30" s="119">
        <f t="shared" ref="P30:Q30" si="13">$E$9</f>
        <v>332.33</v>
      </c>
      <c r="Q30" s="119">
        <f t="shared" si="13"/>
        <v>332.33</v>
      </c>
    </row>
    <row r="31" spans="2:17" ht="6" customHeight="1" x14ac:dyDescent="0.25">
      <c r="O31" s="120"/>
      <c r="P31" s="120"/>
      <c r="Q31" s="120"/>
    </row>
    <row r="32" spans="2:17" x14ac:dyDescent="0.25">
      <c r="B32" s="160" t="s">
        <v>380</v>
      </c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1">
        <f>O29/O30</f>
        <v>3032.8784390732189</v>
      </c>
      <c r="P32" s="161">
        <f t="shared" ref="P32:Q32" si="14">P29/P30</f>
        <v>2840.4238300364068</v>
      </c>
      <c r="Q32" s="161">
        <f t="shared" si="14"/>
        <v>1632.4443126815554</v>
      </c>
    </row>
    <row r="34" spans="15:17" x14ac:dyDescent="0.25">
      <c r="O34" t="str">
        <f>IF(O32&gt;$D$9,"Undervalued","Overvalued")</f>
        <v>Undervalued</v>
      </c>
      <c r="P34" t="str">
        <f t="shared" ref="P34:Q34" si="15">IF(P32&gt;$D$9,"Undervalued","Overvalued")</f>
        <v>Undervalued</v>
      </c>
      <c r="Q34" t="str">
        <f t="shared" si="15"/>
        <v>Undervalued</v>
      </c>
    </row>
  </sheetData>
  <mergeCells count="3">
    <mergeCell ref="D6:H6"/>
    <mergeCell ref="K6:M6"/>
    <mergeCell ref="O6:Q6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F6EA-6C8D-465F-8401-48FC1C71DE23}">
  <dimension ref="B2:Q10"/>
  <sheetViews>
    <sheetView showGridLines="0" workbookViewId="0">
      <selection activeCell="N2" sqref="B2:N2"/>
    </sheetView>
  </sheetViews>
  <sheetFormatPr defaultRowHeight="15" x14ac:dyDescent="0.25"/>
  <cols>
    <col min="1" max="1" width="1.85546875" customWidth="1"/>
  </cols>
  <sheetData>
    <row r="2" spans="2:17" x14ac:dyDescent="0.25">
      <c r="B2" s="65" t="str">
        <f>"Football Field Analysis - "&amp;'Data Sheet'!B1</f>
        <v>Football Field Analysis - TATA MOTORS LTD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</row>
    <row r="4" spans="2:17" x14ac:dyDescent="0.25">
      <c r="L4" s="65" t="s">
        <v>390</v>
      </c>
      <c r="M4" s="80"/>
      <c r="N4" s="80"/>
      <c r="O4" s="80"/>
      <c r="P4" s="80"/>
      <c r="Q4" s="80"/>
    </row>
    <row r="5" spans="2:17" x14ac:dyDescent="0.25">
      <c r="N5" t="s">
        <v>386</v>
      </c>
      <c r="O5" t="s">
        <v>377</v>
      </c>
      <c r="P5" t="s">
        <v>387</v>
      </c>
      <c r="Q5" t="s">
        <v>374</v>
      </c>
    </row>
    <row r="6" spans="2:17" x14ac:dyDescent="0.25">
      <c r="L6" t="s">
        <v>381</v>
      </c>
      <c r="N6">
        <v>352</v>
      </c>
      <c r="O6">
        <v>352</v>
      </c>
      <c r="P6">
        <v>2459</v>
      </c>
      <c r="Q6">
        <v>2459</v>
      </c>
    </row>
    <row r="7" spans="2:17" x14ac:dyDescent="0.25">
      <c r="L7" t="s">
        <v>382</v>
      </c>
      <c r="N7">
        <v>605</v>
      </c>
      <c r="O7">
        <v>605</v>
      </c>
      <c r="P7">
        <v>1528</v>
      </c>
      <c r="Q7">
        <v>1528</v>
      </c>
    </row>
    <row r="8" spans="2:17" x14ac:dyDescent="0.25">
      <c r="L8" t="s">
        <v>383</v>
      </c>
      <c r="N8">
        <v>918</v>
      </c>
      <c r="O8">
        <v>918</v>
      </c>
      <c r="P8">
        <v>1250</v>
      </c>
      <c r="Q8">
        <v>1250</v>
      </c>
    </row>
    <row r="9" spans="2:17" x14ac:dyDescent="0.25">
      <c r="L9" t="s">
        <v>384</v>
      </c>
      <c r="N9">
        <v>1632</v>
      </c>
      <c r="O9">
        <v>1632</v>
      </c>
      <c r="P9">
        <v>2840</v>
      </c>
      <c r="Q9">
        <v>2840</v>
      </c>
    </row>
    <row r="10" spans="2:17" x14ac:dyDescent="0.25">
      <c r="L10" t="s">
        <v>385</v>
      </c>
      <c r="N10">
        <v>400</v>
      </c>
      <c r="O10">
        <v>400</v>
      </c>
      <c r="P10">
        <v>950</v>
      </c>
      <c r="Q10">
        <v>950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8CB5-5DEA-4E6F-B920-C2E611CE4A87}">
  <sheetPr>
    <tabColor rgb="FF002060"/>
  </sheetPr>
  <dimension ref="D5:S9"/>
  <sheetViews>
    <sheetView showGridLines="0" workbookViewId="0">
      <selection activeCell="D5" sqref="D5:S9"/>
    </sheetView>
  </sheetViews>
  <sheetFormatPr defaultRowHeight="15" x14ac:dyDescent="0.25"/>
  <cols>
    <col min="1" max="1" width="1.85546875" customWidth="1"/>
  </cols>
  <sheetData>
    <row r="5" spans="4:19" x14ac:dyDescent="0.25">
      <c r="D5" s="222" t="str">
        <f>"DATA SOURCE FOR "&amp;'Data Sheet'!B1</f>
        <v>DATA SOURCE FOR TATA MOTORS LTD</v>
      </c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</row>
    <row r="6" spans="4:19" x14ac:dyDescent="0.25"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2"/>
    </row>
    <row r="7" spans="4:19" x14ac:dyDescent="0.25"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</row>
    <row r="8" spans="4:19" x14ac:dyDescent="0.25">
      <c r="D8" s="168"/>
      <c r="E8" s="168"/>
      <c r="F8" s="223" t="s">
        <v>398</v>
      </c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</row>
    <row r="9" spans="4:19" x14ac:dyDescent="0.25">
      <c r="D9" s="168"/>
      <c r="E9" s="168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</row>
  </sheetData>
  <mergeCells count="2">
    <mergeCell ref="D5:S7"/>
    <mergeCell ref="F8:Q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Normal="100" zoomScalePageLayoutView="120" workbookViewId="0">
      <pane xSplit="1" ySplit="1" topLeftCell="B2" activePane="bottomRight" state="frozen"/>
      <selection pane="topRight" activeCell="C4" sqref="C4"/>
      <selection pane="bottomLeft" activeCell="C4" sqref="C4"/>
      <selection pane="bottomRight" activeCell="G25" sqref="G25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162</v>
      </c>
      <c r="B1" s="1" t="s">
        <v>163</v>
      </c>
      <c r="E1" s="226" t="str">
        <f>IF(B2&lt;&gt;B3, "A NEW VERSION OF THE WORKSHEET IS AVAILABLE", "")</f>
        <v/>
      </c>
      <c r="F1" s="226"/>
      <c r="G1" s="226"/>
      <c r="H1" s="226"/>
      <c r="I1" s="226"/>
      <c r="J1" s="226"/>
      <c r="K1" s="226"/>
    </row>
    <row r="2" spans="1:11" x14ac:dyDescent="0.25">
      <c r="A2" s="1" t="s">
        <v>164</v>
      </c>
      <c r="B2" s="2">
        <v>2.1</v>
      </c>
      <c r="E2" s="227" t="s">
        <v>165</v>
      </c>
      <c r="F2" s="227"/>
      <c r="G2" s="227"/>
      <c r="H2" s="227"/>
      <c r="I2" s="227"/>
      <c r="J2" s="227"/>
      <c r="K2" s="227"/>
    </row>
    <row r="3" spans="1:11" x14ac:dyDescent="0.25">
      <c r="A3" s="1" t="s">
        <v>166</v>
      </c>
      <c r="B3" s="2">
        <v>2.1</v>
      </c>
    </row>
    <row r="4" spans="1:11" x14ac:dyDescent="0.25">
      <c r="A4" s="1"/>
    </row>
    <row r="5" spans="1:11" x14ac:dyDescent="0.25">
      <c r="A5" s="1" t="s">
        <v>167</v>
      </c>
    </row>
    <row r="6" spans="1:11" x14ac:dyDescent="0.25">
      <c r="A6" s="2" t="s">
        <v>168</v>
      </c>
      <c r="B6" s="2">
        <f>IF(B9&gt;0, B9/B8, 0)</f>
        <v>365.84408866995079</v>
      </c>
    </row>
    <row r="7" spans="1:11" x14ac:dyDescent="0.25">
      <c r="A7" s="2" t="s">
        <v>169</v>
      </c>
      <c r="B7">
        <v>2</v>
      </c>
    </row>
    <row r="8" spans="1:11" x14ac:dyDescent="0.25">
      <c r="A8" s="2" t="s">
        <v>170</v>
      </c>
      <c r="B8">
        <v>933.8</v>
      </c>
    </row>
    <row r="9" spans="1:11" x14ac:dyDescent="0.25">
      <c r="A9" s="2" t="s">
        <v>171</v>
      </c>
      <c r="B9">
        <v>341625.21</v>
      </c>
    </row>
    <row r="15" spans="1:11" x14ac:dyDescent="0.25">
      <c r="A15" s="1" t="s">
        <v>172</v>
      </c>
    </row>
    <row r="16" spans="1:11" s="6" customFormat="1" x14ac:dyDescent="0.25">
      <c r="A16" s="5" t="s">
        <v>173</v>
      </c>
      <c r="B16" s="4">
        <v>41729</v>
      </c>
      <c r="C16" s="4">
        <v>42094</v>
      </c>
      <c r="D16" s="4">
        <v>42460</v>
      </c>
      <c r="E16" s="4">
        <v>42825</v>
      </c>
      <c r="F16" s="4">
        <v>43190</v>
      </c>
      <c r="G16" s="4">
        <v>43555</v>
      </c>
      <c r="H16" s="4">
        <v>43921</v>
      </c>
      <c r="I16" s="4">
        <v>44286</v>
      </c>
      <c r="J16" s="4">
        <v>44651</v>
      </c>
      <c r="K16" s="4">
        <v>45016</v>
      </c>
    </row>
    <row r="17" spans="1:11" s="3" customFormat="1" x14ac:dyDescent="0.25">
      <c r="A17" s="3" t="s">
        <v>4</v>
      </c>
      <c r="B17">
        <v>232833.66</v>
      </c>
      <c r="C17">
        <v>263158.98</v>
      </c>
      <c r="D17">
        <v>273045.59999999998</v>
      </c>
      <c r="E17">
        <v>269692.51</v>
      </c>
      <c r="F17">
        <v>291550.48</v>
      </c>
      <c r="G17">
        <v>301938.40000000002</v>
      </c>
      <c r="H17">
        <v>261067.97</v>
      </c>
      <c r="I17">
        <v>249794.75</v>
      </c>
      <c r="J17">
        <v>278453.62</v>
      </c>
      <c r="K17">
        <v>345966.97</v>
      </c>
    </row>
    <row r="18" spans="1:11" s="3" customFormat="1" x14ac:dyDescent="0.25">
      <c r="A18" s="2" t="s">
        <v>174</v>
      </c>
      <c r="B18">
        <v>146426.99</v>
      </c>
      <c r="C18">
        <v>163250.35999999999</v>
      </c>
      <c r="D18">
        <v>166134.01</v>
      </c>
      <c r="E18">
        <v>173294.07999999999</v>
      </c>
      <c r="F18">
        <v>187896.58</v>
      </c>
      <c r="G18">
        <v>194267.91</v>
      </c>
      <c r="H18">
        <v>164899.82</v>
      </c>
      <c r="I18">
        <v>153607.35999999999</v>
      </c>
      <c r="J18">
        <v>179295.33</v>
      </c>
      <c r="K18">
        <v>231251.26</v>
      </c>
    </row>
    <row r="19" spans="1:11" s="3" customFormat="1" x14ac:dyDescent="0.25">
      <c r="A19" s="2" t="s">
        <v>175</v>
      </c>
      <c r="B19">
        <v>2840.58</v>
      </c>
      <c r="C19">
        <v>3330.35</v>
      </c>
      <c r="D19">
        <v>2750.99</v>
      </c>
      <c r="E19">
        <v>7399.92</v>
      </c>
      <c r="F19">
        <v>2046.58</v>
      </c>
      <c r="G19">
        <v>-2053.2800000000002</v>
      </c>
      <c r="H19">
        <v>-2231.19</v>
      </c>
      <c r="I19">
        <v>-4684.16</v>
      </c>
      <c r="J19">
        <v>-1590.49</v>
      </c>
      <c r="K19">
        <v>4781.62</v>
      </c>
    </row>
    <row r="20" spans="1:11" s="3" customFormat="1" x14ac:dyDescent="0.25">
      <c r="A20" s="2" t="s">
        <v>176</v>
      </c>
      <c r="B20">
        <v>1128.69</v>
      </c>
      <c r="C20">
        <v>1121.75</v>
      </c>
      <c r="D20">
        <v>1143.6300000000001</v>
      </c>
      <c r="E20">
        <v>1159.82</v>
      </c>
      <c r="F20">
        <v>1308.08</v>
      </c>
      <c r="G20">
        <v>1585.93</v>
      </c>
      <c r="H20">
        <v>1264.95</v>
      </c>
      <c r="I20">
        <v>1112.8699999999999</v>
      </c>
      <c r="J20">
        <v>2178.29</v>
      </c>
      <c r="K20">
        <v>2513.33</v>
      </c>
    </row>
    <row r="21" spans="1:11" s="3" customFormat="1" x14ac:dyDescent="0.25">
      <c r="A21" s="2" t="s">
        <v>177</v>
      </c>
      <c r="B21">
        <v>13806.04</v>
      </c>
      <c r="C21">
        <v>16173.17</v>
      </c>
      <c r="D21">
        <v>12101.53</v>
      </c>
      <c r="E21">
        <v>10067.370000000001</v>
      </c>
      <c r="F21">
        <v>10971.66</v>
      </c>
      <c r="G21">
        <v>11694.54</v>
      </c>
      <c r="H21">
        <v>11541.51</v>
      </c>
      <c r="I21">
        <v>8273.17</v>
      </c>
      <c r="J21">
        <v>9427.3799999999992</v>
      </c>
      <c r="K21">
        <v>11765.97</v>
      </c>
    </row>
    <row r="22" spans="1:11" s="3" customFormat="1" x14ac:dyDescent="0.25">
      <c r="A22" s="2" t="s">
        <v>178</v>
      </c>
      <c r="B22">
        <v>21609.919999999998</v>
      </c>
      <c r="C22">
        <v>25641.95</v>
      </c>
      <c r="D22">
        <v>28880.89</v>
      </c>
      <c r="E22">
        <v>28332.89</v>
      </c>
      <c r="F22">
        <v>30300.09</v>
      </c>
      <c r="G22">
        <v>33243.870000000003</v>
      </c>
      <c r="H22">
        <v>30438.6</v>
      </c>
      <c r="I22">
        <v>27648.48</v>
      </c>
      <c r="J22">
        <v>30808.52</v>
      </c>
      <c r="K22">
        <v>33654.699999999997</v>
      </c>
    </row>
    <row r="23" spans="1:11" s="3" customFormat="1" x14ac:dyDescent="0.25">
      <c r="A23" s="2" t="s">
        <v>179</v>
      </c>
      <c r="B23">
        <v>22357.79</v>
      </c>
      <c r="C23">
        <v>23603.01</v>
      </c>
      <c r="D23">
        <v>21991.9</v>
      </c>
      <c r="E23">
        <v>30039.38</v>
      </c>
      <c r="F23">
        <v>31004.58</v>
      </c>
      <c r="G23">
        <v>32719.8</v>
      </c>
      <c r="H23">
        <v>29248.32</v>
      </c>
      <c r="I23">
        <v>23015.79</v>
      </c>
      <c r="J23">
        <v>29205.4</v>
      </c>
      <c r="K23">
        <v>34839.19</v>
      </c>
    </row>
    <row r="24" spans="1:11" s="3" customFormat="1" x14ac:dyDescent="0.25">
      <c r="A24" s="2" t="s">
        <v>180</v>
      </c>
      <c r="B24">
        <v>-4508.55</v>
      </c>
      <c r="C24">
        <v>-2539.56</v>
      </c>
      <c r="D24">
        <v>7149.38</v>
      </c>
      <c r="E24">
        <v>4610.2</v>
      </c>
      <c r="F24">
        <v>658.39</v>
      </c>
      <c r="G24">
        <v>1708.74</v>
      </c>
      <c r="H24">
        <v>3456.51</v>
      </c>
      <c r="I24">
        <v>-834.51</v>
      </c>
      <c r="J24">
        <v>1228.1199999999999</v>
      </c>
      <c r="K24">
        <v>4908.34</v>
      </c>
    </row>
    <row r="25" spans="1:11" s="3" customFormat="1" x14ac:dyDescent="0.25">
      <c r="A25" s="3" t="s">
        <v>181</v>
      </c>
      <c r="B25">
        <v>-156.79</v>
      </c>
      <c r="C25">
        <v>714.03</v>
      </c>
      <c r="D25">
        <v>-2669.62</v>
      </c>
      <c r="E25">
        <v>1869.1</v>
      </c>
      <c r="F25">
        <v>5932.73</v>
      </c>
      <c r="G25">
        <v>-26686.25</v>
      </c>
      <c r="H25">
        <v>101.71</v>
      </c>
      <c r="I25">
        <v>-11117.83</v>
      </c>
      <c r="J25">
        <v>2424.0500000000002</v>
      </c>
      <c r="K25">
        <v>6327.59</v>
      </c>
    </row>
    <row r="26" spans="1:11" s="3" customFormat="1" x14ac:dyDescent="0.25">
      <c r="A26" s="3" t="s">
        <v>17</v>
      </c>
      <c r="B26">
        <v>11078.16</v>
      </c>
      <c r="C26">
        <v>13388.63</v>
      </c>
      <c r="D26">
        <v>16710.78</v>
      </c>
      <c r="E26">
        <v>17904.990000000002</v>
      </c>
      <c r="F26">
        <v>21553.59</v>
      </c>
      <c r="G26">
        <v>23590.63</v>
      </c>
      <c r="H26">
        <v>21425.43</v>
      </c>
      <c r="I26">
        <v>23546.71</v>
      </c>
      <c r="J26">
        <v>24835.69</v>
      </c>
      <c r="K26">
        <v>24860.36</v>
      </c>
    </row>
    <row r="27" spans="1:11" s="3" customFormat="1" x14ac:dyDescent="0.25">
      <c r="A27" s="3" t="s">
        <v>15</v>
      </c>
      <c r="B27">
        <v>4749.4399999999996</v>
      </c>
      <c r="C27">
        <v>4861.49</v>
      </c>
      <c r="D27">
        <v>4889.08</v>
      </c>
      <c r="E27">
        <v>4238.01</v>
      </c>
      <c r="F27">
        <v>4681.79</v>
      </c>
      <c r="G27">
        <v>5758.6</v>
      </c>
      <c r="H27">
        <v>7243.33</v>
      </c>
      <c r="I27">
        <v>8097.17</v>
      </c>
      <c r="J27">
        <v>9311.86</v>
      </c>
      <c r="K27">
        <v>10225.48</v>
      </c>
    </row>
    <row r="28" spans="1:11" s="3" customFormat="1" x14ac:dyDescent="0.25">
      <c r="A28" s="3" t="s">
        <v>182</v>
      </c>
      <c r="B28">
        <v>18868.97</v>
      </c>
      <c r="C28">
        <v>21702.560000000001</v>
      </c>
      <c r="D28">
        <v>14125.77</v>
      </c>
      <c r="E28">
        <v>9314.7900000000009</v>
      </c>
      <c r="F28">
        <v>11155.03</v>
      </c>
      <c r="G28">
        <v>-31371.15</v>
      </c>
      <c r="H28">
        <v>-10579.98</v>
      </c>
      <c r="I28">
        <v>-10474.280000000001</v>
      </c>
      <c r="J28">
        <v>-7003.41</v>
      </c>
      <c r="K28">
        <v>3057.55</v>
      </c>
    </row>
    <row r="29" spans="1:11" s="3" customFormat="1" x14ac:dyDescent="0.25">
      <c r="A29" s="3" t="s">
        <v>21</v>
      </c>
      <c r="B29">
        <v>4764.79</v>
      </c>
      <c r="C29">
        <v>7642.91</v>
      </c>
      <c r="D29">
        <v>3025.05</v>
      </c>
      <c r="E29">
        <v>3251.23</v>
      </c>
      <c r="F29">
        <v>4341.93</v>
      </c>
      <c r="G29">
        <v>-2437.4499999999998</v>
      </c>
      <c r="H29">
        <v>395.25</v>
      </c>
      <c r="I29">
        <v>2541.86</v>
      </c>
      <c r="J29">
        <v>4231.29</v>
      </c>
      <c r="K29">
        <v>704.06</v>
      </c>
    </row>
    <row r="30" spans="1:11" s="3" customFormat="1" x14ac:dyDescent="0.25">
      <c r="A30" s="3" t="s">
        <v>183</v>
      </c>
      <c r="B30">
        <v>13991.02</v>
      </c>
      <c r="C30">
        <v>13986.29</v>
      </c>
      <c r="D30">
        <v>11579.31</v>
      </c>
      <c r="E30">
        <v>7454.36</v>
      </c>
      <c r="F30">
        <v>8988.91</v>
      </c>
      <c r="G30">
        <v>-28826.23</v>
      </c>
      <c r="H30">
        <v>-12070.85</v>
      </c>
      <c r="I30">
        <v>-13451.39</v>
      </c>
      <c r="J30">
        <v>-11441.47</v>
      </c>
      <c r="K30">
        <v>2414.29</v>
      </c>
    </row>
    <row r="31" spans="1:11" s="3" customFormat="1" x14ac:dyDescent="0.25">
      <c r="A31" s="3" t="s">
        <v>184</v>
      </c>
      <c r="B31">
        <v>643.78</v>
      </c>
      <c r="D31">
        <v>67.92</v>
      </c>
      <c r="K31">
        <v>766.02</v>
      </c>
    </row>
    <row r="32" spans="1:11" s="3" customFormat="1" x14ac:dyDescent="0.25"/>
    <row r="33" spans="1:11" x14ac:dyDescent="0.25">
      <c r="A33" s="2" t="s">
        <v>13</v>
      </c>
      <c r="B33" s="2">
        <f>SUM(B26:B28)</f>
        <v>34696.57</v>
      </c>
      <c r="C33" s="2">
        <f t="shared" ref="C33:K33" si="0">SUM(C26:C28)</f>
        <v>39952.68</v>
      </c>
      <c r="D33" s="2">
        <f t="shared" si="0"/>
        <v>35725.630000000005</v>
      </c>
      <c r="E33" s="2">
        <f t="shared" si="0"/>
        <v>31457.79</v>
      </c>
      <c r="F33" s="2">
        <f t="shared" si="0"/>
        <v>37390.410000000003</v>
      </c>
      <c r="G33" s="2">
        <f t="shared" si="0"/>
        <v>-2021.9199999999983</v>
      </c>
      <c r="H33" s="2">
        <f t="shared" si="0"/>
        <v>18088.780000000002</v>
      </c>
      <c r="I33" s="2">
        <f t="shared" si="0"/>
        <v>21169.599999999999</v>
      </c>
      <c r="J33" s="2">
        <f t="shared" si="0"/>
        <v>27144.140000000003</v>
      </c>
      <c r="K33" s="2">
        <f t="shared" si="0"/>
        <v>38143.39</v>
      </c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185</v>
      </c>
    </row>
    <row r="41" spans="1:11" s="6" customFormat="1" x14ac:dyDescent="0.25">
      <c r="A41" s="5" t="s">
        <v>173</v>
      </c>
      <c r="B41" s="4">
        <v>44469</v>
      </c>
      <c r="C41" s="4">
        <v>44561</v>
      </c>
      <c r="D41" s="4">
        <v>44651</v>
      </c>
      <c r="E41" s="4">
        <v>44742</v>
      </c>
      <c r="F41" s="4">
        <v>44834</v>
      </c>
      <c r="G41" s="4">
        <v>44926</v>
      </c>
      <c r="H41" s="4">
        <v>45016</v>
      </c>
      <c r="I41" s="4">
        <v>45107</v>
      </c>
      <c r="J41" s="4">
        <v>45199</v>
      </c>
      <c r="K41" s="4">
        <v>45291</v>
      </c>
    </row>
    <row r="42" spans="1:11" s="3" customFormat="1" x14ac:dyDescent="0.25">
      <c r="A42" s="3" t="s">
        <v>4</v>
      </c>
      <c r="B42">
        <v>61378.82</v>
      </c>
      <c r="C42">
        <v>72229.289999999994</v>
      </c>
      <c r="D42">
        <v>78439.06</v>
      </c>
      <c r="E42">
        <v>71934.66</v>
      </c>
      <c r="F42">
        <v>79611.37</v>
      </c>
      <c r="G42">
        <v>88488.59</v>
      </c>
      <c r="H42">
        <v>105932.35</v>
      </c>
      <c r="I42">
        <v>102236.08</v>
      </c>
      <c r="J42">
        <v>105128.24</v>
      </c>
      <c r="K42">
        <v>110577.14</v>
      </c>
    </row>
    <row r="43" spans="1:11" s="3" customFormat="1" x14ac:dyDescent="0.25">
      <c r="A43" s="3" t="s">
        <v>186</v>
      </c>
      <c r="B43">
        <v>57262.21</v>
      </c>
      <c r="C43">
        <v>65151.27</v>
      </c>
      <c r="D43">
        <v>70156.27</v>
      </c>
      <c r="E43">
        <v>69521.929999999993</v>
      </c>
      <c r="F43">
        <v>74039.06</v>
      </c>
      <c r="G43">
        <v>77668.350000000006</v>
      </c>
      <c r="H43">
        <v>92817.95</v>
      </c>
      <c r="I43">
        <v>89018.36</v>
      </c>
      <c r="J43">
        <v>91361.3</v>
      </c>
      <c r="K43">
        <v>95158.77</v>
      </c>
    </row>
    <row r="44" spans="1:11" s="3" customFormat="1" x14ac:dyDescent="0.25">
      <c r="A44" s="3" t="s">
        <v>181</v>
      </c>
      <c r="B44">
        <v>862.46</v>
      </c>
      <c r="C44">
        <v>788.73</v>
      </c>
      <c r="D44">
        <v>188.74</v>
      </c>
      <c r="E44">
        <v>2380.98</v>
      </c>
      <c r="F44">
        <v>1351.14</v>
      </c>
      <c r="G44">
        <v>1129.98</v>
      </c>
      <c r="H44">
        <v>1361.61</v>
      </c>
      <c r="I44">
        <v>683.56</v>
      </c>
      <c r="J44">
        <v>1507.05</v>
      </c>
      <c r="K44">
        <v>1410.5</v>
      </c>
    </row>
    <row r="45" spans="1:11" s="3" customFormat="1" x14ac:dyDescent="0.25">
      <c r="A45" s="3" t="s">
        <v>17</v>
      </c>
      <c r="B45">
        <v>6123.32</v>
      </c>
      <c r="C45">
        <v>6078.13</v>
      </c>
      <c r="D45">
        <v>6432.11</v>
      </c>
      <c r="E45">
        <v>5841.04</v>
      </c>
      <c r="F45">
        <v>5897.34</v>
      </c>
      <c r="G45">
        <v>6071.78</v>
      </c>
      <c r="H45">
        <v>7050.2</v>
      </c>
      <c r="I45">
        <v>6633.18</v>
      </c>
      <c r="J45">
        <v>6636.42</v>
      </c>
      <c r="K45">
        <v>6850</v>
      </c>
    </row>
    <row r="46" spans="1:11" s="3" customFormat="1" x14ac:dyDescent="0.25">
      <c r="A46" s="3" t="s">
        <v>15</v>
      </c>
      <c r="B46">
        <v>2327.3000000000002</v>
      </c>
      <c r="C46">
        <v>2400.7399999999998</v>
      </c>
      <c r="D46">
        <v>2380.52</v>
      </c>
      <c r="E46">
        <v>2420.7199999999998</v>
      </c>
      <c r="F46">
        <v>2487.2600000000002</v>
      </c>
      <c r="G46">
        <v>2675.83</v>
      </c>
      <c r="H46">
        <v>2641.67</v>
      </c>
      <c r="I46">
        <v>2615.39</v>
      </c>
      <c r="J46">
        <v>2651.69</v>
      </c>
      <c r="K46">
        <v>2484.91</v>
      </c>
    </row>
    <row r="47" spans="1:11" s="3" customFormat="1" x14ac:dyDescent="0.25">
      <c r="A47" s="3" t="s">
        <v>182</v>
      </c>
      <c r="B47">
        <v>-3471.55</v>
      </c>
      <c r="C47">
        <v>-612.12</v>
      </c>
      <c r="D47">
        <v>-341.1</v>
      </c>
      <c r="E47">
        <v>-3468.05</v>
      </c>
      <c r="F47">
        <v>-1461.15</v>
      </c>
      <c r="G47">
        <v>3202.61</v>
      </c>
      <c r="H47">
        <v>4784.1400000000003</v>
      </c>
      <c r="I47">
        <v>4652.71</v>
      </c>
      <c r="J47">
        <v>5985.88</v>
      </c>
      <c r="K47">
        <v>7493.96</v>
      </c>
    </row>
    <row r="48" spans="1:11" s="3" customFormat="1" x14ac:dyDescent="0.25">
      <c r="A48" s="3" t="s">
        <v>21</v>
      </c>
      <c r="B48">
        <v>1005.06</v>
      </c>
      <c r="C48">
        <v>726.05</v>
      </c>
      <c r="D48">
        <v>758.22</v>
      </c>
      <c r="E48">
        <v>1518.96</v>
      </c>
      <c r="F48">
        <v>-457.08</v>
      </c>
      <c r="G48">
        <v>262.83</v>
      </c>
      <c r="H48">
        <v>-620.65</v>
      </c>
      <c r="I48">
        <v>1563.01</v>
      </c>
      <c r="J48">
        <v>2202.84</v>
      </c>
      <c r="K48">
        <v>541.79</v>
      </c>
    </row>
    <row r="49" spans="1:11" s="3" customFormat="1" x14ac:dyDescent="0.25">
      <c r="A49" s="3" t="s">
        <v>183</v>
      </c>
      <c r="B49">
        <v>-4441.57</v>
      </c>
      <c r="C49">
        <v>-1516.14</v>
      </c>
      <c r="D49">
        <v>-1032.8399999999999</v>
      </c>
      <c r="E49">
        <v>-5006.6000000000004</v>
      </c>
      <c r="F49">
        <v>-944.61</v>
      </c>
      <c r="G49">
        <v>2957.71</v>
      </c>
      <c r="H49">
        <v>5407.79</v>
      </c>
      <c r="I49">
        <v>3202.8</v>
      </c>
      <c r="J49">
        <v>3764</v>
      </c>
      <c r="K49">
        <v>7025.11</v>
      </c>
    </row>
    <row r="50" spans="1:11" x14ac:dyDescent="0.25">
      <c r="A50" s="3" t="s">
        <v>187</v>
      </c>
      <c r="B50">
        <v>4116.6099999999997</v>
      </c>
      <c r="C50">
        <v>7078.02</v>
      </c>
      <c r="D50">
        <v>8282.7900000000009</v>
      </c>
      <c r="E50">
        <v>2412.73</v>
      </c>
      <c r="F50">
        <v>5572.31</v>
      </c>
      <c r="G50">
        <v>10820.24</v>
      </c>
      <c r="H50">
        <v>13114.4</v>
      </c>
      <c r="I50">
        <v>13217.72</v>
      </c>
      <c r="J50">
        <v>13766.94</v>
      </c>
      <c r="K50">
        <v>15418.37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188</v>
      </c>
    </row>
    <row r="56" spans="1:11" s="6" customFormat="1" x14ac:dyDescent="0.25">
      <c r="A56" s="5" t="s">
        <v>173</v>
      </c>
      <c r="B56" s="4">
        <v>41729</v>
      </c>
      <c r="C56" s="4">
        <v>42094</v>
      </c>
      <c r="D56" s="4">
        <v>42460</v>
      </c>
      <c r="E56" s="4">
        <v>42825</v>
      </c>
      <c r="F56" s="4">
        <v>43190</v>
      </c>
      <c r="G56" s="4">
        <v>43555</v>
      </c>
      <c r="H56" s="4">
        <v>43921</v>
      </c>
      <c r="I56" s="4">
        <v>44286</v>
      </c>
      <c r="J56" s="4">
        <v>44651</v>
      </c>
      <c r="K56" s="4">
        <v>45016</v>
      </c>
    </row>
    <row r="57" spans="1:11" x14ac:dyDescent="0.25">
      <c r="A57" s="3" t="s">
        <v>32</v>
      </c>
      <c r="B57">
        <v>643.78</v>
      </c>
      <c r="C57">
        <v>643.78</v>
      </c>
      <c r="D57">
        <v>679.18</v>
      </c>
      <c r="E57">
        <v>679.22</v>
      </c>
      <c r="F57">
        <v>679.22</v>
      </c>
      <c r="G57">
        <v>679.22</v>
      </c>
      <c r="H57">
        <v>719.54</v>
      </c>
      <c r="I57">
        <v>765.81</v>
      </c>
      <c r="J57">
        <v>765.88</v>
      </c>
      <c r="K57">
        <v>766.02</v>
      </c>
    </row>
    <row r="58" spans="1:11" x14ac:dyDescent="0.25">
      <c r="A58" s="3" t="s">
        <v>33</v>
      </c>
      <c r="B58">
        <v>64959.67</v>
      </c>
      <c r="C58">
        <v>55618.14</v>
      </c>
      <c r="D58">
        <v>78273.23</v>
      </c>
      <c r="E58">
        <v>57382.67</v>
      </c>
      <c r="F58">
        <v>94748.69</v>
      </c>
      <c r="G58">
        <v>59500.34</v>
      </c>
      <c r="H58">
        <v>61491.49</v>
      </c>
      <c r="I58">
        <v>54480.91</v>
      </c>
      <c r="J58">
        <v>43795.360000000001</v>
      </c>
      <c r="K58">
        <v>44555.77</v>
      </c>
    </row>
    <row r="59" spans="1:11" x14ac:dyDescent="0.25">
      <c r="A59" s="3" t="s">
        <v>34</v>
      </c>
      <c r="B59">
        <v>60642.28</v>
      </c>
      <c r="C59">
        <v>73610.39</v>
      </c>
      <c r="D59">
        <v>69359.960000000006</v>
      </c>
      <c r="E59">
        <v>78603.98</v>
      </c>
      <c r="F59">
        <v>88950.47</v>
      </c>
      <c r="G59">
        <v>106175.34</v>
      </c>
      <c r="H59">
        <v>124787.64</v>
      </c>
      <c r="I59">
        <v>142130.57</v>
      </c>
      <c r="J59">
        <v>146449.03</v>
      </c>
      <c r="K59">
        <v>134113.44</v>
      </c>
    </row>
    <row r="60" spans="1:11" x14ac:dyDescent="0.25">
      <c r="A60" s="3" t="s">
        <v>35</v>
      </c>
      <c r="B60">
        <v>92180.26</v>
      </c>
      <c r="C60">
        <v>107442.48</v>
      </c>
      <c r="D60">
        <v>114871.75</v>
      </c>
      <c r="E60">
        <v>135914.49</v>
      </c>
      <c r="F60">
        <v>142813.43</v>
      </c>
      <c r="G60">
        <v>139348.59</v>
      </c>
      <c r="H60">
        <v>133180.72</v>
      </c>
      <c r="I60">
        <v>144192.62</v>
      </c>
      <c r="J60">
        <v>138051.22</v>
      </c>
      <c r="K60">
        <v>155239.20000000001</v>
      </c>
    </row>
    <row r="61" spans="1:11" s="1" customFormat="1" x14ac:dyDescent="0.25">
      <c r="A61" s="1" t="s">
        <v>189</v>
      </c>
      <c r="B61">
        <v>218425.99</v>
      </c>
      <c r="C61">
        <v>237314.79</v>
      </c>
      <c r="D61">
        <v>263184.12</v>
      </c>
      <c r="E61">
        <v>272580.36</v>
      </c>
      <c r="F61">
        <v>327191.81</v>
      </c>
      <c r="G61">
        <v>305703.49</v>
      </c>
      <c r="H61">
        <v>320179.39</v>
      </c>
      <c r="I61">
        <v>341569.91</v>
      </c>
      <c r="J61">
        <v>329061.49</v>
      </c>
      <c r="K61">
        <v>334674.43</v>
      </c>
    </row>
    <row r="62" spans="1:11" x14ac:dyDescent="0.25">
      <c r="A62" s="3" t="s">
        <v>190</v>
      </c>
      <c r="B62">
        <v>69091.67</v>
      </c>
      <c r="C62">
        <v>88479.49</v>
      </c>
      <c r="D62">
        <v>107231.76</v>
      </c>
      <c r="E62">
        <v>95944.08</v>
      </c>
      <c r="F62">
        <v>121413.86</v>
      </c>
      <c r="G62">
        <v>111234.47</v>
      </c>
      <c r="H62">
        <v>127107.14</v>
      </c>
      <c r="I62">
        <v>138707.60999999999</v>
      </c>
      <c r="J62">
        <v>138855.45000000001</v>
      </c>
      <c r="K62">
        <v>132079.76</v>
      </c>
    </row>
    <row r="63" spans="1:11" x14ac:dyDescent="0.25">
      <c r="A63" s="3" t="s">
        <v>38</v>
      </c>
      <c r="B63">
        <v>33262.559999999998</v>
      </c>
      <c r="C63">
        <v>28640.09</v>
      </c>
      <c r="D63">
        <v>25918.94</v>
      </c>
      <c r="E63">
        <v>33698.839999999997</v>
      </c>
      <c r="F63">
        <v>40033.5</v>
      </c>
      <c r="G63">
        <v>31883.84</v>
      </c>
      <c r="H63">
        <v>35622.29</v>
      </c>
      <c r="I63">
        <v>20963.93</v>
      </c>
      <c r="J63">
        <v>10251.09</v>
      </c>
      <c r="K63">
        <v>14274.5</v>
      </c>
    </row>
    <row r="64" spans="1:11" x14ac:dyDescent="0.25">
      <c r="A64" s="3" t="s">
        <v>39</v>
      </c>
      <c r="B64">
        <v>10686.67</v>
      </c>
      <c r="C64">
        <v>15336.74</v>
      </c>
      <c r="D64">
        <v>23767.02</v>
      </c>
      <c r="E64">
        <v>20337.919999999998</v>
      </c>
      <c r="F64">
        <v>20812.75</v>
      </c>
      <c r="G64">
        <v>15770.72</v>
      </c>
      <c r="H64">
        <v>16308.48</v>
      </c>
      <c r="I64">
        <v>24620.28</v>
      </c>
      <c r="J64">
        <v>29379.53</v>
      </c>
      <c r="K64">
        <v>26379.16</v>
      </c>
    </row>
    <row r="65" spans="1:11" x14ac:dyDescent="0.25">
      <c r="A65" s="3" t="s">
        <v>40</v>
      </c>
      <c r="B65">
        <v>105385.09</v>
      </c>
      <c r="C65">
        <v>104858.47</v>
      </c>
      <c r="D65">
        <v>106266.4</v>
      </c>
      <c r="E65">
        <v>122599.52</v>
      </c>
      <c r="F65">
        <v>144931.70000000001</v>
      </c>
      <c r="G65">
        <v>146814.46</v>
      </c>
      <c r="H65">
        <v>141141.48000000001</v>
      </c>
      <c r="I65">
        <v>157278.09</v>
      </c>
      <c r="J65">
        <v>150575.42000000001</v>
      </c>
      <c r="K65">
        <v>161941.01</v>
      </c>
    </row>
    <row r="66" spans="1:11" s="1" customFormat="1" x14ac:dyDescent="0.25">
      <c r="A66" s="1" t="s">
        <v>189</v>
      </c>
      <c r="B66">
        <v>218425.99</v>
      </c>
      <c r="C66">
        <v>237314.79</v>
      </c>
      <c r="D66">
        <v>263184.12</v>
      </c>
      <c r="E66">
        <v>272580.36</v>
      </c>
      <c r="F66">
        <v>327191.81</v>
      </c>
      <c r="G66">
        <v>305703.49</v>
      </c>
      <c r="H66">
        <v>320179.39</v>
      </c>
      <c r="I66">
        <v>341569.91</v>
      </c>
      <c r="J66">
        <v>329061.49</v>
      </c>
      <c r="K66">
        <v>334674.43</v>
      </c>
    </row>
    <row r="67" spans="1:11" s="3" customFormat="1" x14ac:dyDescent="0.25">
      <c r="A67" s="3" t="s">
        <v>42</v>
      </c>
      <c r="B67">
        <v>10574.23</v>
      </c>
      <c r="C67">
        <v>12579.2</v>
      </c>
      <c r="D67">
        <v>13570.91</v>
      </c>
      <c r="E67">
        <v>14075.55</v>
      </c>
      <c r="F67">
        <v>19893.3</v>
      </c>
      <c r="G67">
        <v>18996.169999999998</v>
      </c>
      <c r="H67">
        <v>11172.69</v>
      </c>
      <c r="I67">
        <v>12679.08</v>
      </c>
      <c r="J67">
        <v>12442.12</v>
      </c>
      <c r="K67">
        <v>15737.97</v>
      </c>
    </row>
    <row r="68" spans="1:11" x14ac:dyDescent="0.25">
      <c r="A68" s="3" t="s">
        <v>43</v>
      </c>
      <c r="B68">
        <v>27270.89</v>
      </c>
      <c r="C68">
        <v>29272.34</v>
      </c>
      <c r="D68">
        <v>32655.73</v>
      </c>
      <c r="E68">
        <v>35085.31</v>
      </c>
      <c r="F68">
        <v>42137.63</v>
      </c>
      <c r="G68">
        <v>39013.730000000003</v>
      </c>
      <c r="H68">
        <v>37456.879999999997</v>
      </c>
      <c r="I68">
        <v>36088.589999999997</v>
      </c>
      <c r="J68">
        <v>35240.339999999997</v>
      </c>
      <c r="K68">
        <v>40755.39</v>
      </c>
    </row>
    <row r="69" spans="1:11" x14ac:dyDescent="0.25">
      <c r="A69" s="2" t="s">
        <v>44</v>
      </c>
      <c r="B69">
        <v>29711.79</v>
      </c>
      <c r="C69">
        <v>32115.759999999998</v>
      </c>
      <c r="D69">
        <v>30460.400000000001</v>
      </c>
      <c r="E69">
        <v>36077.879999999997</v>
      </c>
      <c r="F69">
        <v>34613.910000000003</v>
      </c>
      <c r="G69">
        <v>32648.82</v>
      </c>
      <c r="H69">
        <v>33726.97</v>
      </c>
      <c r="I69">
        <v>46792.46</v>
      </c>
      <c r="J69">
        <v>40669.19</v>
      </c>
      <c r="K69">
        <v>37015.56</v>
      </c>
    </row>
    <row r="70" spans="1:11" x14ac:dyDescent="0.25">
      <c r="A70" s="2" t="s">
        <v>191</v>
      </c>
      <c r="B70">
        <v>3218930000</v>
      </c>
      <c r="C70">
        <v>3218930067</v>
      </c>
      <c r="D70">
        <v>3395930306</v>
      </c>
      <c r="E70">
        <v>3396100719</v>
      </c>
      <c r="F70">
        <v>3396100719</v>
      </c>
      <c r="G70">
        <v>3396100719</v>
      </c>
      <c r="H70">
        <v>3597726185</v>
      </c>
      <c r="I70">
        <v>3829060661</v>
      </c>
      <c r="J70">
        <v>3829414903</v>
      </c>
      <c r="K70">
        <v>3830097221</v>
      </c>
    </row>
    <row r="71" spans="1:11" x14ac:dyDescent="0.25">
      <c r="A71" s="2" t="s">
        <v>192</v>
      </c>
    </row>
    <row r="72" spans="1:11" x14ac:dyDescent="0.25">
      <c r="A72" s="2" t="s">
        <v>193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25">
      <c r="A74" s="2" t="s">
        <v>266</v>
      </c>
      <c r="B74" s="2">
        <f>B65-SUM(B67:B69)</f>
        <v>37828.179999999993</v>
      </c>
      <c r="C74" s="2">
        <f t="shared" ref="C74:K74" si="1">C65-SUM(C67:C69)</f>
        <v>30891.17</v>
      </c>
      <c r="D74" s="2">
        <f t="shared" si="1"/>
        <v>29579.359999999986</v>
      </c>
      <c r="E74" s="2">
        <f t="shared" si="1"/>
        <v>37360.780000000013</v>
      </c>
      <c r="F74" s="2">
        <f t="shared" si="1"/>
        <v>48286.860000000015</v>
      </c>
      <c r="G74" s="2">
        <f t="shared" si="1"/>
        <v>56155.739999999991</v>
      </c>
      <c r="H74" s="2">
        <f t="shared" si="1"/>
        <v>58784.94</v>
      </c>
      <c r="I74" s="2">
        <f t="shared" si="1"/>
        <v>61717.959999999992</v>
      </c>
      <c r="J74" s="2">
        <f t="shared" si="1"/>
        <v>62223.770000000019</v>
      </c>
      <c r="K74" s="2">
        <f t="shared" si="1"/>
        <v>68432.090000000011</v>
      </c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194</v>
      </c>
    </row>
    <row r="81" spans="1:11" s="6" customFormat="1" x14ac:dyDescent="0.25">
      <c r="A81" s="5" t="s">
        <v>173</v>
      </c>
      <c r="B81" s="4">
        <v>41729</v>
      </c>
      <c r="C81" s="4">
        <v>42094</v>
      </c>
      <c r="D81" s="4">
        <v>42460</v>
      </c>
      <c r="E81" s="4">
        <v>42825</v>
      </c>
      <c r="F81" s="4">
        <v>43190</v>
      </c>
      <c r="G81" s="4">
        <v>43555</v>
      </c>
      <c r="H81" s="4">
        <v>43921</v>
      </c>
      <c r="I81" s="4">
        <v>44286</v>
      </c>
      <c r="J81" s="4">
        <v>44651</v>
      </c>
      <c r="K81" s="4">
        <v>45016</v>
      </c>
    </row>
    <row r="82" spans="1:11" s="1" customFormat="1" x14ac:dyDescent="0.25">
      <c r="A82" s="3" t="s">
        <v>195</v>
      </c>
      <c r="B82">
        <v>36151.160000000003</v>
      </c>
      <c r="C82">
        <v>35531.26</v>
      </c>
      <c r="D82">
        <v>37899.54</v>
      </c>
      <c r="E82">
        <v>30199.25</v>
      </c>
      <c r="F82">
        <v>23857.42</v>
      </c>
      <c r="G82">
        <v>18890.75</v>
      </c>
      <c r="H82">
        <v>26632.94</v>
      </c>
      <c r="I82">
        <v>29000.51</v>
      </c>
      <c r="J82">
        <v>14282.83</v>
      </c>
      <c r="K82">
        <v>35388.01</v>
      </c>
    </row>
    <row r="83" spans="1:11" s="3" customFormat="1" x14ac:dyDescent="0.25">
      <c r="A83" s="3" t="s">
        <v>196</v>
      </c>
      <c r="B83">
        <v>-27990.91</v>
      </c>
      <c r="C83">
        <v>-36232.35</v>
      </c>
      <c r="D83">
        <v>-36693.9</v>
      </c>
      <c r="E83">
        <v>-39571.4</v>
      </c>
      <c r="F83">
        <v>-25139.14</v>
      </c>
      <c r="G83">
        <v>-20878.07</v>
      </c>
      <c r="H83">
        <v>-33114.550000000003</v>
      </c>
      <c r="I83">
        <v>-25672.5</v>
      </c>
      <c r="J83">
        <v>-4443.66</v>
      </c>
      <c r="K83">
        <v>-15417.17</v>
      </c>
    </row>
    <row r="84" spans="1:11" s="3" customFormat="1" x14ac:dyDescent="0.25">
      <c r="A84" s="3" t="s">
        <v>197</v>
      </c>
      <c r="B84">
        <v>-3883.24</v>
      </c>
      <c r="C84">
        <v>5201.4399999999996</v>
      </c>
      <c r="D84">
        <v>-3795.12</v>
      </c>
      <c r="E84">
        <v>6205.3</v>
      </c>
      <c r="F84">
        <v>2011.71</v>
      </c>
      <c r="G84">
        <v>8830.3700000000008</v>
      </c>
      <c r="H84">
        <v>3389.61</v>
      </c>
      <c r="I84">
        <v>9904.2000000000007</v>
      </c>
      <c r="J84">
        <v>-3380.17</v>
      </c>
      <c r="K84">
        <v>-26242.9</v>
      </c>
    </row>
    <row r="85" spans="1:11" s="1" customFormat="1" x14ac:dyDescent="0.25">
      <c r="A85" s="3" t="s">
        <v>80</v>
      </c>
      <c r="B85">
        <v>4277.01</v>
      </c>
      <c r="C85">
        <v>4500.3500000000004</v>
      </c>
      <c r="D85">
        <v>-2589.48</v>
      </c>
      <c r="E85">
        <v>-3166.85</v>
      </c>
      <c r="F85">
        <v>729.99</v>
      </c>
      <c r="G85">
        <v>6843.05</v>
      </c>
      <c r="H85">
        <v>-3092</v>
      </c>
      <c r="I85">
        <v>13232.21</v>
      </c>
      <c r="J85">
        <v>6459</v>
      </c>
      <c r="K85">
        <v>-6272.06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s="1" customFormat="1" x14ac:dyDescent="0.25">
      <c r="A90" s="1" t="s">
        <v>198</v>
      </c>
      <c r="B90">
        <v>394.42</v>
      </c>
      <c r="C90">
        <v>544.37</v>
      </c>
      <c r="D90">
        <v>386.6</v>
      </c>
      <c r="E90">
        <v>465.85</v>
      </c>
      <c r="F90">
        <v>326.85000000000002</v>
      </c>
      <c r="G90">
        <v>174.25</v>
      </c>
      <c r="H90">
        <v>71.05</v>
      </c>
      <c r="I90">
        <v>301.8</v>
      </c>
      <c r="J90">
        <v>433.75</v>
      </c>
      <c r="K90">
        <v>420.8</v>
      </c>
    </row>
    <row r="92" spans="1:11" s="1" customFormat="1" x14ac:dyDescent="0.25">
      <c r="A92" s="1" t="s">
        <v>199</v>
      </c>
    </row>
    <row r="93" spans="1:11" x14ac:dyDescent="0.25">
      <c r="A93" s="2" t="s">
        <v>200</v>
      </c>
      <c r="B93" s="7">
        <v>288.74</v>
      </c>
      <c r="C93" s="7">
        <v>288.74</v>
      </c>
      <c r="D93" s="7">
        <v>288.72000000000003</v>
      </c>
      <c r="E93" s="7">
        <v>288.73</v>
      </c>
      <c r="F93" s="7">
        <v>288.73</v>
      </c>
      <c r="G93" s="7">
        <v>288.73</v>
      </c>
      <c r="H93" s="7">
        <v>308.89999999999998</v>
      </c>
      <c r="I93" s="7">
        <v>332.03</v>
      </c>
      <c r="J93" s="7">
        <v>332.07</v>
      </c>
      <c r="K93" s="7">
        <v>332.13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  <ignoredErrors>
    <ignoredError sqref="B33:K33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0508-B5DB-46BD-8576-6AE0E2180EF5}">
  <dimension ref="B2:N36"/>
  <sheetViews>
    <sheetView showGridLines="0" workbookViewId="0">
      <selection activeCell="Q9" sqref="Q9"/>
    </sheetView>
  </sheetViews>
  <sheetFormatPr defaultRowHeight="15" x14ac:dyDescent="0.25"/>
  <cols>
    <col min="1" max="1" width="1.85546875" customWidth="1"/>
    <col min="2" max="2" width="28" bestFit="1" customWidth="1"/>
  </cols>
  <sheetData>
    <row r="2" spans="2:14" x14ac:dyDescent="0.25">
      <c r="B2" s="65" t="str">
        <f>"Cash Flows from Screener - "&amp;'Data Sheet'!B1</f>
        <v>Cash Flows from Screener - TATA MOTORS LTD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4" spans="2:14" x14ac:dyDescent="0.25">
      <c r="B4" s="174" t="s">
        <v>265</v>
      </c>
      <c r="C4" s="194">
        <v>40969</v>
      </c>
      <c r="D4" s="194">
        <v>41334</v>
      </c>
      <c r="E4" s="194">
        <v>41699</v>
      </c>
      <c r="F4" s="194">
        <v>42064</v>
      </c>
      <c r="G4" s="194">
        <v>42430</v>
      </c>
      <c r="H4" s="194">
        <v>42795</v>
      </c>
      <c r="I4" s="194">
        <v>43160</v>
      </c>
      <c r="J4" s="194">
        <v>43525</v>
      </c>
      <c r="K4" s="194">
        <v>43891</v>
      </c>
      <c r="L4" s="194">
        <v>44256</v>
      </c>
      <c r="M4" s="194">
        <v>44621</v>
      </c>
      <c r="N4" s="194">
        <v>44986</v>
      </c>
    </row>
    <row r="5" spans="2:14" x14ac:dyDescent="0.25">
      <c r="B5" s="169" t="s">
        <v>201</v>
      </c>
      <c r="C5" s="195">
        <v>18384</v>
      </c>
      <c r="D5" s="195">
        <v>22163</v>
      </c>
      <c r="E5" s="195">
        <v>36151</v>
      </c>
      <c r="F5" s="195">
        <v>35531</v>
      </c>
      <c r="G5" s="195">
        <v>37900</v>
      </c>
      <c r="H5" s="195">
        <v>30199</v>
      </c>
      <c r="I5" s="195">
        <v>23857</v>
      </c>
      <c r="J5" s="195">
        <v>18891</v>
      </c>
      <c r="K5" s="195">
        <v>26633</v>
      </c>
      <c r="L5" s="195">
        <v>29001</v>
      </c>
      <c r="M5" s="195">
        <v>14283</v>
      </c>
      <c r="N5" s="195">
        <v>35388</v>
      </c>
    </row>
    <row r="6" spans="2:14" x14ac:dyDescent="0.25">
      <c r="B6" s="169" t="s">
        <v>50</v>
      </c>
      <c r="C6" s="195">
        <v>22432</v>
      </c>
      <c r="D6" s="195">
        <v>24406</v>
      </c>
      <c r="E6" s="195">
        <v>36303</v>
      </c>
      <c r="F6" s="195">
        <v>43397</v>
      </c>
      <c r="G6" s="195">
        <v>38626</v>
      </c>
      <c r="H6" s="195">
        <v>28840</v>
      </c>
      <c r="I6" s="195">
        <v>33312</v>
      </c>
      <c r="J6" s="195">
        <v>28771</v>
      </c>
      <c r="K6" s="195">
        <v>23352</v>
      </c>
      <c r="L6" s="195">
        <v>31198</v>
      </c>
      <c r="M6" s="195">
        <v>26943</v>
      </c>
      <c r="N6" s="195">
        <v>41694</v>
      </c>
    </row>
    <row r="7" spans="2:14" x14ac:dyDescent="0.25">
      <c r="B7" s="169" t="s">
        <v>42</v>
      </c>
      <c r="C7" s="195">
        <v>-6659</v>
      </c>
      <c r="D7" s="195">
        <v>-5177</v>
      </c>
      <c r="E7" s="169">
        <v>445</v>
      </c>
      <c r="F7" s="195">
        <v>-3179</v>
      </c>
      <c r="G7" s="195">
        <v>-2223</v>
      </c>
      <c r="H7" s="195">
        <v>-4152</v>
      </c>
      <c r="I7" s="195">
        <v>-10688</v>
      </c>
      <c r="J7" s="195">
        <v>-9109</v>
      </c>
      <c r="K7" s="195">
        <v>9950</v>
      </c>
      <c r="L7" s="195">
        <v>-5505</v>
      </c>
      <c r="M7" s="169">
        <v>185</v>
      </c>
      <c r="N7" s="195">
        <v>-2213</v>
      </c>
    </row>
    <row r="8" spans="2:14" x14ac:dyDescent="0.25">
      <c r="B8" s="169" t="s">
        <v>43</v>
      </c>
      <c r="C8" s="195">
        <v>-2719</v>
      </c>
      <c r="D8" s="195">
        <v>-2656</v>
      </c>
      <c r="E8" s="195">
        <v>-2853</v>
      </c>
      <c r="F8" s="195">
        <v>-3692</v>
      </c>
      <c r="G8" s="195">
        <v>-5743</v>
      </c>
      <c r="H8" s="195">
        <v>-6621</v>
      </c>
      <c r="I8" s="195">
        <v>-3560</v>
      </c>
      <c r="J8" s="195">
        <v>2069</v>
      </c>
      <c r="K8" s="195">
        <v>2326</v>
      </c>
      <c r="L8" s="195">
        <v>3814</v>
      </c>
      <c r="M8" s="169">
        <v>472</v>
      </c>
      <c r="N8" s="195">
        <v>-5665</v>
      </c>
    </row>
    <row r="9" spans="2:14" x14ac:dyDescent="0.25">
      <c r="B9" s="169" t="s">
        <v>51</v>
      </c>
      <c r="C9" s="195">
        <v>5867</v>
      </c>
      <c r="D9" s="195">
        <v>8132</v>
      </c>
      <c r="E9" s="195">
        <v>4694</v>
      </c>
      <c r="F9" s="195">
        <v>3598</v>
      </c>
      <c r="G9" s="195">
        <v>3947</v>
      </c>
      <c r="H9" s="195">
        <v>9301</v>
      </c>
      <c r="I9" s="195">
        <v>7320</v>
      </c>
      <c r="J9" s="195">
        <v>-4692</v>
      </c>
      <c r="K9" s="195">
        <v>-8085</v>
      </c>
      <c r="L9" s="195">
        <v>5748</v>
      </c>
      <c r="M9" s="195">
        <v>-7012</v>
      </c>
      <c r="N9" s="195">
        <v>6945</v>
      </c>
    </row>
    <row r="10" spans="2:14" x14ac:dyDescent="0.25">
      <c r="B10" s="169" t="s">
        <v>52</v>
      </c>
      <c r="C10" s="169">
        <v>0</v>
      </c>
      <c r="D10" s="169">
        <v>0</v>
      </c>
      <c r="E10" s="169">
        <v>0</v>
      </c>
      <c r="F10" s="169">
        <v>0</v>
      </c>
      <c r="G10" s="169">
        <v>-520</v>
      </c>
      <c r="H10" s="169">
        <v>0</v>
      </c>
      <c r="I10" s="169">
        <v>0</v>
      </c>
      <c r="J10" s="169">
        <v>0</v>
      </c>
      <c r="K10" s="169">
        <v>0</v>
      </c>
      <c r="L10" s="169">
        <v>0</v>
      </c>
      <c r="M10" s="169">
        <v>0</v>
      </c>
      <c r="N10" s="169">
        <v>0</v>
      </c>
    </row>
    <row r="11" spans="2:14" x14ac:dyDescent="0.25">
      <c r="B11" s="169" t="s">
        <v>53</v>
      </c>
      <c r="C11" s="195">
        <v>1231</v>
      </c>
      <c r="D11" s="169">
        <v>-303</v>
      </c>
      <c r="E11" s="195">
        <v>1870</v>
      </c>
      <c r="F11" s="169">
        <v>-398</v>
      </c>
      <c r="G11" s="195">
        <v>5852</v>
      </c>
      <c r="H11" s="195">
        <v>4727</v>
      </c>
      <c r="I11" s="169">
        <v>494</v>
      </c>
      <c r="J11" s="195">
        <v>4512</v>
      </c>
      <c r="K11" s="169">
        <v>875</v>
      </c>
      <c r="L11" s="195">
        <v>-4150</v>
      </c>
      <c r="M11" s="195">
        <v>-4396</v>
      </c>
      <c r="N11" s="195">
        <v>-2194</v>
      </c>
    </row>
    <row r="12" spans="2:14" x14ac:dyDescent="0.25">
      <c r="B12" s="169" t="s">
        <v>202</v>
      </c>
      <c r="C12" s="195">
        <v>-2280</v>
      </c>
      <c r="D12" s="169">
        <v>-3</v>
      </c>
      <c r="E12" s="195">
        <v>4157</v>
      </c>
      <c r="F12" s="195">
        <v>-3672</v>
      </c>
      <c r="G12" s="195">
        <v>1313</v>
      </c>
      <c r="H12" s="195">
        <v>3254</v>
      </c>
      <c r="I12" s="195">
        <v>-6434</v>
      </c>
      <c r="J12" s="195">
        <v>-7221</v>
      </c>
      <c r="K12" s="195">
        <v>5065</v>
      </c>
      <c r="L12" s="169">
        <v>-93</v>
      </c>
      <c r="M12" s="195">
        <v>-10750</v>
      </c>
      <c r="N12" s="195">
        <v>-3127</v>
      </c>
    </row>
    <row r="13" spans="2:14" x14ac:dyDescent="0.25">
      <c r="B13" s="169" t="s">
        <v>54</v>
      </c>
      <c r="C13" s="195">
        <v>-1768</v>
      </c>
      <c r="D13" s="195">
        <v>-2240</v>
      </c>
      <c r="E13" s="195">
        <v>-4308</v>
      </c>
      <c r="F13" s="195">
        <v>-4194</v>
      </c>
      <c r="G13" s="195">
        <v>-2040</v>
      </c>
      <c r="H13" s="195">
        <v>-1895</v>
      </c>
      <c r="I13" s="195">
        <v>-3021</v>
      </c>
      <c r="J13" s="195">
        <v>-2659</v>
      </c>
      <c r="K13" s="195">
        <v>-1785</v>
      </c>
      <c r="L13" s="195">
        <v>-2105</v>
      </c>
      <c r="M13" s="195">
        <v>-1910</v>
      </c>
      <c r="N13" s="195">
        <v>-3179</v>
      </c>
    </row>
    <row r="14" spans="2:14" x14ac:dyDescent="0.25">
      <c r="B14" s="169" t="s">
        <v>203</v>
      </c>
      <c r="C14" s="195">
        <v>-19464</v>
      </c>
      <c r="D14" s="195">
        <v>-22969</v>
      </c>
      <c r="E14" s="195">
        <v>-27991</v>
      </c>
      <c r="F14" s="195">
        <v>-36232</v>
      </c>
      <c r="G14" s="195">
        <v>-36694</v>
      </c>
      <c r="H14" s="195">
        <v>-39571</v>
      </c>
      <c r="I14" s="195">
        <v>-25139</v>
      </c>
      <c r="J14" s="195">
        <v>-20878</v>
      </c>
      <c r="K14" s="195">
        <v>-33115</v>
      </c>
      <c r="L14" s="195">
        <v>-25672</v>
      </c>
      <c r="M14" s="195">
        <v>-4444</v>
      </c>
      <c r="N14" s="195">
        <v>-15417</v>
      </c>
    </row>
    <row r="15" spans="2:14" x14ac:dyDescent="0.25">
      <c r="B15" s="169" t="s">
        <v>57</v>
      </c>
      <c r="C15" s="195">
        <v>-13876</v>
      </c>
      <c r="D15" s="195">
        <v>-18863</v>
      </c>
      <c r="E15" s="195">
        <v>-26975</v>
      </c>
      <c r="F15" s="195">
        <v>-31962</v>
      </c>
      <c r="G15" s="195">
        <v>-31503</v>
      </c>
      <c r="H15" s="195">
        <v>-16072</v>
      </c>
      <c r="I15" s="195">
        <v>-35079</v>
      </c>
      <c r="J15" s="195">
        <v>-35304</v>
      </c>
      <c r="K15" s="195">
        <v>-29702</v>
      </c>
      <c r="L15" s="195">
        <v>-20205</v>
      </c>
      <c r="M15" s="195">
        <v>-15168</v>
      </c>
      <c r="N15" s="195">
        <v>-19230</v>
      </c>
    </row>
    <row r="16" spans="2:14" x14ac:dyDescent="0.25">
      <c r="B16" s="169" t="s">
        <v>58</v>
      </c>
      <c r="C16" s="169">
        <v>93</v>
      </c>
      <c r="D16" s="169">
        <v>37</v>
      </c>
      <c r="E16" s="169">
        <v>50</v>
      </c>
      <c r="F16" s="169">
        <v>74</v>
      </c>
      <c r="G16" s="169">
        <v>59</v>
      </c>
      <c r="H16" s="169">
        <v>53</v>
      </c>
      <c r="I16" s="169">
        <v>30</v>
      </c>
      <c r="J16" s="169">
        <v>67</v>
      </c>
      <c r="K16" s="169">
        <v>171</v>
      </c>
      <c r="L16" s="169">
        <v>351</v>
      </c>
      <c r="M16" s="169">
        <v>230</v>
      </c>
      <c r="N16" s="169">
        <v>285</v>
      </c>
    </row>
    <row r="17" spans="2:14" x14ac:dyDescent="0.25">
      <c r="B17" s="169" t="s">
        <v>59</v>
      </c>
      <c r="C17" s="195">
        <v>-5857</v>
      </c>
      <c r="D17" s="169">
        <v>73</v>
      </c>
      <c r="E17" s="169">
        <v>-429</v>
      </c>
      <c r="F17" s="195">
        <v>-5461</v>
      </c>
      <c r="G17" s="195">
        <v>-4728</v>
      </c>
      <c r="H17" s="169">
        <v>-6</v>
      </c>
      <c r="I17" s="169">
        <v>-329</v>
      </c>
      <c r="J17" s="169">
        <v>-130</v>
      </c>
      <c r="K17" s="195">
        <v>-1439</v>
      </c>
      <c r="L17" s="195">
        <v>-7530</v>
      </c>
      <c r="M17" s="195">
        <v>-3008</v>
      </c>
      <c r="N17" s="169">
        <v>-50</v>
      </c>
    </row>
    <row r="18" spans="2:14" x14ac:dyDescent="0.25">
      <c r="B18" s="169" t="s">
        <v>60</v>
      </c>
      <c r="C18" s="169">
        <v>84</v>
      </c>
      <c r="D18" s="169">
        <v>34</v>
      </c>
      <c r="E18" s="169">
        <v>4</v>
      </c>
      <c r="F18" s="169">
        <v>42</v>
      </c>
      <c r="G18" s="169">
        <v>89</v>
      </c>
      <c r="H18" s="195">
        <v>1965</v>
      </c>
      <c r="I18" s="195">
        <v>2381</v>
      </c>
      <c r="J18" s="195">
        <v>5644</v>
      </c>
      <c r="K18" s="169">
        <v>21</v>
      </c>
      <c r="L18" s="169">
        <v>226</v>
      </c>
      <c r="M18" s="169">
        <v>104</v>
      </c>
      <c r="N18" s="195">
        <v>6895</v>
      </c>
    </row>
    <row r="19" spans="2:14" x14ac:dyDescent="0.25">
      <c r="B19" s="169" t="s">
        <v>61</v>
      </c>
      <c r="C19" s="169">
        <v>467</v>
      </c>
      <c r="D19" s="169">
        <v>713</v>
      </c>
      <c r="E19" s="169">
        <v>653</v>
      </c>
      <c r="F19" s="169">
        <v>698</v>
      </c>
      <c r="G19" s="169">
        <v>731</v>
      </c>
      <c r="H19" s="169">
        <v>638</v>
      </c>
      <c r="I19" s="169">
        <v>690</v>
      </c>
      <c r="J19" s="169">
        <v>761</v>
      </c>
      <c r="K19" s="195">
        <v>1104</v>
      </c>
      <c r="L19" s="169">
        <v>428</v>
      </c>
      <c r="M19" s="169">
        <v>653</v>
      </c>
      <c r="N19" s="169">
        <v>973</v>
      </c>
    </row>
    <row r="20" spans="2:14" x14ac:dyDescent="0.25">
      <c r="B20" s="169" t="s">
        <v>62</v>
      </c>
      <c r="C20" s="169">
        <v>70</v>
      </c>
      <c r="D20" s="169">
        <v>95</v>
      </c>
      <c r="E20" s="169">
        <v>40</v>
      </c>
      <c r="F20" s="169">
        <v>80</v>
      </c>
      <c r="G20" s="169">
        <v>58</v>
      </c>
      <c r="H20" s="169">
        <v>620</v>
      </c>
      <c r="I20" s="195">
        <v>1797</v>
      </c>
      <c r="J20" s="169">
        <v>232</v>
      </c>
      <c r="K20" s="169">
        <v>21</v>
      </c>
      <c r="L20" s="169">
        <v>18</v>
      </c>
      <c r="M20" s="169">
        <v>32</v>
      </c>
      <c r="N20" s="169">
        <v>46</v>
      </c>
    </row>
    <row r="21" spans="2:14" x14ac:dyDescent="0.25">
      <c r="B21" s="169" t="s">
        <v>63</v>
      </c>
      <c r="C21" s="169">
        <v>-304</v>
      </c>
      <c r="D21" s="169">
        <v>0</v>
      </c>
      <c r="E21" s="169">
        <v>0</v>
      </c>
      <c r="F21" s="169">
        <v>0</v>
      </c>
      <c r="G21" s="169">
        <v>0</v>
      </c>
      <c r="H21" s="169">
        <v>0</v>
      </c>
      <c r="I21" s="169">
        <v>0</v>
      </c>
      <c r="J21" s="169">
        <v>0</v>
      </c>
      <c r="K21" s="169">
        <v>0</v>
      </c>
      <c r="L21" s="169">
        <v>0</v>
      </c>
      <c r="M21" s="169">
        <v>0</v>
      </c>
      <c r="N21" s="169">
        <v>0</v>
      </c>
    </row>
    <row r="22" spans="2:14" x14ac:dyDescent="0.25">
      <c r="B22" s="169" t="s">
        <v>64</v>
      </c>
      <c r="C22" s="169">
        <v>-9</v>
      </c>
      <c r="D22" s="169">
        <v>0</v>
      </c>
      <c r="E22" s="169">
        <v>0</v>
      </c>
      <c r="F22" s="169">
        <v>-160</v>
      </c>
      <c r="G22" s="169">
        <v>0</v>
      </c>
      <c r="H22" s="169">
        <v>-107</v>
      </c>
      <c r="I22" s="169">
        <v>-4</v>
      </c>
      <c r="J22" s="169">
        <v>-9</v>
      </c>
      <c r="K22" s="169">
        <v>-606</v>
      </c>
      <c r="L22" s="169">
        <v>-10</v>
      </c>
      <c r="M22" s="169">
        <v>0</v>
      </c>
      <c r="N22" s="169">
        <v>0</v>
      </c>
    </row>
    <row r="23" spans="2:14" x14ac:dyDescent="0.25">
      <c r="B23" s="169" t="s">
        <v>65</v>
      </c>
      <c r="C23" s="169">
        <v>0</v>
      </c>
      <c r="D23" s="169">
        <v>0</v>
      </c>
      <c r="E23" s="169">
        <v>0</v>
      </c>
      <c r="F23" s="169">
        <v>0</v>
      </c>
      <c r="G23" s="169">
        <v>0</v>
      </c>
      <c r="H23" s="169">
        <v>0</v>
      </c>
      <c r="I23" s="169">
        <v>14</v>
      </c>
      <c r="J23" s="169">
        <v>533</v>
      </c>
      <c r="K23" s="169">
        <v>0</v>
      </c>
      <c r="L23" s="169">
        <v>0</v>
      </c>
      <c r="M23" s="169">
        <v>0</v>
      </c>
      <c r="N23" s="169">
        <v>19</v>
      </c>
    </row>
    <row r="24" spans="2:14" x14ac:dyDescent="0.25">
      <c r="B24" s="169" t="s">
        <v>66</v>
      </c>
      <c r="C24" s="169">
        <v>0</v>
      </c>
      <c r="D24" s="169">
        <v>0</v>
      </c>
      <c r="E24" s="169">
        <v>-185</v>
      </c>
      <c r="F24" s="169">
        <v>0</v>
      </c>
      <c r="G24" s="169">
        <v>-111</v>
      </c>
      <c r="H24" s="169">
        <v>0</v>
      </c>
      <c r="I24" s="169">
        <v>0</v>
      </c>
      <c r="J24" s="169">
        <v>-8</v>
      </c>
      <c r="K24" s="169">
        <v>-27</v>
      </c>
      <c r="L24" s="169">
        <v>0</v>
      </c>
      <c r="M24" s="169">
        <v>-98</v>
      </c>
      <c r="N24" s="169">
        <v>0</v>
      </c>
    </row>
    <row r="25" spans="2:14" x14ac:dyDescent="0.25">
      <c r="B25" s="169" t="s">
        <v>67</v>
      </c>
      <c r="C25" s="169">
        <v>-3</v>
      </c>
      <c r="D25" s="169">
        <v>45</v>
      </c>
      <c r="E25" s="169">
        <v>0</v>
      </c>
      <c r="F25" s="169">
        <v>0</v>
      </c>
      <c r="G25" s="169">
        <v>0</v>
      </c>
      <c r="H25" s="169">
        <v>0</v>
      </c>
      <c r="I25" s="169">
        <v>0</v>
      </c>
      <c r="J25" s="169">
        <v>0</v>
      </c>
      <c r="K25" s="169">
        <v>0</v>
      </c>
      <c r="L25" s="169">
        <v>0</v>
      </c>
      <c r="M25" s="169">
        <v>0</v>
      </c>
      <c r="N25" s="169">
        <v>0</v>
      </c>
    </row>
    <row r="26" spans="2:14" x14ac:dyDescent="0.25">
      <c r="B26" s="169" t="s">
        <v>68</v>
      </c>
      <c r="C26" s="169">
        <v>-129</v>
      </c>
      <c r="D26" s="195">
        <v>-5103</v>
      </c>
      <c r="E26" s="195">
        <v>-1149</v>
      </c>
      <c r="F26" s="169">
        <v>456</v>
      </c>
      <c r="G26" s="195">
        <v>-1289</v>
      </c>
      <c r="H26" s="195">
        <v>-26663</v>
      </c>
      <c r="I26" s="195">
        <v>5360</v>
      </c>
      <c r="J26" s="195">
        <v>7335</v>
      </c>
      <c r="K26" s="195">
        <v>-2659</v>
      </c>
      <c r="L26" s="195">
        <v>1051</v>
      </c>
      <c r="M26" s="195">
        <v>12813</v>
      </c>
      <c r="N26" s="195">
        <v>-4357</v>
      </c>
    </row>
    <row r="27" spans="2:14" x14ac:dyDescent="0.25">
      <c r="B27" s="169" t="s">
        <v>204</v>
      </c>
      <c r="C27" s="195">
        <v>6567</v>
      </c>
      <c r="D27" s="195">
        <v>-1692</v>
      </c>
      <c r="E27" s="195">
        <v>-3883</v>
      </c>
      <c r="F27" s="195">
        <v>5201</v>
      </c>
      <c r="G27" s="195">
        <v>-3795</v>
      </c>
      <c r="H27" s="195">
        <v>6205</v>
      </c>
      <c r="I27" s="195">
        <v>2012</v>
      </c>
      <c r="J27" s="195">
        <v>8830</v>
      </c>
      <c r="K27" s="195">
        <v>3390</v>
      </c>
      <c r="L27" s="195">
        <v>9904</v>
      </c>
      <c r="M27" s="195">
        <v>-3380</v>
      </c>
      <c r="N27" s="195">
        <v>-26243</v>
      </c>
    </row>
    <row r="28" spans="2:14" x14ac:dyDescent="0.25">
      <c r="B28" s="169" t="s">
        <v>71</v>
      </c>
      <c r="C28" s="169">
        <v>139</v>
      </c>
      <c r="D28" s="169">
        <v>1</v>
      </c>
      <c r="E28" s="169">
        <v>0</v>
      </c>
      <c r="F28" s="169">
        <v>0</v>
      </c>
      <c r="G28" s="195">
        <v>7433</v>
      </c>
      <c r="H28" s="169">
        <v>5</v>
      </c>
      <c r="I28" s="169">
        <v>0</v>
      </c>
      <c r="J28" s="169">
        <v>0</v>
      </c>
      <c r="K28" s="195">
        <v>3889</v>
      </c>
      <c r="L28" s="195">
        <v>2603</v>
      </c>
      <c r="M28" s="169">
        <v>19</v>
      </c>
      <c r="N28" s="169">
        <v>20</v>
      </c>
    </row>
    <row r="29" spans="2:14" x14ac:dyDescent="0.25">
      <c r="B29" s="169" t="s">
        <v>72</v>
      </c>
      <c r="C29" s="169">
        <v>0</v>
      </c>
      <c r="D29" s="169">
        <v>-97</v>
      </c>
      <c r="E29" s="169">
        <v>-658</v>
      </c>
      <c r="F29" s="169">
        <v>-744</v>
      </c>
      <c r="G29" s="169">
        <v>0</v>
      </c>
      <c r="H29" s="169">
        <v>0</v>
      </c>
      <c r="I29" s="169">
        <v>0</v>
      </c>
      <c r="J29" s="169">
        <v>0</v>
      </c>
      <c r="K29" s="169">
        <v>0</v>
      </c>
      <c r="L29" s="169">
        <v>0</v>
      </c>
      <c r="M29" s="169">
        <v>0</v>
      </c>
      <c r="N29" s="169">
        <v>0</v>
      </c>
    </row>
    <row r="30" spans="2:14" x14ac:dyDescent="0.25">
      <c r="B30" s="169" t="s">
        <v>73</v>
      </c>
      <c r="C30" s="195">
        <v>27462</v>
      </c>
      <c r="D30" s="195">
        <v>27863</v>
      </c>
      <c r="E30" s="195">
        <v>33258</v>
      </c>
      <c r="F30" s="195">
        <v>36363</v>
      </c>
      <c r="G30" s="195">
        <v>19519</v>
      </c>
      <c r="H30" s="195">
        <v>33390</v>
      </c>
      <c r="I30" s="195">
        <v>37482</v>
      </c>
      <c r="J30" s="195">
        <v>51128</v>
      </c>
      <c r="K30" s="195">
        <v>38297</v>
      </c>
      <c r="L30" s="195">
        <v>46641</v>
      </c>
      <c r="M30" s="195">
        <v>46578</v>
      </c>
      <c r="N30" s="195">
        <v>43934</v>
      </c>
    </row>
    <row r="31" spans="2:14" x14ac:dyDescent="0.25">
      <c r="B31" s="169" t="s">
        <v>74</v>
      </c>
      <c r="C31" s="195">
        <v>-15010</v>
      </c>
      <c r="D31" s="195">
        <v>-20395</v>
      </c>
      <c r="E31" s="195">
        <v>-29141</v>
      </c>
      <c r="F31" s="195">
        <v>-23332</v>
      </c>
      <c r="G31" s="195">
        <v>-24924</v>
      </c>
      <c r="H31" s="195">
        <v>-21732</v>
      </c>
      <c r="I31" s="195">
        <v>-29964</v>
      </c>
      <c r="J31" s="195">
        <v>-35198</v>
      </c>
      <c r="K31" s="195">
        <v>-29847</v>
      </c>
      <c r="L31" s="195">
        <v>-29709</v>
      </c>
      <c r="M31" s="195">
        <v>-42816</v>
      </c>
      <c r="N31" s="195">
        <v>-62557</v>
      </c>
    </row>
    <row r="32" spans="2:14" x14ac:dyDescent="0.25">
      <c r="B32" s="169" t="s">
        <v>75</v>
      </c>
      <c r="C32" s="195">
        <v>-3374</v>
      </c>
      <c r="D32" s="195">
        <v>-4666</v>
      </c>
      <c r="E32" s="195">
        <v>-6171</v>
      </c>
      <c r="F32" s="195">
        <v>-6307</v>
      </c>
      <c r="G32" s="195">
        <v>-5716</v>
      </c>
      <c r="H32" s="195">
        <v>-5336</v>
      </c>
      <c r="I32" s="195">
        <v>-5411</v>
      </c>
      <c r="J32" s="195">
        <v>-7005</v>
      </c>
      <c r="K32" s="195">
        <v>-7518</v>
      </c>
      <c r="L32" s="195">
        <v>-8123</v>
      </c>
      <c r="M32" s="195">
        <v>-9251</v>
      </c>
      <c r="N32" s="195">
        <v>-9336</v>
      </c>
    </row>
    <row r="33" spans="2:14" x14ac:dyDescent="0.25">
      <c r="B33" s="169" t="s">
        <v>76</v>
      </c>
      <c r="C33" s="195">
        <v>-1503</v>
      </c>
      <c r="D33" s="195">
        <v>-1551</v>
      </c>
      <c r="E33" s="169">
        <v>-722</v>
      </c>
      <c r="F33" s="169">
        <v>-720</v>
      </c>
      <c r="G33" s="169">
        <v>-108</v>
      </c>
      <c r="H33" s="169">
        <v>-121</v>
      </c>
      <c r="I33" s="169">
        <v>-96</v>
      </c>
      <c r="J33" s="169">
        <v>-95</v>
      </c>
      <c r="K33" s="169">
        <v>-57</v>
      </c>
      <c r="L33" s="169">
        <v>-30</v>
      </c>
      <c r="M33" s="169">
        <v>-100</v>
      </c>
      <c r="N33" s="169">
        <v>-141</v>
      </c>
    </row>
    <row r="34" spans="2:14" x14ac:dyDescent="0.25">
      <c r="B34" s="169" t="s">
        <v>77</v>
      </c>
      <c r="C34" s="169">
        <v>0</v>
      </c>
      <c r="D34" s="169">
        <v>0</v>
      </c>
      <c r="E34" s="169">
        <v>0</v>
      </c>
      <c r="F34" s="169">
        <v>0</v>
      </c>
      <c r="G34" s="169">
        <v>0</v>
      </c>
      <c r="H34" s="169">
        <v>0</v>
      </c>
      <c r="I34" s="169">
        <v>0</v>
      </c>
      <c r="J34" s="169">
        <v>0</v>
      </c>
      <c r="K34" s="195">
        <v>-1346</v>
      </c>
      <c r="L34" s="195">
        <v>-1477</v>
      </c>
      <c r="M34" s="195">
        <v>-1559</v>
      </c>
      <c r="N34" s="195">
        <v>-1517</v>
      </c>
    </row>
    <row r="35" spans="2:14" x14ac:dyDescent="0.25">
      <c r="B35" s="169" t="s">
        <v>78</v>
      </c>
      <c r="C35" s="195">
        <v>-1147</v>
      </c>
      <c r="D35" s="195">
        <v>-2849</v>
      </c>
      <c r="E35" s="169">
        <v>-450</v>
      </c>
      <c r="F35" s="169">
        <v>-57</v>
      </c>
      <c r="G35" s="169">
        <v>0</v>
      </c>
      <c r="H35" s="169">
        <v>0</v>
      </c>
      <c r="I35" s="169">
        <v>0</v>
      </c>
      <c r="J35" s="169">
        <v>0</v>
      </c>
      <c r="K35" s="169">
        <v>-29</v>
      </c>
      <c r="L35" s="169">
        <v>0</v>
      </c>
      <c r="M35" s="195">
        <v>3750</v>
      </c>
      <c r="N35" s="195">
        <v>3355</v>
      </c>
    </row>
    <row r="36" spans="2:14" x14ac:dyDescent="0.25">
      <c r="B36" s="169" t="s">
        <v>80</v>
      </c>
      <c r="C36" s="195">
        <v>5488</v>
      </c>
      <c r="D36" s="195">
        <v>-2499</v>
      </c>
      <c r="E36" s="195">
        <v>4277</v>
      </c>
      <c r="F36" s="195">
        <v>4500</v>
      </c>
      <c r="G36" s="195">
        <v>-2589</v>
      </c>
      <c r="H36" s="195">
        <v>-3167</v>
      </c>
      <c r="I36" s="169">
        <v>730</v>
      </c>
      <c r="J36" s="195">
        <v>6843</v>
      </c>
      <c r="K36" s="195">
        <v>-3092</v>
      </c>
      <c r="L36" s="195">
        <v>13232</v>
      </c>
      <c r="M36" s="195">
        <v>6459</v>
      </c>
      <c r="N36" s="195">
        <v>-6272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72A3-2779-4D26-B149-11DFBC4437BC}">
  <sheetPr>
    <tabColor rgb="FF002060"/>
  </sheetPr>
  <dimension ref="D5:S9"/>
  <sheetViews>
    <sheetView showGridLines="0" workbookViewId="0">
      <selection activeCell="F10" sqref="F10"/>
    </sheetView>
  </sheetViews>
  <sheetFormatPr defaultRowHeight="15" x14ac:dyDescent="0.25"/>
  <cols>
    <col min="1" max="1" width="1.85546875" customWidth="1"/>
  </cols>
  <sheetData>
    <row r="5" spans="4:19" x14ac:dyDescent="0.25">
      <c r="D5" s="222" t="str">
        <f>"DATA ROOM CREATED FOR "&amp;'Data Sheet'!B1</f>
        <v>DATA ROOM CREATED FOR TATA MOTORS LTD</v>
      </c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</row>
    <row r="6" spans="4:19" x14ac:dyDescent="0.25"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2"/>
    </row>
    <row r="7" spans="4:19" x14ac:dyDescent="0.25"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</row>
    <row r="8" spans="4:19" ht="15" customHeight="1" x14ac:dyDescent="0.25">
      <c r="D8" s="168"/>
      <c r="E8" s="168"/>
      <c r="F8" s="223" t="s">
        <v>399</v>
      </c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</row>
    <row r="9" spans="4:19" x14ac:dyDescent="0.25">
      <c r="D9" s="168"/>
      <c r="E9" s="168"/>
      <c r="F9" s="223" t="s">
        <v>400</v>
      </c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</row>
  </sheetData>
  <mergeCells count="3">
    <mergeCell ref="D5:S7"/>
    <mergeCell ref="F8:Q8"/>
    <mergeCell ref="F9:Q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6B6B-5664-44E1-BC16-C902C063B532}">
  <dimension ref="A2:N41"/>
  <sheetViews>
    <sheetView showGridLines="0" workbookViewId="0">
      <pane ySplit="2" topLeftCell="A3" activePane="bottomLeft" state="frozen"/>
      <selection pane="bottomLeft" activeCell="Q27" sqref="Q27"/>
    </sheetView>
  </sheetViews>
  <sheetFormatPr defaultRowHeight="15" x14ac:dyDescent="0.25"/>
  <cols>
    <col min="1" max="1" width="1.85546875" customWidth="1"/>
    <col min="2" max="2" width="24.85546875" bestFit="1" customWidth="1"/>
    <col min="3" max="14" width="10.28515625" customWidth="1"/>
  </cols>
  <sheetData>
    <row r="2" spans="2:14" x14ac:dyDescent="0.25">
      <c r="B2" s="65" t="s">
        <v>265</v>
      </c>
      <c r="C2" s="113">
        <v>40969</v>
      </c>
      <c r="D2" s="113">
        <v>41334</v>
      </c>
      <c r="E2" s="113">
        <v>41699</v>
      </c>
      <c r="F2" s="113">
        <v>42064</v>
      </c>
      <c r="G2" s="113">
        <v>42430</v>
      </c>
      <c r="H2" s="113">
        <v>42795</v>
      </c>
      <c r="I2" s="113">
        <v>43160</v>
      </c>
      <c r="J2" s="113">
        <v>43525</v>
      </c>
      <c r="K2" s="113">
        <v>43891</v>
      </c>
      <c r="L2" s="113">
        <v>44256</v>
      </c>
      <c r="M2" s="113">
        <v>44621</v>
      </c>
      <c r="N2" s="113">
        <v>44986</v>
      </c>
    </row>
    <row r="3" spans="2:14" s="117" customFormat="1" x14ac:dyDescent="0.25">
      <c r="B3" s="115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</row>
    <row r="4" spans="2:14" x14ac:dyDescent="0.25">
      <c r="B4" s="174" t="s">
        <v>267</v>
      </c>
      <c r="C4" s="196">
        <v>635</v>
      </c>
      <c r="D4" s="196">
        <v>638</v>
      </c>
      <c r="E4" s="196">
        <v>644</v>
      </c>
      <c r="F4" s="196">
        <v>644</v>
      </c>
      <c r="G4" s="196">
        <v>679</v>
      </c>
      <c r="H4" s="196">
        <v>679</v>
      </c>
      <c r="I4" s="196">
        <v>679</v>
      </c>
      <c r="J4" s="196">
        <v>679</v>
      </c>
      <c r="K4" s="196">
        <v>720</v>
      </c>
      <c r="L4" s="196">
        <v>766</v>
      </c>
      <c r="M4" s="196">
        <v>766</v>
      </c>
      <c r="N4" s="196">
        <v>766</v>
      </c>
    </row>
    <row r="5" spans="2:14" x14ac:dyDescent="0.25">
      <c r="B5" s="174" t="s">
        <v>33</v>
      </c>
      <c r="C5" s="196">
        <v>32064</v>
      </c>
      <c r="D5" s="196">
        <v>36999</v>
      </c>
      <c r="E5" s="196">
        <v>64960</v>
      </c>
      <c r="F5" s="196">
        <v>55618</v>
      </c>
      <c r="G5" s="196">
        <v>78273</v>
      </c>
      <c r="H5" s="196">
        <v>57383</v>
      </c>
      <c r="I5" s="196">
        <v>94749</v>
      </c>
      <c r="J5" s="196">
        <v>59500</v>
      </c>
      <c r="K5" s="196">
        <v>61491</v>
      </c>
      <c r="L5" s="196">
        <v>54481</v>
      </c>
      <c r="M5" s="196">
        <v>43795</v>
      </c>
      <c r="N5" s="196">
        <v>44556</v>
      </c>
    </row>
    <row r="6" spans="2:14" x14ac:dyDescent="0.25">
      <c r="B6" s="174" t="s">
        <v>268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</row>
    <row r="7" spans="2:14" x14ac:dyDescent="0.25">
      <c r="B7" s="169" t="s">
        <v>269</v>
      </c>
      <c r="C7" s="196">
        <v>27962</v>
      </c>
      <c r="D7" s="196">
        <v>32155</v>
      </c>
      <c r="E7" s="196">
        <v>45259</v>
      </c>
      <c r="F7" s="196">
        <v>56071</v>
      </c>
      <c r="G7" s="196">
        <v>50510</v>
      </c>
      <c r="H7" s="196">
        <v>60629</v>
      </c>
      <c r="I7" s="196">
        <v>61200</v>
      </c>
      <c r="J7" s="196">
        <v>70818</v>
      </c>
      <c r="K7" s="196">
        <v>83316</v>
      </c>
      <c r="L7" s="196">
        <v>0</v>
      </c>
      <c r="M7" s="196">
        <v>97759</v>
      </c>
      <c r="N7" s="196">
        <v>88696</v>
      </c>
    </row>
    <row r="8" spans="2:14" x14ac:dyDescent="0.25">
      <c r="B8" s="169" t="s">
        <v>270</v>
      </c>
      <c r="C8" s="196">
        <v>10742</v>
      </c>
      <c r="D8" s="196">
        <v>11620</v>
      </c>
      <c r="E8" s="196">
        <v>9696</v>
      </c>
      <c r="F8" s="196">
        <v>13140</v>
      </c>
      <c r="G8" s="196">
        <v>11451</v>
      </c>
      <c r="H8" s="196">
        <v>13860</v>
      </c>
      <c r="I8" s="196">
        <v>16795</v>
      </c>
      <c r="J8" s="196">
        <v>20150</v>
      </c>
      <c r="K8" s="196">
        <v>16363</v>
      </c>
      <c r="L8" s="196">
        <v>0</v>
      </c>
      <c r="M8" s="196">
        <v>41918</v>
      </c>
      <c r="N8" s="196">
        <v>36965</v>
      </c>
    </row>
    <row r="9" spans="2:14" x14ac:dyDescent="0.25">
      <c r="B9" s="169" t="s">
        <v>271</v>
      </c>
      <c r="C9" s="196">
        <v>0</v>
      </c>
      <c r="D9" s="196">
        <v>0</v>
      </c>
      <c r="E9" s="196">
        <v>0</v>
      </c>
      <c r="F9" s="196">
        <v>0</v>
      </c>
      <c r="G9" s="196">
        <v>0</v>
      </c>
      <c r="H9" s="196">
        <v>0</v>
      </c>
      <c r="I9" s="196">
        <v>0</v>
      </c>
      <c r="J9" s="196">
        <v>173</v>
      </c>
      <c r="K9" s="196">
        <v>5977</v>
      </c>
      <c r="L9" s="196">
        <v>0</v>
      </c>
      <c r="M9" s="196">
        <v>6772</v>
      </c>
      <c r="N9" s="196">
        <v>8453</v>
      </c>
    </row>
    <row r="10" spans="2:14" x14ac:dyDescent="0.25">
      <c r="B10" s="169" t="s">
        <v>272</v>
      </c>
      <c r="C10" s="196">
        <v>8445</v>
      </c>
      <c r="D10" s="196">
        <v>9940</v>
      </c>
      <c r="E10" s="196">
        <v>5688</v>
      </c>
      <c r="F10" s="196">
        <v>4399</v>
      </c>
      <c r="G10" s="196">
        <v>7399</v>
      </c>
      <c r="H10" s="196">
        <v>4115</v>
      </c>
      <c r="I10" s="196">
        <v>10956</v>
      </c>
      <c r="J10" s="196">
        <v>15034</v>
      </c>
      <c r="K10" s="196">
        <v>19132</v>
      </c>
      <c r="L10" s="196">
        <v>142131</v>
      </c>
      <c r="M10" s="196">
        <v>0</v>
      </c>
      <c r="N10" s="196">
        <v>0</v>
      </c>
    </row>
    <row r="11" spans="2:14" x14ac:dyDescent="0.25">
      <c r="B11" s="174" t="s">
        <v>273</v>
      </c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</row>
    <row r="12" spans="2:14" x14ac:dyDescent="0.25">
      <c r="B12" s="169" t="s">
        <v>274</v>
      </c>
      <c r="C12" s="196">
        <v>307</v>
      </c>
      <c r="D12" s="196">
        <v>370</v>
      </c>
      <c r="E12" s="196">
        <v>421</v>
      </c>
      <c r="F12" s="196">
        <v>433</v>
      </c>
      <c r="G12" s="196">
        <v>433</v>
      </c>
      <c r="H12" s="196">
        <v>453</v>
      </c>
      <c r="I12" s="196">
        <v>525</v>
      </c>
      <c r="J12" s="196">
        <v>523</v>
      </c>
      <c r="K12" s="196">
        <v>814</v>
      </c>
      <c r="L12" s="196">
        <v>1573</v>
      </c>
      <c r="M12" s="196">
        <v>4271</v>
      </c>
      <c r="N12" s="196">
        <v>7278</v>
      </c>
    </row>
    <row r="13" spans="2:14" x14ac:dyDescent="0.25">
      <c r="B13" s="169" t="s">
        <v>275</v>
      </c>
      <c r="C13" s="196">
        <v>36686</v>
      </c>
      <c r="D13" s="196">
        <v>44912</v>
      </c>
      <c r="E13" s="196">
        <v>57316</v>
      </c>
      <c r="F13" s="196">
        <v>57407</v>
      </c>
      <c r="G13" s="196">
        <v>61562</v>
      </c>
      <c r="H13" s="196">
        <v>62533</v>
      </c>
      <c r="I13" s="196">
        <v>76940</v>
      </c>
      <c r="J13" s="196">
        <v>71691</v>
      </c>
      <c r="K13" s="196">
        <v>66398</v>
      </c>
      <c r="L13" s="196">
        <v>76040</v>
      </c>
      <c r="M13" s="196">
        <v>69750</v>
      </c>
      <c r="N13" s="196">
        <v>79252</v>
      </c>
    </row>
    <row r="14" spans="2:14" x14ac:dyDescent="0.25">
      <c r="B14" s="169" t="s">
        <v>276</v>
      </c>
      <c r="C14" s="196">
        <v>2369</v>
      </c>
      <c r="D14" s="196">
        <v>2067</v>
      </c>
      <c r="E14" s="196">
        <v>3119</v>
      </c>
      <c r="F14" s="196">
        <v>2289</v>
      </c>
      <c r="G14" s="196">
        <v>2165</v>
      </c>
      <c r="H14" s="196">
        <v>1711</v>
      </c>
      <c r="I14" s="196">
        <v>0</v>
      </c>
      <c r="J14" s="196">
        <v>0</v>
      </c>
      <c r="K14" s="196">
        <v>0</v>
      </c>
      <c r="L14" s="196">
        <v>0</v>
      </c>
      <c r="M14" s="196">
        <v>0</v>
      </c>
      <c r="N14" s="196">
        <v>0</v>
      </c>
    </row>
    <row r="15" spans="2:14" x14ac:dyDescent="0.25">
      <c r="B15" s="169" t="s">
        <v>277</v>
      </c>
      <c r="C15" s="200">
        <v>23556</v>
      </c>
      <c r="D15" s="200">
        <v>29627</v>
      </c>
      <c r="E15" s="200">
        <v>31325</v>
      </c>
      <c r="F15" s="200">
        <v>47313</v>
      </c>
      <c r="G15" s="200">
        <v>50712</v>
      </c>
      <c r="H15" s="200">
        <v>71218</v>
      </c>
      <c r="I15" s="200">
        <v>65349</v>
      </c>
      <c r="J15" s="200">
        <v>67135</v>
      </c>
      <c r="K15" s="200">
        <v>65969</v>
      </c>
      <c r="L15" s="200">
        <v>66579</v>
      </c>
      <c r="M15" s="200">
        <v>64030</v>
      </c>
      <c r="N15" s="200">
        <v>68710</v>
      </c>
    </row>
    <row r="16" spans="2:14" x14ac:dyDescent="0.25">
      <c r="B16" s="178" t="s">
        <v>36</v>
      </c>
      <c r="C16" s="201">
        <v>142766</v>
      </c>
      <c r="D16" s="201">
        <v>168330</v>
      </c>
      <c r="E16" s="201">
        <v>218426</v>
      </c>
      <c r="F16" s="201">
        <v>237315</v>
      </c>
      <c r="G16" s="201">
        <v>263184</v>
      </c>
      <c r="H16" s="201">
        <v>272580</v>
      </c>
      <c r="I16" s="201">
        <v>327192</v>
      </c>
      <c r="J16" s="201">
        <v>305703</v>
      </c>
      <c r="K16" s="201">
        <v>320179</v>
      </c>
      <c r="L16" s="201">
        <v>341570</v>
      </c>
      <c r="M16" s="201">
        <v>329061</v>
      </c>
      <c r="N16" s="201">
        <v>334674</v>
      </c>
    </row>
    <row r="17" spans="2:14" x14ac:dyDescent="0.25">
      <c r="B17" s="169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</row>
    <row r="18" spans="2:14" s="114" customFormat="1" x14ac:dyDescent="0.25">
      <c r="B18" s="174" t="s">
        <v>278</v>
      </c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</row>
    <row r="19" spans="2:14" x14ac:dyDescent="0.25">
      <c r="B19" s="169" t="s">
        <v>279</v>
      </c>
      <c r="C19" s="196">
        <v>1963</v>
      </c>
      <c r="D19" s="196">
        <v>1959</v>
      </c>
      <c r="E19" s="196">
        <v>2296</v>
      </c>
      <c r="F19" s="196">
        <v>2513</v>
      </c>
      <c r="G19" s="196">
        <v>7185</v>
      </c>
      <c r="H19" s="196">
        <v>6762</v>
      </c>
      <c r="I19" s="196">
        <v>7339</v>
      </c>
      <c r="J19" s="196">
        <v>7286</v>
      </c>
      <c r="K19" s="196">
        <v>7675</v>
      </c>
      <c r="L19" s="196">
        <v>7819</v>
      </c>
      <c r="M19" s="196">
        <v>7760</v>
      </c>
      <c r="N19" s="196">
        <v>8045</v>
      </c>
    </row>
    <row r="20" spans="2:14" x14ac:dyDescent="0.25">
      <c r="B20" s="169" t="s">
        <v>280</v>
      </c>
      <c r="C20" s="196">
        <v>9014</v>
      </c>
      <c r="D20" s="196">
        <v>8323</v>
      </c>
      <c r="E20" s="196">
        <v>11010</v>
      </c>
      <c r="F20" s="196">
        <v>13396</v>
      </c>
      <c r="G20" s="196">
        <v>12343</v>
      </c>
      <c r="H20" s="196">
        <v>12164</v>
      </c>
      <c r="I20" s="196">
        <v>16552</v>
      </c>
      <c r="J20" s="196">
        <v>22938</v>
      </c>
      <c r="K20" s="196">
        <v>32665</v>
      </c>
      <c r="L20" s="196">
        <v>35537</v>
      </c>
      <c r="M20" s="196">
        <v>36466</v>
      </c>
      <c r="N20" s="196">
        <v>38781</v>
      </c>
    </row>
    <row r="21" spans="2:14" x14ac:dyDescent="0.25">
      <c r="B21" s="169" t="s">
        <v>281</v>
      </c>
      <c r="C21" s="196">
        <v>57315</v>
      </c>
      <c r="D21" s="196">
        <v>63478</v>
      </c>
      <c r="E21" s="196">
        <v>79505</v>
      </c>
      <c r="F21" s="196">
        <v>88943</v>
      </c>
      <c r="G21" s="196">
        <v>80063</v>
      </c>
      <c r="H21" s="196">
        <v>79976</v>
      </c>
      <c r="I21" s="196">
        <v>100226</v>
      </c>
      <c r="J21" s="196">
        <v>109415</v>
      </c>
      <c r="K21" s="196">
        <v>124158</v>
      </c>
      <c r="L21" s="196">
        <v>138868</v>
      </c>
      <c r="M21" s="196">
        <v>148585</v>
      </c>
      <c r="N21" s="196">
        <v>153672</v>
      </c>
    </row>
    <row r="22" spans="2:14" x14ac:dyDescent="0.25">
      <c r="B22" s="169" t="s">
        <v>282</v>
      </c>
      <c r="C22" s="196">
        <v>0</v>
      </c>
      <c r="D22" s="196">
        <v>0</v>
      </c>
      <c r="E22" s="196">
        <v>0</v>
      </c>
      <c r="F22" s="196">
        <v>482</v>
      </c>
      <c r="G22" s="196">
        <v>498</v>
      </c>
      <c r="H22" s="196">
        <v>0</v>
      </c>
      <c r="I22" s="196">
        <v>0</v>
      </c>
      <c r="J22" s="196">
        <v>0</v>
      </c>
      <c r="K22" s="196">
        <v>0</v>
      </c>
      <c r="L22" s="196">
        <v>0</v>
      </c>
      <c r="M22" s="196">
        <v>0</v>
      </c>
      <c r="N22" s="196">
        <v>0</v>
      </c>
    </row>
    <row r="23" spans="2:14" x14ac:dyDescent="0.25">
      <c r="B23" s="169" t="s">
        <v>283</v>
      </c>
      <c r="C23" s="196">
        <v>1431</v>
      </c>
      <c r="D23" s="196">
        <v>928</v>
      </c>
      <c r="E23" s="196">
        <v>1126</v>
      </c>
      <c r="F23" s="196">
        <v>1364</v>
      </c>
      <c r="G23" s="196">
        <v>1634</v>
      </c>
      <c r="H23" s="196">
        <v>1767</v>
      </c>
      <c r="I23" s="196">
        <v>1943</v>
      </c>
      <c r="J23" s="196">
        <v>2335</v>
      </c>
      <c r="K23" s="196">
        <v>3054</v>
      </c>
      <c r="L23" s="196">
        <v>3172</v>
      </c>
      <c r="M23" s="196">
        <v>3383</v>
      </c>
      <c r="N23" s="196">
        <v>3499</v>
      </c>
    </row>
    <row r="24" spans="2:14" x14ac:dyDescent="0.25">
      <c r="B24" s="169" t="s">
        <v>284</v>
      </c>
      <c r="C24" s="196">
        <v>604</v>
      </c>
      <c r="D24" s="196">
        <v>710</v>
      </c>
      <c r="E24" s="196">
        <v>1011</v>
      </c>
      <c r="F24" s="196">
        <v>1149</v>
      </c>
      <c r="G24" s="196">
        <v>1241</v>
      </c>
      <c r="H24" s="196">
        <v>1401</v>
      </c>
      <c r="I24" s="196">
        <v>1430</v>
      </c>
      <c r="J24" s="196">
        <v>1626</v>
      </c>
      <c r="K24" s="196">
        <v>1890</v>
      </c>
      <c r="L24" s="196">
        <v>1956</v>
      </c>
      <c r="M24" s="196">
        <v>1984</v>
      </c>
      <c r="N24" s="196">
        <v>2084</v>
      </c>
    </row>
    <row r="25" spans="2:14" x14ac:dyDescent="0.25">
      <c r="B25" s="169" t="s">
        <v>285</v>
      </c>
      <c r="C25" s="196">
        <v>358</v>
      </c>
      <c r="D25" s="196">
        <v>251</v>
      </c>
      <c r="E25" s="196">
        <v>270</v>
      </c>
      <c r="F25" s="196">
        <v>280</v>
      </c>
      <c r="G25" s="196">
        <v>280</v>
      </c>
      <c r="H25" s="196">
        <v>291</v>
      </c>
      <c r="I25" s="196">
        <v>353</v>
      </c>
      <c r="J25" s="196">
        <v>387</v>
      </c>
      <c r="K25" s="196">
        <v>601</v>
      </c>
      <c r="L25" s="196">
        <v>845</v>
      </c>
      <c r="M25" s="196">
        <v>725</v>
      </c>
      <c r="N25" s="196">
        <v>788</v>
      </c>
    </row>
    <row r="26" spans="2:14" x14ac:dyDescent="0.25">
      <c r="B26" s="169" t="s">
        <v>286</v>
      </c>
      <c r="C26" s="196">
        <v>7373</v>
      </c>
      <c r="D26" s="196">
        <v>7423</v>
      </c>
      <c r="E26" s="196">
        <v>8994</v>
      </c>
      <c r="F26" s="196">
        <v>9580</v>
      </c>
      <c r="G26" s="196">
        <v>58951</v>
      </c>
      <c r="H26" s="196">
        <v>54932</v>
      </c>
      <c r="I26" s="196">
        <v>77870</v>
      </c>
      <c r="J26" s="196">
        <v>80480</v>
      </c>
      <c r="K26" s="196">
        <v>91157</v>
      </c>
      <c r="L26" s="196">
        <v>114809</v>
      </c>
      <c r="M26" s="196">
        <v>114323</v>
      </c>
      <c r="N26" s="196">
        <v>112538</v>
      </c>
    </row>
    <row r="27" spans="2:14" x14ac:dyDescent="0.25">
      <c r="B27" s="169" t="s">
        <v>287</v>
      </c>
      <c r="C27" s="197">
        <v>15816</v>
      </c>
      <c r="D27" s="197">
        <v>24161</v>
      </c>
      <c r="E27" s="197">
        <v>33694</v>
      </c>
      <c r="F27" s="197">
        <v>45196</v>
      </c>
      <c r="G27" s="197">
        <v>6746</v>
      </c>
      <c r="H27" s="197">
        <v>6219</v>
      </c>
      <c r="I27" s="197">
        <v>7497</v>
      </c>
      <c r="J27" s="197">
        <v>8049</v>
      </c>
      <c r="K27" s="197">
        <v>9380</v>
      </c>
      <c r="L27" s="197">
        <v>10686</v>
      </c>
      <c r="M27" s="197">
        <v>10870</v>
      </c>
      <c r="N27" s="197">
        <v>11735</v>
      </c>
    </row>
    <row r="28" spans="2:14" x14ac:dyDescent="0.25">
      <c r="B28" s="174" t="s">
        <v>288</v>
      </c>
      <c r="C28" s="202">
        <v>93873</v>
      </c>
      <c r="D28" s="202">
        <v>107234</v>
      </c>
      <c r="E28" s="202">
        <v>137907</v>
      </c>
      <c r="F28" s="202">
        <v>162904</v>
      </c>
      <c r="G28" s="202">
        <v>168941</v>
      </c>
      <c r="H28" s="202">
        <v>163512</v>
      </c>
      <c r="I28" s="202">
        <v>213209</v>
      </c>
      <c r="J28" s="202">
        <v>232517</v>
      </c>
      <c r="K28" s="202">
        <v>270579</v>
      </c>
      <c r="L28" s="202">
        <v>313692</v>
      </c>
      <c r="M28" s="202">
        <v>324096</v>
      </c>
      <c r="N28" s="202">
        <v>331141</v>
      </c>
    </row>
    <row r="29" spans="2:14" x14ac:dyDescent="0.25">
      <c r="B29" s="174" t="s">
        <v>289</v>
      </c>
      <c r="C29" s="197">
        <v>49512</v>
      </c>
      <c r="D29" s="197">
        <v>51723</v>
      </c>
      <c r="E29" s="197">
        <v>68815</v>
      </c>
      <c r="F29" s="197">
        <v>74424</v>
      </c>
      <c r="G29" s="197">
        <v>61709</v>
      </c>
      <c r="H29" s="197">
        <v>67568</v>
      </c>
      <c r="I29" s="197">
        <v>91795</v>
      </c>
      <c r="J29" s="197">
        <v>121283</v>
      </c>
      <c r="K29" s="197">
        <v>143471</v>
      </c>
      <c r="L29" s="197">
        <v>174985</v>
      </c>
      <c r="M29" s="197">
        <v>185241</v>
      </c>
      <c r="N29" s="197">
        <v>199062</v>
      </c>
    </row>
    <row r="30" spans="2:14" x14ac:dyDescent="0.25">
      <c r="B30" s="85" t="s">
        <v>190</v>
      </c>
      <c r="C30" s="122">
        <f>C28-C29</f>
        <v>44361</v>
      </c>
      <c r="D30" s="122">
        <f t="shared" ref="D30:N30" si="0">D28-D29</f>
        <v>55511</v>
      </c>
      <c r="E30" s="122">
        <f t="shared" si="0"/>
        <v>69092</v>
      </c>
      <c r="F30" s="122">
        <f t="shared" si="0"/>
        <v>88480</v>
      </c>
      <c r="G30" s="122">
        <f t="shared" si="0"/>
        <v>107232</v>
      </c>
      <c r="H30" s="122">
        <f t="shared" si="0"/>
        <v>95944</v>
      </c>
      <c r="I30" s="122">
        <f t="shared" si="0"/>
        <v>121414</v>
      </c>
      <c r="J30" s="122">
        <f t="shared" si="0"/>
        <v>111234</v>
      </c>
      <c r="K30" s="122">
        <f t="shared" si="0"/>
        <v>127108</v>
      </c>
      <c r="L30" s="122">
        <f t="shared" si="0"/>
        <v>138707</v>
      </c>
      <c r="M30" s="122">
        <f t="shared" si="0"/>
        <v>138855</v>
      </c>
      <c r="N30" s="122">
        <f t="shared" si="0"/>
        <v>132079</v>
      </c>
    </row>
    <row r="31" spans="2:14" x14ac:dyDescent="0.25">
      <c r="B31" s="1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</row>
    <row r="32" spans="2:14" x14ac:dyDescent="0.25">
      <c r="B32" s="174" t="s">
        <v>290</v>
      </c>
      <c r="C32" s="196">
        <v>15946</v>
      </c>
      <c r="D32" s="196">
        <v>18454</v>
      </c>
      <c r="E32" s="196">
        <v>33263</v>
      </c>
      <c r="F32" s="196">
        <v>28640</v>
      </c>
      <c r="G32" s="196">
        <v>25919</v>
      </c>
      <c r="H32" s="196">
        <v>33699</v>
      </c>
      <c r="I32" s="196">
        <v>40034</v>
      </c>
      <c r="J32" s="196">
        <v>31884</v>
      </c>
      <c r="K32" s="196">
        <v>35622</v>
      </c>
      <c r="L32" s="196">
        <v>20964</v>
      </c>
      <c r="M32" s="196">
        <v>10251</v>
      </c>
      <c r="N32" s="196">
        <v>14274</v>
      </c>
    </row>
    <row r="33" spans="1:14" x14ac:dyDescent="0.25">
      <c r="B33" s="174" t="s">
        <v>39</v>
      </c>
      <c r="C33" s="196">
        <v>8918</v>
      </c>
      <c r="D33" s="196">
        <v>8765</v>
      </c>
      <c r="E33" s="196">
        <v>10687</v>
      </c>
      <c r="F33" s="196">
        <v>15337</v>
      </c>
      <c r="G33" s="196">
        <v>23767</v>
      </c>
      <c r="H33" s="196">
        <v>20338</v>
      </c>
      <c r="I33" s="196">
        <v>20813</v>
      </c>
      <c r="J33" s="196">
        <v>15771</v>
      </c>
      <c r="K33" s="196">
        <v>16308</v>
      </c>
      <c r="L33" s="196">
        <v>24620</v>
      </c>
      <c r="M33" s="196">
        <v>29380</v>
      </c>
      <c r="N33" s="196">
        <v>26379</v>
      </c>
    </row>
    <row r="34" spans="1:14" x14ac:dyDescent="0.25">
      <c r="B34" s="174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</row>
    <row r="35" spans="1:14" s="103" customFormat="1" x14ac:dyDescent="0.25">
      <c r="A35"/>
      <c r="B35" s="174" t="s">
        <v>291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</row>
    <row r="36" spans="1:14" x14ac:dyDescent="0.25">
      <c r="B36" s="169" t="s">
        <v>292</v>
      </c>
      <c r="C36" s="196">
        <v>18216</v>
      </c>
      <c r="D36" s="196">
        <v>21037</v>
      </c>
      <c r="E36" s="196">
        <v>27271</v>
      </c>
      <c r="F36" s="196">
        <v>29272</v>
      </c>
      <c r="G36" s="196">
        <v>32656</v>
      </c>
      <c r="H36" s="196">
        <v>35085</v>
      </c>
      <c r="I36" s="196">
        <v>42138</v>
      </c>
      <c r="J36" s="196">
        <v>39014</v>
      </c>
      <c r="K36" s="196">
        <v>37457</v>
      </c>
      <c r="L36" s="196">
        <v>36089</v>
      </c>
      <c r="M36" s="196">
        <v>35240</v>
      </c>
      <c r="N36" s="196">
        <v>40755</v>
      </c>
    </row>
    <row r="37" spans="1:14" x14ac:dyDescent="0.25">
      <c r="B37" s="169" t="s">
        <v>293</v>
      </c>
      <c r="C37" s="196">
        <v>8237</v>
      </c>
      <c r="D37" s="196">
        <v>10960</v>
      </c>
      <c r="E37" s="196">
        <v>10574</v>
      </c>
      <c r="F37" s="196">
        <v>12579</v>
      </c>
      <c r="G37" s="196">
        <v>13571</v>
      </c>
      <c r="H37" s="196">
        <v>14076</v>
      </c>
      <c r="I37" s="196">
        <v>19893</v>
      </c>
      <c r="J37" s="196">
        <v>18996</v>
      </c>
      <c r="K37" s="196">
        <v>11173</v>
      </c>
      <c r="L37" s="196">
        <v>12679</v>
      </c>
      <c r="M37" s="196">
        <v>12442</v>
      </c>
      <c r="N37" s="196">
        <v>15738</v>
      </c>
    </row>
    <row r="38" spans="1:14" x14ac:dyDescent="0.25">
      <c r="B38" s="169" t="s">
        <v>294</v>
      </c>
      <c r="C38" s="196">
        <v>18238</v>
      </c>
      <c r="D38" s="196">
        <v>21115</v>
      </c>
      <c r="E38" s="196">
        <v>29712</v>
      </c>
      <c r="F38" s="196">
        <v>32116</v>
      </c>
      <c r="G38" s="196">
        <v>30460</v>
      </c>
      <c r="H38" s="196">
        <v>36078</v>
      </c>
      <c r="I38" s="196">
        <v>34614</v>
      </c>
      <c r="J38" s="196">
        <v>32649</v>
      </c>
      <c r="K38" s="196">
        <v>33727</v>
      </c>
      <c r="L38" s="196">
        <v>46792</v>
      </c>
      <c r="M38" s="196">
        <v>40669</v>
      </c>
      <c r="N38" s="196">
        <v>37016</v>
      </c>
    </row>
    <row r="39" spans="1:14" x14ac:dyDescent="0.25">
      <c r="B39" s="169" t="s">
        <v>295</v>
      </c>
      <c r="C39" s="196">
        <v>5408</v>
      </c>
      <c r="D39" s="196">
        <v>7041</v>
      </c>
      <c r="E39" s="196">
        <v>9344</v>
      </c>
      <c r="F39" s="196">
        <v>6190</v>
      </c>
      <c r="G39" s="196">
        <v>0</v>
      </c>
      <c r="H39" s="196">
        <v>0</v>
      </c>
      <c r="I39" s="196">
        <v>966</v>
      </c>
      <c r="J39" s="196">
        <v>974</v>
      </c>
      <c r="K39" s="196">
        <v>39</v>
      </c>
      <c r="L39" s="196">
        <v>142</v>
      </c>
      <c r="M39" s="196">
        <v>47</v>
      </c>
      <c r="N39" s="196">
        <v>50</v>
      </c>
    </row>
    <row r="40" spans="1:14" x14ac:dyDescent="0.25">
      <c r="B40" s="169" t="s">
        <v>296</v>
      </c>
      <c r="C40" s="196">
        <v>23443</v>
      </c>
      <c r="D40" s="196">
        <v>25448</v>
      </c>
      <c r="E40" s="196">
        <v>28484</v>
      </c>
      <c r="F40" s="196">
        <v>24701</v>
      </c>
      <c r="G40" s="196">
        <v>29579</v>
      </c>
      <c r="H40" s="196">
        <v>37361</v>
      </c>
      <c r="I40" s="196">
        <v>47321</v>
      </c>
      <c r="J40" s="196">
        <v>55182</v>
      </c>
      <c r="K40" s="196">
        <v>58746</v>
      </c>
      <c r="L40" s="196">
        <v>61576</v>
      </c>
      <c r="M40" s="196">
        <v>62177</v>
      </c>
      <c r="N40" s="196">
        <v>68382</v>
      </c>
    </row>
    <row r="41" spans="1:14" x14ac:dyDescent="0.25">
      <c r="B41" s="178" t="s">
        <v>46</v>
      </c>
      <c r="C41" s="199">
        <v>142766</v>
      </c>
      <c r="D41" s="199">
        <v>168330</v>
      </c>
      <c r="E41" s="199">
        <v>218426</v>
      </c>
      <c r="F41" s="199">
        <v>237315</v>
      </c>
      <c r="G41" s="199">
        <v>263184</v>
      </c>
      <c r="H41" s="199">
        <v>272580</v>
      </c>
      <c r="I41" s="199">
        <v>327192</v>
      </c>
      <c r="J41" s="199">
        <v>305703</v>
      </c>
      <c r="K41" s="199">
        <v>320179</v>
      </c>
      <c r="L41" s="199">
        <v>341570</v>
      </c>
      <c r="M41" s="199">
        <v>329061</v>
      </c>
      <c r="N41" s="199">
        <v>334674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DED2-DEC3-4CB8-A8AB-C3C7B5A2DCE1}">
  <dimension ref="B2:V68"/>
  <sheetViews>
    <sheetView showGridLines="0" topLeftCell="C14" workbookViewId="0">
      <selection activeCell="K32" sqref="K32"/>
    </sheetView>
  </sheetViews>
  <sheetFormatPr defaultRowHeight="15" x14ac:dyDescent="0.25"/>
  <cols>
    <col min="1" max="1" width="1.85546875" customWidth="1"/>
    <col min="2" max="2" width="16" bestFit="1" customWidth="1"/>
    <col min="3" max="3" width="2.7109375" customWidth="1"/>
    <col min="4" max="4" width="12" bestFit="1" customWidth="1"/>
    <col min="6" max="6" width="2.7109375" customWidth="1"/>
    <col min="7" max="7" width="12.28515625" bestFit="1" customWidth="1"/>
    <col min="9" max="9" width="2.7109375" customWidth="1"/>
    <col min="10" max="10" width="16.85546875" bestFit="1" customWidth="1"/>
    <col min="14" max="14" width="18" bestFit="1" customWidth="1"/>
  </cols>
  <sheetData>
    <row r="2" spans="2:22" x14ac:dyDescent="0.25">
      <c r="B2" s="224" t="s">
        <v>205</v>
      </c>
      <c r="C2" s="224"/>
      <c r="D2" s="224"/>
      <c r="E2" s="224"/>
      <c r="F2" s="224"/>
      <c r="G2" s="224"/>
      <c r="H2" s="224"/>
      <c r="I2" s="224"/>
      <c r="J2" s="224"/>
      <c r="K2" s="224"/>
    </row>
    <row r="3" spans="2:22" x14ac:dyDescent="0.25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2:22" x14ac:dyDescent="0.25">
      <c r="B4" s="228" t="s">
        <v>206</v>
      </c>
      <c r="C4" s="228"/>
      <c r="D4" s="228"/>
      <c r="E4" s="228"/>
      <c r="F4" s="67"/>
      <c r="G4" s="67"/>
      <c r="H4" s="67"/>
      <c r="I4" s="67"/>
      <c r="J4" s="67"/>
      <c r="K4" s="67"/>
    </row>
    <row r="6" spans="2:22" x14ac:dyDescent="0.25">
      <c r="B6" s="65" t="s">
        <v>207</v>
      </c>
      <c r="C6" s="68"/>
      <c r="D6" s="224" t="s">
        <v>208</v>
      </c>
      <c r="E6" s="224"/>
      <c r="F6" s="67"/>
      <c r="G6" s="224" t="s">
        <v>209</v>
      </c>
      <c r="H6" s="224"/>
      <c r="J6" s="224" t="s">
        <v>210</v>
      </c>
      <c r="K6" s="224"/>
    </row>
    <row r="8" spans="2:22" x14ac:dyDescent="0.25">
      <c r="B8" s="151" t="s">
        <v>211</v>
      </c>
      <c r="C8" s="11"/>
      <c r="D8" s="151" t="s">
        <v>212</v>
      </c>
      <c r="E8" s="204" t="s">
        <v>213</v>
      </c>
      <c r="F8" s="71"/>
      <c r="G8" s="204" t="s">
        <v>212</v>
      </c>
      <c r="H8" s="204" t="s">
        <v>213</v>
      </c>
      <c r="J8" s="206" t="s">
        <v>214</v>
      </c>
      <c r="K8" s="75">
        <f>O25</f>
        <v>1.8314982253701275</v>
      </c>
      <c r="N8" s="169" t="s">
        <v>215</v>
      </c>
      <c r="O8" s="169"/>
      <c r="P8" s="169"/>
      <c r="Q8" s="169"/>
      <c r="R8" s="169"/>
      <c r="S8" s="169"/>
      <c r="T8" s="169"/>
      <c r="U8" s="169"/>
      <c r="V8" s="169"/>
    </row>
    <row r="9" spans="2:22" ht="15.75" thickBot="1" x14ac:dyDescent="0.3">
      <c r="B9" s="205">
        <v>43525</v>
      </c>
      <c r="C9" s="66"/>
      <c r="D9" s="203">
        <v>11623.900390999999</v>
      </c>
      <c r="G9" s="203">
        <v>173.70860300000001</v>
      </c>
      <c r="J9" s="169" t="s">
        <v>216</v>
      </c>
      <c r="K9" s="184">
        <v>0.75</v>
      </c>
      <c r="N9" s="169"/>
      <c r="O9" s="169"/>
      <c r="P9" s="169"/>
      <c r="Q9" s="169"/>
      <c r="R9" s="169"/>
      <c r="S9" s="169"/>
      <c r="T9" s="169"/>
      <c r="U9" s="169"/>
      <c r="V9" s="169"/>
    </row>
    <row r="10" spans="2:22" x14ac:dyDescent="0.25">
      <c r="B10" s="205">
        <v>43556</v>
      </c>
      <c r="C10" s="66"/>
      <c r="D10" s="203">
        <v>11748.150390999999</v>
      </c>
      <c r="E10" s="64">
        <f>D10/D9-1</f>
        <v>1.0689183133073099E-2</v>
      </c>
      <c r="F10" s="64"/>
      <c r="G10" s="203">
        <v>213.63417100000001</v>
      </c>
      <c r="H10" s="64">
        <f>G10/G9-1</f>
        <v>0.2298422030370022</v>
      </c>
      <c r="J10" s="169"/>
      <c r="N10" s="208" t="s">
        <v>217</v>
      </c>
      <c r="O10" s="208"/>
      <c r="P10" s="169"/>
      <c r="Q10" s="169"/>
      <c r="R10" s="169"/>
      <c r="S10" s="169"/>
      <c r="T10" s="169"/>
      <c r="U10" s="169"/>
      <c r="V10" s="169"/>
    </row>
    <row r="11" spans="2:22" x14ac:dyDescent="0.25">
      <c r="B11" s="205">
        <v>43586</v>
      </c>
      <c r="C11" s="66"/>
      <c r="D11" s="203">
        <v>11922.799805000001</v>
      </c>
      <c r="E11" s="64">
        <f t="shared" ref="E11:E68" si="0">D11/D10-1</f>
        <v>1.4866120043355524E-2</v>
      </c>
      <c r="F11" s="64"/>
      <c r="G11" s="203">
        <v>172.06373600000001</v>
      </c>
      <c r="H11" s="64">
        <f t="shared" ref="H11:H68" si="1">G11/G10-1</f>
        <v>-0.19458701201878426</v>
      </c>
      <c r="J11" s="169" t="s">
        <v>218</v>
      </c>
      <c r="K11" s="169">
        <v>1</v>
      </c>
      <c r="N11" s="169" t="s">
        <v>219</v>
      </c>
      <c r="O11" s="169">
        <v>0.57635805129704332</v>
      </c>
      <c r="P11" s="169"/>
      <c r="Q11" s="169"/>
      <c r="R11" s="169"/>
      <c r="S11" s="169"/>
      <c r="T11" s="169"/>
      <c r="U11" s="169"/>
      <c r="V11" s="169"/>
    </row>
    <row r="12" spans="2:22" x14ac:dyDescent="0.25">
      <c r="B12" s="205">
        <v>43617</v>
      </c>
      <c r="C12" s="66"/>
      <c r="D12" s="203">
        <v>11788.849609000001</v>
      </c>
      <c r="E12" s="64">
        <f t="shared" si="0"/>
        <v>-1.1234793688628897E-2</v>
      </c>
      <c r="F12" s="64"/>
      <c r="G12" s="203">
        <v>162.04495199999999</v>
      </c>
      <c r="H12" s="64">
        <f t="shared" si="1"/>
        <v>-5.8227167635137356E-2</v>
      </c>
      <c r="J12" s="169" t="s">
        <v>220</v>
      </c>
      <c r="K12" s="184">
        <v>0.25</v>
      </c>
      <c r="N12" s="169" t="s">
        <v>221</v>
      </c>
      <c r="O12" s="169">
        <v>0.33218860329492517</v>
      </c>
      <c r="P12" s="169"/>
      <c r="Q12" s="169"/>
      <c r="R12" s="169"/>
      <c r="S12" s="169"/>
      <c r="T12" s="169"/>
      <c r="U12" s="169"/>
      <c r="V12" s="169"/>
    </row>
    <row r="13" spans="2:22" x14ac:dyDescent="0.25">
      <c r="B13" s="205">
        <v>43647</v>
      </c>
      <c r="C13" s="66"/>
      <c r="D13" s="203">
        <v>11118</v>
      </c>
      <c r="E13" s="64">
        <f t="shared" si="0"/>
        <v>-5.6905434478343953E-2</v>
      </c>
      <c r="F13" s="64"/>
      <c r="G13" s="203">
        <v>135.178696</v>
      </c>
      <c r="H13" s="64">
        <f t="shared" si="1"/>
        <v>-0.16579508135495635</v>
      </c>
      <c r="N13" s="169" t="s">
        <v>222</v>
      </c>
      <c r="O13" s="169">
        <v>0.32047261387904669</v>
      </c>
      <c r="P13" s="169"/>
      <c r="Q13" s="169"/>
      <c r="R13" s="169"/>
      <c r="S13" s="169"/>
      <c r="T13" s="169"/>
      <c r="U13" s="169"/>
      <c r="V13" s="169"/>
    </row>
    <row r="14" spans="2:22" x14ac:dyDescent="0.25">
      <c r="B14" s="205">
        <v>43678</v>
      </c>
      <c r="C14" s="66"/>
      <c r="D14" s="203">
        <v>11023.25</v>
      </c>
      <c r="E14" s="64">
        <f t="shared" si="0"/>
        <v>-8.5222162259399603E-3</v>
      </c>
      <c r="F14" s="64"/>
      <c r="G14" s="203">
        <v>116.33741000000001</v>
      </c>
      <c r="H14" s="64">
        <f t="shared" si="1"/>
        <v>-0.13938058701202438</v>
      </c>
      <c r="J14" s="207" t="s">
        <v>223</v>
      </c>
      <c r="K14" s="78">
        <f>(K8*K9)+(K11*K12)</f>
        <v>1.6236236690275956</v>
      </c>
      <c r="N14" s="169" t="s">
        <v>224</v>
      </c>
      <c r="O14" s="169">
        <v>0.14187706125458316</v>
      </c>
      <c r="P14" s="169"/>
      <c r="Q14" s="169"/>
      <c r="R14" s="169"/>
      <c r="S14" s="169"/>
      <c r="T14" s="169"/>
      <c r="U14" s="169"/>
      <c r="V14" s="169"/>
    </row>
    <row r="15" spans="2:22" ht="15.75" thickBot="1" x14ac:dyDescent="0.3">
      <c r="B15" s="205">
        <v>43709</v>
      </c>
      <c r="C15" s="66"/>
      <c r="D15" s="203">
        <v>11474.450194999999</v>
      </c>
      <c r="E15" s="64">
        <f t="shared" si="0"/>
        <v>4.0931684847935079E-2</v>
      </c>
      <c r="F15" s="64"/>
      <c r="G15" s="203">
        <v>117.085075</v>
      </c>
      <c r="H15" s="64">
        <f t="shared" si="1"/>
        <v>6.4266945602451386E-3</v>
      </c>
      <c r="N15" s="210" t="s">
        <v>225</v>
      </c>
      <c r="O15" s="210">
        <v>59</v>
      </c>
      <c r="P15" s="169"/>
      <c r="Q15" s="169"/>
      <c r="R15" s="169"/>
      <c r="S15" s="169"/>
      <c r="T15" s="169"/>
      <c r="U15" s="169"/>
      <c r="V15" s="169"/>
    </row>
    <row r="16" spans="2:22" x14ac:dyDescent="0.25">
      <c r="B16" s="205">
        <v>43739</v>
      </c>
      <c r="C16" s="66"/>
      <c r="D16" s="203">
        <v>11877.450194999999</v>
      </c>
      <c r="E16" s="64">
        <f t="shared" si="0"/>
        <v>3.5121508495074449E-2</v>
      </c>
      <c r="F16" s="64"/>
      <c r="G16" s="203">
        <v>177.14788799999999</v>
      </c>
      <c r="H16" s="64">
        <f t="shared" si="1"/>
        <v>0.51298436628238053</v>
      </c>
      <c r="N16" s="169"/>
      <c r="O16" s="169"/>
      <c r="P16" s="169"/>
      <c r="Q16" s="169"/>
      <c r="R16" s="169"/>
      <c r="S16" s="169"/>
      <c r="T16" s="169"/>
      <c r="U16" s="169"/>
      <c r="V16" s="169"/>
    </row>
    <row r="17" spans="2:22" ht="15.75" thickBot="1" x14ac:dyDescent="0.3">
      <c r="B17" s="205">
        <v>43770</v>
      </c>
      <c r="C17" s="66"/>
      <c r="D17" s="203">
        <v>12056.049805000001</v>
      </c>
      <c r="E17" s="64">
        <f t="shared" si="0"/>
        <v>1.5036864568389152E-2</v>
      </c>
      <c r="F17" s="64"/>
      <c r="G17" s="203">
        <v>160.99821499999999</v>
      </c>
      <c r="H17" s="64">
        <f t="shared" si="1"/>
        <v>-9.1164919787245835E-2</v>
      </c>
      <c r="N17" s="169" t="s">
        <v>226</v>
      </c>
      <c r="O17" s="169"/>
      <c r="P17" s="169"/>
      <c r="Q17" s="169"/>
      <c r="R17" s="169"/>
      <c r="S17" s="169"/>
      <c r="T17" s="169"/>
      <c r="U17" s="169"/>
      <c r="V17" s="169"/>
    </row>
    <row r="18" spans="2:22" x14ac:dyDescent="0.25">
      <c r="B18" s="205">
        <v>43800</v>
      </c>
      <c r="C18" s="66"/>
      <c r="D18" s="203">
        <v>12168.450194999999</v>
      </c>
      <c r="E18" s="64">
        <f t="shared" si="0"/>
        <v>9.3231524270398491E-3</v>
      </c>
      <c r="F18" s="64"/>
      <c r="G18" s="203">
        <v>184.574738</v>
      </c>
      <c r="H18" s="64">
        <f t="shared" si="1"/>
        <v>0.14643965462598452</v>
      </c>
      <c r="N18" s="213"/>
      <c r="O18" s="213" t="s">
        <v>227</v>
      </c>
      <c r="P18" s="213" t="s">
        <v>228</v>
      </c>
      <c r="Q18" s="213" t="s">
        <v>229</v>
      </c>
      <c r="R18" s="213" t="s">
        <v>230</v>
      </c>
      <c r="S18" s="213" t="s">
        <v>231</v>
      </c>
      <c r="T18" s="169"/>
      <c r="U18" s="169"/>
      <c r="V18" s="169"/>
    </row>
    <row r="19" spans="2:22" x14ac:dyDescent="0.25">
      <c r="B19" s="205">
        <v>43831</v>
      </c>
      <c r="C19" s="66"/>
      <c r="D19" s="203">
        <v>11962.099609000001</v>
      </c>
      <c r="E19" s="64">
        <f t="shared" si="0"/>
        <v>-1.6957836264538284E-2</v>
      </c>
      <c r="F19" s="64"/>
      <c r="G19" s="203">
        <v>176.05131499999999</v>
      </c>
      <c r="H19" s="64">
        <f t="shared" si="1"/>
        <v>-4.6178708377741295E-2</v>
      </c>
      <c r="N19" s="169" t="s">
        <v>232</v>
      </c>
      <c r="O19" s="169">
        <v>1</v>
      </c>
      <c r="P19" s="169">
        <v>0.57072924417432302</v>
      </c>
      <c r="Q19" s="169">
        <v>0.57072924417432302</v>
      </c>
      <c r="R19" s="169">
        <v>28.35344002997433</v>
      </c>
      <c r="S19" s="169">
        <v>1.7794927946060258E-6</v>
      </c>
      <c r="T19" s="169"/>
      <c r="U19" s="169"/>
      <c r="V19" s="169"/>
    </row>
    <row r="20" spans="2:22" x14ac:dyDescent="0.25">
      <c r="B20" s="205">
        <v>43862</v>
      </c>
      <c r="C20" s="66"/>
      <c r="D20" s="203">
        <v>11201.75</v>
      </c>
      <c r="E20" s="64">
        <f t="shared" si="0"/>
        <v>-6.35632233348008E-2</v>
      </c>
      <c r="F20" s="64"/>
      <c r="G20" s="203">
        <v>128.54934700000001</v>
      </c>
      <c r="H20" s="64">
        <f t="shared" si="1"/>
        <v>-0.2698188763883983</v>
      </c>
      <c r="N20" s="169" t="s">
        <v>233</v>
      </c>
      <c r="O20" s="169">
        <v>57</v>
      </c>
      <c r="P20" s="169">
        <v>1.1473587290834941</v>
      </c>
      <c r="Q20" s="169">
        <v>2.0129100510236739E-2</v>
      </c>
      <c r="R20" s="169"/>
      <c r="S20" s="169"/>
      <c r="T20" s="169"/>
      <c r="U20" s="169"/>
      <c r="V20" s="169"/>
    </row>
    <row r="21" spans="2:22" ht="15.75" thickBot="1" x14ac:dyDescent="0.3">
      <c r="B21" s="205">
        <v>43891</v>
      </c>
      <c r="C21" s="66"/>
      <c r="D21" s="203">
        <v>8597.75</v>
      </c>
      <c r="E21" s="64">
        <f t="shared" si="0"/>
        <v>-0.23246367755038277</v>
      </c>
      <c r="F21" s="64"/>
      <c r="G21" s="203">
        <v>70.829246999999995</v>
      </c>
      <c r="H21" s="64">
        <f t="shared" si="1"/>
        <v>-0.44901122679370753</v>
      </c>
      <c r="N21" s="210" t="s">
        <v>189</v>
      </c>
      <c r="O21" s="210">
        <v>58</v>
      </c>
      <c r="P21" s="210">
        <v>1.7180879732578171</v>
      </c>
      <c r="Q21" s="210"/>
      <c r="R21" s="210"/>
      <c r="S21" s="210"/>
      <c r="T21" s="169"/>
      <c r="U21" s="169"/>
      <c r="V21" s="169"/>
    </row>
    <row r="22" spans="2:22" ht="15.75" thickBot="1" x14ac:dyDescent="0.3">
      <c r="B22" s="205">
        <v>43922</v>
      </c>
      <c r="C22" s="66"/>
      <c r="D22" s="203">
        <v>9859.9003909999992</v>
      </c>
      <c r="E22" s="64">
        <f t="shared" si="0"/>
        <v>0.14680008036986414</v>
      </c>
      <c r="F22" s="64"/>
      <c r="G22" s="203">
        <v>92.960273999999998</v>
      </c>
      <c r="H22" s="64">
        <f t="shared" si="1"/>
        <v>0.31245605364123108</v>
      </c>
      <c r="N22" s="169"/>
      <c r="O22" s="169"/>
      <c r="P22" s="169"/>
      <c r="Q22" s="169"/>
      <c r="R22" s="169"/>
      <c r="S22" s="169"/>
      <c r="T22" s="169"/>
      <c r="U22" s="169"/>
      <c r="V22" s="169"/>
    </row>
    <row r="23" spans="2:22" x14ac:dyDescent="0.25">
      <c r="B23" s="205">
        <v>43952</v>
      </c>
      <c r="C23" s="66"/>
      <c r="D23" s="203">
        <v>9580.2998050000006</v>
      </c>
      <c r="E23" s="64">
        <f t="shared" si="0"/>
        <v>-2.8357343878972152E-2</v>
      </c>
      <c r="F23" s="64"/>
      <c r="G23" s="203">
        <v>86.729691000000003</v>
      </c>
      <c r="H23" s="64">
        <f t="shared" si="1"/>
        <v>-6.702414624982711E-2</v>
      </c>
      <c r="N23" s="213"/>
      <c r="O23" s="213" t="s">
        <v>234</v>
      </c>
      <c r="P23" s="213" t="s">
        <v>224</v>
      </c>
      <c r="Q23" s="213" t="s">
        <v>235</v>
      </c>
      <c r="R23" s="213" t="s">
        <v>236</v>
      </c>
      <c r="S23" s="213" t="s">
        <v>237</v>
      </c>
      <c r="T23" s="213" t="s">
        <v>238</v>
      </c>
      <c r="U23" s="213" t="s">
        <v>239</v>
      </c>
      <c r="V23" s="213" t="s">
        <v>240</v>
      </c>
    </row>
    <row r="24" spans="2:22" x14ac:dyDescent="0.25">
      <c r="B24" s="205">
        <v>43983</v>
      </c>
      <c r="C24" s="66"/>
      <c r="D24" s="203">
        <v>10302.099609000001</v>
      </c>
      <c r="E24" s="64">
        <f t="shared" si="0"/>
        <v>7.5342089359592856E-2</v>
      </c>
      <c r="F24" s="64"/>
      <c r="G24" s="203">
        <v>97.944732999999999</v>
      </c>
      <c r="H24" s="64">
        <f t="shared" si="1"/>
        <v>0.12931029582475961</v>
      </c>
      <c r="N24" s="169" t="s">
        <v>241</v>
      </c>
      <c r="O24" s="169">
        <v>2.0397487957565685E-2</v>
      </c>
      <c r="P24" s="169">
        <v>1.8950699406262036E-2</v>
      </c>
      <c r="Q24" s="169">
        <v>1.0763448630727357</v>
      </c>
      <c r="R24" s="169">
        <v>0.28630772202169708</v>
      </c>
      <c r="S24" s="169">
        <v>-1.7550633032880625E-2</v>
      </c>
      <c r="T24" s="169">
        <v>5.8345608948011995E-2</v>
      </c>
      <c r="U24" s="169">
        <v>-1.7550633032880625E-2</v>
      </c>
      <c r="V24" s="169">
        <v>5.8345608948011995E-2</v>
      </c>
    </row>
    <row r="25" spans="2:22" ht="15.75" thickBot="1" x14ac:dyDescent="0.3">
      <c r="B25" s="205">
        <v>44013</v>
      </c>
      <c r="C25" s="66"/>
      <c r="D25" s="203">
        <v>11073.450194999999</v>
      </c>
      <c r="E25" s="64">
        <f t="shared" si="0"/>
        <v>7.4873143851777568E-2</v>
      </c>
      <c r="F25" s="64"/>
      <c r="G25" s="203">
        <v>104.32485200000001</v>
      </c>
      <c r="H25" s="64">
        <f t="shared" si="1"/>
        <v>6.5139990733345643E-2</v>
      </c>
      <c r="N25" s="210" t="s">
        <v>242</v>
      </c>
      <c r="O25" s="210">
        <v>1.8314982253701275</v>
      </c>
      <c r="P25" s="210">
        <v>0.3439565809162986</v>
      </c>
      <c r="Q25" s="210">
        <v>5.3247948345428524</v>
      </c>
      <c r="R25" s="210">
        <v>1.7794927946060681E-6</v>
      </c>
      <c r="S25" s="210">
        <v>1.1427370525894074</v>
      </c>
      <c r="T25" s="210">
        <v>2.5202593981508477</v>
      </c>
      <c r="U25" s="210">
        <v>1.1427370525894074</v>
      </c>
      <c r="V25" s="210">
        <v>2.5202593981508477</v>
      </c>
    </row>
    <row r="26" spans="2:22" x14ac:dyDescent="0.25">
      <c r="B26" s="205">
        <v>44044</v>
      </c>
      <c r="C26" s="66"/>
      <c r="D26" s="203">
        <v>11387.5</v>
      </c>
      <c r="E26" s="64">
        <f t="shared" si="0"/>
        <v>2.8360610240682149E-2</v>
      </c>
      <c r="F26" s="64"/>
      <c r="G26" s="203">
        <v>142.755066</v>
      </c>
      <c r="H26" s="64">
        <f t="shared" si="1"/>
        <v>0.3683706543863583</v>
      </c>
    </row>
    <row r="27" spans="2:22" x14ac:dyDescent="0.25">
      <c r="B27" s="205">
        <v>44075</v>
      </c>
      <c r="C27" s="66"/>
      <c r="D27" s="203">
        <v>11247.549805000001</v>
      </c>
      <c r="E27" s="64">
        <f t="shared" si="0"/>
        <v>-1.2289808562019666E-2</v>
      </c>
      <c r="F27" s="64"/>
      <c r="G27" s="203">
        <v>132.88583399999999</v>
      </c>
      <c r="H27" s="64">
        <f t="shared" si="1"/>
        <v>-6.9134022886445323E-2</v>
      </c>
    </row>
    <row r="28" spans="2:22" x14ac:dyDescent="0.25">
      <c r="B28" s="205">
        <v>44105</v>
      </c>
      <c r="C28" s="66"/>
      <c r="D28" s="203">
        <v>11642.400390999999</v>
      </c>
      <c r="E28" s="64">
        <f t="shared" si="0"/>
        <v>3.5105475667640107E-2</v>
      </c>
      <c r="F28" s="64"/>
      <c r="G28" s="203">
        <v>132.237854</v>
      </c>
      <c r="H28" s="64">
        <f t="shared" si="1"/>
        <v>-4.8762157748130086E-3</v>
      </c>
    </row>
    <row r="29" spans="2:22" x14ac:dyDescent="0.25">
      <c r="B29" s="205">
        <v>44136</v>
      </c>
      <c r="C29" s="66"/>
      <c r="D29" s="203">
        <v>12968.950194999999</v>
      </c>
      <c r="E29" s="64">
        <f t="shared" si="0"/>
        <v>0.1139412629225045</v>
      </c>
      <c r="F29" s="64"/>
      <c r="G29" s="203">
        <v>179.789658</v>
      </c>
      <c r="H29" s="64">
        <f t="shared" si="1"/>
        <v>0.35959298008571738</v>
      </c>
    </row>
    <row r="30" spans="2:22" x14ac:dyDescent="0.25">
      <c r="B30" s="205">
        <v>44166</v>
      </c>
      <c r="C30" s="66"/>
      <c r="D30" s="203">
        <v>13981.75</v>
      </c>
      <c r="E30" s="64">
        <f t="shared" si="0"/>
        <v>7.8094201132060226E-2</v>
      </c>
      <c r="F30" s="64"/>
      <c r="G30" s="203">
        <v>183.27877799999999</v>
      </c>
      <c r="H30" s="64">
        <f t="shared" si="1"/>
        <v>1.9406677997017896E-2</v>
      </c>
    </row>
    <row r="31" spans="2:22" x14ac:dyDescent="0.25">
      <c r="B31" s="205">
        <v>44197</v>
      </c>
      <c r="C31" s="66"/>
      <c r="D31" s="203">
        <v>13634.599609000001</v>
      </c>
      <c r="E31" s="64">
        <f t="shared" si="0"/>
        <v>-2.4828822643803483E-2</v>
      </c>
      <c r="F31" s="64"/>
      <c r="G31" s="203">
        <v>261.88378899999998</v>
      </c>
      <c r="H31" s="64">
        <f t="shared" si="1"/>
        <v>0.42888222988915814</v>
      </c>
    </row>
    <row r="32" spans="2:22" x14ac:dyDescent="0.25">
      <c r="B32" s="205">
        <v>44228</v>
      </c>
      <c r="C32" s="66"/>
      <c r="D32" s="203">
        <v>14529.150390999999</v>
      </c>
      <c r="E32" s="64">
        <f t="shared" si="0"/>
        <v>6.5608877976109925E-2</v>
      </c>
      <c r="F32" s="64"/>
      <c r="G32" s="203">
        <v>321.946594</v>
      </c>
      <c r="H32" s="64">
        <f t="shared" si="1"/>
        <v>0.22934907589869957</v>
      </c>
    </row>
    <row r="33" spans="2:8" x14ac:dyDescent="0.25">
      <c r="B33" s="205">
        <v>44256</v>
      </c>
      <c r="C33" s="66"/>
      <c r="D33" s="203">
        <v>14690.700194999999</v>
      </c>
      <c r="E33" s="64">
        <f t="shared" si="0"/>
        <v>1.1119012444118725E-2</v>
      </c>
      <c r="F33" s="64"/>
      <c r="G33" s="203">
        <v>300.86230499999999</v>
      </c>
      <c r="H33" s="64">
        <f t="shared" si="1"/>
        <v>-6.5490020372757862E-2</v>
      </c>
    </row>
    <row r="34" spans="2:8" x14ac:dyDescent="0.25">
      <c r="B34" s="205">
        <v>44287</v>
      </c>
      <c r="C34" s="66"/>
      <c r="D34" s="203">
        <v>14631.099609000001</v>
      </c>
      <c r="E34" s="64">
        <f t="shared" si="0"/>
        <v>-4.057028270189833E-3</v>
      </c>
      <c r="F34" s="64"/>
      <c r="G34" s="203">
        <v>292.93701199999998</v>
      </c>
      <c r="H34" s="64">
        <f t="shared" si="1"/>
        <v>-2.6341927414270216E-2</v>
      </c>
    </row>
    <row r="35" spans="2:8" x14ac:dyDescent="0.25">
      <c r="B35" s="205">
        <v>44317</v>
      </c>
      <c r="C35" s="66"/>
      <c r="D35" s="203">
        <v>15582.799805000001</v>
      </c>
      <c r="E35" s="64">
        <f t="shared" si="0"/>
        <v>6.504638895456516E-2</v>
      </c>
      <c r="F35" s="64"/>
      <c r="G35" s="203">
        <v>317.75964399999998</v>
      </c>
      <c r="H35" s="64">
        <f t="shared" si="1"/>
        <v>8.4737096997493877E-2</v>
      </c>
    </row>
    <row r="36" spans="2:8" x14ac:dyDescent="0.25">
      <c r="B36" s="205">
        <v>44348</v>
      </c>
      <c r="C36" s="66"/>
      <c r="D36" s="203">
        <v>15721.5</v>
      </c>
      <c r="E36" s="64">
        <f t="shared" si="0"/>
        <v>8.9008520121971468E-3</v>
      </c>
      <c r="F36" s="64"/>
      <c r="G36" s="203">
        <v>338.54486100000003</v>
      </c>
      <c r="H36" s="64">
        <f t="shared" si="1"/>
        <v>6.5411758203002268E-2</v>
      </c>
    </row>
    <row r="37" spans="2:8" x14ac:dyDescent="0.25">
      <c r="B37" s="205">
        <v>44378</v>
      </c>
      <c r="C37" s="66"/>
      <c r="D37" s="203">
        <v>15763.049805000001</v>
      </c>
      <c r="E37" s="64">
        <f t="shared" si="0"/>
        <v>2.6428651846197582E-3</v>
      </c>
      <c r="F37" s="64"/>
      <c r="G37" s="203">
        <v>293.03671300000002</v>
      </c>
      <c r="H37" s="64">
        <f t="shared" si="1"/>
        <v>-0.13442279958282988</v>
      </c>
    </row>
    <row r="38" spans="2:8" x14ac:dyDescent="0.25">
      <c r="B38" s="205">
        <v>44409</v>
      </c>
      <c r="C38" s="66"/>
      <c r="D38" s="203">
        <v>17132.199218999998</v>
      </c>
      <c r="E38" s="64">
        <f t="shared" si="0"/>
        <v>8.6858154414110045E-2</v>
      </c>
      <c r="F38" s="64"/>
      <c r="G38" s="203">
        <v>286.40734900000001</v>
      </c>
      <c r="H38" s="64">
        <f t="shared" si="1"/>
        <v>-2.2622981032414224E-2</v>
      </c>
    </row>
    <row r="39" spans="2:8" x14ac:dyDescent="0.25">
      <c r="B39" s="205">
        <v>44440</v>
      </c>
      <c r="C39" s="66"/>
      <c r="D39" s="203">
        <v>17618.150390999999</v>
      </c>
      <c r="E39" s="64">
        <f t="shared" si="0"/>
        <v>2.8364786434485811E-2</v>
      </c>
      <c r="F39" s="64"/>
      <c r="G39" s="203">
        <v>332.31427000000002</v>
      </c>
      <c r="H39" s="64">
        <f t="shared" si="1"/>
        <v>0.16028541572094923</v>
      </c>
    </row>
    <row r="40" spans="2:8" x14ac:dyDescent="0.25">
      <c r="B40" s="205">
        <v>44470</v>
      </c>
      <c r="C40" s="66"/>
      <c r="D40" s="203">
        <v>17671.650390999999</v>
      </c>
      <c r="E40" s="64">
        <f t="shared" si="0"/>
        <v>3.0366411236522062E-3</v>
      </c>
      <c r="F40" s="64"/>
      <c r="G40" s="203">
        <v>482.19714399999998</v>
      </c>
      <c r="H40" s="64">
        <f t="shared" si="1"/>
        <v>0.45102749875893067</v>
      </c>
    </row>
    <row r="41" spans="2:8" x14ac:dyDescent="0.25">
      <c r="B41" s="205">
        <v>44501</v>
      </c>
      <c r="C41" s="66"/>
      <c r="D41" s="203">
        <v>16983.199218999998</v>
      </c>
      <c r="E41" s="64">
        <f t="shared" si="0"/>
        <v>-3.8957944321409976E-2</v>
      </c>
      <c r="F41" s="64"/>
      <c r="G41" s="203">
        <v>457.17514</v>
      </c>
      <c r="H41" s="64">
        <f t="shared" si="1"/>
        <v>-5.1891647039701172E-2</v>
      </c>
    </row>
    <row r="42" spans="2:8" x14ac:dyDescent="0.25">
      <c r="B42" s="205">
        <v>44531</v>
      </c>
      <c r="C42" s="66"/>
      <c r="D42" s="203">
        <v>17354.050781000002</v>
      </c>
      <c r="E42" s="64">
        <f t="shared" si="0"/>
        <v>2.1836378247575006E-2</v>
      </c>
      <c r="F42" s="64"/>
      <c r="G42" s="203">
        <v>480.901184</v>
      </c>
      <c r="H42" s="64">
        <f t="shared" si="1"/>
        <v>5.1897056344752279E-2</v>
      </c>
    </row>
    <row r="43" spans="2:8" x14ac:dyDescent="0.25">
      <c r="B43" s="205">
        <v>44562</v>
      </c>
      <c r="C43" s="66"/>
      <c r="D43" s="203">
        <v>17339.849609000001</v>
      </c>
      <c r="E43" s="64">
        <f t="shared" si="0"/>
        <v>-8.183202976188575E-4</v>
      </c>
      <c r="F43" s="64"/>
      <c r="G43" s="203">
        <v>516.14135699999997</v>
      </c>
      <c r="H43" s="64">
        <f t="shared" si="1"/>
        <v>7.3279447363556516E-2</v>
      </c>
    </row>
    <row r="44" spans="2:8" x14ac:dyDescent="0.25">
      <c r="B44" s="205">
        <v>44593</v>
      </c>
      <c r="C44" s="66"/>
      <c r="D44" s="203">
        <v>16793.900390999999</v>
      </c>
      <c r="E44" s="64">
        <f t="shared" si="0"/>
        <v>-3.1485233742548413E-2</v>
      </c>
      <c r="F44" s="64"/>
      <c r="G44" s="203">
        <v>452.639252</v>
      </c>
      <c r="H44" s="64">
        <f t="shared" si="1"/>
        <v>-0.12303239052397807</v>
      </c>
    </row>
    <row r="45" spans="2:8" x14ac:dyDescent="0.25">
      <c r="B45" s="205">
        <v>44621</v>
      </c>
      <c r="C45" s="66"/>
      <c r="D45" s="203">
        <v>17464.75</v>
      </c>
      <c r="E45" s="64">
        <f t="shared" si="0"/>
        <v>3.9946027627954406E-2</v>
      </c>
      <c r="F45" s="64"/>
      <c r="G45" s="203">
        <v>432.40234400000003</v>
      </c>
      <c r="H45" s="64">
        <f t="shared" si="1"/>
        <v>-4.4708690001104889E-2</v>
      </c>
    </row>
    <row r="46" spans="2:8" x14ac:dyDescent="0.25">
      <c r="B46" s="205">
        <v>44652</v>
      </c>
      <c r="C46" s="66"/>
      <c r="D46" s="203">
        <v>17102.550781000002</v>
      </c>
      <c r="E46" s="64">
        <f t="shared" si="0"/>
        <v>-2.0738872242660134E-2</v>
      </c>
      <c r="F46" s="64"/>
      <c r="G46" s="203">
        <v>436.240387</v>
      </c>
      <c r="H46" s="64">
        <f t="shared" si="1"/>
        <v>8.8760920315453795E-3</v>
      </c>
    </row>
    <row r="47" spans="2:8" x14ac:dyDescent="0.25">
      <c r="B47" s="205">
        <v>44682</v>
      </c>
      <c r="C47" s="66"/>
      <c r="D47" s="203">
        <v>16584.550781000002</v>
      </c>
      <c r="E47" s="64">
        <f t="shared" si="0"/>
        <v>-3.0287879663861039E-2</v>
      </c>
      <c r="F47" s="64"/>
      <c r="G47" s="203">
        <v>442.171875</v>
      </c>
      <c r="H47" s="64">
        <f t="shared" si="1"/>
        <v>1.3596833710859624E-2</v>
      </c>
    </row>
    <row r="48" spans="2:8" x14ac:dyDescent="0.25">
      <c r="B48" s="205">
        <v>44713</v>
      </c>
      <c r="C48" s="66"/>
      <c r="D48" s="203">
        <v>15780.25</v>
      </c>
      <c r="E48" s="64">
        <f t="shared" si="0"/>
        <v>-4.8496989253483114E-2</v>
      </c>
      <c r="F48" s="64"/>
      <c r="G48" s="203">
        <v>410.52050800000001</v>
      </c>
      <c r="H48" s="64">
        <f t="shared" si="1"/>
        <v>-7.1581592565108321E-2</v>
      </c>
    </row>
    <row r="49" spans="2:8" x14ac:dyDescent="0.25">
      <c r="B49" s="205">
        <v>44743</v>
      </c>
      <c r="C49" s="66"/>
      <c r="D49" s="203">
        <v>17158.25</v>
      </c>
      <c r="E49" s="64">
        <f t="shared" si="0"/>
        <v>8.7324345305048956E-2</v>
      </c>
      <c r="F49" s="64"/>
      <c r="G49" s="203">
        <v>448.20309400000002</v>
      </c>
      <c r="H49" s="64">
        <f t="shared" si="1"/>
        <v>9.1792213216300489E-2</v>
      </c>
    </row>
    <row r="50" spans="2:8" x14ac:dyDescent="0.25">
      <c r="B50" s="205">
        <v>44774</v>
      </c>
      <c r="C50" s="66"/>
      <c r="D50" s="203">
        <v>17759.300781000002</v>
      </c>
      <c r="E50" s="64">
        <f t="shared" si="0"/>
        <v>3.5029841679658613E-2</v>
      </c>
      <c r="F50" s="64"/>
      <c r="G50" s="203">
        <v>469.63629200000003</v>
      </c>
      <c r="H50" s="64">
        <f t="shared" si="1"/>
        <v>4.7820281222779704E-2</v>
      </c>
    </row>
    <row r="51" spans="2:8" x14ac:dyDescent="0.25">
      <c r="B51" s="205">
        <v>44805</v>
      </c>
      <c r="C51" s="66"/>
      <c r="D51" s="203">
        <v>17094.349609000001</v>
      </c>
      <c r="E51" s="64">
        <f t="shared" si="0"/>
        <v>-3.7442418493829788E-2</v>
      </c>
      <c r="F51" s="64"/>
      <c r="G51" s="203">
        <v>403.342896</v>
      </c>
      <c r="H51" s="64">
        <f t="shared" si="1"/>
        <v>-0.14115901417601695</v>
      </c>
    </row>
    <row r="52" spans="2:8" x14ac:dyDescent="0.25">
      <c r="B52" s="205">
        <v>44835</v>
      </c>
      <c r="C52" s="66"/>
      <c r="D52" s="203">
        <v>18012.199218999998</v>
      </c>
      <c r="E52" s="64">
        <f t="shared" si="0"/>
        <v>5.3693157738903263E-2</v>
      </c>
      <c r="F52" s="64"/>
      <c r="G52" s="203">
        <v>411.46758999999997</v>
      </c>
      <c r="H52" s="64">
        <f t="shared" si="1"/>
        <v>2.0143391839979152E-2</v>
      </c>
    </row>
    <row r="53" spans="2:8" x14ac:dyDescent="0.25">
      <c r="B53" s="205">
        <v>44866</v>
      </c>
      <c r="C53" s="66"/>
      <c r="D53" s="203">
        <v>18758.349609000001</v>
      </c>
      <c r="E53" s="64">
        <f t="shared" si="0"/>
        <v>4.1424724484111497E-2</v>
      </c>
      <c r="F53" s="64"/>
      <c r="G53" s="203">
        <v>438.03476000000001</v>
      </c>
      <c r="H53" s="64">
        <f t="shared" si="1"/>
        <v>6.4566859324205916E-2</v>
      </c>
    </row>
    <row r="54" spans="2:8" x14ac:dyDescent="0.25">
      <c r="B54" s="205">
        <v>44896</v>
      </c>
      <c r="C54" s="66"/>
      <c r="D54" s="203">
        <v>18105.300781000002</v>
      </c>
      <c r="E54" s="64">
        <f t="shared" si="0"/>
        <v>-3.4813767821379904E-2</v>
      </c>
      <c r="F54" s="64"/>
      <c r="G54" s="203">
        <v>386.74465900000001</v>
      </c>
      <c r="H54" s="64">
        <f t="shared" si="1"/>
        <v>-0.11709139475597774</v>
      </c>
    </row>
    <row r="55" spans="2:8" x14ac:dyDescent="0.25">
      <c r="B55" s="205">
        <v>44927</v>
      </c>
      <c r="C55" s="66"/>
      <c r="D55" s="203">
        <v>17662.150390999999</v>
      </c>
      <c r="E55" s="64">
        <f t="shared" si="0"/>
        <v>-2.4476278818027275E-2</v>
      </c>
      <c r="F55" s="64"/>
      <c r="G55" s="203">
        <v>450.695313</v>
      </c>
      <c r="H55" s="64">
        <f t="shared" si="1"/>
        <v>0.16535626934152425</v>
      </c>
    </row>
    <row r="56" spans="2:8" x14ac:dyDescent="0.25">
      <c r="B56" s="205">
        <v>44958</v>
      </c>
      <c r="C56" s="66"/>
      <c r="D56" s="203">
        <v>17303.949218999998</v>
      </c>
      <c r="E56" s="64">
        <f t="shared" si="0"/>
        <v>-2.0280722566065723E-2</v>
      </c>
      <c r="F56" s="64"/>
      <c r="G56" s="203">
        <v>419.39288299999998</v>
      </c>
      <c r="H56" s="64">
        <f t="shared" si="1"/>
        <v>-6.9453639958310442E-2</v>
      </c>
    </row>
    <row r="57" spans="2:8" x14ac:dyDescent="0.25">
      <c r="B57" s="205">
        <v>44986</v>
      </c>
      <c r="C57" s="66"/>
      <c r="D57" s="203">
        <v>17359.75</v>
      </c>
      <c r="E57" s="64">
        <f t="shared" si="0"/>
        <v>3.2247425309555044E-3</v>
      </c>
      <c r="F57" s="64"/>
      <c r="G57" s="203">
        <v>419.49255399999998</v>
      </c>
      <c r="H57" s="64">
        <f t="shared" si="1"/>
        <v>2.3765543966081104E-4</v>
      </c>
    </row>
    <row r="58" spans="2:8" x14ac:dyDescent="0.25">
      <c r="B58" s="205">
        <v>45017</v>
      </c>
      <c r="C58" s="66"/>
      <c r="D58" s="203">
        <v>18065</v>
      </c>
      <c r="E58" s="64">
        <f t="shared" si="0"/>
        <v>4.0625585045867663E-2</v>
      </c>
      <c r="F58" s="64"/>
      <c r="G58" s="203">
        <v>483.44326799999999</v>
      </c>
      <c r="H58" s="64">
        <f t="shared" si="1"/>
        <v>0.152447792911242</v>
      </c>
    </row>
    <row r="59" spans="2:8" x14ac:dyDescent="0.25">
      <c r="B59" s="205">
        <v>45047</v>
      </c>
      <c r="C59" s="66"/>
      <c r="D59" s="203">
        <v>18534.400390999999</v>
      </c>
      <c r="E59" s="64">
        <f t="shared" si="0"/>
        <v>2.5983968502629295E-2</v>
      </c>
      <c r="F59" s="64"/>
      <c r="G59" s="203">
        <v>524.66479500000003</v>
      </c>
      <c r="H59" s="64">
        <f t="shared" si="1"/>
        <v>8.5266523971950337E-2</v>
      </c>
    </row>
    <row r="60" spans="2:8" x14ac:dyDescent="0.25">
      <c r="B60" s="205">
        <v>45078</v>
      </c>
      <c r="C60" s="66"/>
      <c r="D60" s="203">
        <v>19189.050781000002</v>
      </c>
      <c r="E60" s="64">
        <f t="shared" si="0"/>
        <v>3.5320829171138879E-2</v>
      </c>
      <c r="F60" s="64"/>
      <c r="G60" s="203">
        <v>593.69958499999996</v>
      </c>
      <c r="H60" s="64">
        <f t="shared" si="1"/>
        <v>0.13157884931082497</v>
      </c>
    </row>
    <row r="61" spans="2:8" x14ac:dyDescent="0.25">
      <c r="B61" s="205">
        <v>45108</v>
      </c>
      <c r="C61" s="66"/>
      <c r="D61" s="203">
        <v>19753.800781000002</v>
      </c>
      <c r="E61" s="64">
        <f t="shared" si="0"/>
        <v>2.9430846082245221E-2</v>
      </c>
      <c r="F61" s="64"/>
      <c r="G61" s="203">
        <v>642.29815699999995</v>
      </c>
      <c r="H61" s="64">
        <f t="shared" si="1"/>
        <v>8.1857176976130042E-2</v>
      </c>
    </row>
    <row r="62" spans="2:8" x14ac:dyDescent="0.25">
      <c r="B62" s="205">
        <v>45139</v>
      </c>
      <c r="C62" s="66"/>
      <c r="D62" s="203">
        <v>19253.800781000002</v>
      </c>
      <c r="E62" s="64">
        <f t="shared" si="0"/>
        <v>-2.5311584618233018E-2</v>
      </c>
      <c r="F62" s="64"/>
      <c r="G62" s="203">
        <v>601</v>
      </c>
      <c r="H62" s="64">
        <f t="shared" si="1"/>
        <v>-6.4297486377498547E-2</v>
      </c>
    </row>
    <row r="63" spans="2:8" x14ac:dyDescent="0.25">
      <c r="B63" s="205">
        <v>45170</v>
      </c>
      <c r="C63" s="66"/>
      <c r="D63" s="203">
        <v>19638.300781000002</v>
      </c>
      <c r="E63" s="64">
        <f t="shared" si="0"/>
        <v>1.9970083017553097E-2</v>
      </c>
      <c r="F63" s="64"/>
      <c r="G63" s="203">
        <v>630.20001200000002</v>
      </c>
      <c r="H63" s="64">
        <f t="shared" si="1"/>
        <v>4.8585710482529132E-2</v>
      </c>
    </row>
    <row r="64" spans="2:8" x14ac:dyDescent="0.25">
      <c r="B64" s="205">
        <v>45200</v>
      </c>
      <c r="C64" s="66"/>
      <c r="D64" s="203">
        <v>19079.599609000001</v>
      </c>
      <c r="E64" s="64">
        <f t="shared" si="0"/>
        <v>-2.8449567924967445E-2</v>
      </c>
      <c r="F64" s="64"/>
      <c r="G64" s="203">
        <v>628.65002400000003</v>
      </c>
      <c r="H64" s="64">
        <f t="shared" si="1"/>
        <v>-2.4595175666228819E-3</v>
      </c>
    </row>
    <row r="65" spans="2:8" x14ac:dyDescent="0.25">
      <c r="B65" s="205">
        <v>45231</v>
      </c>
      <c r="C65" s="66"/>
      <c r="D65" s="203">
        <v>20133.150390999999</v>
      </c>
      <c r="E65" s="64">
        <f t="shared" si="0"/>
        <v>5.5218704982835654E-2</v>
      </c>
      <c r="F65" s="64"/>
      <c r="G65" s="203">
        <v>706.40002400000003</v>
      </c>
      <c r="H65" s="64">
        <f t="shared" si="1"/>
        <v>0.12367771738126909</v>
      </c>
    </row>
    <row r="66" spans="2:8" x14ac:dyDescent="0.25">
      <c r="B66" s="205">
        <v>45261</v>
      </c>
      <c r="C66" s="66"/>
      <c r="D66" s="203">
        <v>21731.400390999999</v>
      </c>
      <c r="E66" s="64">
        <f t="shared" si="0"/>
        <v>7.9383999471560829E-2</v>
      </c>
      <c r="F66" s="64"/>
      <c r="G66" s="203">
        <v>779.95001200000002</v>
      </c>
      <c r="H66" s="64">
        <f t="shared" si="1"/>
        <v>0.10411945852368776</v>
      </c>
    </row>
    <row r="67" spans="2:8" x14ac:dyDescent="0.25">
      <c r="B67" s="205">
        <v>45292</v>
      </c>
      <c r="C67" s="66"/>
      <c r="D67" s="203">
        <v>21725.699218999998</v>
      </c>
      <c r="E67" s="64">
        <f t="shared" si="0"/>
        <v>-2.6234719794504535E-4</v>
      </c>
      <c r="F67" s="64"/>
      <c r="G67" s="203">
        <v>884.20001200000002</v>
      </c>
      <c r="H67" s="64">
        <f t="shared" si="1"/>
        <v>0.13366241220084762</v>
      </c>
    </row>
    <row r="68" spans="2:8" x14ac:dyDescent="0.25">
      <c r="B68" s="205">
        <v>45323</v>
      </c>
      <c r="C68" s="66"/>
      <c r="D68" s="203">
        <v>21930.5</v>
      </c>
      <c r="E68" s="64">
        <f t="shared" si="0"/>
        <v>9.4266600552443958E-3</v>
      </c>
      <c r="F68" s="64"/>
      <c r="G68" s="203">
        <v>933.79998799999998</v>
      </c>
      <c r="H68" s="64">
        <f t="shared" si="1"/>
        <v>5.6095877999151167E-2</v>
      </c>
    </row>
  </sheetData>
  <mergeCells count="5">
    <mergeCell ref="G6:H6"/>
    <mergeCell ref="D6:E6"/>
    <mergeCell ref="J6:K6"/>
    <mergeCell ref="B2:K2"/>
    <mergeCell ref="B4:E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FF56-D4C2-433D-97CA-64FA06B7CFE3}">
  <dimension ref="B2:CP68"/>
  <sheetViews>
    <sheetView showGridLines="0" topLeftCell="G1" workbookViewId="0">
      <selection activeCell="G6" sqref="G6:H6"/>
    </sheetView>
  </sheetViews>
  <sheetFormatPr defaultRowHeight="15" x14ac:dyDescent="0.25"/>
  <cols>
    <col min="1" max="1" width="1.85546875" customWidth="1"/>
    <col min="2" max="2" width="16" bestFit="1" customWidth="1"/>
    <col min="3" max="3" width="2.7109375" customWidth="1"/>
    <col min="4" max="4" width="12.28515625" bestFit="1" customWidth="1"/>
    <col min="6" max="6" width="2.7109375" customWidth="1"/>
    <col min="7" max="7" width="12.28515625" bestFit="1" customWidth="1"/>
    <col min="9" max="9" width="2.7109375" customWidth="1"/>
    <col min="10" max="10" width="18.85546875" bestFit="1" customWidth="1"/>
    <col min="11" max="14" width="9.28515625" bestFit="1" customWidth="1"/>
    <col min="15" max="15" width="12" bestFit="1" customWidth="1"/>
    <col min="20" max="20" width="12.5703125" bestFit="1" customWidth="1"/>
    <col min="23" max="23" width="18.85546875" bestFit="1" customWidth="1"/>
    <col min="24" max="25" width="9.28515625" bestFit="1" customWidth="1"/>
    <col min="26" max="26" width="12.5703125" bestFit="1" customWidth="1"/>
    <col min="27" max="27" width="9" bestFit="1" customWidth="1"/>
    <col min="28" max="28" width="12" bestFit="1" customWidth="1"/>
    <col min="30" max="30" width="12.5703125" bestFit="1" customWidth="1"/>
    <col min="31" max="31" width="12.28515625" bestFit="1" customWidth="1"/>
    <col min="34" max="34" width="18.85546875" bestFit="1" customWidth="1"/>
    <col min="44" max="44" width="12.28515625" bestFit="1" customWidth="1"/>
    <col min="47" max="47" width="18.85546875" bestFit="1" customWidth="1"/>
    <col min="48" max="51" width="9.28515625" bestFit="1" customWidth="1"/>
    <col min="52" max="52" width="12" bestFit="1" customWidth="1"/>
    <col min="57" max="57" width="12.28515625" bestFit="1" customWidth="1"/>
    <col min="58" max="58" width="8.5703125" bestFit="1" customWidth="1"/>
    <col min="60" max="60" width="18.85546875" bestFit="1" customWidth="1"/>
    <col min="61" max="64" width="9.28515625" bestFit="1" customWidth="1"/>
    <col min="65" max="65" width="12" bestFit="1" customWidth="1"/>
    <col min="70" max="70" width="12.28515625" bestFit="1" customWidth="1"/>
    <col min="71" max="71" width="8.5703125" bestFit="1" customWidth="1"/>
    <col min="73" max="73" width="18.85546875" bestFit="1" customWidth="1"/>
    <col min="74" max="77" width="9.28515625" bestFit="1" customWidth="1"/>
    <col min="78" max="78" width="12" bestFit="1" customWidth="1"/>
    <col min="83" max="83" width="12.28515625" bestFit="1" customWidth="1"/>
    <col min="84" max="84" width="8.5703125" bestFit="1" customWidth="1"/>
    <col min="86" max="86" width="18.85546875" bestFit="1" customWidth="1"/>
    <col min="87" max="87" width="11.5703125" customWidth="1"/>
    <col min="88" max="90" width="9.28515625" bestFit="1" customWidth="1"/>
    <col min="91" max="91" width="12" bestFit="1" customWidth="1"/>
  </cols>
  <sheetData>
    <row r="2" spans="2:87" x14ac:dyDescent="0.25">
      <c r="B2" s="80"/>
      <c r="C2" s="65"/>
      <c r="D2" s="65"/>
      <c r="E2" s="65"/>
      <c r="F2" s="65"/>
      <c r="G2" s="65"/>
      <c r="H2" s="65"/>
      <c r="I2" s="65"/>
      <c r="J2" s="65" t="s">
        <v>205</v>
      </c>
      <c r="K2" s="65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2:87" x14ac:dyDescent="0.25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2:87" x14ac:dyDescent="0.25">
      <c r="B4" s="229" t="s">
        <v>206</v>
      </c>
      <c r="C4" s="229"/>
      <c r="D4" s="229"/>
      <c r="E4" s="229"/>
      <c r="F4" s="67"/>
      <c r="G4" s="67"/>
      <c r="H4" s="67"/>
      <c r="I4" s="67"/>
      <c r="J4" s="67"/>
      <c r="K4" s="67"/>
    </row>
    <row r="6" spans="2:87" x14ac:dyDescent="0.25">
      <c r="B6" s="65" t="s">
        <v>207</v>
      </c>
      <c r="C6" s="68"/>
      <c r="D6" s="224" t="s">
        <v>208</v>
      </c>
      <c r="E6" s="224"/>
      <c r="F6" s="67"/>
      <c r="G6" s="224" t="s">
        <v>131</v>
      </c>
      <c r="H6" s="224"/>
      <c r="J6" s="224" t="s">
        <v>210</v>
      </c>
      <c r="K6" s="224"/>
      <c r="T6" s="224" t="s">
        <v>243</v>
      </c>
      <c r="U6" s="224"/>
      <c r="W6" s="224" t="s">
        <v>210</v>
      </c>
      <c r="X6" s="224"/>
      <c r="AE6" s="224" t="s">
        <v>255</v>
      </c>
      <c r="AF6" s="224"/>
      <c r="AH6" s="224" t="s">
        <v>210</v>
      </c>
      <c r="AI6" s="224"/>
      <c r="AR6" s="224" t="s">
        <v>256</v>
      </c>
      <c r="AS6" s="224"/>
      <c r="AU6" s="224" t="s">
        <v>210</v>
      </c>
      <c r="AV6" s="224"/>
      <c r="BE6" s="224" t="s">
        <v>257</v>
      </c>
      <c r="BF6" s="224"/>
      <c r="BH6" s="224" t="s">
        <v>210</v>
      </c>
      <c r="BI6" s="224"/>
      <c r="BR6" s="224" t="s">
        <v>252</v>
      </c>
      <c r="BS6" s="224"/>
      <c r="BU6" s="224" t="s">
        <v>210</v>
      </c>
      <c r="BV6" s="224"/>
      <c r="CE6" s="224" t="s">
        <v>250</v>
      </c>
      <c r="CF6" s="224"/>
      <c r="CH6" s="224" t="s">
        <v>210</v>
      </c>
      <c r="CI6" s="224"/>
    </row>
    <row r="8" spans="2:87" x14ac:dyDescent="0.25">
      <c r="B8" s="151" t="s">
        <v>211</v>
      </c>
      <c r="C8" s="11"/>
      <c r="D8" s="151" t="s">
        <v>212</v>
      </c>
      <c r="E8" s="204" t="s">
        <v>213</v>
      </c>
      <c r="F8" s="71"/>
      <c r="G8" s="204" t="s">
        <v>212</v>
      </c>
      <c r="H8" s="204" t="s">
        <v>213</v>
      </c>
      <c r="J8" s="206" t="s">
        <v>214</v>
      </c>
      <c r="K8" s="75">
        <f>K33</f>
        <v>1.2556640835825192</v>
      </c>
      <c r="T8" s="204" t="s">
        <v>212</v>
      </c>
      <c r="U8" s="204" t="s">
        <v>213</v>
      </c>
      <c r="W8" s="206" t="s">
        <v>214</v>
      </c>
      <c r="X8" s="75">
        <f>X33</f>
        <v>0.95061172584491549</v>
      </c>
      <c r="AE8" s="204" t="s">
        <v>212</v>
      </c>
      <c r="AF8" s="204" t="s">
        <v>213</v>
      </c>
      <c r="AH8" s="206" t="s">
        <v>214</v>
      </c>
      <c r="AI8" s="75">
        <f>AI33</f>
        <v>0.73249451269564902</v>
      </c>
      <c r="AR8" s="204" t="s">
        <v>212</v>
      </c>
      <c r="AS8" s="204" t="s">
        <v>213</v>
      </c>
      <c r="AU8" s="206" t="s">
        <v>214</v>
      </c>
      <c r="AV8" s="75">
        <f>AV33</f>
        <v>1.3400025457007225</v>
      </c>
      <c r="BE8" s="204" t="s">
        <v>212</v>
      </c>
      <c r="BF8" s="204" t="s">
        <v>213</v>
      </c>
      <c r="BH8" s="206" t="s">
        <v>214</v>
      </c>
      <c r="BI8" s="75">
        <f>BI33</f>
        <v>1.0142057493917787</v>
      </c>
      <c r="BR8" s="204" t="s">
        <v>212</v>
      </c>
      <c r="BS8" s="204" t="s">
        <v>213</v>
      </c>
      <c r="BU8" s="206" t="s">
        <v>214</v>
      </c>
      <c r="BV8" s="75">
        <f>BV33</f>
        <v>0.97557621769323377</v>
      </c>
      <c r="CE8" s="204" t="s">
        <v>212</v>
      </c>
      <c r="CF8" s="204" t="s">
        <v>213</v>
      </c>
      <c r="CH8" s="206" t="s">
        <v>214</v>
      </c>
      <c r="CI8" s="75">
        <f>CI33</f>
        <v>1.1862467024955909</v>
      </c>
    </row>
    <row r="9" spans="2:87" x14ac:dyDescent="0.25">
      <c r="B9" s="205">
        <v>43525</v>
      </c>
      <c r="C9" s="66"/>
      <c r="D9" s="203">
        <v>11623.900390999999</v>
      </c>
      <c r="G9" s="203">
        <v>84.248726000000005</v>
      </c>
      <c r="J9" s="169" t="s">
        <v>216</v>
      </c>
      <c r="K9" s="184">
        <v>0.75</v>
      </c>
      <c r="T9" s="215">
        <v>6378.359375</v>
      </c>
      <c r="W9" s="169" t="s">
        <v>216</v>
      </c>
      <c r="X9" s="184">
        <v>0.75</v>
      </c>
      <c r="AE9" s="216">
        <v>457.91677900000002</v>
      </c>
      <c r="AH9" s="169" t="s">
        <v>216</v>
      </c>
      <c r="AI9" s="184">
        <v>0.75</v>
      </c>
      <c r="AR9" s="216">
        <v>641.078979</v>
      </c>
      <c r="AU9" s="169" t="s">
        <v>216</v>
      </c>
      <c r="AV9" s="184">
        <v>0.75</v>
      </c>
      <c r="BE9" s="216">
        <v>2222.6059570000002</v>
      </c>
      <c r="BH9" s="169" t="s">
        <v>216</v>
      </c>
      <c r="BI9" s="184">
        <v>0.75</v>
      </c>
      <c r="BR9" s="216">
        <v>1976.135986</v>
      </c>
      <c r="BU9" s="169" t="s">
        <v>216</v>
      </c>
      <c r="BV9" s="184">
        <v>0.75</v>
      </c>
      <c r="CE9" s="216">
        <v>2386.9765630000002</v>
      </c>
      <c r="CH9" s="169" t="s">
        <v>216</v>
      </c>
      <c r="CI9" s="184">
        <v>0.75</v>
      </c>
    </row>
    <row r="10" spans="2:87" x14ac:dyDescent="0.25">
      <c r="B10" s="205">
        <v>43556</v>
      </c>
      <c r="C10" s="66"/>
      <c r="D10" s="203">
        <v>11748.150390999999</v>
      </c>
      <c r="E10" s="64">
        <f>D10/D9-1</f>
        <v>1.0689183133073099E-2</v>
      </c>
      <c r="F10" s="64"/>
      <c r="G10" s="203">
        <v>80.234688000000006</v>
      </c>
      <c r="H10" s="64">
        <f>G10/G9-1</f>
        <v>-4.7645088425432136E-2</v>
      </c>
      <c r="T10" s="215">
        <v>6372.4794920000004</v>
      </c>
      <c r="U10" s="64">
        <f>T10/T9-1</f>
        <v>-9.2184881006329711E-4</v>
      </c>
      <c r="AE10" s="216">
        <v>480.04058800000001</v>
      </c>
      <c r="AF10" s="64">
        <f>AE10/AE9-1</f>
        <v>4.831403873934037E-2</v>
      </c>
      <c r="AR10" s="216">
        <v>613.87182600000006</v>
      </c>
      <c r="AS10" s="64">
        <f>AR10/AR9-1</f>
        <v>-4.24396273957377E-2</v>
      </c>
      <c r="BE10" s="216">
        <v>2186.6530760000001</v>
      </c>
      <c r="BF10" s="64">
        <f>BE10/BE9-1</f>
        <v>-1.6176003167258757E-2</v>
      </c>
      <c r="BR10" s="216">
        <v>1958.8824460000001</v>
      </c>
      <c r="BS10" s="64">
        <f>BR10/BR9-1</f>
        <v>-8.7309477294240656E-3</v>
      </c>
      <c r="CE10" s="216">
        <v>2446.8332519999999</v>
      </c>
      <c r="CF10" s="64">
        <f>CE10/CE9-1</f>
        <v>2.5076362260034291E-2</v>
      </c>
    </row>
    <row r="11" spans="2:87" x14ac:dyDescent="0.25">
      <c r="B11" s="205">
        <v>43586</v>
      </c>
      <c r="C11" s="66"/>
      <c r="D11" s="203">
        <v>11922.799805000001</v>
      </c>
      <c r="E11" s="64">
        <f t="shared" ref="E11:E68" si="0">D11/D10-1</f>
        <v>1.4866120043355524E-2</v>
      </c>
      <c r="F11" s="64"/>
      <c r="G11" s="203">
        <v>81.987930000000006</v>
      </c>
      <c r="H11" s="64">
        <f t="shared" ref="H11:H68" si="1">G11/G10-1</f>
        <v>2.1851421669390581E-2</v>
      </c>
      <c r="J11" s="169" t="s">
        <v>218</v>
      </c>
      <c r="K11" s="169">
        <v>1</v>
      </c>
      <c r="T11" s="215">
        <v>6566.9594729999999</v>
      </c>
      <c r="U11" s="64">
        <f t="shared" ref="U11:U68" si="2">T11/T10-1</f>
        <v>3.0518729992642379E-2</v>
      </c>
      <c r="W11" s="169" t="s">
        <v>218</v>
      </c>
      <c r="X11" s="169">
        <v>1</v>
      </c>
      <c r="AE11" s="216">
        <v>467.411835</v>
      </c>
      <c r="AF11" s="64">
        <f>AE11/AE10-1</f>
        <v>-2.630767754996588E-2</v>
      </c>
      <c r="AH11" s="169" t="s">
        <v>218</v>
      </c>
      <c r="AI11" s="169">
        <v>1</v>
      </c>
      <c r="AR11" s="216">
        <v>615.53668200000004</v>
      </c>
      <c r="AS11" s="64">
        <f>AR11/AR10-1</f>
        <v>2.7120580054116328E-3</v>
      </c>
      <c r="AU11" s="169" t="s">
        <v>218</v>
      </c>
      <c r="AV11" s="169">
        <v>1</v>
      </c>
      <c r="BE11" s="216">
        <v>2333.2509770000001</v>
      </c>
      <c r="BF11" s="64">
        <f>BE11/BE10-1</f>
        <v>6.7042139701542602E-2</v>
      </c>
      <c r="BH11" s="169" t="s">
        <v>218</v>
      </c>
      <c r="BI11" s="169">
        <v>1</v>
      </c>
      <c r="BR11" s="216">
        <v>1918.4370120000001</v>
      </c>
      <c r="BS11" s="64">
        <f>BR11/BR10-1</f>
        <v>-2.0647198142281997E-2</v>
      </c>
      <c r="BU11" s="169" t="s">
        <v>218</v>
      </c>
      <c r="BV11" s="169">
        <v>1</v>
      </c>
      <c r="CE11" s="216">
        <v>2399.111328</v>
      </c>
      <c r="CF11" s="64">
        <f>CE11/CE10-1</f>
        <v>-1.9503545638425823E-2</v>
      </c>
      <c r="CH11" s="169" t="s">
        <v>218</v>
      </c>
      <c r="CI11" s="169">
        <v>1</v>
      </c>
    </row>
    <row r="12" spans="2:87" x14ac:dyDescent="0.25">
      <c r="B12" s="205">
        <v>43617</v>
      </c>
      <c r="C12" s="66"/>
      <c r="D12" s="203">
        <v>11788.849609000001</v>
      </c>
      <c r="E12" s="64">
        <f t="shared" si="0"/>
        <v>-1.1234793688628897E-2</v>
      </c>
      <c r="F12" s="64"/>
      <c r="G12" s="203">
        <v>80.511505</v>
      </c>
      <c r="H12" s="64">
        <f t="shared" si="1"/>
        <v>-1.8007833592091016E-2</v>
      </c>
      <c r="J12" s="169" t="s">
        <v>220</v>
      </c>
      <c r="K12" s="184">
        <v>0.25</v>
      </c>
      <c r="T12" s="215">
        <v>6246.5385740000002</v>
      </c>
      <c r="U12" s="64">
        <f t="shared" si="2"/>
        <v>-4.8792885096581973E-2</v>
      </c>
      <c r="W12" s="169" t="s">
        <v>220</v>
      </c>
      <c r="X12" s="184">
        <v>0.25</v>
      </c>
      <c r="AE12" s="216">
        <v>417.57928500000003</v>
      </c>
      <c r="AF12" s="64">
        <f t="shared" ref="AF12:AF68" si="3">AE12/AE11-1</f>
        <v>-0.10661379594720777</v>
      </c>
      <c r="AH12" s="169" t="s">
        <v>220</v>
      </c>
      <c r="AI12" s="184">
        <v>0.25</v>
      </c>
      <c r="AR12" s="216">
        <v>623.43243399999994</v>
      </c>
      <c r="AS12" s="64">
        <f t="shared" ref="AS12:AS68" si="4">AR12/AR11-1</f>
        <v>1.2827427236903333E-2</v>
      </c>
      <c r="AU12" s="169" t="s">
        <v>220</v>
      </c>
      <c r="AV12" s="184">
        <v>0.25</v>
      </c>
      <c r="BE12" s="216">
        <v>2247.2861330000001</v>
      </c>
      <c r="BF12" s="64">
        <f t="shared" ref="BF12:BF68" si="5">BE12/BE11-1</f>
        <v>-3.6843376408023709E-2</v>
      </c>
      <c r="BH12" s="169" t="s">
        <v>220</v>
      </c>
      <c r="BI12" s="184">
        <v>0.25</v>
      </c>
      <c r="BR12" s="216">
        <v>1840.6376949999999</v>
      </c>
      <c r="BS12" s="64">
        <f t="shared" ref="BS12:BS68" si="6">BR12/BR11-1</f>
        <v>-4.0553490426507799E-2</v>
      </c>
      <c r="BU12" s="169" t="s">
        <v>220</v>
      </c>
      <c r="BV12" s="184">
        <v>0.25</v>
      </c>
      <c r="CE12" s="216">
        <v>2318.0588379999999</v>
      </c>
      <c r="CF12" s="64">
        <f t="shared" ref="CF12:CF68" si="7">CE12/CE11-1</f>
        <v>-3.378438051374999E-2</v>
      </c>
      <c r="CH12" s="169" t="s">
        <v>220</v>
      </c>
      <c r="CI12" s="184">
        <v>0.25</v>
      </c>
    </row>
    <row r="13" spans="2:87" x14ac:dyDescent="0.25">
      <c r="B13" s="205">
        <v>43647</v>
      </c>
      <c r="C13" s="66"/>
      <c r="D13" s="203">
        <v>11118</v>
      </c>
      <c r="E13" s="64">
        <f t="shared" si="0"/>
        <v>-5.6905434478343953E-2</v>
      </c>
      <c r="F13" s="64"/>
      <c r="G13" s="203">
        <v>64.455344999999994</v>
      </c>
      <c r="H13" s="64">
        <f t="shared" si="1"/>
        <v>-0.19942690178254652</v>
      </c>
      <c r="T13" s="215">
        <v>5228.5429690000001</v>
      </c>
      <c r="U13" s="64">
        <f t="shared" si="2"/>
        <v>-0.16296955392818813</v>
      </c>
      <c r="AE13" s="216">
        <v>358.92117300000001</v>
      </c>
      <c r="AF13" s="64">
        <f t="shared" si="3"/>
        <v>-0.14047179567348511</v>
      </c>
      <c r="AR13" s="216">
        <v>523.21331799999996</v>
      </c>
      <c r="AS13" s="64">
        <f t="shared" si="4"/>
        <v>-0.16075377303837868</v>
      </c>
      <c r="BE13" s="216">
        <v>2051.0673830000001</v>
      </c>
      <c r="BF13" s="64">
        <f t="shared" si="5"/>
        <v>-8.7313647834447838E-2</v>
      </c>
      <c r="BR13" s="216">
        <v>1572.2426760000001</v>
      </c>
      <c r="BS13" s="64">
        <f t="shared" si="6"/>
        <v>-0.1458163220980867</v>
      </c>
      <c r="CE13" s="216">
        <v>2063.4213869999999</v>
      </c>
      <c r="CF13" s="64">
        <f t="shared" si="7"/>
        <v>-0.10984943385634638</v>
      </c>
    </row>
    <row r="14" spans="2:87" x14ac:dyDescent="0.25">
      <c r="B14" s="205">
        <v>43678</v>
      </c>
      <c r="C14" s="66"/>
      <c r="D14" s="203">
        <v>11023.25</v>
      </c>
      <c r="E14" s="64">
        <f t="shared" si="0"/>
        <v>-8.5222162259399603E-3</v>
      </c>
      <c r="F14" s="64"/>
      <c r="G14" s="203">
        <v>61.890293</v>
      </c>
      <c r="H14" s="64">
        <f t="shared" si="1"/>
        <v>-3.9795799712188273E-2</v>
      </c>
      <c r="J14" s="207" t="s">
        <v>223</v>
      </c>
      <c r="K14" s="78">
        <f>(K8*K9)+(K11*K12)</f>
        <v>1.1917480626868895</v>
      </c>
      <c r="T14" s="215">
        <v>5853.7548829999996</v>
      </c>
      <c r="U14" s="64">
        <f t="shared" si="2"/>
        <v>0.11957669999211573</v>
      </c>
      <c r="W14" s="207" t="s">
        <v>223</v>
      </c>
      <c r="X14" s="78">
        <f>(X8*X9)+(X11*X12)</f>
        <v>0.96295879438368659</v>
      </c>
      <c r="AE14" s="216">
        <v>344.19574</v>
      </c>
      <c r="AF14" s="64">
        <f t="shared" si="3"/>
        <v>-4.1026927659126966E-2</v>
      </c>
      <c r="AH14" s="207" t="s">
        <v>223</v>
      </c>
      <c r="AI14" s="78">
        <f>(AI8*AI9)+(AI11*AI12)</f>
        <v>0.79937088452173677</v>
      </c>
      <c r="AR14" s="216">
        <v>510.06179800000001</v>
      </c>
      <c r="AS14" s="64">
        <f t="shared" si="4"/>
        <v>-2.5136057412055268E-2</v>
      </c>
      <c r="AU14" s="207" t="s">
        <v>223</v>
      </c>
      <c r="AV14" s="78">
        <f>(AV8*AV9)+(AV11*AV12)</f>
        <v>1.255001909275542</v>
      </c>
      <c r="BE14" s="216">
        <v>2267.5649410000001</v>
      </c>
      <c r="BF14" s="64">
        <f t="shared" si="5"/>
        <v>0.1055536057929698</v>
      </c>
      <c r="BH14" s="207" t="s">
        <v>223</v>
      </c>
      <c r="BI14" s="78">
        <f>(BI8*BI9)+(BI11*BI12)</f>
        <v>1.010654312043834</v>
      </c>
      <c r="BR14" s="216">
        <v>1575.1408690000001</v>
      </c>
      <c r="BS14" s="64">
        <f t="shared" si="6"/>
        <v>1.8433496585739118E-3</v>
      </c>
      <c r="BU14" s="207" t="s">
        <v>223</v>
      </c>
      <c r="BV14" s="78">
        <f>(BV8*BV9)+(BV11*BV12)</f>
        <v>0.9816821632699253</v>
      </c>
      <c r="CE14" s="216">
        <v>2337.4633789999998</v>
      </c>
      <c r="CF14" s="64">
        <f t="shared" si="7"/>
        <v>0.13280951420127929</v>
      </c>
      <c r="CH14" s="207" t="s">
        <v>223</v>
      </c>
      <c r="CI14" s="78">
        <f>(CI8*CI9)+(CI11*CI12)</f>
        <v>1.1396850268716932</v>
      </c>
    </row>
    <row r="15" spans="2:87" x14ac:dyDescent="0.25">
      <c r="B15" s="205">
        <v>43709</v>
      </c>
      <c r="C15" s="66"/>
      <c r="D15" s="203">
        <v>11474.450194999999</v>
      </c>
      <c r="E15" s="64">
        <f t="shared" si="0"/>
        <v>4.0931684847935079E-2</v>
      </c>
      <c r="F15" s="64"/>
      <c r="G15" s="203">
        <v>65.971496999999999</v>
      </c>
      <c r="H15" s="64">
        <f t="shared" si="1"/>
        <v>6.594255419020234E-2</v>
      </c>
      <c r="T15" s="215">
        <v>6509.2460940000001</v>
      </c>
      <c r="U15" s="64">
        <f t="shared" si="2"/>
        <v>0.1119779054814245</v>
      </c>
      <c r="AE15" s="216">
        <v>411.53308099999998</v>
      </c>
      <c r="AF15" s="64">
        <f t="shared" si="3"/>
        <v>0.19563676470836033</v>
      </c>
      <c r="AR15" s="216">
        <v>527.76153599999998</v>
      </c>
      <c r="AS15" s="64">
        <f t="shared" si="4"/>
        <v>3.4701163798979362E-2</v>
      </c>
      <c r="BE15" s="216">
        <v>2384.5551759999998</v>
      </c>
      <c r="BF15" s="64">
        <f t="shared" si="5"/>
        <v>5.1592892836139326E-2</v>
      </c>
      <c r="BR15" s="216">
        <v>1721.1166989999999</v>
      </c>
      <c r="BS15" s="64">
        <f t="shared" si="6"/>
        <v>9.26747777757011E-2</v>
      </c>
      <c r="CE15" s="216">
        <v>2466.1442870000001</v>
      </c>
      <c r="CF15" s="64">
        <f t="shared" si="7"/>
        <v>5.5051518306589164E-2</v>
      </c>
    </row>
    <row r="16" spans="2:87" x14ac:dyDescent="0.25">
      <c r="B16" s="205">
        <v>43739</v>
      </c>
      <c r="C16" s="66"/>
      <c r="D16" s="203">
        <v>11877.450194999999</v>
      </c>
      <c r="E16" s="64">
        <f t="shared" si="0"/>
        <v>3.5121508495074449E-2</v>
      </c>
      <c r="F16" s="64"/>
      <c r="G16" s="203">
        <v>73.701790000000003</v>
      </c>
      <c r="H16" s="64">
        <f t="shared" si="1"/>
        <v>0.11717625567902457</v>
      </c>
      <c r="J16" s="169" t="s">
        <v>215</v>
      </c>
      <c r="T16" s="215">
        <v>7326.8999020000001</v>
      </c>
      <c r="U16" s="64">
        <f t="shared" si="2"/>
        <v>0.12561421033899545</v>
      </c>
      <c r="W16" s="169" t="s">
        <v>215</v>
      </c>
      <c r="AE16" s="216">
        <v>474.57952899999998</v>
      </c>
      <c r="AF16" s="64">
        <f t="shared" si="3"/>
        <v>0.15319897940355376</v>
      </c>
      <c r="AH16" s="169" t="s">
        <v>215</v>
      </c>
      <c r="AR16" s="216">
        <v>584.96020499999997</v>
      </c>
      <c r="AS16" s="64">
        <f t="shared" si="4"/>
        <v>0.10837976074103284</v>
      </c>
      <c r="AU16" s="169" t="s">
        <v>215</v>
      </c>
      <c r="BE16" s="216">
        <v>2384.0703130000002</v>
      </c>
      <c r="BF16" s="64">
        <f t="shared" si="5"/>
        <v>-2.0333477911504971E-4</v>
      </c>
      <c r="BH16" s="169" t="s">
        <v>215</v>
      </c>
      <c r="BR16" s="216">
        <v>2183.5219729999999</v>
      </c>
      <c r="BS16" s="64">
        <f t="shared" si="6"/>
        <v>0.26866584599909227</v>
      </c>
      <c r="BU16" s="169" t="s">
        <v>215</v>
      </c>
      <c r="CE16" s="216">
        <v>2722.2905270000001</v>
      </c>
      <c r="CF16" s="64">
        <f t="shared" si="7"/>
        <v>0.10386506635084003</v>
      </c>
      <c r="CH16" s="169" t="s">
        <v>215</v>
      </c>
    </row>
    <row r="17" spans="2:94" ht="15.75" thickBot="1" x14ac:dyDescent="0.3">
      <c r="B17" s="205">
        <v>43770</v>
      </c>
      <c r="C17" s="66"/>
      <c r="D17" s="203">
        <v>12056.049805000001</v>
      </c>
      <c r="E17" s="64">
        <f t="shared" si="0"/>
        <v>1.5036864568389152E-2</v>
      </c>
      <c r="F17" s="64"/>
      <c r="G17" s="203">
        <v>76.006469999999993</v>
      </c>
      <c r="H17" s="64">
        <f t="shared" si="1"/>
        <v>3.1270339567057936E-2</v>
      </c>
      <c r="T17" s="215">
        <v>7022.9936520000001</v>
      </c>
      <c r="U17" s="64">
        <f t="shared" si="2"/>
        <v>-4.1478149567328426E-2</v>
      </c>
      <c r="AE17" s="216">
        <v>465.41265900000002</v>
      </c>
      <c r="AF17" s="64">
        <f t="shared" si="3"/>
        <v>-1.9315772046290647E-2</v>
      </c>
      <c r="AR17" s="216">
        <v>511.74978599999997</v>
      </c>
      <c r="AS17" s="64">
        <f t="shared" si="4"/>
        <v>-0.12515452910168479</v>
      </c>
      <c r="BE17" s="216">
        <v>2145.4604490000002</v>
      </c>
      <c r="BF17" s="64">
        <f t="shared" si="5"/>
        <v>-0.10008507832126179</v>
      </c>
      <c r="BR17" s="216">
        <v>2216.78125</v>
      </c>
      <c r="BS17" s="64">
        <f t="shared" si="6"/>
        <v>1.523194060387878E-2</v>
      </c>
      <c r="CE17" s="216">
        <v>2662.4770509999998</v>
      </c>
      <c r="CF17" s="64">
        <f t="shared" si="7"/>
        <v>-2.1971746000936765E-2</v>
      </c>
    </row>
    <row r="18" spans="2:94" x14ac:dyDescent="0.25">
      <c r="B18" s="205">
        <v>43800</v>
      </c>
      <c r="C18" s="66"/>
      <c r="D18" s="203">
        <v>12168.450194999999</v>
      </c>
      <c r="E18" s="64">
        <f t="shared" si="0"/>
        <v>9.3231524270398491E-3</v>
      </c>
      <c r="F18" s="64"/>
      <c r="G18" s="203">
        <v>78.263144999999994</v>
      </c>
      <c r="H18" s="64">
        <f t="shared" si="1"/>
        <v>2.9690564500627348E-2</v>
      </c>
      <c r="J18" s="208" t="s">
        <v>217</v>
      </c>
      <c r="K18" s="74"/>
      <c r="T18" s="215">
        <v>7141.9677730000003</v>
      </c>
      <c r="U18" s="64">
        <f t="shared" si="2"/>
        <v>1.6940656206647642E-2</v>
      </c>
      <c r="W18" s="209" t="s">
        <v>217</v>
      </c>
      <c r="X18" s="102"/>
      <c r="AE18" s="216">
        <v>456.830963</v>
      </c>
      <c r="AF18" s="64">
        <f t="shared" si="3"/>
        <v>-1.8438896824248263E-2</v>
      </c>
      <c r="AH18" s="209" t="s">
        <v>217</v>
      </c>
      <c r="AI18" s="102"/>
      <c r="AR18" s="216">
        <v>512.714294</v>
      </c>
      <c r="AS18" s="64">
        <f t="shared" si="4"/>
        <v>1.8847257515024474E-3</v>
      </c>
      <c r="AU18" s="209" t="s">
        <v>217</v>
      </c>
      <c r="AV18" s="102"/>
      <c r="BE18" s="216">
        <v>2153.836182</v>
      </c>
      <c r="BF18" s="64">
        <f t="shared" si="5"/>
        <v>3.9039326051915069E-3</v>
      </c>
      <c r="BH18" s="209" t="s">
        <v>217</v>
      </c>
      <c r="BI18" s="102"/>
      <c r="BR18" s="216">
        <v>2181.3081050000001</v>
      </c>
      <c r="BS18" s="64">
        <f t="shared" si="6"/>
        <v>-1.6002095380407977E-2</v>
      </c>
      <c r="BU18" s="209" t="s">
        <v>217</v>
      </c>
      <c r="BV18" s="102"/>
      <c r="CE18" s="216">
        <v>2670.0217290000001</v>
      </c>
      <c r="CF18" s="64">
        <f t="shared" si="7"/>
        <v>2.8337063026202536E-3</v>
      </c>
      <c r="CH18" s="209" t="s">
        <v>217</v>
      </c>
      <c r="CI18" s="102"/>
    </row>
    <row r="19" spans="2:94" x14ac:dyDescent="0.25">
      <c r="B19" s="205">
        <v>43831</v>
      </c>
      <c r="C19" s="66"/>
      <c r="D19" s="203">
        <v>11962.099609000001</v>
      </c>
      <c r="E19" s="64">
        <f t="shared" si="0"/>
        <v>-1.6957836264538284E-2</v>
      </c>
      <c r="F19" s="64"/>
      <c r="G19" s="203">
        <v>78.695273999999998</v>
      </c>
      <c r="H19" s="64">
        <f t="shared" si="1"/>
        <v>5.5214877960756414E-3</v>
      </c>
      <c r="J19" s="169" t="s">
        <v>219</v>
      </c>
      <c r="K19" s="169">
        <v>0.60721868389928368</v>
      </c>
      <c r="T19" s="215">
        <v>6700.8652339999999</v>
      </c>
      <c r="U19" s="64">
        <f t="shared" si="2"/>
        <v>-6.1762045562229417E-2</v>
      </c>
      <c r="W19" s="211" t="s">
        <v>219</v>
      </c>
      <c r="X19" s="211">
        <v>0.62691189806991354</v>
      </c>
      <c r="AE19" s="216">
        <v>455.46563700000002</v>
      </c>
      <c r="AF19" s="64">
        <f t="shared" si="3"/>
        <v>-2.9886897136610635E-3</v>
      </c>
      <c r="AH19" s="211" t="s">
        <v>219</v>
      </c>
      <c r="AI19" s="211">
        <v>0.44373145316057511</v>
      </c>
      <c r="AR19" s="216">
        <v>547.05285600000002</v>
      </c>
      <c r="AS19" s="64">
        <f t="shared" si="4"/>
        <v>6.6974068017694233E-2</v>
      </c>
      <c r="AU19" s="211" t="s">
        <v>219</v>
      </c>
      <c r="AV19" s="211">
        <v>0.6904175086732115</v>
      </c>
      <c r="BE19" s="216">
        <v>2205.6752929999998</v>
      </c>
      <c r="BF19" s="64">
        <f t="shared" si="5"/>
        <v>2.4068270109504519E-2</v>
      </c>
      <c r="BH19" s="211" t="s">
        <v>219</v>
      </c>
      <c r="BI19" s="211">
        <v>0.58798561680636563</v>
      </c>
      <c r="BR19" s="216">
        <v>1965.6551509999999</v>
      </c>
      <c r="BS19" s="64">
        <f t="shared" si="6"/>
        <v>-9.8864050202573384E-2</v>
      </c>
      <c r="BU19" s="211" t="s">
        <v>219</v>
      </c>
      <c r="BV19" s="211">
        <v>0.57168850781925606</v>
      </c>
      <c r="CE19" s="216">
        <v>2665.8720699999999</v>
      </c>
      <c r="CF19" s="64">
        <f t="shared" si="7"/>
        <v>-1.554166752625763E-3</v>
      </c>
      <c r="CH19" s="211" t="s">
        <v>219</v>
      </c>
      <c r="CI19" s="211">
        <v>0.703080254667108</v>
      </c>
    </row>
    <row r="20" spans="2:94" x14ac:dyDescent="0.25">
      <c r="B20" s="205">
        <v>43862</v>
      </c>
      <c r="C20" s="66"/>
      <c r="D20" s="203">
        <v>11201.75</v>
      </c>
      <c r="E20" s="64">
        <f t="shared" si="0"/>
        <v>-6.35632233348008E-2</v>
      </c>
      <c r="F20" s="64"/>
      <c r="G20" s="203">
        <v>67.123847999999995</v>
      </c>
      <c r="H20" s="64">
        <f t="shared" si="1"/>
        <v>-0.14704092649833078</v>
      </c>
      <c r="J20" s="169" t="s">
        <v>221</v>
      </c>
      <c r="K20" s="169">
        <v>0.36871453007637822</v>
      </c>
      <c r="T20" s="215">
        <v>6089.8544920000004</v>
      </c>
      <c r="U20" s="64">
        <f t="shared" si="2"/>
        <v>-9.1183857705382287E-2</v>
      </c>
      <c r="W20" s="211" t="s">
        <v>221</v>
      </c>
      <c r="X20" s="211">
        <v>0.39301852794162173</v>
      </c>
      <c r="AE20" s="216">
        <v>424.89325000000002</v>
      </c>
      <c r="AF20" s="64">
        <f t="shared" si="3"/>
        <v>-6.7123366762353531E-2</v>
      </c>
      <c r="AH20" s="211" t="s">
        <v>221</v>
      </c>
      <c r="AI20" s="211">
        <v>0.19689760252399566</v>
      </c>
      <c r="AR20" s="216">
        <v>440.854218</v>
      </c>
      <c r="AS20" s="64">
        <f t="shared" si="4"/>
        <v>-0.19412866021121733</v>
      </c>
      <c r="AU20" s="211" t="s">
        <v>221</v>
      </c>
      <c r="AV20" s="211">
        <v>0.47667633628252415</v>
      </c>
      <c r="BE20" s="216">
        <v>1808.8588870000001</v>
      </c>
      <c r="BF20" s="64">
        <f t="shared" si="5"/>
        <v>-0.17990699141408018</v>
      </c>
      <c r="BH20" s="211" t="s">
        <v>221</v>
      </c>
      <c r="BI20" s="211">
        <v>0.34572708557116222</v>
      </c>
      <c r="BR20" s="216">
        <v>1608.4582519999999</v>
      </c>
      <c r="BS20" s="64">
        <f t="shared" si="6"/>
        <v>-0.18171900540045438</v>
      </c>
      <c r="BU20" s="211" t="s">
        <v>221</v>
      </c>
      <c r="BV20" s="211">
        <v>0.32682774997260761</v>
      </c>
      <c r="CE20" s="216">
        <v>2422.719971</v>
      </c>
      <c r="CF20" s="64">
        <f t="shared" si="7"/>
        <v>-9.120921507685098E-2</v>
      </c>
      <c r="CH20" s="211" t="s">
        <v>221</v>
      </c>
      <c r="CI20" s="211">
        <v>0.4943218445027654</v>
      </c>
    </row>
    <row r="21" spans="2:94" x14ac:dyDescent="0.25">
      <c r="B21" s="205">
        <v>43891</v>
      </c>
      <c r="C21" s="66"/>
      <c r="D21" s="203">
        <v>8597.75</v>
      </c>
      <c r="E21" s="64">
        <f t="shared" si="0"/>
        <v>-0.23246367755038277</v>
      </c>
      <c r="F21" s="64"/>
      <c r="G21" s="203">
        <v>41.340218</v>
      </c>
      <c r="H21" s="64">
        <f t="shared" si="1"/>
        <v>-0.38412026080507178</v>
      </c>
      <c r="J21" s="169" t="s">
        <v>222</v>
      </c>
      <c r="K21" s="169">
        <v>0.3576393463935077</v>
      </c>
      <c r="T21" s="215">
        <v>4156.4072269999997</v>
      </c>
      <c r="U21" s="64">
        <f t="shared" si="2"/>
        <v>-0.31748661113987098</v>
      </c>
      <c r="W21" s="211" t="s">
        <v>222</v>
      </c>
      <c r="X21" s="211">
        <v>0.38236973018621156</v>
      </c>
      <c r="AE21" s="216">
        <v>291.51171900000003</v>
      </c>
      <c r="AF21" s="64">
        <f t="shared" si="3"/>
        <v>-0.31391774522188809</v>
      </c>
      <c r="AH21" s="211" t="s">
        <v>222</v>
      </c>
      <c r="AI21" s="211">
        <v>0.18280808677880261</v>
      </c>
      <c r="AR21" s="216">
        <v>274.85272200000003</v>
      </c>
      <c r="AS21" s="64">
        <f t="shared" si="4"/>
        <v>-0.37654510090226689</v>
      </c>
      <c r="AU21" s="211" t="s">
        <v>222</v>
      </c>
      <c r="AV21" s="211">
        <v>0.4674952193752</v>
      </c>
      <c r="BE21" s="216">
        <v>1447.3819579999999</v>
      </c>
      <c r="BF21" s="64">
        <f t="shared" si="5"/>
        <v>-0.19983699756674278</v>
      </c>
      <c r="BH21" s="211" t="s">
        <v>222</v>
      </c>
      <c r="BI21" s="211">
        <v>0.33424861338820017</v>
      </c>
      <c r="BR21" s="216">
        <v>1268.7485349999999</v>
      </c>
      <c r="BS21" s="64">
        <f t="shared" si="6"/>
        <v>-0.21120207290279114</v>
      </c>
      <c r="BU21" s="211" t="s">
        <v>222</v>
      </c>
      <c r="BV21" s="211">
        <v>0.31501771049844285</v>
      </c>
      <c r="CE21" s="216">
        <v>1695.359009</v>
      </c>
      <c r="CF21" s="64">
        <f t="shared" si="7"/>
        <v>-0.30022494167981573</v>
      </c>
      <c r="CH21" s="211" t="s">
        <v>222</v>
      </c>
      <c r="CI21" s="211">
        <v>0.48545029791509464</v>
      </c>
    </row>
    <row r="22" spans="2:94" x14ac:dyDescent="0.25">
      <c r="B22" s="205">
        <v>43922</v>
      </c>
      <c r="C22" s="66"/>
      <c r="D22" s="203">
        <v>9859.9003909999992</v>
      </c>
      <c r="E22" s="64">
        <f t="shared" si="0"/>
        <v>0.14680008036986414</v>
      </c>
      <c r="F22" s="64"/>
      <c r="G22" s="203">
        <v>50.665142000000003</v>
      </c>
      <c r="H22" s="64">
        <f t="shared" si="1"/>
        <v>0.22556542880349606</v>
      </c>
      <c r="J22" s="169" t="s">
        <v>224</v>
      </c>
      <c r="K22" s="169">
        <v>8.9766103854956994E-2</v>
      </c>
      <c r="T22" s="215">
        <v>5193.982422</v>
      </c>
      <c r="U22" s="64">
        <f t="shared" si="2"/>
        <v>0.24963270881157107</v>
      </c>
      <c r="W22" s="211" t="s">
        <v>224</v>
      </c>
      <c r="X22" s="211">
        <v>6.454394480535311E-2</v>
      </c>
      <c r="AE22" s="216">
        <v>322.87420700000001</v>
      </c>
      <c r="AF22" s="64">
        <f t="shared" si="3"/>
        <v>0.10758568508870137</v>
      </c>
      <c r="AH22" s="211" t="s">
        <v>224</v>
      </c>
      <c r="AI22" s="211">
        <v>8.0824077411569911E-2</v>
      </c>
      <c r="AR22" s="216">
        <v>353.65759300000002</v>
      </c>
      <c r="AS22" s="64">
        <f t="shared" si="4"/>
        <v>0.28671672023681105</v>
      </c>
      <c r="AU22" s="211" t="s">
        <v>224</v>
      </c>
      <c r="AV22" s="211">
        <v>7.6709675717524725E-2</v>
      </c>
      <c r="BE22" s="216">
        <v>1964.385254</v>
      </c>
      <c r="BF22" s="64">
        <f t="shared" si="5"/>
        <v>0.35719893642615119</v>
      </c>
      <c r="BH22" s="211" t="s">
        <v>224</v>
      </c>
      <c r="BI22" s="211">
        <v>7.6227200387502317E-2</v>
      </c>
      <c r="BR22" s="216">
        <v>1436.178711</v>
      </c>
      <c r="BS22" s="64">
        <f t="shared" si="6"/>
        <v>0.13196482311603219</v>
      </c>
      <c r="BU22" s="211" t="s">
        <v>224</v>
      </c>
      <c r="BV22" s="211">
        <v>7.6495515951646026E-2</v>
      </c>
      <c r="CE22" s="216">
        <v>2297.8989259999998</v>
      </c>
      <c r="CF22" s="64">
        <f t="shared" si="7"/>
        <v>0.35540550042872954</v>
      </c>
      <c r="CH22" s="211" t="s">
        <v>224</v>
      </c>
      <c r="CI22" s="211">
        <v>6.5550852870155885E-2</v>
      </c>
    </row>
    <row r="23" spans="2:94" ht="15.75" thickBot="1" x14ac:dyDescent="0.3">
      <c r="B23" s="205">
        <v>43952</v>
      </c>
      <c r="C23" s="66"/>
      <c r="D23" s="203">
        <v>9580.2998050000006</v>
      </c>
      <c r="E23" s="64">
        <f t="shared" si="0"/>
        <v>-2.8357343878972152E-2</v>
      </c>
      <c r="F23" s="64"/>
      <c r="G23" s="203">
        <v>41.083770999999999</v>
      </c>
      <c r="H23" s="64">
        <f t="shared" si="1"/>
        <v>-0.18911169734805056</v>
      </c>
      <c r="J23" s="210" t="s">
        <v>225</v>
      </c>
      <c r="K23" s="210">
        <v>59</v>
      </c>
      <c r="T23" s="215">
        <v>5438.2319340000004</v>
      </c>
      <c r="U23" s="64">
        <f t="shared" si="2"/>
        <v>4.7025479132436043E-2</v>
      </c>
      <c r="W23" s="212" t="s">
        <v>225</v>
      </c>
      <c r="X23" s="212">
        <v>59</v>
      </c>
      <c r="AE23" s="216">
        <v>330.29827899999998</v>
      </c>
      <c r="AF23" s="64">
        <f t="shared" si="3"/>
        <v>2.299369797600459E-2</v>
      </c>
      <c r="AH23" s="212" t="s">
        <v>225</v>
      </c>
      <c r="AI23" s="212">
        <v>59</v>
      </c>
      <c r="AR23" s="216">
        <v>420.88781699999998</v>
      </c>
      <c r="AS23" s="64">
        <f t="shared" si="4"/>
        <v>0.19009976126823869</v>
      </c>
      <c r="AU23" s="212" t="s">
        <v>225</v>
      </c>
      <c r="AV23" s="212">
        <v>59</v>
      </c>
      <c r="BE23" s="216">
        <v>2140.4067380000001</v>
      </c>
      <c r="BF23" s="64">
        <f t="shared" si="5"/>
        <v>8.9606396526126675E-2</v>
      </c>
      <c r="BH23" s="212" t="s">
        <v>225</v>
      </c>
      <c r="BI23" s="212">
        <v>59</v>
      </c>
      <c r="BR23" s="216">
        <v>1615.896851</v>
      </c>
      <c r="BS23" s="64">
        <f t="shared" si="6"/>
        <v>0.12513633479141584</v>
      </c>
      <c r="BU23" s="212" t="s">
        <v>225</v>
      </c>
      <c r="BV23" s="212">
        <v>59</v>
      </c>
      <c r="CE23" s="216">
        <v>2374.2822270000001</v>
      </c>
      <c r="CF23" s="64">
        <f t="shared" si="7"/>
        <v>3.3240496409893128E-2</v>
      </c>
      <c r="CH23" s="212" t="s">
        <v>225</v>
      </c>
      <c r="CI23" s="212">
        <v>59</v>
      </c>
    </row>
    <row r="24" spans="2:94" x14ac:dyDescent="0.25">
      <c r="B24" s="205">
        <v>43983</v>
      </c>
      <c r="C24" s="66"/>
      <c r="D24" s="203">
        <v>10302.099609000001</v>
      </c>
      <c r="E24" s="64">
        <f t="shared" si="0"/>
        <v>7.5342089359592856E-2</v>
      </c>
      <c r="F24" s="64"/>
      <c r="G24" s="203">
        <v>45.438941999999997</v>
      </c>
      <c r="H24" s="64">
        <f t="shared" si="1"/>
        <v>0.1060070897581431</v>
      </c>
      <c r="T24" s="215">
        <v>5658.734375</v>
      </c>
      <c r="U24" s="64">
        <f t="shared" si="2"/>
        <v>4.0546715122871335E-2</v>
      </c>
      <c r="AE24" s="216">
        <v>372.04037499999998</v>
      </c>
      <c r="AF24" s="64">
        <f t="shared" si="3"/>
        <v>0.12637697091966982</v>
      </c>
      <c r="AR24" s="216">
        <v>492.60320999999999</v>
      </c>
      <c r="AS24" s="64">
        <f t="shared" si="4"/>
        <v>0.1703907552163717</v>
      </c>
      <c r="BE24" s="216">
        <v>2309.1293949999999</v>
      </c>
      <c r="BF24" s="64">
        <f t="shared" si="5"/>
        <v>7.882738079849938E-2</v>
      </c>
      <c r="BR24" s="216">
        <v>1790.2788089999999</v>
      </c>
      <c r="BS24" s="64">
        <f t="shared" si="6"/>
        <v>0.10791651576775063</v>
      </c>
      <c r="CE24" s="216">
        <v>2475.4990229999999</v>
      </c>
      <c r="CF24" s="64">
        <f t="shared" si="7"/>
        <v>4.263048210906728E-2</v>
      </c>
    </row>
    <row r="25" spans="2:94" ht="15.75" thickBot="1" x14ac:dyDescent="0.3">
      <c r="B25" s="205">
        <v>44013</v>
      </c>
      <c r="C25" s="66"/>
      <c r="D25" s="203">
        <v>11073.450194999999</v>
      </c>
      <c r="E25" s="64">
        <f t="shared" si="0"/>
        <v>7.4873143851777568E-2</v>
      </c>
      <c r="F25" s="64"/>
      <c r="G25" s="203">
        <v>47.084232</v>
      </c>
      <c r="H25" s="64">
        <f t="shared" si="1"/>
        <v>3.6208809615329685E-2</v>
      </c>
      <c r="J25" s="169" t="s">
        <v>226</v>
      </c>
      <c r="T25" s="215">
        <v>6070.1303710000002</v>
      </c>
      <c r="U25" s="64">
        <f t="shared" si="2"/>
        <v>7.2701061533746225E-2</v>
      </c>
      <c r="W25" s="169" t="s">
        <v>226</v>
      </c>
      <c r="AE25" s="216">
        <v>381.03775000000002</v>
      </c>
      <c r="AF25" s="64">
        <f t="shared" si="3"/>
        <v>2.4183867140764148E-2</v>
      </c>
      <c r="AH25" s="169" t="s">
        <v>226</v>
      </c>
      <c r="AR25" s="216">
        <v>584.96020499999997</v>
      </c>
      <c r="AS25" s="64">
        <f t="shared" si="4"/>
        <v>0.18748760285179622</v>
      </c>
      <c r="AU25" s="169" t="s">
        <v>226</v>
      </c>
      <c r="BE25" s="216">
        <v>2426.5827640000002</v>
      </c>
      <c r="BF25" s="64">
        <f t="shared" si="5"/>
        <v>5.0864784474323521E-2</v>
      </c>
      <c r="BH25" s="169" t="s">
        <v>226</v>
      </c>
      <c r="BR25" s="216">
        <v>2015.2954099999999</v>
      </c>
      <c r="BS25" s="64">
        <f t="shared" si="6"/>
        <v>0.1256880212561351</v>
      </c>
      <c r="BU25" s="169" t="s">
        <v>226</v>
      </c>
      <c r="CE25" s="216">
        <v>2632.2077640000002</v>
      </c>
      <c r="CF25" s="64">
        <f t="shared" si="7"/>
        <v>6.3303899352821658E-2</v>
      </c>
      <c r="CH25" s="169" t="s">
        <v>226</v>
      </c>
    </row>
    <row r="26" spans="2:94" x14ac:dyDescent="0.25">
      <c r="B26" s="205">
        <v>44044</v>
      </c>
      <c r="C26" s="66"/>
      <c r="D26" s="203">
        <v>11387.5</v>
      </c>
      <c r="E26" s="64">
        <f t="shared" si="0"/>
        <v>2.8360610240682149E-2</v>
      </c>
      <c r="F26" s="64"/>
      <c r="G26" s="203">
        <v>65.472724999999997</v>
      </c>
      <c r="H26" s="64">
        <f t="shared" si="1"/>
        <v>0.39054460949899306</v>
      </c>
      <c r="J26" s="73"/>
      <c r="K26" s="213" t="s">
        <v>227</v>
      </c>
      <c r="L26" s="213" t="s">
        <v>228</v>
      </c>
      <c r="M26" s="213" t="s">
        <v>229</v>
      </c>
      <c r="N26" s="213" t="s">
        <v>230</v>
      </c>
      <c r="O26" s="213" t="s">
        <v>231</v>
      </c>
      <c r="T26" s="215">
        <v>6629.5776370000003</v>
      </c>
      <c r="U26" s="64">
        <f t="shared" si="2"/>
        <v>9.2163962189799831E-2</v>
      </c>
      <c r="W26" s="101"/>
      <c r="X26" s="214" t="s">
        <v>227</v>
      </c>
      <c r="Y26" s="214" t="s">
        <v>228</v>
      </c>
      <c r="Z26" s="214" t="s">
        <v>229</v>
      </c>
      <c r="AA26" s="214" t="s">
        <v>230</v>
      </c>
      <c r="AB26" s="214" t="s">
        <v>231</v>
      </c>
      <c r="AE26" s="216">
        <v>425.63150000000002</v>
      </c>
      <c r="AF26" s="64">
        <f t="shared" si="3"/>
        <v>0.11703236752788926</v>
      </c>
      <c r="AH26" s="101"/>
      <c r="AI26" s="214" t="s">
        <v>227</v>
      </c>
      <c r="AJ26" s="214" t="s">
        <v>228</v>
      </c>
      <c r="AK26" s="214" t="s">
        <v>229</v>
      </c>
      <c r="AL26" s="214" t="s">
        <v>230</v>
      </c>
      <c r="AM26" s="214" t="s">
        <v>231</v>
      </c>
      <c r="AR26" s="216">
        <v>587.90557899999999</v>
      </c>
      <c r="AS26" s="64">
        <f t="shared" si="4"/>
        <v>5.035169871085543E-3</v>
      </c>
      <c r="AU26" s="101"/>
      <c r="AV26" s="214" t="s">
        <v>227</v>
      </c>
      <c r="AW26" s="214" t="s">
        <v>228</v>
      </c>
      <c r="AX26" s="214" t="s">
        <v>229</v>
      </c>
      <c r="AY26" s="214" t="s">
        <v>230</v>
      </c>
      <c r="AZ26" s="214" t="s">
        <v>231</v>
      </c>
      <c r="BE26" s="216">
        <v>2750.0922850000002</v>
      </c>
      <c r="BF26" s="64">
        <f t="shared" si="5"/>
        <v>0.13331897258955383</v>
      </c>
      <c r="BH26" s="101"/>
      <c r="BI26" s="214" t="s">
        <v>227</v>
      </c>
      <c r="BJ26" s="214" t="s">
        <v>228</v>
      </c>
      <c r="BK26" s="214" t="s">
        <v>229</v>
      </c>
      <c r="BL26" s="214" t="s">
        <v>230</v>
      </c>
      <c r="BM26" s="214" t="s">
        <v>231</v>
      </c>
      <c r="BR26" s="216">
        <v>2042.763062</v>
      </c>
      <c r="BS26" s="64">
        <f t="shared" si="6"/>
        <v>1.3629590909453926E-2</v>
      </c>
      <c r="BU26" s="101"/>
      <c r="BV26" s="214" t="s">
        <v>227</v>
      </c>
      <c r="BW26" s="214" t="s">
        <v>228</v>
      </c>
      <c r="BX26" s="214" t="s">
        <v>229</v>
      </c>
      <c r="BY26" s="214" t="s">
        <v>230</v>
      </c>
      <c r="BZ26" s="214" t="s">
        <v>231</v>
      </c>
      <c r="CE26" s="216">
        <v>2598.9650879999999</v>
      </c>
      <c r="CF26" s="64">
        <f t="shared" si="7"/>
        <v>-1.2629199128826984E-2</v>
      </c>
      <c r="CH26" s="101"/>
      <c r="CI26" s="214" t="s">
        <v>227</v>
      </c>
      <c r="CJ26" s="214" t="s">
        <v>228</v>
      </c>
      <c r="CK26" s="214" t="s">
        <v>229</v>
      </c>
      <c r="CL26" s="214" t="s">
        <v>230</v>
      </c>
      <c r="CM26" s="214" t="s">
        <v>231</v>
      </c>
    </row>
    <row r="27" spans="2:94" x14ac:dyDescent="0.25">
      <c r="B27" s="205">
        <v>44075</v>
      </c>
      <c r="C27" s="66"/>
      <c r="D27" s="203">
        <v>11247.549805000001</v>
      </c>
      <c r="E27" s="64">
        <f t="shared" si="0"/>
        <v>-1.2289808562019666E-2</v>
      </c>
      <c r="F27" s="64"/>
      <c r="G27" s="203">
        <v>72.005477999999997</v>
      </c>
      <c r="H27" s="64">
        <f t="shared" si="1"/>
        <v>9.9778235898994483E-2</v>
      </c>
      <c r="J27" s="169" t="s">
        <v>232</v>
      </c>
      <c r="K27" s="169">
        <v>1</v>
      </c>
      <c r="L27" s="169">
        <v>0.26826503169717331</v>
      </c>
      <c r="M27" s="169">
        <v>0.26826503169717331</v>
      </c>
      <c r="N27" s="169">
        <v>33.291956199936521</v>
      </c>
      <c r="O27" s="169">
        <v>3.4147927156019304E-7</v>
      </c>
      <c r="T27" s="215">
        <v>6594.8383789999998</v>
      </c>
      <c r="U27" s="64">
        <f t="shared" si="2"/>
        <v>-5.2400409048865004E-3</v>
      </c>
      <c r="W27" s="211" t="s">
        <v>232</v>
      </c>
      <c r="X27" s="211">
        <v>1</v>
      </c>
      <c r="Y27" s="211">
        <v>0.15375294960814656</v>
      </c>
      <c r="Z27" s="211">
        <v>0.15375294960814656</v>
      </c>
      <c r="AA27" s="211">
        <v>36.907314512753132</v>
      </c>
      <c r="AB27" s="211">
        <v>1.0830884208128359E-7</v>
      </c>
      <c r="AE27" s="216">
        <v>460.49026500000002</v>
      </c>
      <c r="AF27" s="64">
        <f t="shared" si="3"/>
        <v>8.1898931352590187E-2</v>
      </c>
      <c r="AH27" s="211" t="s">
        <v>232</v>
      </c>
      <c r="AI27" s="211">
        <v>1</v>
      </c>
      <c r="AJ27" s="211">
        <v>9.1290560438202883E-2</v>
      </c>
      <c r="AK27" s="211">
        <v>9.1290560438202883E-2</v>
      </c>
      <c r="AL27" s="211">
        <v>13.974760104240737</v>
      </c>
      <c r="AM27" s="211">
        <v>4.3131241042132707E-4</v>
      </c>
      <c r="AR27" s="216">
        <v>588.87426800000003</v>
      </c>
      <c r="AS27" s="64">
        <f t="shared" si="4"/>
        <v>1.6476948588373119E-3</v>
      </c>
      <c r="AU27" s="211" t="s">
        <v>232</v>
      </c>
      <c r="AV27" s="211">
        <v>1</v>
      </c>
      <c r="AW27" s="211">
        <v>0.30551206723113972</v>
      </c>
      <c r="AX27" s="211">
        <v>0.30551206723113972</v>
      </c>
      <c r="AY27" s="211">
        <v>51.91920994952811</v>
      </c>
      <c r="AZ27" s="211">
        <v>1.4460857718703725E-9</v>
      </c>
      <c r="BE27" s="216">
        <v>2879.3151859999998</v>
      </c>
      <c r="BF27" s="64">
        <f t="shared" si="5"/>
        <v>4.6988568967240907E-2</v>
      </c>
      <c r="BH27" s="211" t="s">
        <v>232</v>
      </c>
      <c r="BI27" s="211">
        <v>1</v>
      </c>
      <c r="BJ27" s="211">
        <v>0.17501257645647289</v>
      </c>
      <c r="BK27" s="211">
        <v>0.17501257645647289</v>
      </c>
      <c r="BL27" s="211">
        <v>30.119608259741931</v>
      </c>
      <c r="BM27" s="211">
        <v>9.7470275478327106E-7</v>
      </c>
      <c r="BR27" s="216">
        <v>2150.9555660000001</v>
      </c>
      <c r="BS27" s="64">
        <f t="shared" si="6"/>
        <v>5.2963804766507083E-2</v>
      </c>
      <c r="BU27" s="211" t="s">
        <v>232</v>
      </c>
      <c r="BV27" s="211">
        <v>1</v>
      </c>
      <c r="BW27" s="211">
        <v>0.16193455468821966</v>
      </c>
      <c r="BX27" s="211">
        <v>0.16193455468821966</v>
      </c>
      <c r="BY27" s="211">
        <v>27.673722063974839</v>
      </c>
      <c r="BZ27" s="211">
        <v>2.2515290595321146E-6</v>
      </c>
      <c r="CE27" s="216">
        <v>2523.720703</v>
      </c>
      <c r="CF27" s="64">
        <f t="shared" si="7"/>
        <v>-2.8951672089563618E-2</v>
      </c>
      <c r="CH27" s="211" t="s">
        <v>232</v>
      </c>
      <c r="CI27" s="211">
        <v>1</v>
      </c>
      <c r="CJ27" s="211">
        <v>0.23942371123119194</v>
      </c>
      <c r="CK27" s="211">
        <v>0.23942371123119194</v>
      </c>
      <c r="CL27" s="211">
        <v>55.719917560907398</v>
      </c>
      <c r="CM27" s="211">
        <v>5.348950464988906E-10</v>
      </c>
    </row>
    <row r="28" spans="2:94" x14ac:dyDescent="0.25">
      <c r="B28" s="205">
        <v>44105</v>
      </c>
      <c r="C28" s="66"/>
      <c r="D28" s="203">
        <v>11642.400390999999</v>
      </c>
      <c r="E28" s="64">
        <f t="shared" si="0"/>
        <v>3.5105475667640107E-2</v>
      </c>
      <c r="F28" s="64"/>
      <c r="G28" s="203">
        <v>76.409035000000003</v>
      </c>
      <c r="H28" s="64">
        <f t="shared" si="1"/>
        <v>6.115586094713521E-2</v>
      </c>
      <c r="J28" s="169" t="s">
        <v>233</v>
      </c>
      <c r="K28" s="169">
        <v>57</v>
      </c>
      <c r="L28" s="169">
        <v>0.45930334387403871</v>
      </c>
      <c r="M28" s="169">
        <v>8.0579534012989243E-3</v>
      </c>
      <c r="T28" s="215">
        <v>6811.6518550000001</v>
      </c>
      <c r="U28" s="64">
        <f t="shared" si="2"/>
        <v>3.2876237981874112E-2</v>
      </c>
      <c r="W28" s="211" t="s">
        <v>233</v>
      </c>
      <c r="X28" s="211">
        <v>57</v>
      </c>
      <c r="Y28" s="211">
        <v>0.23745748622907875</v>
      </c>
      <c r="Z28" s="211">
        <v>4.1659208110364689E-3</v>
      </c>
      <c r="AA28" s="99"/>
      <c r="AB28" s="99"/>
      <c r="AE28" s="216">
        <v>447.90371699999997</v>
      </c>
      <c r="AF28" s="64">
        <f t="shared" si="3"/>
        <v>-2.7332929611443735E-2</v>
      </c>
      <c r="AH28" s="211" t="s">
        <v>233</v>
      </c>
      <c r="AI28" s="211">
        <v>57</v>
      </c>
      <c r="AJ28" s="211">
        <v>0.37235429489759236</v>
      </c>
      <c r="AK28" s="211">
        <v>6.5325314894314453E-3</v>
      </c>
      <c r="AL28" s="99"/>
      <c r="AM28" s="99"/>
      <c r="AR28" s="216">
        <v>575.40930200000003</v>
      </c>
      <c r="AS28" s="64">
        <f t="shared" si="4"/>
        <v>-2.2865604309271648E-2</v>
      </c>
      <c r="AU28" s="211" t="s">
        <v>233</v>
      </c>
      <c r="AV28" s="211">
        <v>57</v>
      </c>
      <c r="AW28" s="211">
        <v>0.33540933787520472</v>
      </c>
      <c r="AX28" s="211">
        <v>5.8843743486878021E-3</v>
      </c>
      <c r="AY28" s="99"/>
      <c r="AZ28" s="99"/>
      <c r="BE28" s="216">
        <v>2561.4040530000002</v>
      </c>
      <c r="BF28" s="64">
        <f t="shared" si="5"/>
        <v>-0.11041206414142102</v>
      </c>
      <c r="BH28" s="211" t="s">
        <v>233</v>
      </c>
      <c r="BI28" s="211">
        <v>57</v>
      </c>
      <c r="BJ28" s="211">
        <v>0.33120340649823671</v>
      </c>
      <c r="BK28" s="211">
        <v>5.8105860789164337E-3</v>
      </c>
      <c r="BL28" s="99"/>
      <c r="BM28" s="99"/>
      <c r="BR28" s="216">
        <v>2036.513794</v>
      </c>
      <c r="BS28" s="64">
        <f t="shared" si="6"/>
        <v>-5.320508420023784E-2</v>
      </c>
      <c r="BU28" s="211" t="s">
        <v>233</v>
      </c>
      <c r="BV28" s="211">
        <v>57</v>
      </c>
      <c r="BW28" s="211">
        <v>0.33353914576038624</v>
      </c>
      <c r="BX28" s="211">
        <v>5.8515639607085307E-3</v>
      </c>
      <c r="BY28" s="99"/>
      <c r="BZ28" s="99"/>
      <c r="CE28" s="216">
        <v>2528.8010250000002</v>
      </c>
      <c r="CF28" s="64">
        <f t="shared" si="7"/>
        <v>2.0130286184050217E-3</v>
      </c>
      <c r="CH28" s="211" t="s">
        <v>233</v>
      </c>
      <c r="CI28" s="211">
        <v>57</v>
      </c>
      <c r="CJ28" s="211">
        <v>0.24492411578427498</v>
      </c>
      <c r="CK28" s="211">
        <v>4.2969143120048245E-3</v>
      </c>
      <c r="CL28" s="99"/>
      <c r="CM28" s="99"/>
    </row>
    <row r="29" spans="2:94" ht="15.75" thickBot="1" x14ac:dyDescent="0.3">
      <c r="B29" s="205">
        <v>44136</v>
      </c>
      <c r="C29" s="66"/>
      <c r="D29" s="203">
        <v>12968.950194999999</v>
      </c>
      <c r="E29" s="64">
        <f t="shared" si="0"/>
        <v>0.1139412629225045</v>
      </c>
      <c r="F29" s="64"/>
      <c r="G29" s="203">
        <v>89.184203999999994</v>
      </c>
      <c r="H29" s="64">
        <f t="shared" si="1"/>
        <v>0.16719448164736006</v>
      </c>
      <c r="J29" s="210" t="s">
        <v>189</v>
      </c>
      <c r="K29" s="210">
        <v>58</v>
      </c>
      <c r="L29" s="210">
        <v>0.72756837557121201</v>
      </c>
      <c r="M29" s="72"/>
      <c r="N29" s="72"/>
      <c r="O29" s="72"/>
      <c r="T29" s="215">
        <v>6880.7446289999998</v>
      </c>
      <c r="U29" s="64">
        <f t="shared" si="2"/>
        <v>1.0143321395570615E-2</v>
      </c>
      <c r="W29" s="212" t="s">
        <v>189</v>
      </c>
      <c r="X29" s="212">
        <v>58</v>
      </c>
      <c r="Y29" s="212">
        <v>0.39121043583722531</v>
      </c>
      <c r="Z29" s="100"/>
      <c r="AA29" s="100"/>
      <c r="AB29" s="100"/>
      <c r="AE29" s="216">
        <v>491.31744400000002</v>
      </c>
      <c r="AF29" s="64">
        <f t="shared" si="3"/>
        <v>9.6926471811351389E-2</v>
      </c>
      <c r="AH29" s="212" t="s">
        <v>189</v>
      </c>
      <c r="AI29" s="212">
        <v>58</v>
      </c>
      <c r="AJ29" s="212">
        <v>0.46364485533579525</v>
      </c>
      <c r="AK29" s="100"/>
      <c r="AL29" s="100"/>
      <c r="AM29" s="100"/>
      <c r="AR29" s="216">
        <v>699.40325900000005</v>
      </c>
      <c r="AS29" s="64">
        <f t="shared" si="4"/>
        <v>0.21548827342384547</v>
      </c>
      <c r="AU29" s="212" t="s">
        <v>189</v>
      </c>
      <c r="AV29" s="212">
        <v>58</v>
      </c>
      <c r="AW29" s="212">
        <v>0.64092140510634443</v>
      </c>
      <c r="AX29" s="100"/>
      <c r="AY29" s="100"/>
      <c r="AZ29" s="100"/>
      <c r="BE29" s="216">
        <v>2844.1391600000002</v>
      </c>
      <c r="BF29" s="64">
        <f t="shared" si="5"/>
        <v>0.11038286078639237</v>
      </c>
      <c r="BH29" s="212" t="s">
        <v>189</v>
      </c>
      <c r="BI29" s="212">
        <v>58</v>
      </c>
      <c r="BJ29" s="212">
        <v>0.5062159829547096</v>
      </c>
      <c r="BK29" s="100"/>
      <c r="BL29" s="100"/>
      <c r="BM29" s="100"/>
      <c r="BR29" s="216">
        <v>2474.9948730000001</v>
      </c>
      <c r="BS29" s="64">
        <f t="shared" si="6"/>
        <v>0.21530965333594021</v>
      </c>
      <c r="BU29" s="212" t="s">
        <v>189</v>
      </c>
      <c r="BV29" s="212">
        <v>58</v>
      </c>
      <c r="BW29" s="212">
        <v>0.49547370044860589</v>
      </c>
      <c r="BX29" s="100"/>
      <c r="BY29" s="100"/>
      <c r="BZ29" s="100"/>
      <c r="CE29" s="216">
        <v>2779.8942870000001</v>
      </c>
      <c r="CF29" s="64">
        <f t="shared" si="7"/>
        <v>9.9293404074763059E-2</v>
      </c>
      <c r="CH29" s="212" t="s">
        <v>189</v>
      </c>
      <c r="CI29" s="212">
        <v>58</v>
      </c>
      <c r="CJ29" s="212">
        <v>0.48434782701546691</v>
      </c>
      <c r="CK29" s="100"/>
      <c r="CL29" s="100"/>
      <c r="CM29" s="100"/>
    </row>
    <row r="30" spans="2:94" ht="15.75" thickBot="1" x14ac:dyDescent="0.3">
      <c r="B30" s="205">
        <v>44166</v>
      </c>
      <c r="C30" s="66"/>
      <c r="D30" s="203">
        <v>13981.75</v>
      </c>
      <c r="E30" s="64">
        <f t="shared" si="0"/>
        <v>7.8094201132060226E-2</v>
      </c>
      <c r="F30" s="64"/>
      <c r="G30" s="203">
        <v>92.377983</v>
      </c>
      <c r="H30" s="64">
        <f t="shared" si="1"/>
        <v>3.5811038914469684E-2</v>
      </c>
      <c r="T30" s="215">
        <v>7481.0180659999996</v>
      </c>
      <c r="U30" s="64">
        <f t="shared" si="2"/>
        <v>8.7239604049546005E-2</v>
      </c>
      <c r="AE30" s="216">
        <v>476.91177399999998</v>
      </c>
      <c r="AF30" s="64">
        <f t="shared" si="3"/>
        <v>-2.9320493656235902E-2</v>
      </c>
      <c r="AR30" s="216">
        <v>698.04699700000003</v>
      </c>
      <c r="AS30" s="64">
        <f t="shared" si="4"/>
        <v>-1.9391702605721095E-3</v>
      </c>
      <c r="BE30" s="216">
        <v>2845.1909179999998</v>
      </c>
      <c r="BF30" s="64">
        <f t="shared" si="5"/>
        <v>3.6979836106176833E-4</v>
      </c>
      <c r="BR30" s="216">
        <v>2471.3332519999999</v>
      </c>
      <c r="BS30" s="64">
        <f t="shared" si="6"/>
        <v>-1.4794458929774379E-3</v>
      </c>
      <c r="CE30" s="216">
        <v>3016.8405760000001</v>
      </c>
      <c r="CF30" s="64">
        <f t="shared" si="7"/>
        <v>8.5235719253089703E-2</v>
      </c>
    </row>
    <row r="31" spans="2:94" x14ac:dyDescent="0.25">
      <c r="B31" s="205">
        <v>44197</v>
      </c>
      <c r="C31" s="66"/>
      <c r="D31" s="203">
        <v>13634.599609000001</v>
      </c>
      <c r="E31" s="64">
        <f t="shared" si="0"/>
        <v>-2.4828822643803483E-2</v>
      </c>
      <c r="F31" s="64"/>
      <c r="G31" s="203">
        <v>107.233971</v>
      </c>
      <c r="H31" s="64">
        <f t="shared" si="1"/>
        <v>0.16081741035631825</v>
      </c>
      <c r="J31" s="73"/>
      <c r="K31" s="213" t="s">
        <v>234</v>
      </c>
      <c r="L31" s="213" t="s">
        <v>224</v>
      </c>
      <c r="M31" s="213" t="s">
        <v>235</v>
      </c>
      <c r="N31" s="213" t="s">
        <v>236</v>
      </c>
      <c r="O31" s="213" t="s">
        <v>237</v>
      </c>
      <c r="P31" s="213" t="s">
        <v>238</v>
      </c>
      <c r="Q31" s="213" t="s">
        <v>239</v>
      </c>
      <c r="R31" s="213" t="s">
        <v>240</v>
      </c>
      <c r="T31" s="215">
        <v>7047.8295900000003</v>
      </c>
      <c r="U31" s="64">
        <f t="shared" si="2"/>
        <v>-5.7905016694020595E-2</v>
      </c>
      <c r="W31" s="101"/>
      <c r="X31" s="214" t="s">
        <v>234</v>
      </c>
      <c r="Y31" s="214" t="s">
        <v>224</v>
      </c>
      <c r="Z31" s="214" t="s">
        <v>235</v>
      </c>
      <c r="AA31" s="214" t="s">
        <v>236</v>
      </c>
      <c r="AB31" s="214" t="s">
        <v>237</v>
      </c>
      <c r="AC31" s="214" t="s">
        <v>238</v>
      </c>
      <c r="AD31" s="214" t="s">
        <v>240</v>
      </c>
      <c r="AE31" s="216">
        <v>551.34930399999996</v>
      </c>
      <c r="AF31" s="64">
        <f t="shared" si="3"/>
        <v>0.15608239103780219</v>
      </c>
      <c r="AH31" s="101"/>
      <c r="AI31" s="214" t="s">
        <v>234</v>
      </c>
      <c r="AJ31" s="214" t="s">
        <v>224</v>
      </c>
      <c r="AK31" s="214" t="s">
        <v>235</v>
      </c>
      <c r="AL31" s="214" t="s">
        <v>236</v>
      </c>
      <c r="AM31" s="214" t="s">
        <v>237</v>
      </c>
      <c r="AN31" s="214" t="s">
        <v>238</v>
      </c>
      <c r="AO31" s="214" t="s">
        <v>239</v>
      </c>
      <c r="AP31" s="214" t="s">
        <v>240</v>
      </c>
      <c r="AR31" s="216">
        <v>726.13940400000001</v>
      </c>
      <c r="AS31" s="64">
        <f t="shared" si="4"/>
        <v>4.0244291746448058E-2</v>
      </c>
      <c r="AU31" s="101"/>
      <c r="AV31" s="214" t="s">
        <v>234</v>
      </c>
      <c r="AW31" s="214" t="s">
        <v>224</v>
      </c>
      <c r="AX31" s="214" t="s">
        <v>235</v>
      </c>
      <c r="AY31" s="214" t="s">
        <v>236</v>
      </c>
      <c r="AZ31" s="214" t="s">
        <v>237</v>
      </c>
      <c r="BA31" s="214" t="s">
        <v>238</v>
      </c>
      <c r="BB31" s="214" t="s">
        <v>239</v>
      </c>
      <c r="BC31" s="214" t="s">
        <v>240</v>
      </c>
      <c r="BE31" s="216">
        <v>2978.8051759999998</v>
      </c>
      <c r="BF31" s="64">
        <f t="shared" si="5"/>
        <v>4.6961438388789301E-2</v>
      </c>
      <c r="BH31" s="101"/>
      <c r="BI31" s="214" t="s">
        <v>234</v>
      </c>
      <c r="BJ31" s="214" t="s">
        <v>224</v>
      </c>
      <c r="BK31" s="214" t="s">
        <v>235</v>
      </c>
      <c r="BL31" s="214" t="s">
        <v>236</v>
      </c>
      <c r="BM31" s="214" t="s">
        <v>237</v>
      </c>
      <c r="BN31" s="214" t="s">
        <v>238</v>
      </c>
      <c r="BO31" s="214" t="s">
        <v>239</v>
      </c>
      <c r="BP31" s="214" t="s">
        <v>240</v>
      </c>
      <c r="BR31" s="216">
        <v>2679.710693</v>
      </c>
      <c r="BS31" s="64">
        <f t="shared" si="6"/>
        <v>8.4317823519496793E-2</v>
      </c>
      <c r="BU31" s="101"/>
      <c r="BV31" s="214" t="s">
        <v>234</v>
      </c>
      <c r="BW31" s="214" t="s">
        <v>224</v>
      </c>
      <c r="BX31" s="214" t="s">
        <v>235</v>
      </c>
      <c r="BY31" s="214" t="s">
        <v>236</v>
      </c>
      <c r="BZ31" s="214" t="s">
        <v>237</v>
      </c>
      <c r="CA31" s="214" t="s">
        <v>238</v>
      </c>
      <c r="CB31" s="214" t="s">
        <v>239</v>
      </c>
      <c r="CC31" s="214" t="s">
        <v>240</v>
      </c>
      <c r="CE31" s="216">
        <v>3508.9094239999999</v>
      </c>
      <c r="CF31" s="64">
        <f t="shared" si="7"/>
        <v>0.16310734213619904</v>
      </c>
      <c r="CH31" s="101"/>
      <c r="CI31" s="214" t="s">
        <v>234</v>
      </c>
      <c r="CJ31" s="214" t="s">
        <v>224</v>
      </c>
      <c r="CK31" s="214" t="s">
        <v>235</v>
      </c>
      <c r="CL31" s="214" t="s">
        <v>236</v>
      </c>
      <c r="CM31" s="214" t="s">
        <v>237</v>
      </c>
      <c r="CN31" s="214" t="s">
        <v>238</v>
      </c>
      <c r="CO31" s="214" t="s">
        <v>239</v>
      </c>
      <c r="CP31" s="214" t="s">
        <v>240</v>
      </c>
    </row>
    <row r="32" spans="2:94" x14ac:dyDescent="0.25">
      <c r="B32" s="205">
        <v>44228</v>
      </c>
      <c r="C32" s="66"/>
      <c r="D32" s="203">
        <v>14529.150390999999</v>
      </c>
      <c r="E32" s="64">
        <f t="shared" si="0"/>
        <v>6.5608877976109925E-2</v>
      </c>
      <c r="F32" s="64"/>
      <c r="G32" s="203">
        <v>124.703033</v>
      </c>
      <c r="H32" s="64">
        <f t="shared" si="1"/>
        <v>0.16290604401845754</v>
      </c>
      <c r="J32" s="169" t="s">
        <v>241</v>
      </c>
      <c r="K32" s="169">
        <v>3.7021373361330705E-3</v>
      </c>
      <c r="L32" s="169">
        <v>1.199017259015602E-2</v>
      </c>
      <c r="M32" s="169">
        <v>0.30876430746063993</v>
      </c>
      <c r="N32" s="169">
        <v>0.75862654542319452</v>
      </c>
      <c r="O32" s="169">
        <v>-2.0307769126592139E-2</v>
      </c>
      <c r="P32" s="169">
        <v>2.771204379885828E-2</v>
      </c>
      <c r="Q32" s="169">
        <v>-2.0307769126592139E-2</v>
      </c>
      <c r="R32" s="169">
        <v>2.771204379885828E-2</v>
      </c>
      <c r="T32" s="215">
        <v>6714.8334960000002</v>
      </c>
      <c r="U32" s="64">
        <f t="shared" si="2"/>
        <v>-4.7248034270363282E-2</v>
      </c>
      <c r="W32" s="211" t="s">
        <v>241</v>
      </c>
      <c r="X32" s="211">
        <v>6.5147959061879167E-4</v>
      </c>
      <c r="Y32" s="211">
        <v>8.6212167469820813E-3</v>
      </c>
      <c r="Z32" s="211">
        <v>7.5567012144410681E-2</v>
      </c>
      <c r="AA32" s="211">
        <v>0.94002818353581741</v>
      </c>
      <c r="AB32" s="211">
        <v>-1.6612209162273996E-2</v>
      </c>
      <c r="AC32" s="211">
        <v>1.7915168343511582E-2</v>
      </c>
      <c r="AD32" s="211">
        <v>1.7915168343511582E-2</v>
      </c>
      <c r="AE32" s="216">
        <v>584.83142099999998</v>
      </c>
      <c r="AF32" s="64">
        <f t="shared" si="3"/>
        <v>6.0727594570428645E-2</v>
      </c>
      <c r="AH32" s="211" t="s">
        <v>241</v>
      </c>
      <c r="AI32" s="211">
        <v>2.0643795608448416E-2</v>
      </c>
      <c r="AJ32" s="211">
        <v>1.0795774752246188E-2</v>
      </c>
      <c r="AK32" s="211">
        <v>1.9122106640983068</v>
      </c>
      <c r="AL32" s="211">
        <v>6.0879460892583316E-2</v>
      </c>
      <c r="AM32" s="211">
        <v>-9.7437043921050001E-4</v>
      </c>
      <c r="AN32" s="211">
        <v>4.2261961656107336E-2</v>
      </c>
      <c r="AO32" s="211">
        <v>-9.7437043921050001E-4</v>
      </c>
      <c r="AP32" s="211">
        <v>4.2261961656107336E-2</v>
      </c>
      <c r="AR32" s="216">
        <v>781.161743</v>
      </c>
      <c r="AS32" s="64">
        <f t="shared" si="4"/>
        <v>7.5773795908753661E-2</v>
      </c>
      <c r="AU32" s="211" t="s">
        <v>241</v>
      </c>
      <c r="AV32" s="211">
        <v>5.747632688529996E-3</v>
      </c>
      <c r="AW32" s="211">
        <v>1.0246208888314489E-2</v>
      </c>
      <c r="AX32" s="211">
        <v>0.56095212884884749</v>
      </c>
      <c r="AY32" s="211">
        <v>0.57702879556122832</v>
      </c>
      <c r="AZ32" s="211">
        <v>-1.4770046699000273E-2</v>
      </c>
      <c r="BA32" s="211">
        <v>2.6265312076060265E-2</v>
      </c>
      <c r="BB32" s="211">
        <v>-1.4770046699000273E-2</v>
      </c>
      <c r="BC32" s="211">
        <v>2.6265312076060265E-2</v>
      </c>
      <c r="BE32" s="216">
        <v>2949.484375</v>
      </c>
      <c r="BF32" s="64">
        <f t="shared" si="5"/>
        <v>-9.8431415509262488E-3</v>
      </c>
      <c r="BH32" s="211" t="s">
        <v>241</v>
      </c>
      <c r="BI32" s="211">
        <v>4.8193249518131281E-3</v>
      </c>
      <c r="BJ32" s="211">
        <v>1.0181764045227523E-2</v>
      </c>
      <c r="BK32" s="211">
        <v>0.47332907445169881</v>
      </c>
      <c r="BL32" s="211">
        <v>0.63778619822223881</v>
      </c>
      <c r="BM32" s="211">
        <v>-1.556930586340606E-2</v>
      </c>
      <c r="BN32" s="211">
        <v>2.5207955767032317E-2</v>
      </c>
      <c r="BO32" s="211">
        <v>-1.556930586340606E-2</v>
      </c>
      <c r="BP32" s="211">
        <v>2.5207955767032317E-2</v>
      </c>
      <c r="BR32" s="216">
        <v>2439.7937010000001</v>
      </c>
      <c r="BS32" s="64">
        <f t="shared" si="6"/>
        <v>-8.9530930569003742E-2</v>
      </c>
      <c r="BU32" s="211" t="s">
        <v>241</v>
      </c>
      <c r="BV32" s="211">
        <v>3.3049514078322111E-3</v>
      </c>
      <c r="BW32" s="211">
        <v>1.0217603296175812E-2</v>
      </c>
      <c r="BX32" s="211">
        <v>0.3234566181551764</v>
      </c>
      <c r="BY32" s="211">
        <v>0.74753321503561176</v>
      </c>
      <c r="BZ32" s="211">
        <v>-1.715544626949779E-2</v>
      </c>
      <c r="CA32" s="211">
        <v>2.3765349085162209E-2</v>
      </c>
      <c r="CB32" s="211">
        <v>-1.715544626949779E-2</v>
      </c>
      <c r="CC32" s="211">
        <v>2.3765349085162209E-2</v>
      </c>
      <c r="CE32" s="216">
        <v>3327.4990229999999</v>
      </c>
      <c r="CF32" s="64">
        <f t="shared" si="7"/>
        <v>-5.1699938379486721E-2</v>
      </c>
      <c r="CH32" s="211" t="s">
        <v>241</v>
      </c>
      <c r="CI32" s="211">
        <v>9.6737584302753043E-3</v>
      </c>
      <c r="CJ32" s="211">
        <v>8.7557107370399845E-3</v>
      </c>
      <c r="CK32" s="211">
        <v>1.1048513045721839</v>
      </c>
      <c r="CL32" s="211">
        <v>0.27386603997270026</v>
      </c>
      <c r="CM32" s="211">
        <v>-7.8592498921906655E-3</v>
      </c>
      <c r="CN32" s="211">
        <v>2.7206766752741272E-2</v>
      </c>
      <c r="CO32" s="211">
        <v>-7.8592498921906655E-3</v>
      </c>
      <c r="CP32" s="211">
        <v>2.7206766752741272E-2</v>
      </c>
    </row>
    <row r="33" spans="2:94" ht="15.75" thickBot="1" x14ac:dyDescent="0.3">
      <c r="B33" s="205">
        <v>44256</v>
      </c>
      <c r="C33" s="66"/>
      <c r="D33" s="203">
        <v>14690.700194999999</v>
      </c>
      <c r="E33" s="64">
        <f t="shared" si="0"/>
        <v>1.1119012444118725E-2</v>
      </c>
      <c r="F33" s="64"/>
      <c r="G33" s="203">
        <v>109.847069</v>
      </c>
      <c r="H33" s="64">
        <f t="shared" si="1"/>
        <v>-0.11913073517626471</v>
      </c>
      <c r="J33" s="210" t="s">
        <v>242</v>
      </c>
      <c r="K33" s="210">
        <v>1.2556640835825192</v>
      </c>
      <c r="L33" s="210">
        <v>0.21762250987652865</v>
      </c>
      <c r="M33" s="210">
        <v>5.769918214319552</v>
      </c>
      <c r="N33" s="210">
        <v>3.4147927156019304E-7</v>
      </c>
      <c r="O33" s="210">
        <v>0.81988252439055476</v>
      </c>
      <c r="P33" s="210">
        <v>1.6914456427744837</v>
      </c>
      <c r="Q33" s="210">
        <v>0.81988252439055476</v>
      </c>
      <c r="R33" s="210">
        <v>1.6914456427744837</v>
      </c>
      <c r="T33" s="215">
        <v>6708.0371089999999</v>
      </c>
      <c r="U33" s="64">
        <f t="shared" si="2"/>
        <v>-1.0121452756868266E-3</v>
      </c>
      <c r="W33" s="212" t="s">
        <v>242</v>
      </c>
      <c r="X33" s="212">
        <v>0.95061172584491549</v>
      </c>
      <c r="Y33" s="212">
        <v>0.1564757148039842</v>
      </c>
      <c r="Z33" s="212">
        <v>6.0751390529561649</v>
      </c>
      <c r="AA33" s="212">
        <v>1.0830884208128416E-7</v>
      </c>
      <c r="AB33" s="212">
        <v>0.63727451173206673</v>
      </c>
      <c r="AC33" s="212">
        <v>1.2639489399577641</v>
      </c>
      <c r="AD33" s="212">
        <v>1.2639489399577641</v>
      </c>
      <c r="AE33" s="216">
        <v>577.17291299999999</v>
      </c>
      <c r="AF33" s="64">
        <f t="shared" si="3"/>
        <v>-1.309524031199405E-2</v>
      </c>
      <c r="AH33" s="212" t="s">
        <v>242</v>
      </c>
      <c r="AI33" s="212">
        <v>0.73249451269564902</v>
      </c>
      <c r="AJ33" s="212">
        <v>0.19594410171996557</v>
      </c>
      <c r="AK33" s="212">
        <v>3.738283042285687</v>
      </c>
      <c r="AL33" s="212">
        <v>4.3131241042132902E-4</v>
      </c>
      <c r="AM33" s="212">
        <v>0.34012321704961446</v>
      </c>
      <c r="AN33" s="212">
        <v>1.1248658083416836</v>
      </c>
      <c r="AO33" s="212">
        <v>0.34012321704961446</v>
      </c>
      <c r="AP33" s="212">
        <v>1.1248658083416836</v>
      </c>
      <c r="AR33" s="216">
        <v>770.36065699999995</v>
      </c>
      <c r="AS33" s="64">
        <f t="shared" si="4"/>
        <v>-1.3826952096398393E-2</v>
      </c>
      <c r="AU33" s="212" t="s">
        <v>242</v>
      </c>
      <c r="AV33" s="212">
        <v>1.3400025457007225</v>
      </c>
      <c r="AW33" s="212">
        <v>0.18596944107584193</v>
      </c>
      <c r="AX33" s="212">
        <v>7.2054985913209455</v>
      </c>
      <c r="AY33" s="212">
        <v>1.4460857718703725E-9</v>
      </c>
      <c r="AZ33" s="212">
        <v>0.96760516346269498</v>
      </c>
      <c r="BA33" s="212">
        <v>1.7123999279387501</v>
      </c>
      <c r="BB33" s="212">
        <v>0.96760516346269498</v>
      </c>
      <c r="BC33" s="212">
        <v>1.7123999279387501</v>
      </c>
      <c r="BE33" s="216">
        <v>2669.3103030000002</v>
      </c>
      <c r="BF33" s="64">
        <f t="shared" si="5"/>
        <v>-9.4990864971101874E-2</v>
      </c>
      <c r="BH33" s="212" t="s">
        <v>242</v>
      </c>
      <c r="BI33" s="212">
        <v>1.0142057493917787</v>
      </c>
      <c r="BJ33" s="212">
        <v>0.18479976245814639</v>
      </c>
      <c r="BK33" s="212">
        <v>5.4881334039673177</v>
      </c>
      <c r="BL33" s="212">
        <v>9.7470275478328524E-7</v>
      </c>
      <c r="BM33" s="212">
        <v>0.6441506081841577</v>
      </c>
      <c r="BN33" s="212">
        <v>1.3842608905993996</v>
      </c>
      <c r="BO33" s="212">
        <v>0.6441506081841577</v>
      </c>
      <c r="BP33" s="212">
        <v>1.3842608905993996</v>
      </c>
      <c r="BR33" s="216">
        <v>2542.663818</v>
      </c>
      <c r="BS33" s="64">
        <f t="shared" si="6"/>
        <v>4.216344888415624E-2</v>
      </c>
      <c r="BU33" s="212" t="s">
        <v>242</v>
      </c>
      <c r="BV33" s="212">
        <v>0.97557621769323377</v>
      </c>
      <c r="BW33" s="212">
        <v>0.18545024748534814</v>
      </c>
      <c r="BX33" s="212">
        <v>5.2605819130562823</v>
      </c>
      <c r="BY33" s="212">
        <v>2.2515290595320735E-6</v>
      </c>
      <c r="BZ33" s="212">
        <v>0.60421850268685529</v>
      </c>
      <c r="CA33" s="212">
        <v>1.3469339326996121</v>
      </c>
      <c r="CB33" s="212">
        <v>0.60421850268685529</v>
      </c>
      <c r="CC33" s="212">
        <v>1.3469339326996121</v>
      </c>
      <c r="CE33" s="216">
        <v>3215.2885740000002</v>
      </c>
      <c r="CF33" s="64">
        <f t="shared" si="7"/>
        <v>-3.3722158361096488E-2</v>
      </c>
      <c r="CH33" s="212" t="s">
        <v>242</v>
      </c>
      <c r="CI33" s="212">
        <v>1.1862467024955909</v>
      </c>
      <c r="CJ33" s="212">
        <v>0.15891679056495694</v>
      </c>
      <c r="CK33" s="212">
        <v>7.4645775205906562</v>
      </c>
      <c r="CL33" s="212">
        <v>5.3489504649889835E-10</v>
      </c>
      <c r="CM33" s="212">
        <v>0.86802131848788178</v>
      </c>
      <c r="CN33" s="212">
        <v>1.5044720865033001</v>
      </c>
      <c r="CO33" s="212">
        <v>0.86802131848788178</v>
      </c>
      <c r="CP33" s="212">
        <v>1.5044720865033001</v>
      </c>
    </row>
    <row r="34" spans="2:94" x14ac:dyDescent="0.25">
      <c r="B34" s="205">
        <v>44287</v>
      </c>
      <c r="C34" s="66"/>
      <c r="D34" s="203">
        <v>14631.099609000001</v>
      </c>
      <c r="E34" s="64">
        <f t="shared" si="0"/>
        <v>-4.057028270189833E-3</v>
      </c>
      <c r="F34" s="64"/>
      <c r="G34" s="203">
        <v>109.072807</v>
      </c>
      <c r="H34" s="64">
        <f t="shared" si="1"/>
        <v>-7.0485449183902427E-3</v>
      </c>
      <c r="T34" s="215">
        <v>6313.3803710000002</v>
      </c>
      <c r="U34" s="64">
        <f t="shared" si="2"/>
        <v>-5.8833416033208685E-2</v>
      </c>
      <c r="AE34" s="216">
        <v>623.93627900000001</v>
      </c>
      <c r="AF34" s="64">
        <f t="shared" si="3"/>
        <v>8.1021414807801229E-2</v>
      </c>
      <c r="AR34" s="216">
        <v>728.99713099999997</v>
      </c>
      <c r="AS34" s="64">
        <f t="shared" si="4"/>
        <v>-5.369371556574698E-2</v>
      </c>
      <c r="BE34" s="216">
        <v>2582.7790530000002</v>
      </c>
      <c r="BF34" s="64">
        <f t="shared" si="5"/>
        <v>-3.2417081634438905E-2</v>
      </c>
      <c r="BR34" s="216">
        <v>2364.654297</v>
      </c>
      <c r="BS34" s="64">
        <f t="shared" si="6"/>
        <v>-7.0009066766843819E-2</v>
      </c>
      <c r="CE34" s="216">
        <v>3358.201172</v>
      </c>
      <c r="CF34" s="64">
        <f t="shared" si="7"/>
        <v>4.4447829397225247E-2</v>
      </c>
    </row>
    <row r="35" spans="2:94" x14ac:dyDescent="0.25">
      <c r="B35" s="205">
        <v>44317</v>
      </c>
      <c r="C35" s="66"/>
      <c r="D35" s="203">
        <v>15582.799805000001</v>
      </c>
      <c r="E35" s="64">
        <f t="shared" si="0"/>
        <v>6.504638895456516E-2</v>
      </c>
      <c r="F35" s="64"/>
      <c r="G35" s="203">
        <v>119.47683000000001</v>
      </c>
      <c r="H35" s="64">
        <f t="shared" si="1"/>
        <v>9.538603879516927E-2</v>
      </c>
      <c r="J35" s="103"/>
      <c r="K35" s="103"/>
      <c r="L35" s="103"/>
      <c r="M35" s="103"/>
      <c r="N35" s="103"/>
      <c r="O35" s="103"/>
      <c r="P35" s="103"/>
      <c r="Q35" s="103"/>
      <c r="R35" s="103"/>
      <c r="T35" s="215">
        <v>6930.1318359999996</v>
      </c>
      <c r="U35" s="64">
        <f t="shared" si="2"/>
        <v>9.7689578127273524E-2</v>
      </c>
      <c r="AE35" s="216">
        <v>608.40954599999998</v>
      </c>
      <c r="AF35" s="64">
        <f t="shared" si="3"/>
        <v>-2.4885126130003488E-2</v>
      </c>
      <c r="AR35" s="216">
        <v>782.66320800000005</v>
      </c>
      <c r="AS35" s="64">
        <f t="shared" si="4"/>
        <v>7.3616307551696014E-2</v>
      </c>
      <c r="BE35" s="216">
        <v>2755.3371579999998</v>
      </c>
      <c r="BF35" s="64">
        <f t="shared" si="5"/>
        <v>6.681102078769241E-2</v>
      </c>
      <c r="BR35" s="216">
        <v>2613.1645509999998</v>
      </c>
      <c r="BS35" s="64">
        <f t="shared" si="6"/>
        <v>0.1050936935328266</v>
      </c>
      <c r="CE35" s="216">
        <v>3672.7133789999998</v>
      </c>
      <c r="CF35" s="64">
        <f t="shared" si="7"/>
        <v>9.3654963145846759E-2</v>
      </c>
    </row>
    <row r="36" spans="2:94" x14ac:dyDescent="0.25">
      <c r="B36" s="205">
        <v>44348</v>
      </c>
      <c r="C36" s="66"/>
      <c r="D36" s="203">
        <v>15721.5</v>
      </c>
      <c r="E36" s="64">
        <f t="shared" si="0"/>
        <v>8.9008520121971468E-3</v>
      </c>
      <c r="F36" s="64"/>
      <c r="G36" s="203">
        <v>118.65418200000001</v>
      </c>
      <c r="H36" s="64">
        <f t="shared" si="1"/>
        <v>-6.8854187041956783E-3</v>
      </c>
      <c r="J36" s="103"/>
      <c r="K36" s="103"/>
      <c r="L36" s="103"/>
      <c r="M36" s="103"/>
      <c r="N36" s="103"/>
      <c r="O36" s="103"/>
      <c r="P36" s="103"/>
      <c r="Q36" s="103"/>
      <c r="R36" s="103"/>
      <c r="T36" s="215">
        <v>7350.2646480000003</v>
      </c>
      <c r="U36" s="64">
        <f t="shared" si="2"/>
        <v>6.0624072087277492E-2</v>
      </c>
      <c r="AE36" s="216">
        <v>613.65106200000002</v>
      </c>
      <c r="AF36" s="64">
        <f t="shared" si="3"/>
        <v>8.6151113743373475E-3</v>
      </c>
      <c r="AR36" s="216">
        <v>753.35998500000005</v>
      </c>
      <c r="AS36" s="64">
        <f t="shared" si="4"/>
        <v>-3.7440399268135804E-2</v>
      </c>
      <c r="BE36" s="216">
        <v>2659.2326659999999</v>
      </c>
      <c r="BF36" s="64">
        <f t="shared" si="5"/>
        <v>-3.4879394603656633E-2</v>
      </c>
      <c r="BR36" s="216">
        <v>2608.2822270000001</v>
      </c>
      <c r="BS36" s="64">
        <f t="shared" si="6"/>
        <v>-1.8683568924625638E-3</v>
      </c>
      <c r="CE36" s="216">
        <v>3621.0759280000002</v>
      </c>
      <c r="CF36" s="64">
        <f t="shared" si="7"/>
        <v>-1.4059755192238677E-2</v>
      </c>
    </row>
    <row r="37" spans="2:94" x14ac:dyDescent="0.25">
      <c r="B37" s="205">
        <v>44378</v>
      </c>
      <c r="C37" s="66"/>
      <c r="D37" s="203">
        <v>15763.049805000001</v>
      </c>
      <c r="E37" s="64">
        <f t="shared" si="0"/>
        <v>2.6428651846197582E-3</v>
      </c>
      <c r="F37" s="64"/>
      <c r="G37" s="203">
        <v>128.52590900000001</v>
      </c>
      <c r="H37" s="64">
        <f t="shared" si="1"/>
        <v>8.319746370170078E-2</v>
      </c>
      <c r="J37" s="104"/>
      <c r="K37" s="104"/>
      <c r="L37" s="103"/>
      <c r="M37" s="103"/>
      <c r="N37" s="103"/>
      <c r="O37" s="103"/>
      <c r="P37" s="103"/>
      <c r="Q37" s="103"/>
      <c r="R37" s="103"/>
      <c r="T37" s="215">
        <v>6823.9262699999999</v>
      </c>
      <c r="U37" s="64">
        <f t="shared" si="2"/>
        <v>-7.1608085314753489E-2</v>
      </c>
      <c r="AE37" s="216">
        <v>572.90582300000005</v>
      </c>
      <c r="AF37" s="64">
        <f t="shared" si="3"/>
        <v>-6.6398058315427444E-2</v>
      </c>
      <c r="AR37" s="216">
        <v>719.84277299999997</v>
      </c>
      <c r="AS37" s="64">
        <f t="shared" si="4"/>
        <v>-4.4490300344263822E-2</v>
      </c>
      <c r="BE37" s="216">
        <v>2531.6120609999998</v>
      </c>
      <c r="BF37" s="64">
        <f t="shared" si="5"/>
        <v>-4.7991515233590354E-2</v>
      </c>
      <c r="BR37" s="216">
        <v>2470.6984859999998</v>
      </c>
      <c r="BS37" s="64">
        <f t="shared" si="6"/>
        <v>-5.274879366035734E-2</v>
      </c>
      <c r="CE37" s="216">
        <v>3354.5661620000001</v>
      </c>
      <c r="CF37" s="64">
        <f t="shared" si="7"/>
        <v>-7.3599607215968921E-2</v>
      </c>
    </row>
    <row r="38" spans="2:94" x14ac:dyDescent="0.25">
      <c r="B38" s="205">
        <v>44409</v>
      </c>
      <c r="C38" s="66"/>
      <c r="D38" s="203">
        <v>17132.199218999998</v>
      </c>
      <c r="E38" s="64">
        <f t="shared" si="0"/>
        <v>8.6858154414110045E-2</v>
      </c>
      <c r="F38" s="64"/>
      <c r="G38" s="203">
        <v>118.799362</v>
      </c>
      <c r="H38" s="64">
        <f t="shared" si="1"/>
        <v>-7.5677714133109197E-2</v>
      </c>
      <c r="J38" s="99"/>
      <c r="K38" s="99"/>
      <c r="L38" s="103"/>
      <c r="M38" s="103"/>
      <c r="N38" s="103"/>
      <c r="O38" s="103"/>
      <c r="P38" s="103"/>
      <c r="Q38" s="103"/>
      <c r="R38" s="103"/>
      <c r="T38" s="215">
        <v>6695.2255859999996</v>
      </c>
      <c r="U38" s="64">
        <f t="shared" si="2"/>
        <v>-1.8860210223226814E-2</v>
      </c>
      <c r="AE38" s="216">
        <v>519.35351600000001</v>
      </c>
      <c r="AF38" s="64">
        <f t="shared" si="3"/>
        <v>-9.3474886883808228E-2</v>
      </c>
      <c r="AR38" s="216">
        <v>777.121216</v>
      </c>
      <c r="AS38" s="64">
        <f t="shared" si="4"/>
        <v>7.9570768990689045E-2</v>
      </c>
      <c r="BE38" s="216">
        <v>2520.8400879999999</v>
      </c>
      <c r="BF38" s="64">
        <f t="shared" si="5"/>
        <v>-4.254985653585841E-3</v>
      </c>
      <c r="BR38" s="216">
        <v>2616.1918949999999</v>
      </c>
      <c r="BS38" s="64">
        <f t="shared" si="6"/>
        <v>5.8887561482886763E-2</v>
      </c>
      <c r="CE38" s="216">
        <v>3378.3652339999999</v>
      </c>
      <c r="CF38" s="64">
        <f t="shared" si="7"/>
        <v>7.0945305147329663E-3</v>
      </c>
    </row>
    <row r="39" spans="2:94" x14ac:dyDescent="0.25">
      <c r="B39" s="205">
        <v>44440</v>
      </c>
      <c r="C39" s="66"/>
      <c r="D39" s="203">
        <v>17618.150390999999</v>
      </c>
      <c r="E39" s="64">
        <f t="shared" si="0"/>
        <v>2.8364786434485811E-2</v>
      </c>
      <c r="F39" s="64"/>
      <c r="G39" s="203">
        <v>130.1353</v>
      </c>
      <c r="H39" s="64">
        <f t="shared" si="1"/>
        <v>9.5420865980744951E-2</v>
      </c>
      <c r="J39" s="99"/>
      <c r="K39" s="99"/>
      <c r="L39" s="103"/>
      <c r="M39" s="103"/>
      <c r="N39" s="103"/>
      <c r="O39" s="103"/>
      <c r="P39" s="103"/>
      <c r="Q39" s="103"/>
      <c r="R39" s="103"/>
      <c r="T39" s="215">
        <v>7222.0888670000004</v>
      </c>
      <c r="U39" s="64">
        <f t="shared" si="2"/>
        <v>7.8692386721321839E-2</v>
      </c>
      <c r="AE39" s="216">
        <v>543.38525400000003</v>
      </c>
      <c r="AF39" s="64">
        <f t="shared" si="3"/>
        <v>4.6272408407070476E-2</v>
      </c>
      <c r="AR39" s="216">
        <v>786.67242399999998</v>
      </c>
      <c r="AS39" s="64">
        <f t="shared" si="4"/>
        <v>1.2290499607206629E-2</v>
      </c>
      <c r="BE39" s="216">
        <v>2604.1831050000001</v>
      </c>
      <c r="BF39" s="64">
        <f t="shared" si="5"/>
        <v>3.3061604104417164E-2</v>
      </c>
      <c r="BR39" s="216">
        <v>2741.4941410000001</v>
      </c>
      <c r="BS39" s="64">
        <f t="shared" si="6"/>
        <v>4.7894898779968997E-2</v>
      </c>
      <c r="CE39" s="216">
        <v>3473.3403320000002</v>
      </c>
      <c r="CF39" s="64">
        <f t="shared" si="7"/>
        <v>2.8112738387243486E-2</v>
      </c>
    </row>
    <row r="40" spans="2:94" x14ac:dyDescent="0.25">
      <c r="B40" s="205">
        <v>44470</v>
      </c>
      <c r="C40" s="66"/>
      <c r="D40" s="203">
        <v>17671.650390999999</v>
      </c>
      <c r="E40" s="64">
        <f t="shared" si="0"/>
        <v>3.0366411236522062E-3</v>
      </c>
      <c r="F40" s="64"/>
      <c r="G40" s="203">
        <v>139.180069</v>
      </c>
      <c r="H40" s="64">
        <f t="shared" si="1"/>
        <v>6.9502809767987728E-2</v>
      </c>
      <c r="J40" s="99"/>
      <c r="K40" s="99"/>
      <c r="L40" s="103"/>
      <c r="M40" s="103"/>
      <c r="N40" s="103"/>
      <c r="O40" s="103"/>
      <c r="P40" s="103"/>
      <c r="Q40" s="103"/>
      <c r="R40" s="103"/>
      <c r="T40" s="215">
        <v>7364.1577150000003</v>
      </c>
      <c r="U40" s="64">
        <f t="shared" si="2"/>
        <v>1.9671434486102424E-2</v>
      </c>
      <c r="AE40" s="216">
        <v>655.23687700000005</v>
      </c>
      <c r="AF40" s="64">
        <f t="shared" si="3"/>
        <v>0.20584221264127267</v>
      </c>
      <c r="AR40" s="216">
        <v>866.21643100000006</v>
      </c>
      <c r="AS40" s="64">
        <f t="shared" si="4"/>
        <v>0.10111452311438862</v>
      </c>
      <c r="BE40" s="216">
        <v>2442.9216310000002</v>
      </c>
      <c r="BF40" s="64">
        <f t="shared" si="5"/>
        <v>-6.1924015131800791E-2</v>
      </c>
      <c r="BR40" s="216">
        <v>2441.4252929999998</v>
      </c>
      <c r="BS40" s="64">
        <f t="shared" si="6"/>
        <v>-0.1094544918088155</v>
      </c>
      <c r="CE40" s="216">
        <v>3359.6965329999998</v>
      </c>
      <c r="CF40" s="64">
        <f t="shared" si="7"/>
        <v>-3.2718878122306783E-2</v>
      </c>
    </row>
    <row r="41" spans="2:94" x14ac:dyDescent="0.25">
      <c r="B41" s="205">
        <v>44501</v>
      </c>
      <c r="C41" s="66"/>
      <c r="D41" s="203">
        <v>16983.199218999998</v>
      </c>
      <c r="E41" s="64">
        <f t="shared" si="0"/>
        <v>-3.8957944321409976E-2</v>
      </c>
      <c r="F41" s="64"/>
      <c r="G41" s="203">
        <v>116.99335499999999</v>
      </c>
      <c r="H41" s="64">
        <f t="shared" si="1"/>
        <v>-0.15941013795588799</v>
      </c>
      <c r="J41" s="99"/>
      <c r="K41" s="99"/>
      <c r="L41" s="103"/>
      <c r="M41" s="103"/>
      <c r="N41" s="103"/>
      <c r="O41" s="103"/>
      <c r="P41" s="103"/>
      <c r="Q41" s="103"/>
      <c r="R41" s="103"/>
      <c r="T41" s="215">
        <v>6956.109375</v>
      </c>
      <c r="U41" s="64">
        <f t="shared" si="2"/>
        <v>-5.5410049022829755E-2</v>
      </c>
      <c r="AE41" s="216">
        <v>678.92254600000001</v>
      </c>
      <c r="AF41" s="64">
        <f t="shared" si="3"/>
        <v>3.6148253908486749E-2</v>
      </c>
      <c r="AR41" s="216">
        <v>818.46063200000003</v>
      </c>
      <c r="AS41" s="64">
        <f t="shared" si="4"/>
        <v>-5.5131485955384751E-2</v>
      </c>
      <c r="BE41" s="216">
        <v>2251.8713379999999</v>
      </c>
      <c r="BF41" s="64">
        <f t="shared" si="5"/>
        <v>-7.8205657756525992E-2</v>
      </c>
      <c r="BR41" s="216">
        <v>2329.0715329999998</v>
      </c>
      <c r="BS41" s="64">
        <f t="shared" si="6"/>
        <v>-4.6019741141430037E-2</v>
      </c>
      <c r="CE41" s="216">
        <v>2936.5229490000002</v>
      </c>
      <c r="CF41" s="64">
        <f t="shared" si="7"/>
        <v>-0.12595589507666993</v>
      </c>
    </row>
    <row r="42" spans="2:94" x14ac:dyDescent="0.25">
      <c r="B42" s="205">
        <v>44531</v>
      </c>
      <c r="C42" s="66"/>
      <c r="D42" s="203">
        <v>17354.050781000002</v>
      </c>
      <c r="E42" s="64">
        <f t="shared" si="0"/>
        <v>2.1836378247575006E-2</v>
      </c>
      <c r="F42" s="64"/>
      <c r="G42" s="203">
        <v>119.681168</v>
      </c>
      <c r="H42" s="64">
        <f t="shared" si="1"/>
        <v>2.2974065492864959E-2</v>
      </c>
      <c r="J42" s="99"/>
      <c r="K42" s="99"/>
      <c r="L42" s="103"/>
      <c r="M42" s="103"/>
      <c r="N42" s="103"/>
      <c r="O42" s="103"/>
      <c r="P42" s="103"/>
      <c r="Q42" s="103"/>
      <c r="R42" s="103"/>
      <c r="T42" s="215">
        <v>7309.0927730000003</v>
      </c>
      <c r="U42" s="64">
        <f t="shared" si="2"/>
        <v>5.0744371454050086E-2</v>
      </c>
      <c r="AE42" s="216">
        <v>620.07928500000003</v>
      </c>
      <c r="AF42" s="64">
        <f t="shared" si="3"/>
        <v>-8.6671537639582241E-2</v>
      </c>
      <c r="AR42" s="216">
        <v>820.07702600000005</v>
      </c>
      <c r="AS42" s="64">
        <f t="shared" si="4"/>
        <v>1.9749196684637482E-3</v>
      </c>
      <c r="BE42" s="216">
        <v>2263.639404</v>
      </c>
      <c r="BF42" s="64">
        <f t="shared" si="5"/>
        <v>5.2259051400564971E-3</v>
      </c>
      <c r="BR42" s="216">
        <v>2546.6557619999999</v>
      </c>
      <c r="BS42" s="64">
        <f t="shared" si="6"/>
        <v>9.3421016021666414E-2</v>
      </c>
      <c r="CE42" s="216">
        <v>2944.633789</v>
      </c>
      <c r="CF42" s="64">
        <f t="shared" si="7"/>
        <v>2.7620557172085558E-3</v>
      </c>
    </row>
    <row r="43" spans="2:94" x14ac:dyDescent="0.25">
      <c r="B43" s="205">
        <v>44562</v>
      </c>
      <c r="C43" s="66"/>
      <c r="D43" s="203">
        <v>17339.849609000001</v>
      </c>
      <c r="E43" s="64">
        <f t="shared" si="0"/>
        <v>-8.183202976188575E-4</v>
      </c>
      <c r="F43" s="64"/>
      <c r="G43" s="203">
        <v>129.552795</v>
      </c>
      <c r="H43" s="64">
        <f t="shared" si="1"/>
        <v>8.2482709393344233E-2</v>
      </c>
      <c r="J43" s="103"/>
      <c r="K43" s="103"/>
      <c r="L43" s="103"/>
      <c r="M43" s="103"/>
      <c r="N43" s="103"/>
      <c r="O43" s="103"/>
      <c r="P43" s="103"/>
      <c r="Q43" s="103"/>
      <c r="R43" s="103"/>
      <c r="T43" s="215">
        <v>8461.4394530000009</v>
      </c>
      <c r="U43" s="64">
        <f t="shared" si="2"/>
        <v>0.15765933143670074</v>
      </c>
      <c r="AE43" s="216">
        <v>599.60778800000003</v>
      </c>
      <c r="AF43" s="64">
        <f t="shared" si="3"/>
        <v>-3.3014321708876304E-2</v>
      </c>
      <c r="AR43" s="216">
        <v>867.73474099999999</v>
      </c>
      <c r="AS43" s="64">
        <f t="shared" si="4"/>
        <v>5.8113705772803836E-2</v>
      </c>
      <c r="BE43" s="216">
        <v>2504.704346</v>
      </c>
      <c r="BF43" s="64">
        <f t="shared" si="5"/>
        <v>0.10649440965465717</v>
      </c>
      <c r="BR43" s="216">
        <v>2599.3203130000002</v>
      </c>
      <c r="BS43" s="64">
        <f t="shared" si="6"/>
        <v>2.0679886063061925E-2</v>
      </c>
      <c r="CE43" s="216">
        <v>3230.4650879999999</v>
      </c>
      <c r="CF43" s="64">
        <f t="shared" si="7"/>
        <v>9.7068538732304699E-2</v>
      </c>
    </row>
    <row r="44" spans="2:94" x14ac:dyDescent="0.25">
      <c r="B44" s="205">
        <v>44593</v>
      </c>
      <c r="C44" s="66"/>
      <c r="D44" s="203">
        <v>16793.900390999999</v>
      </c>
      <c r="E44" s="64">
        <f t="shared" si="0"/>
        <v>-3.1485233742548413E-2</v>
      </c>
      <c r="F44" s="64"/>
      <c r="G44" s="203">
        <v>115.967102</v>
      </c>
      <c r="H44" s="64">
        <f t="shared" si="1"/>
        <v>-0.10486607409743653</v>
      </c>
      <c r="J44" s="103"/>
      <c r="K44" s="103"/>
      <c r="L44" s="103"/>
      <c r="M44" s="103"/>
      <c r="N44" s="103"/>
      <c r="O44" s="103"/>
      <c r="P44" s="103"/>
      <c r="Q44" s="103"/>
      <c r="R44" s="103"/>
      <c r="T44" s="215">
        <v>8182.7646480000003</v>
      </c>
      <c r="U44" s="64">
        <f t="shared" si="2"/>
        <v>-3.2934680505359748E-2</v>
      </c>
      <c r="AE44" s="216">
        <v>610.78308100000004</v>
      </c>
      <c r="AF44" s="64">
        <f t="shared" si="3"/>
        <v>1.8637671530710609E-2</v>
      </c>
      <c r="AR44" s="216">
        <v>774.72119099999998</v>
      </c>
      <c r="AS44" s="64">
        <f t="shared" si="4"/>
        <v>-0.1071912251580579</v>
      </c>
      <c r="BE44" s="216">
        <v>2331.0771479999999</v>
      </c>
      <c r="BF44" s="64">
        <f t="shared" si="5"/>
        <v>-6.9320436273160091E-2</v>
      </c>
      <c r="BR44" s="216">
        <v>2544.592529</v>
      </c>
      <c r="BS44" s="64">
        <f t="shared" si="6"/>
        <v>-2.1054651758880882E-2</v>
      </c>
      <c r="CE44" s="216">
        <v>3199.3808589999999</v>
      </c>
      <c r="CF44" s="64">
        <f t="shared" si="7"/>
        <v>-9.6222148059939006E-3</v>
      </c>
    </row>
    <row r="45" spans="2:94" x14ac:dyDescent="0.25">
      <c r="B45" s="205">
        <v>44621</v>
      </c>
      <c r="C45" s="66"/>
      <c r="D45" s="203">
        <v>17464.75</v>
      </c>
      <c r="E45" s="64">
        <f t="shared" si="0"/>
        <v>3.9946027627954406E-2</v>
      </c>
      <c r="F45" s="64"/>
      <c r="G45" s="203">
        <v>114.598755</v>
      </c>
      <c r="H45" s="64">
        <f t="shared" si="1"/>
        <v>-1.1799441189795368E-2</v>
      </c>
      <c r="J45" s="105"/>
      <c r="K45" s="105"/>
      <c r="L45" s="105"/>
      <c r="M45" s="105"/>
      <c r="N45" s="105"/>
      <c r="O45" s="105"/>
      <c r="P45" s="103"/>
      <c r="Q45" s="103"/>
      <c r="R45" s="103"/>
      <c r="T45" s="215">
        <v>7441.8110349999997</v>
      </c>
      <c r="U45" s="64">
        <f t="shared" si="2"/>
        <v>-9.0550522332461525E-2</v>
      </c>
      <c r="AE45" s="216">
        <v>618.74420199999997</v>
      </c>
      <c r="AF45" s="64">
        <f t="shared" si="3"/>
        <v>1.3034285407784507E-2</v>
      </c>
      <c r="AR45" s="216">
        <v>790.10101299999997</v>
      </c>
      <c r="AS45" s="64">
        <f t="shared" si="4"/>
        <v>1.9852073466775755E-2</v>
      </c>
      <c r="BE45" s="216">
        <v>2155.8562010000001</v>
      </c>
      <c r="BF45" s="64">
        <f t="shared" si="5"/>
        <v>-7.5167373653992731E-2</v>
      </c>
      <c r="BR45" s="216">
        <v>2414.2578130000002</v>
      </c>
      <c r="BS45" s="64">
        <f t="shared" si="6"/>
        <v>-5.1220269852486067E-2</v>
      </c>
      <c r="CE45" s="216">
        <v>3310.5322270000001</v>
      </c>
      <c r="CF45" s="64">
        <f t="shared" si="7"/>
        <v>3.4741524344413799E-2</v>
      </c>
    </row>
    <row r="46" spans="2:94" x14ac:dyDescent="0.25">
      <c r="B46" s="205">
        <v>44652</v>
      </c>
      <c r="C46" s="66"/>
      <c r="D46" s="203">
        <v>17102.550781000002</v>
      </c>
      <c r="E46" s="64">
        <f t="shared" si="0"/>
        <v>-2.0738872242660134E-2</v>
      </c>
      <c r="F46" s="64"/>
      <c r="G46" s="203">
        <v>124.226028</v>
      </c>
      <c r="H46" s="64">
        <f t="shared" si="1"/>
        <v>8.4008530459166009E-2</v>
      </c>
      <c r="J46" s="99"/>
      <c r="K46" s="99"/>
      <c r="L46" s="99"/>
      <c r="M46" s="99"/>
      <c r="N46" s="99"/>
      <c r="O46" s="99"/>
      <c r="P46" s="103"/>
      <c r="Q46" s="103"/>
      <c r="R46" s="103"/>
      <c r="T46" s="215">
        <v>7595.8378910000001</v>
      </c>
      <c r="U46" s="64">
        <f t="shared" si="2"/>
        <v>2.0697496251327552E-2</v>
      </c>
      <c r="AE46" s="216">
        <v>651.63470500000005</v>
      </c>
      <c r="AF46" s="64">
        <f t="shared" si="3"/>
        <v>5.3156866591535401E-2</v>
      </c>
      <c r="AR46" s="216">
        <v>903.29443400000002</v>
      </c>
      <c r="AS46" s="64">
        <f t="shared" si="4"/>
        <v>0.1432644929414868</v>
      </c>
      <c r="BE46" s="216">
        <v>2355.5466310000002</v>
      </c>
      <c r="BF46" s="64">
        <f t="shared" si="5"/>
        <v>9.2626971088040522E-2</v>
      </c>
      <c r="BR46" s="216">
        <v>2584.4348140000002</v>
      </c>
      <c r="BS46" s="64">
        <f t="shared" si="6"/>
        <v>7.0488329822793405E-2</v>
      </c>
      <c r="CE46" s="216">
        <v>3379.9057619999999</v>
      </c>
      <c r="CF46" s="64">
        <f t="shared" si="7"/>
        <v>2.0955402407565771E-2</v>
      </c>
    </row>
    <row r="47" spans="2:94" x14ac:dyDescent="0.25">
      <c r="B47" s="205">
        <v>44682</v>
      </c>
      <c r="C47" s="66"/>
      <c r="D47" s="203">
        <v>16584.550781000002</v>
      </c>
      <c r="E47" s="64">
        <f t="shared" si="0"/>
        <v>-3.0287879663861039E-2</v>
      </c>
      <c r="F47" s="64"/>
      <c r="G47" s="203">
        <v>134.39086900000001</v>
      </c>
      <c r="H47" s="64">
        <f t="shared" si="1"/>
        <v>8.1825372376874261E-2</v>
      </c>
      <c r="J47" s="99"/>
      <c r="K47" s="99"/>
      <c r="L47" s="99"/>
      <c r="M47" s="99"/>
      <c r="N47" s="99"/>
      <c r="O47" s="99"/>
      <c r="P47" s="103"/>
      <c r="Q47" s="103"/>
      <c r="R47" s="103"/>
      <c r="T47" s="215">
        <v>7840.4604490000002</v>
      </c>
      <c r="U47" s="64">
        <f t="shared" si="2"/>
        <v>3.2204815520068264E-2</v>
      </c>
      <c r="AE47" s="216">
        <v>732.93359399999997</v>
      </c>
      <c r="AF47" s="64">
        <f t="shared" si="3"/>
        <v>0.12476144744316509</v>
      </c>
      <c r="AR47" s="216">
        <v>1013.255188</v>
      </c>
      <c r="AS47" s="64">
        <f t="shared" si="4"/>
        <v>0.12173301402187087</v>
      </c>
      <c r="BE47" s="216">
        <v>2606.6865229999999</v>
      </c>
      <c r="BF47" s="64">
        <f t="shared" si="5"/>
        <v>0.10661639582714755</v>
      </c>
      <c r="BR47" s="216">
        <v>2732.2092290000001</v>
      </c>
      <c r="BS47" s="64">
        <f t="shared" si="6"/>
        <v>5.7178619557165522E-2</v>
      </c>
      <c r="CE47" s="216">
        <v>3501.8420409999999</v>
      </c>
      <c r="CF47" s="64">
        <f t="shared" si="7"/>
        <v>3.6076828049740106E-2</v>
      </c>
    </row>
    <row r="48" spans="2:94" x14ac:dyDescent="0.25">
      <c r="B48" s="205">
        <v>44713</v>
      </c>
      <c r="C48" s="66"/>
      <c r="D48" s="203">
        <v>15780.25</v>
      </c>
      <c r="E48" s="64">
        <f t="shared" si="0"/>
        <v>-4.8496989253483114E-2</v>
      </c>
      <c r="F48" s="64"/>
      <c r="G48" s="203">
        <v>144.457977</v>
      </c>
      <c r="H48" s="64">
        <f t="shared" si="1"/>
        <v>7.4909166633932545E-2</v>
      </c>
      <c r="J48" s="99"/>
      <c r="K48" s="99"/>
      <c r="L48" s="99"/>
      <c r="M48" s="99"/>
      <c r="N48" s="99"/>
      <c r="O48" s="99"/>
      <c r="P48" s="103"/>
      <c r="Q48" s="103"/>
      <c r="R48" s="103"/>
      <c r="T48" s="215">
        <v>8336.8896480000003</v>
      </c>
      <c r="U48" s="64">
        <f t="shared" si="2"/>
        <v>6.3316332277821408E-2</v>
      </c>
      <c r="AE48" s="216">
        <v>837.816101</v>
      </c>
      <c r="AF48" s="64">
        <f t="shared" si="3"/>
        <v>0.14309960391855103</v>
      </c>
      <c r="AR48" s="216">
        <v>1070.8560789999999</v>
      </c>
      <c r="AS48" s="64">
        <f t="shared" si="4"/>
        <v>5.684736844396987E-2</v>
      </c>
      <c r="BE48" s="216">
        <v>2555.7539059999999</v>
      </c>
      <c r="BF48" s="64">
        <f t="shared" si="5"/>
        <v>-1.9539218295179683E-2</v>
      </c>
      <c r="BR48" s="216">
        <v>2745.5720209999999</v>
      </c>
      <c r="BS48" s="64">
        <f t="shared" si="6"/>
        <v>4.8908377360583621E-3</v>
      </c>
      <c r="CE48" s="216">
        <v>3359.107422</v>
      </c>
      <c r="CF48" s="64">
        <f t="shared" si="7"/>
        <v>-4.0759867900620694E-2</v>
      </c>
    </row>
    <row r="49" spans="2:84" x14ac:dyDescent="0.25">
      <c r="B49" s="205">
        <v>44743</v>
      </c>
      <c r="C49" s="66"/>
      <c r="D49" s="203">
        <v>17158.25</v>
      </c>
      <c r="E49" s="64">
        <f t="shared" si="0"/>
        <v>8.7324345305048956E-2</v>
      </c>
      <c r="F49" s="64"/>
      <c r="G49" s="203">
        <v>145.63082900000001</v>
      </c>
      <c r="H49" s="64">
        <f t="shared" si="1"/>
        <v>8.1189839727577873E-3</v>
      </c>
      <c r="J49" s="103"/>
      <c r="K49" s="103"/>
      <c r="L49" s="103"/>
      <c r="M49" s="103"/>
      <c r="N49" s="103"/>
      <c r="O49" s="103"/>
      <c r="P49" s="103"/>
      <c r="Q49" s="103"/>
      <c r="R49" s="103"/>
      <c r="T49" s="215">
        <v>8634.9042969999991</v>
      </c>
      <c r="U49" s="64">
        <f t="shared" si="2"/>
        <v>3.5746502782544542E-2</v>
      </c>
      <c r="AE49" s="216">
        <v>903.59155299999998</v>
      </c>
      <c r="AF49" s="64">
        <f t="shared" si="3"/>
        <v>7.8508221459926197E-2</v>
      </c>
      <c r="AR49" s="216">
        <v>1140.7017820000001</v>
      </c>
      <c r="AS49" s="64">
        <f t="shared" si="4"/>
        <v>6.5224173789277362E-2</v>
      </c>
      <c r="BE49" s="216">
        <v>2648.1752929999998</v>
      </c>
      <c r="BF49" s="64">
        <f t="shared" si="5"/>
        <v>3.6162083830930447E-2</v>
      </c>
      <c r="BR49" s="216">
        <v>3039.4506839999999</v>
      </c>
      <c r="BS49" s="64">
        <f t="shared" si="6"/>
        <v>0.10703731708810271</v>
      </c>
      <c r="CE49" s="216">
        <v>3680.7080080000001</v>
      </c>
      <c r="CF49" s="64">
        <f t="shared" si="7"/>
        <v>9.5739893250725627E-2</v>
      </c>
    </row>
    <row r="50" spans="2:84" x14ac:dyDescent="0.25">
      <c r="B50" s="205">
        <v>44774</v>
      </c>
      <c r="C50" s="66"/>
      <c r="D50" s="203">
        <v>17759.300781000002</v>
      </c>
      <c r="E50" s="64">
        <f t="shared" si="0"/>
        <v>3.5029841679658613E-2</v>
      </c>
      <c r="F50" s="64"/>
      <c r="G50" s="203">
        <v>151.577011</v>
      </c>
      <c r="H50" s="64">
        <f t="shared" si="1"/>
        <v>4.0830516730767208E-2</v>
      </c>
      <c r="J50" s="105"/>
      <c r="K50" s="105"/>
      <c r="L50" s="105"/>
      <c r="M50" s="105"/>
      <c r="N50" s="105"/>
      <c r="O50" s="105"/>
      <c r="P50" s="105"/>
      <c r="Q50" s="105"/>
      <c r="R50" s="105"/>
      <c r="T50" s="215">
        <v>8938.7255860000005</v>
      </c>
      <c r="U50" s="64">
        <f t="shared" si="2"/>
        <v>3.5185252615429263E-2</v>
      </c>
      <c r="AE50" s="216">
        <v>980.76074200000005</v>
      </c>
      <c r="AF50" s="64">
        <f t="shared" si="3"/>
        <v>8.5402733949639043E-2</v>
      </c>
      <c r="AR50" s="216">
        <v>1295.127686</v>
      </c>
      <c r="AS50" s="64">
        <f t="shared" si="4"/>
        <v>0.13537798085073915</v>
      </c>
      <c r="BE50" s="216">
        <v>2734.7856449999999</v>
      </c>
      <c r="BF50" s="64">
        <f t="shared" si="5"/>
        <v>3.2705671799347913E-2</v>
      </c>
      <c r="BR50" s="216">
        <v>3300.1196289999998</v>
      </c>
      <c r="BS50" s="64">
        <f t="shared" si="6"/>
        <v>8.5761860316467597E-2</v>
      </c>
      <c r="CE50" s="216">
        <v>3840.9333499999998</v>
      </c>
      <c r="CF50" s="64">
        <f t="shared" si="7"/>
        <v>4.3531120005105173E-2</v>
      </c>
    </row>
    <row r="51" spans="2:84" x14ac:dyDescent="0.25">
      <c r="B51" s="205">
        <v>44805</v>
      </c>
      <c r="C51" s="66"/>
      <c r="D51" s="203">
        <v>17094.349609000001</v>
      </c>
      <c r="E51" s="64">
        <f t="shared" si="0"/>
        <v>-3.7442418493829788E-2</v>
      </c>
      <c r="F51" s="64"/>
      <c r="G51" s="203">
        <v>150.248245</v>
      </c>
      <c r="H51" s="64">
        <f t="shared" si="1"/>
        <v>-8.7662765694727085E-3</v>
      </c>
      <c r="J51" s="99"/>
      <c r="K51" s="99"/>
      <c r="L51" s="99"/>
      <c r="M51" s="99"/>
      <c r="N51" s="99"/>
      <c r="O51" s="99"/>
      <c r="P51" s="99"/>
      <c r="Q51" s="99"/>
      <c r="R51" s="99"/>
      <c r="T51" s="215">
        <v>8745.8476559999999</v>
      </c>
      <c r="U51" s="64">
        <f t="shared" si="2"/>
        <v>-2.1577788482744054E-2</v>
      </c>
      <c r="AE51" s="216">
        <v>1027.181763</v>
      </c>
      <c r="AF51" s="64">
        <f t="shared" si="3"/>
        <v>4.7331646763650648E-2</v>
      </c>
      <c r="AR51" s="216">
        <v>1255.0477289999999</v>
      </c>
      <c r="AS51" s="64">
        <f t="shared" si="4"/>
        <v>-3.0946722422240058E-2</v>
      </c>
      <c r="BE51" s="216">
        <v>2456.7485350000002</v>
      </c>
      <c r="BF51" s="64">
        <f t="shared" si="5"/>
        <v>-0.10166687488225412</v>
      </c>
      <c r="BR51" s="216">
        <v>3631.5170899999998</v>
      </c>
      <c r="BS51" s="64">
        <f t="shared" si="6"/>
        <v>0.10041983268964705</v>
      </c>
      <c r="CE51" s="216">
        <v>3317.0991210000002</v>
      </c>
      <c r="CF51" s="64">
        <f t="shared" si="7"/>
        <v>-0.13638201480377155</v>
      </c>
    </row>
    <row r="52" spans="2:84" x14ac:dyDescent="0.25">
      <c r="B52" s="205">
        <v>44835</v>
      </c>
      <c r="C52" s="66"/>
      <c r="D52" s="203">
        <v>18012.199218999998</v>
      </c>
      <c r="E52" s="64">
        <f t="shared" si="0"/>
        <v>5.3693157738903263E-2</v>
      </c>
      <c r="F52" s="64"/>
      <c r="G52" s="203">
        <v>150.88803100000001</v>
      </c>
      <c r="H52" s="64">
        <f t="shared" si="1"/>
        <v>4.2581928328015994E-3</v>
      </c>
      <c r="J52" s="99"/>
      <c r="K52" s="99"/>
      <c r="L52" s="99"/>
      <c r="M52" s="99"/>
      <c r="N52" s="99"/>
      <c r="O52" s="99"/>
      <c r="P52" s="99"/>
      <c r="Q52" s="99"/>
      <c r="R52" s="99"/>
      <c r="T52" s="215">
        <v>9438.7763670000004</v>
      </c>
      <c r="U52" s="64">
        <f t="shared" si="2"/>
        <v>7.9229451307058163E-2</v>
      </c>
      <c r="AE52" s="216">
        <v>1140.4229740000001</v>
      </c>
      <c r="AF52" s="64">
        <f t="shared" si="3"/>
        <v>0.11024456924669912</v>
      </c>
      <c r="AR52" s="216">
        <v>1334.6138920000001</v>
      </c>
      <c r="AS52" s="64">
        <f t="shared" si="4"/>
        <v>6.339692201458913E-2</v>
      </c>
      <c r="BE52" s="216">
        <v>2579.7692870000001</v>
      </c>
      <c r="BF52" s="64">
        <f t="shared" si="5"/>
        <v>5.007462108856009E-2</v>
      </c>
      <c r="BR52" s="216">
        <v>3808.4145509999998</v>
      </c>
      <c r="BS52" s="64">
        <f t="shared" si="6"/>
        <v>4.8711724773956577E-2</v>
      </c>
      <c r="CE52" s="216">
        <v>3452.594482</v>
      </c>
      <c r="CF52" s="64">
        <f t="shared" si="7"/>
        <v>4.084754662355472E-2</v>
      </c>
    </row>
    <row r="53" spans="2:84" x14ac:dyDescent="0.25">
      <c r="B53" s="205">
        <v>44866</v>
      </c>
      <c r="C53" s="66"/>
      <c r="D53" s="203">
        <v>18758.349609000001</v>
      </c>
      <c r="E53" s="64">
        <f t="shared" si="0"/>
        <v>4.1424724484111497E-2</v>
      </c>
      <c r="F53" s="64"/>
      <c r="G53" s="203">
        <v>146.458832</v>
      </c>
      <c r="H53" s="64">
        <f t="shared" si="1"/>
        <v>-2.9354210341574483E-2</v>
      </c>
      <c r="J53" s="103"/>
      <c r="K53" s="103"/>
      <c r="L53" s="103"/>
      <c r="M53" s="103"/>
      <c r="N53" s="103"/>
      <c r="O53" s="103"/>
      <c r="P53" s="103"/>
      <c r="Q53" s="103"/>
      <c r="R53" s="103"/>
      <c r="T53" s="215">
        <v>8890.4863280000009</v>
      </c>
      <c r="U53" s="64">
        <f t="shared" si="2"/>
        <v>-5.8089101561611289E-2</v>
      </c>
      <c r="AE53" s="216">
        <v>1043.0036620000001</v>
      </c>
      <c r="AF53" s="64">
        <f t="shared" si="3"/>
        <v>-8.5423842048976462E-2</v>
      </c>
      <c r="AR53" s="216">
        <v>1292.059814</v>
      </c>
      <c r="AS53" s="64">
        <f t="shared" si="4"/>
        <v>-3.1884935602034092E-2</v>
      </c>
      <c r="BE53" s="216">
        <v>2748.470703</v>
      </c>
      <c r="BF53" s="64">
        <f t="shared" si="5"/>
        <v>6.5393993505590498E-2</v>
      </c>
      <c r="BR53" s="216">
        <v>3446.4597170000002</v>
      </c>
      <c r="BS53" s="64">
        <f t="shared" si="6"/>
        <v>-9.5040817944821332E-2</v>
      </c>
      <c r="CE53" s="216">
        <v>3526.7358399999998</v>
      </c>
      <c r="CF53" s="64">
        <f t="shared" si="7"/>
        <v>2.1474099662307289E-2</v>
      </c>
    </row>
    <row r="54" spans="2:84" x14ac:dyDescent="0.25">
      <c r="B54" s="205">
        <v>44896</v>
      </c>
      <c r="C54" s="66"/>
      <c r="D54" s="203">
        <v>18105.300781000002</v>
      </c>
      <c r="E54" s="64">
        <f t="shared" si="0"/>
        <v>-3.4813767821379904E-2</v>
      </c>
      <c r="F54" s="64"/>
      <c r="G54" s="203">
        <v>141.14378400000001</v>
      </c>
      <c r="H54" s="64">
        <f t="shared" si="1"/>
        <v>-3.6290389097190068E-2</v>
      </c>
      <c r="J54" s="103"/>
      <c r="K54" s="103"/>
      <c r="L54" s="103"/>
      <c r="M54" s="103"/>
      <c r="N54" s="103"/>
      <c r="O54" s="103"/>
      <c r="P54" s="103"/>
      <c r="Q54" s="103"/>
      <c r="R54" s="103"/>
      <c r="T54" s="215">
        <v>8316.3388670000004</v>
      </c>
      <c r="U54" s="64">
        <f t="shared" si="2"/>
        <v>-6.4579983570950517E-2</v>
      </c>
      <c r="AE54" s="216">
        <v>1080.0708010000001</v>
      </c>
      <c r="AF54" s="64">
        <f t="shared" si="3"/>
        <v>3.5538838788851779E-2</v>
      </c>
      <c r="AR54" s="216">
        <v>1236.244751</v>
      </c>
      <c r="AS54" s="64">
        <f t="shared" si="4"/>
        <v>-4.3198513253969173E-2</v>
      </c>
      <c r="BE54" s="216">
        <v>2639.5207519999999</v>
      </c>
      <c r="BF54" s="64">
        <f t="shared" si="5"/>
        <v>-3.964020823692227E-2</v>
      </c>
      <c r="BR54" s="216">
        <v>3192.5126949999999</v>
      </c>
      <c r="BS54" s="64">
        <f t="shared" si="6"/>
        <v>-7.3683444128878617E-2</v>
      </c>
      <c r="CE54" s="216">
        <v>3400.126221</v>
      </c>
      <c r="CF54" s="64">
        <f t="shared" si="7"/>
        <v>-3.5899943954974534E-2</v>
      </c>
    </row>
    <row r="55" spans="2:84" x14ac:dyDescent="0.25">
      <c r="B55" s="205">
        <v>44927</v>
      </c>
      <c r="C55" s="66"/>
      <c r="D55" s="203">
        <v>17662.150390999999</v>
      </c>
      <c r="E55" s="64">
        <f t="shared" si="0"/>
        <v>-2.4476278818027275E-2</v>
      </c>
      <c r="F55" s="64"/>
      <c r="G55" s="203">
        <v>147.14781199999999</v>
      </c>
      <c r="H55" s="64">
        <f t="shared" si="1"/>
        <v>4.2538380577921808E-2</v>
      </c>
      <c r="J55" s="103"/>
      <c r="K55" s="103"/>
      <c r="L55" s="103"/>
      <c r="M55" s="103"/>
      <c r="N55" s="103"/>
      <c r="O55" s="103"/>
      <c r="P55" s="103"/>
      <c r="Q55" s="103"/>
      <c r="R55" s="103"/>
      <c r="T55" s="215">
        <v>8812.3710940000001</v>
      </c>
      <c r="U55" s="64">
        <f t="shared" si="2"/>
        <v>5.9645504462101817E-2</v>
      </c>
      <c r="AE55" s="216">
        <v>1031.659668</v>
      </c>
      <c r="AF55" s="64">
        <f t="shared" si="3"/>
        <v>-4.4822184763422812E-2</v>
      </c>
      <c r="AR55" s="216">
        <v>1364.451294</v>
      </c>
      <c r="AS55" s="64">
        <f t="shared" si="4"/>
        <v>0.10370644073213953</v>
      </c>
      <c r="BE55" s="216">
        <v>2663.0358890000002</v>
      </c>
      <c r="BF55" s="64">
        <f t="shared" si="5"/>
        <v>8.9088661197993524E-3</v>
      </c>
      <c r="BR55" s="216">
        <v>3227.7241210000002</v>
      </c>
      <c r="BS55" s="64">
        <f t="shared" si="6"/>
        <v>1.1029376971670946E-2</v>
      </c>
      <c r="CE55" s="216">
        <v>3590.2524410000001</v>
      </c>
      <c r="CF55" s="64">
        <f t="shared" si="7"/>
        <v>5.5917400602875977E-2</v>
      </c>
    </row>
    <row r="56" spans="2:84" x14ac:dyDescent="0.25">
      <c r="B56" s="205">
        <v>44958</v>
      </c>
      <c r="C56" s="66"/>
      <c r="D56" s="203">
        <v>17303.949218999998</v>
      </c>
      <c r="E56" s="64">
        <f t="shared" si="0"/>
        <v>-2.0280722566065723E-2</v>
      </c>
      <c r="F56" s="64"/>
      <c r="G56" s="203">
        <v>143.21073899999999</v>
      </c>
      <c r="H56" s="64">
        <f t="shared" si="1"/>
        <v>-2.6755905823458659E-2</v>
      </c>
      <c r="T56" s="215">
        <v>8543.9472659999992</v>
      </c>
      <c r="U56" s="64">
        <f t="shared" si="2"/>
        <v>-3.0459887031171418E-2</v>
      </c>
      <c r="AE56" s="216">
        <v>1074.99585</v>
      </c>
      <c r="AF56" s="64">
        <f t="shared" si="3"/>
        <v>4.2006277209627241E-2</v>
      </c>
      <c r="AR56" s="216">
        <v>1256.4332280000001</v>
      </c>
      <c r="AS56" s="64">
        <f t="shared" si="4"/>
        <v>-7.916593760070112E-2</v>
      </c>
      <c r="BE56" s="216">
        <v>2331.3671880000002</v>
      </c>
      <c r="BF56" s="64">
        <f t="shared" si="5"/>
        <v>-0.12454533653489186</v>
      </c>
      <c r="BR56" s="216">
        <v>3071.9926759999998</v>
      </c>
      <c r="BS56" s="64">
        <f t="shared" si="6"/>
        <v>-4.8248065560123621E-2</v>
      </c>
      <c r="CE56" s="216">
        <v>3442.5803219999998</v>
      </c>
      <c r="CF56" s="64">
        <f t="shared" si="7"/>
        <v>-4.1131402715199883E-2</v>
      </c>
    </row>
    <row r="57" spans="2:84" x14ac:dyDescent="0.25">
      <c r="B57" s="205">
        <v>44986</v>
      </c>
      <c r="C57" s="66"/>
      <c r="D57" s="203">
        <v>17359.75</v>
      </c>
      <c r="E57" s="64">
        <f t="shared" si="0"/>
        <v>3.2247425309555044E-3</v>
      </c>
      <c r="F57" s="64"/>
      <c r="G57" s="203">
        <v>137.00985700000001</v>
      </c>
      <c r="H57" s="64">
        <f t="shared" si="1"/>
        <v>-4.3299001480608057E-2</v>
      </c>
      <c r="T57" s="215">
        <v>8214.8447269999997</v>
      </c>
      <c r="U57" s="64">
        <f t="shared" si="2"/>
        <v>-3.8518793334509249E-2</v>
      </c>
      <c r="AE57" s="216">
        <v>1077.1999510000001</v>
      </c>
      <c r="AF57" s="64">
        <f t="shared" si="3"/>
        <v>2.0503344268725243E-3</v>
      </c>
      <c r="AR57" s="216">
        <v>1146.68335</v>
      </c>
      <c r="AS57" s="64">
        <f t="shared" si="4"/>
        <v>-8.7350346643331633E-2</v>
      </c>
      <c r="BE57" s="216">
        <v>2321.2329100000002</v>
      </c>
      <c r="BF57" s="64">
        <f t="shared" si="5"/>
        <v>-4.3469248654450787E-3</v>
      </c>
      <c r="BR57" s="216">
        <v>2916.657471</v>
      </c>
      <c r="BS57" s="64">
        <f t="shared" si="6"/>
        <v>-5.0564965930276817E-2</v>
      </c>
      <c r="CE57" s="216">
        <v>3652.7817380000001</v>
      </c>
      <c r="CF57" s="64">
        <f t="shared" si="7"/>
        <v>6.105926262829553E-2</v>
      </c>
    </row>
    <row r="58" spans="2:84" x14ac:dyDescent="0.25">
      <c r="B58" s="205">
        <v>45017</v>
      </c>
      <c r="C58" s="66"/>
      <c r="D58" s="203">
        <v>18065</v>
      </c>
      <c r="E58" s="64">
        <f t="shared" si="0"/>
        <v>4.0625585045867663E-2</v>
      </c>
      <c r="F58" s="64"/>
      <c r="G58" s="203">
        <v>143.65365600000001</v>
      </c>
      <c r="H58" s="64">
        <f t="shared" si="1"/>
        <v>4.8491394308951108E-2</v>
      </c>
      <c r="T58" s="215">
        <v>8509.4716800000006</v>
      </c>
      <c r="U58" s="64">
        <f t="shared" si="2"/>
        <v>3.5865188301324791E-2</v>
      </c>
      <c r="AE58" s="216">
        <v>1138.349976</v>
      </c>
      <c r="AF58" s="64">
        <f t="shared" si="3"/>
        <v>5.6767571278881324E-2</v>
      </c>
      <c r="AR58" s="216">
        <v>1214.1761469999999</v>
      </c>
      <c r="AS58" s="64">
        <f t="shared" si="4"/>
        <v>5.8859141017439498E-2</v>
      </c>
      <c r="BE58" s="216">
        <v>2530.1323240000002</v>
      </c>
      <c r="BF58" s="64">
        <f t="shared" si="5"/>
        <v>8.9995025100690906E-2</v>
      </c>
      <c r="BR58" s="216">
        <v>3265.0620119999999</v>
      </c>
      <c r="BS58" s="64">
        <f t="shared" si="6"/>
        <v>0.11945336209827428</v>
      </c>
      <c r="CE58" s="216">
        <v>4167.3066410000001</v>
      </c>
      <c r="CF58" s="64">
        <f t="shared" si="7"/>
        <v>0.14085837586390171</v>
      </c>
    </row>
    <row r="59" spans="2:84" x14ac:dyDescent="0.25">
      <c r="B59" s="205">
        <v>45047</v>
      </c>
      <c r="C59" s="66"/>
      <c r="D59" s="203">
        <v>18534.400390999999</v>
      </c>
      <c r="E59" s="64">
        <f t="shared" si="0"/>
        <v>2.5983968502629295E-2</v>
      </c>
      <c r="F59" s="64"/>
      <c r="G59" s="203">
        <v>143.998154</v>
      </c>
      <c r="H59" s="64">
        <f t="shared" si="1"/>
        <v>2.398115088696251E-3</v>
      </c>
      <c r="T59" s="215">
        <v>9280.3671880000002</v>
      </c>
      <c r="U59" s="64">
        <f t="shared" si="2"/>
        <v>9.0592640411725212E-2</v>
      </c>
      <c r="AE59" s="216">
        <v>1302.8000489999999</v>
      </c>
      <c r="AF59" s="64">
        <f t="shared" si="3"/>
        <v>0.14446354501438496</v>
      </c>
      <c r="AR59" s="216">
        <v>1305.320923</v>
      </c>
      <c r="AS59" s="64">
        <f t="shared" si="4"/>
        <v>7.5067177217409187E-2</v>
      </c>
      <c r="BE59" s="216">
        <v>2729.1923830000001</v>
      </c>
      <c r="BF59" s="64">
        <f t="shared" si="5"/>
        <v>7.8675750320163829E-2</v>
      </c>
      <c r="BR59" s="216">
        <v>3631.8632809999999</v>
      </c>
      <c r="BS59" s="64">
        <f t="shared" si="6"/>
        <v>0.11234128713387515</v>
      </c>
      <c r="CE59" s="216">
        <v>4294.4335940000001</v>
      </c>
      <c r="CF59" s="64">
        <f t="shared" si="7"/>
        <v>3.050578321961317E-2</v>
      </c>
    </row>
    <row r="60" spans="2:84" x14ac:dyDescent="0.25">
      <c r="B60" s="205">
        <v>45078</v>
      </c>
      <c r="C60" s="66"/>
      <c r="D60" s="203">
        <v>19189.050781000002</v>
      </c>
      <c r="E60" s="64">
        <f t="shared" si="0"/>
        <v>3.5320829171138879E-2</v>
      </c>
      <c r="F60" s="64"/>
      <c r="G60" s="203">
        <v>164.76617400000001</v>
      </c>
      <c r="H60" s="64">
        <f t="shared" si="1"/>
        <v>0.14422420998535856</v>
      </c>
      <c r="T60" s="215">
        <v>9697.7890630000002</v>
      </c>
      <c r="U60" s="64">
        <f t="shared" si="2"/>
        <v>4.4979025780332194E-2</v>
      </c>
      <c r="AE60" s="216">
        <v>1325.650024</v>
      </c>
      <c r="AF60" s="64">
        <f t="shared" si="3"/>
        <v>1.7539126604684485E-2</v>
      </c>
      <c r="AR60" s="216">
        <v>1438.525024</v>
      </c>
      <c r="AS60" s="64">
        <f t="shared" si="4"/>
        <v>0.10204701284788964</v>
      </c>
      <c r="BE60" s="216">
        <v>2877.7214359999998</v>
      </c>
      <c r="BF60" s="64">
        <f t="shared" si="5"/>
        <v>5.4422346304782154E-2</v>
      </c>
      <c r="BR60" s="216">
        <v>3541.0161130000001</v>
      </c>
      <c r="BS60" s="64">
        <f t="shared" si="6"/>
        <v>-2.5013928380857364E-2</v>
      </c>
      <c r="CE60" s="216">
        <v>4411.4052730000003</v>
      </c>
      <c r="CF60" s="64">
        <f t="shared" si="7"/>
        <v>2.7237975961120542E-2</v>
      </c>
    </row>
    <row r="61" spans="2:84" x14ac:dyDescent="0.25">
      <c r="B61" s="205">
        <v>45108</v>
      </c>
      <c r="C61" s="66"/>
      <c r="D61" s="203">
        <v>19753.800781000002</v>
      </c>
      <c r="E61" s="64">
        <f t="shared" si="0"/>
        <v>2.9430846082245221E-2</v>
      </c>
      <c r="F61" s="64"/>
      <c r="G61" s="203">
        <v>181.104996</v>
      </c>
      <c r="H61" s="64">
        <f t="shared" si="1"/>
        <v>9.9163691207638349E-2</v>
      </c>
      <c r="T61" s="215">
        <v>9729.1933590000008</v>
      </c>
      <c r="U61" s="64">
        <f t="shared" si="2"/>
        <v>3.2382943984436974E-3</v>
      </c>
      <c r="AE61" s="216">
        <v>1376.6999510000001</v>
      </c>
      <c r="AF61" s="64">
        <f t="shared" si="3"/>
        <v>3.8509354713367472E-2</v>
      </c>
      <c r="AR61" s="216">
        <v>1459.901001</v>
      </c>
      <c r="AS61" s="64">
        <f t="shared" si="4"/>
        <v>1.4859649045632306E-2</v>
      </c>
      <c r="BE61" s="216">
        <v>3168.0546880000002</v>
      </c>
      <c r="BF61" s="64">
        <f t="shared" si="5"/>
        <v>0.10088997787206266</v>
      </c>
      <c r="BR61" s="216">
        <v>3328.758789</v>
      </c>
      <c r="BS61" s="64">
        <f t="shared" si="6"/>
        <v>-5.9942490298405482E-2</v>
      </c>
      <c r="CE61" s="216">
        <v>4931.3999020000001</v>
      </c>
      <c r="CF61" s="64">
        <f t="shared" si="7"/>
        <v>0.11787505269185439</v>
      </c>
    </row>
    <row r="62" spans="2:84" x14ac:dyDescent="0.25">
      <c r="B62" s="205">
        <v>45139</v>
      </c>
      <c r="C62" s="66"/>
      <c r="D62" s="203">
        <v>19253.800781000002</v>
      </c>
      <c r="E62" s="64">
        <f t="shared" si="0"/>
        <v>-2.5311584618233018E-2</v>
      </c>
      <c r="F62" s="64"/>
      <c r="G62" s="203">
        <v>183.85000600000001</v>
      </c>
      <c r="H62" s="64">
        <f t="shared" si="1"/>
        <v>1.5157008700080299E-2</v>
      </c>
      <c r="T62" s="215">
        <v>9910.5371090000008</v>
      </c>
      <c r="U62" s="64">
        <f t="shared" si="2"/>
        <v>1.8639135158337483E-2</v>
      </c>
      <c r="AE62" s="216">
        <v>1419.900024</v>
      </c>
      <c r="AF62" s="64">
        <f t="shared" si="3"/>
        <v>3.1379439629252825E-2</v>
      </c>
      <c r="AR62" s="216">
        <v>1575.400024</v>
      </c>
      <c r="AS62" s="64">
        <f t="shared" si="4"/>
        <v>7.9114284407563185E-2</v>
      </c>
      <c r="BE62" s="216">
        <v>2915.9499510000001</v>
      </c>
      <c r="BF62" s="64">
        <f t="shared" si="5"/>
        <v>-7.9577141756714598E-2</v>
      </c>
      <c r="BR62" s="216">
        <v>3300.1743160000001</v>
      </c>
      <c r="BS62" s="64">
        <f t="shared" si="6"/>
        <v>-8.5871265573397304E-3</v>
      </c>
      <c r="CE62" s="216">
        <v>4613.7998049999997</v>
      </c>
      <c r="CF62" s="64">
        <f t="shared" si="7"/>
        <v>-6.4403638583679479E-2</v>
      </c>
    </row>
    <row r="63" spans="2:84" x14ac:dyDescent="0.25">
      <c r="B63" s="205">
        <v>45170</v>
      </c>
      <c r="C63" s="66"/>
      <c r="D63" s="203">
        <v>19638.300781000002</v>
      </c>
      <c r="E63" s="64">
        <f t="shared" si="0"/>
        <v>1.9970083017553097E-2</v>
      </c>
      <c r="F63" s="64"/>
      <c r="G63" s="203">
        <v>177</v>
      </c>
      <c r="H63" s="64">
        <f t="shared" si="1"/>
        <v>-3.7258666175947863E-2</v>
      </c>
      <c r="T63" s="215">
        <v>10610.599609000001</v>
      </c>
      <c r="U63" s="64">
        <f t="shared" si="2"/>
        <v>7.0638199756525522E-2</v>
      </c>
      <c r="AE63" s="216">
        <v>1521.8000489999999</v>
      </c>
      <c r="AF63" s="64">
        <f t="shared" si="3"/>
        <v>7.1765633690840769E-2</v>
      </c>
      <c r="AR63" s="216">
        <v>1554.25</v>
      </c>
      <c r="AS63" s="64">
        <f t="shared" si="4"/>
        <v>-1.342517689335776E-2</v>
      </c>
      <c r="BE63" s="216">
        <v>3057.25</v>
      </c>
      <c r="BF63" s="64">
        <f t="shared" si="5"/>
        <v>4.8457638633866873E-2</v>
      </c>
      <c r="BR63" s="216">
        <v>3446.9499510000001</v>
      </c>
      <c r="BS63" s="64">
        <f t="shared" si="6"/>
        <v>4.4475115841123403E-2</v>
      </c>
      <c r="CE63" s="216">
        <v>5063.7001950000003</v>
      </c>
      <c r="CF63" s="64">
        <f t="shared" si="7"/>
        <v>9.7511901039234683E-2</v>
      </c>
    </row>
    <row r="64" spans="2:84" x14ac:dyDescent="0.25">
      <c r="B64" s="205">
        <v>45200</v>
      </c>
      <c r="C64" s="66"/>
      <c r="D64" s="203">
        <v>19079.599609000001</v>
      </c>
      <c r="E64" s="64">
        <f t="shared" si="0"/>
        <v>-2.8449567924967445E-2</v>
      </c>
      <c r="F64" s="64"/>
      <c r="G64" s="203">
        <v>167.699997</v>
      </c>
      <c r="H64" s="64">
        <f t="shared" si="1"/>
        <v>-5.2542389830508518E-2</v>
      </c>
      <c r="T64" s="215">
        <v>10392.299805000001</v>
      </c>
      <c r="U64" s="64">
        <f t="shared" si="2"/>
        <v>-2.0573748142832193E-2</v>
      </c>
      <c r="AE64" s="216">
        <v>1590.8000489999999</v>
      </c>
      <c r="AF64" s="64">
        <f t="shared" si="3"/>
        <v>4.5341042041193935E-2</v>
      </c>
      <c r="AR64" s="216">
        <v>1458.599976</v>
      </c>
      <c r="AS64" s="64">
        <f t="shared" si="4"/>
        <v>-6.1540951584365455E-2</v>
      </c>
      <c r="BE64" s="216">
        <v>3088.3500979999999</v>
      </c>
      <c r="BF64" s="64">
        <f t="shared" si="5"/>
        <v>1.0172572736936836E-2</v>
      </c>
      <c r="BR64" s="216">
        <v>3295.5500489999999</v>
      </c>
      <c r="BS64" s="64">
        <f t="shared" si="6"/>
        <v>-4.3922860544023057E-2</v>
      </c>
      <c r="CE64" s="216">
        <v>5314.0498049999997</v>
      </c>
      <c r="CF64" s="64">
        <f t="shared" si="7"/>
        <v>4.9440053786596438E-2</v>
      </c>
    </row>
    <row r="65" spans="2:84" x14ac:dyDescent="0.25">
      <c r="B65" s="205">
        <v>45231</v>
      </c>
      <c r="C65" s="66"/>
      <c r="D65" s="203">
        <v>20133.150390999999</v>
      </c>
      <c r="E65" s="64">
        <f t="shared" si="0"/>
        <v>5.5218704982835654E-2</v>
      </c>
      <c r="F65" s="64"/>
      <c r="G65" s="203">
        <v>183.14999399999999</v>
      </c>
      <c r="H65" s="64">
        <f t="shared" si="1"/>
        <v>9.212878519013934E-2</v>
      </c>
      <c r="T65" s="215">
        <v>10608.700194999999</v>
      </c>
      <c r="U65" s="64">
        <f t="shared" si="2"/>
        <v>2.0823147336057612E-2</v>
      </c>
      <c r="AE65" s="216">
        <v>1864.5</v>
      </c>
      <c r="AF65" s="64">
        <f t="shared" si="3"/>
        <v>0.17205176173589631</v>
      </c>
      <c r="AR65" s="216">
        <v>1647.75</v>
      </c>
      <c r="AS65" s="64">
        <f t="shared" si="4"/>
        <v>0.12967916297291926</v>
      </c>
      <c r="BE65" s="216">
        <v>3819.0500489999999</v>
      </c>
      <c r="BF65" s="64">
        <f t="shared" si="5"/>
        <v>0.23659880771716835</v>
      </c>
      <c r="BR65" s="216">
        <v>3896.8999020000001</v>
      </c>
      <c r="BS65" s="64">
        <f t="shared" si="6"/>
        <v>0.18247328793640194</v>
      </c>
      <c r="CE65" s="216">
        <v>6090.5498049999997</v>
      </c>
      <c r="CF65" s="64">
        <f t="shared" si="7"/>
        <v>0.14612207798078769</v>
      </c>
    </row>
    <row r="66" spans="2:84" x14ac:dyDescent="0.25">
      <c r="B66" s="205">
        <v>45261</v>
      </c>
      <c r="C66" s="66"/>
      <c r="D66" s="203">
        <v>21731.400390999999</v>
      </c>
      <c r="E66" s="64">
        <f t="shared" si="0"/>
        <v>7.9383999471560829E-2</v>
      </c>
      <c r="F66" s="64"/>
      <c r="G66" s="203">
        <v>181.550003</v>
      </c>
      <c r="H66" s="64">
        <f t="shared" si="1"/>
        <v>-8.735959882149813E-3</v>
      </c>
      <c r="T66" s="215">
        <v>10302.349609000001</v>
      </c>
      <c r="U66" s="64">
        <f t="shared" si="2"/>
        <v>-2.8877296970309829E-2</v>
      </c>
      <c r="AE66" s="216">
        <v>2025.8000489999999</v>
      </c>
      <c r="AF66" s="64">
        <f t="shared" si="3"/>
        <v>8.6511155269509254E-2</v>
      </c>
      <c r="AR66" s="216">
        <v>1729.400024</v>
      </c>
      <c r="AS66" s="64">
        <f t="shared" si="4"/>
        <v>4.9552434531937584E-2</v>
      </c>
      <c r="BE66" s="216">
        <v>4139.5498049999997</v>
      </c>
      <c r="BF66" s="64">
        <f t="shared" si="5"/>
        <v>8.3921329096988684E-2</v>
      </c>
      <c r="BR66" s="216">
        <v>4143.5</v>
      </c>
      <c r="BS66" s="64">
        <f t="shared" si="6"/>
        <v>6.3281096307718165E-2</v>
      </c>
      <c r="CE66" s="216">
        <v>6797.25</v>
      </c>
      <c r="CF66" s="64">
        <f t="shared" si="7"/>
        <v>0.11603224957126845</v>
      </c>
    </row>
    <row r="67" spans="2:84" x14ac:dyDescent="0.25">
      <c r="B67" s="205">
        <v>45292</v>
      </c>
      <c r="C67" s="66"/>
      <c r="D67" s="203">
        <v>21725.699218999998</v>
      </c>
      <c r="E67" s="64">
        <f t="shared" si="0"/>
        <v>-2.6234719794504535E-4</v>
      </c>
      <c r="F67" s="64"/>
      <c r="G67" s="203">
        <v>175.89999399999999</v>
      </c>
      <c r="H67" s="64">
        <f t="shared" si="1"/>
        <v>-3.1120952391281542E-2</v>
      </c>
      <c r="T67" s="215">
        <v>10186.900390999999</v>
      </c>
      <c r="U67" s="64">
        <f t="shared" si="2"/>
        <v>-1.1206105634305685E-2</v>
      </c>
      <c r="AE67" s="216">
        <v>2001.349976</v>
      </c>
      <c r="AF67" s="64">
        <f t="shared" si="3"/>
        <v>-1.2069341696417379E-2</v>
      </c>
      <c r="AR67" s="216">
        <v>1651.5500489999999</v>
      </c>
      <c r="AS67" s="64">
        <f t="shared" si="4"/>
        <v>-4.5015597270513297E-2</v>
      </c>
      <c r="BE67" s="216">
        <v>4621.5498049999997</v>
      </c>
      <c r="BF67" s="64">
        <f t="shared" si="5"/>
        <v>0.11643778253804582</v>
      </c>
      <c r="BR67" s="216">
        <v>3839.6000979999999</v>
      </c>
      <c r="BS67" s="64">
        <f t="shared" si="6"/>
        <v>-7.3343767829129991E-2</v>
      </c>
      <c r="CE67" s="216">
        <v>7667.5498049999997</v>
      </c>
      <c r="CF67" s="64">
        <f t="shared" si="7"/>
        <v>0.12803704512854464</v>
      </c>
    </row>
    <row r="68" spans="2:84" x14ac:dyDescent="0.25">
      <c r="B68" s="205">
        <v>45323</v>
      </c>
      <c r="C68" s="66"/>
      <c r="D68" s="203">
        <v>21930.5</v>
      </c>
      <c r="E68" s="64">
        <f t="shared" si="0"/>
        <v>9.4266600552443958E-3</v>
      </c>
      <c r="F68" s="64"/>
      <c r="G68" s="203">
        <v>177.800003</v>
      </c>
      <c r="H68" s="64">
        <f t="shared" si="1"/>
        <v>1.0801643347412515E-2</v>
      </c>
      <c r="T68" s="215">
        <v>10743.900390999999</v>
      </c>
      <c r="U68" s="64">
        <f t="shared" si="2"/>
        <v>5.4678064830407269E-2</v>
      </c>
      <c r="AE68" s="216">
        <v>2033.75</v>
      </c>
      <c r="AF68" s="64">
        <f t="shared" si="3"/>
        <v>1.6189084562189482E-2</v>
      </c>
      <c r="AR68" s="216">
        <v>1685.900024</v>
      </c>
      <c r="AS68" s="64">
        <f t="shared" si="4"/>
        <v>2.0798627943972248E-2</v>
      </c>
      <c r="BE68" s="216">
        <v>4807.8999020000001</v>
      </c>
      <c r="BF68" s="64">
        <f t="shared" si="5"/>
        <v>4.0321992591833666E-2</v>
      </c>
      <c r="BR68" s="216">
        <v>3807.3000489999999</v>
      </c>
      <c r="BS68" s="64">
        <f t="shared" si="6"/>
        <v>-8.4123471652228776E-3</v>
      </c>
      <c r="CE68" s="216">
        <v>7757.25</v>
      </c>
      <c r="CF68" s="64">
        <f t="shared" si="7"/>
        <v>1.1698677841193383E-2</v>
      </c>
    </row>
  </sheetData>
  <mergeCells count="16">
    <mergeCell ref="BR6:BS6"/>
    <mergeCell ref="BU6:BV6"/>
    <mergeCell ref="CE6:CF6"/>
    <mergeCell ref="CH6:CI6"/>
    <mergeCell ref="AH6:AI6"/>
    <mergeCell ref="AR6:AS6"/>
    <mergeCell ref="AU6:AV6"/>
    <mergeCell ref="BE6:BF6"/>
    <mergeCell ref="BH6:BI6"/>
    <mergeCell ref="AE6:AF6"/>
    <mergeCell ref="W6:X6"/>
    <mergeCell ref="B4:E4"/>
    <mergeCell ref="D6:E6"/>
    <mergeCell ref="G6:H6"/>
    <mergeCell ref="J6:K6"/>
    <mergeCell ref="T6:U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8CB4-CD70-4F37-BA89-65B0DB4189AD}">
  <dimension ref="B2:Q41"/>
  <sheetViews>
    <sheetView showGridLines="0" topLeftCell="C1" workbookViewId="0">
      <selection activeCell="K12" sqref="K12"/>
    </sheetView>
  </sheetViews>
  <sheetFormatPr defaultRowHeight="15" x14ac:dyDescent="0.25"/>
  <cols>
    <col min="1" max="1" width="1.85546875" customWidth="1"/>
    <col min="2" max="2" width="5.7109375" bestFit="1" customWidth="1"/>
    <col min="3" max="3" width="16.85546875" bestFit="1" customWidth="1"/>
    <col min="4" max="4" width="9" bestFit="1" customWidth="1"/>
    <col min="5" max="5" width="16.5703125" bestFit="1" customWidth="1"/>
    <col min="6" max="6" width="10.7109375" bestFit="1" customWidth="1"/>
    <col min="7" max="7" width="14.42578125" bestFit="1" customWidth="1"/>
    <col min="8" max="8" width="10" bestFit="1" customWidth="1"/>
    <col min="9" max="9" width="11" bestFit="1" customWidth="1"/>
    <col min="10" max="10" width="13.28515625" bestFit="1" customWidth="1"/>
    <col min="11" max="11" width="14.140625" bestFit="1" customWidth="1"/>
    <col min="12" max="12" width="15.5703125" bestFit="1" customWidth="1"/>
    <col min="13" max="13" width="11.28515625" bestFit="1" customWidth="1"/>
    <col min="14" max="14" width="9.5703125" bestFit="1" customWidth="1"/>
    <col min="16" max="16" width="14.140625" bestFit="1" customWidth="1"/>
  </cols>
  <sheetData>
    <row r="2" spans="2:17" x14ac:dyDescent="0.25">
      <c r="B2" s="230" t="str">
        <f>'Data Sheet'!B1&amp;" - "&amp; "Peer Comparison"</f>
        <v>TATA MOTORS LTD - Peer Comparison</v>
      </c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</row>
    <row r="4" spans="2:17" x14ac:dyDescent="0.25">
      <c r="B4" s="169" t="s">
        <v>244</v>
      </c>
      <c r="C4" s="169" t="s">
        <v>245</v>
      </c>
      <c r="D4" s="169" t="s">
        <v>246</v>
      </c>
      <c r="E4" s="169" t="s">
        <v>247</v>
      </c>
      <c r="F4" s="169" t="s">
        <v>248</v>
      </c>
      <c r="G4" s="169" t="s">
        <v>249</v>
      </c>
      <c r="I4" s="169" t="s">
        <v>264</v>
      </c>
      <c r="J4" s="169" t="s">
        <v>137</v>
      </c>
    </row>
    <row r="5" spans="2:17" x14ac:dyDescent="0.25">
      <c r="B5" s="169">
        <v>1</v>
      </c>
      <c r="C5" s="169" t="s">
        <v>209</v>
      </c>
      <c r="D5" s="169">
        <v>913.2</v>
      </c>
      <c r="E5" s="169">
        <v>334175.77</v>
      </c>
      <c r="F5" s="169">
        <v>127864.3</v>
      </c>
      <c r="G5" s="169">
        <v>2.38</v>
      </c>
      <c r="I5" s="217">
        <v>10225</v>
      </c>
      <c r="J5" s="14">
        <f>I5/F5</f>
        <v>7.996759064101551E-2</v>
      </c>
    </row>
    <row r="6" spans="2:17" x14ac:dyDescent="0.25">
      <c r="B6" s="169">
        <v>2</v>
      </c>
      <c r="C6" s="169" t="s">
        <v>243</v>
      </c>
      <c r="D6" s="169">
        <v>10721.85</v>
      </c>
      <c r="E6" s="169">
        <v>337097.74</v>
      </c>
      <c r="F6" s="169">
        <v>392.5</v>
      </c>
      <c r="G6" s="169">
        <v>0.01</v>
      </c>
      <c r="I6" s="75"/>
    </row>
    <row r="7" spans="2:17" x14ac:dyDescent="0.25">
      <c r="B7" s="169">
        <v>3</v>
      </c>
      <c r="C7" s="169" t="s">
        <v>250</v>
      </c>
      <c r="D7" s="169">
        <v>7749.75</v>
      </c>
      <c r="E7" s="169">
        <v>219457.23</v>
      </c>
      <c r="F7" s="169">
        <v>125.04</v>
      </c>
      <c r="G7" s="169">
        <v>0</v>
      </c>
    </row>
    <row r="8" spans="2:17" x14ac:dyDescent="0.25">
      <c r="B8" s="169">
        <v>4</v>
      </c>
      <c r="C8" s="169" t="s">
        <v>251</v>
      </c>
      <c r="D8" s="169">
        <v>1647.8</v>
      </c>
      <c r="E8" s="169">
        <v>204908.65</v>
      </c>
      <c r="F8" s="169">
        <v>99711.679999999993</v>
      </c>
      <c r="G8" s="169">
        <v>1.65</v>
      </c>
    </row>
    <row r="9" spans="2:17" x14ac:dyDescent="0.25">
      <c r="B9" s="169">
        <v>5</v>
      </c>
      <c r="C9" s="169" t="s">
        <v>252</v>
      </c>
      <c r="D9" s="169">
        <v>3813.6</v>
      </c>
      <c r="E9" s="169">
        <v>104407.05</v>
      </c>
      <c r="F9" s="169">
        <v>416.16</v>
      </c>
      <c r="G9" s="169">
        <v>0.03</v>
      </c>
    </row>
    <row r="10" spans="2:17" x14ac:dyDescent="0.25">
      <c r="B10" s="169">
        <v>6</v>
      </c>
      <c r="C10" s="169" t="s">
        <v>253</v>
      </c>
      <c r="D10" s="169">
        <v>4860.75</v>
      </c>
      <c r="E10" s="169">
        <v>97160.17</v>
      </c>
      <c r="F10" s="169">
        <v>650.89</v>
      </c>
      <c r="G10" s="169">
        <v>0.04</v>
      </c>
    </row>
    <row r="11" spans="2:17" x14ac:dyDescent="0.25">
      <c r="B11" s="169">
        <v>7</v>
      </c>
      <c r="C11" s="169" t="s">
        <v>254</v>
      </c>
      <c r="D11" s="169">
        <v>2023.35</v>
      </c>
      <c r="E11" s="169">
        <v>96129.37</v>
      </c>
      <c r="F11" s="169">
        <v>12852.6</v>
      </c>
      <c r="G11" s="169">
        <v>2.0299999999999998</v>
      </c>
    </row>
    <row r="12" spans="2:17" x14ac:dyDescent="0.25">
      <c r="B12" s="169">
        <v>8</v>
      </c>
      <c r="C12" s="169" t="s">
        <v>131</v>
      </c>
      <c r="D12" s="169">
        <v>173.45</v>
      </c>
      <c r="E12" s="169">
        <v>50927.13</v>
      </c>
      <c r="F12" s="169">
        <v>34391.620000000003</v>
      </c>
      <c r="G12" s="169">
        <v>3.87</v>
      </c>
    </row>
    <row r="14" spans="2:17" x14ac:dyDescent="0.25">
      <c r="B14" s="230" t="str">
        <f>'Data Sheet'!B1&amp;" - "&amp; "PEER VALUATION"</f>
        <v>TATA MOTORS LTD - PEER VALUATION</v>
      </c>
      <c r="C14" s="230"/>
      <c r="D14" s="230"/>
      <c r="E14" s="230"/>
      <c r="F14" s="230"/>
      <c r="G14" s="230"/>
      <c r="H14" s="230"/>
      <c r="I14" s="230"/>
      <c r="J14" s="230"/>
      <c r="K14" s="230"/>
      <c r="L14" s="230"/>
      <c r="M14" s="230"/>
    </row>
    <row r="16" spans="2:17" x14ac:dyDescent="0.25">
      <c r="B16" s="169" t="s">
        <v>244</v>
      </c>
      <c r="C16" s="169" t="s">
        <v>245</v>
      </c>
      <c r="D16" s="218" t="s">
        <v>246</v>
      </c>
      <c r="E16" s="218" t="s">
        <v>352</v>
      </c>
      <c r="F16" s="218" t="s">
        <v>368</v>
      </c>
      <c r="G16" s="218" t="s">
        <v>248</v>
      </c>
      <c r="H16" s="218" t="s">
        <v>353</v>
      </c>
      <c r="I16" s="218" t="s">
        <v>346</v>
      </c>
      <c r="J16" s="218" t="s">
        <v>354</v>
      </c>
      <c r="K16" s="218" t="s">
        <v>355</v>
      </c>
      <c r="L16" s="218" t="s">
        <v>356</v>
      </c>
      <c r="M16" s="218" t="s">
        <v>369</v>
      </c>
      <c r="N16" s="218" t="s">
        <v>13</v>
      </c>
      <c r="O16" s="218" t="s">
        <v>370</v>
      </c>
      <c r="P16" s="218" t="s">
        <v>247</v>
      </c>
      <c r="Q16" s="218" t="s">
        <v>345</v>
      </c>
    </row>
    <row r="17" spans="2:17" x14ac:dyDescent="0.25">
      <c r="B17" s="169">
        <v>1</v>
      </c>
      <c r="C17" s="169" t="s">
        <v>209</v>
      </c>
      <c r="D17" s="218">
        <v>915</v>
      </c>
      <c r="E17" s="218">
        <v>332.33</v>
      </c>
      <c r="F17" s="75">
        <f>E17*D17</f>
        <v>304081.95</v>
      </c>
      <c r="G17" s="218">
        <v>127864.3</v>
      </c>
      <c r="H17" s="218">
        <v>37015.56</v>
      </c>
      <c r="I17" s="75">
        <f>F17+G17-H17</f>
        <v>394930.69</v>
      </c>
      <c r="J17" s="218">
        <v>422152.08</v>
      </c>
      <c r="K17" s="218">
        <v>423873.81</v>
      </c>
      <c r="L17" s="218">
        <v>19774.2</v>
      </c>
      <c r="M17" s="218">
        <v>61584.44</v>
      </c>
      <c r="N17" s="75">
        <f t="shared" ref="N17:N24" si="0">J17/O17</f>
        <v>61628.040875912411</v>
      </c>
      <c r="O17" s="218">
        <v>6.85</v>
      </c>
      <c r="P17" s="218">
        <v>334841.95</v>
      </c>
      <c r="Q17" s="75">
        <f t="shared" ref="Q17:Q24" si="1">G17-H17</f>
        <v>90848.74</v>
      </c>
    </row>
    <row r="18" spans="2:17" x14ac:dyDescent="0.25">
      <c r="B18" s="169">
        <v>2</v>
      </c>
      <c r="C18" s="169" t="s">
        <v>243</v>
      </c>
      <c r="D18" s="218">
        <v>10732.85</v>
      </c>
      <c r="E18" s="218">
        <v>31.44</v>
      </c>
      <c r="F18" s="75">
        <f>E18*D18</f>
        <v>337440.804</v>
      </c>
      <c r="G18" s="218">
        <v>392.5</v>
      </c>
      <c r="H18" s="218">
        <v>41.6</v>
      </c>
      <c r="I18" s="75">
        <f>F18+G18-H18</f>
        <v>337791.70400000003</v>
      </c>
      <c r="J18" s="218">
        <v>337337.37</v>
      </c>
      <c r="K18" s="218">
        <v>135250.20000000001</v>
      </c>
      <c r="L18" s="218">
        <v>12188.8</v>
      </c>
      <c r="M18" s="218">
        <v>19930.400000000001</v>
      </c>
      <c r="N18" s="75">
        <f t="shared" si="0"/>
        <v>19925.420555227407</v>
      </c>
      <c r="O18" s="218">
        <v>16.93</v>
      </c>
      <c r="P18" s="218">
        <v>337443.57</v>
      </c>
      <c r="Q18" s="75">
        <f t="shared" si="1"/>
        <v>350.9</v>
      </c>
    </row>
    <row r="19" spans="2:17" x14ac:dyDescent="0.25">
      <c r="B19" s="169">
        <v>3</v>
      </c>
      <c r="C19" s="169" t="s">
        <v>250</v>
      </c>
      <c r="D19" s="218">
        <v>7784.85</v>
      </c>
      <c r="E19" s="218">
        <v>28.32</v>
      </c>
      <c r="F19" s="75">
        <f t="shared" ref="F19:F41" si="2">E19*D19</f>
        <v>220466.95200000002</v>
      </c>
      <c r="G19" s="218">
        <v>125.04</v>
      </c>
      <c r="H19" s="218">
        <v>690.48</v>
      </c>
      <c r="I19" s="75">
        <f t="shared" ref="I19:I41" si="3">F19+G19-H19</f>
        <v>219901.51200000002</v>
      </c>
      <c r="J19" s="218">
        <v>219216.09</v>
      </c>
      <c r="K19" s="218">
        <v>42244.71</v>
      </c>
      <c r="L19" s="218">
        <v>7401.55</v>
      </c>
      <c r="M19" s="218">
        <v>9988.85</v>
      </c>
      <c r="N19" s="75">
        <f t="shared" si="0"/>
        <v>9987.0656036446471</v>
      </c>
      <c r="O19" s="218">
        <v>21.95</v>
      </c>
      <c r="P19" s="218">
        <v>220451.19</v>
      </c>
      <c r="Q19" s="75">
        <f t="shared" si="1"/>
        <v>-565.44000000000005</v>
      </c>
    </row>
    <row r="20" spans="2:17" x14ac:dyDescent="0.25">
      <c r="B20" s="169">
        <v>4</v>
      </c>
      <c r="C20" s="169" t="s">
        <v>251</v>
      </c>
      <c r="D20" s="218">
        <v>1646.4</v>
      </c>
      <c r="E20" s="218">
        <v>124.35</v>
      </c>
      <c r="F20" s="75">
        <f t="shared" si="2"/>
        <v>204729.84</v>
      </c>
      <c r="G20" s="218">
        <v>99711.679999999993</v>
      </c>
      <c r="H20" s="218">
        <v>11273.43</v>
      </c>
      <c r="I20" s="75">
        <f t="shared" si="3"/>
        <v>293168.09000000003</v>
      </c>
      <c r="J20" s="218">
        <v>294714.38</v>
      </c>
      <c r="K20" s="218">
        <v>131402.99</v>
      </c>
      <c r="L20" s="218">
        <v>12160.24</v>
      </c>
      <c r="M20" s="218">
        <v>26090.54</v>
      </c>
      <c r="N20" s="75">
        <f t="shared" si="0"/>
        <v>26080.918584070794</v>
      </c>
      <c r="O20" s="218">
        <v>11.3</v>
      </c>
      <c r="P20" s="218">
        <v>204734.59</v>
      </c>
      <c r="Q20" s="75">
        <f t="shared" si="1"/>
        <v>88438.25</v>
      </c>
    </row>
    <row r="21" spans="2:17" x14ac:dyDescent="0.25">
      <c r="B21" s="169">
        <v>5</v>
      </c>
      <c r="C21" s="169" t="s">
        <v>252</v>
      </c>
      <c r="D21" s="218">
        <v>3840.95</v>
      </c>
      <c r="E21" s="218">
        <v>27.38</v>
      </c>
      <c r="F21" s="75">
        <f t="shared" si="2"/>
        <v>105165.211</v>
      </c>
      <c r="G21" s="218">
        <v>416.16</v>
      </c>
      <c r="H21" s="218">
        <v>857.12</v>
      </c>
      <c r="I21" s="75">
        <f t="shared" si="3"/>
        <v>104724.251</v>
      </c>
      <c r="J21" s="218">
        <v>104343.85</v>
      </c>
      <c r="K21" s="218">
        <v>15626.22</v>
      </c>
      <c r="L21" s="218">
        <v>3581.01</v>
      </c>
      <c r="M21" s="218">
        <v>5253.03</v>
      </c>
      <c r="N21" s="75">
        <f t="shared" si="0"/>
        <v>5253.9702920443106</v>
      </c>
      <c r="O21" s="218">
        <v>19.86</v>
      </c>
      <c r="P21" s="218">
        <v>105155.8</v>
      </c>
      <c r="Q21" s="75">
        <f t="shared" si="1"/>
        <v>-440.96</v>
      </c>
    </row>
    <row r="22" spans="2:17" x14ac:dyDescent="0.25">
      <c r="B22" s="169">
        <v>6</v>
      </c>
      <c r="C22" s="169" t="s">
        <v>253</v>
      </c>
      <c r="D22" s="218">
        <v>4908.8500000000004</v>
      </c>
      <c r="E22" s="218">
        <v>19.989999999999998</v>
      </c>
      <c r="F22" s="75">
        <f t="shared" si="2"/>
        <v>98127.911500000002</v>
      </c>
      <c r="G22" s="218">
        <v>650.89</v>
      </c>
      <c r="H22" s="218">
        <v>422.8</v>
      </c>
      <c r="I22" s="75">
        <f t="shared" si="3"/>
        <v>98356.001499999998</v>
      </c>
      <c r="J22" s="218">
        <v>98299.61</v>
      </c>
      <c r="K22" s="218">
        <v>36606.22</v>
      </c>
      <c r="L22" s="218">
        <v>3609.5</v>
      </c>
      <c r="M22" s="218">
        <v>5914.62</v>
      </c>
      <c r="N22" s="75">
        <f t="shared" si="0"/>
        <v>5914.5373044524667</v>
      </c>
      <c r="O22" s="218">
        <v>16.62</v>
      </c>
      <c r="P22" s="218">
        <v>98138.58</v>
      </c>
      <c r="Q22" s="75">
        <f t="shared" si="1"/>
        <v>228.08999999999997</v>
      </c>
    </row>
    <row r="23" spans="2:17" x14ac:dyDescent="0.25">
      <c r="B23" s="169">
        <v>7</v>
      </c>
      <c r="C23" s="169" t="s">
        <v>254</v>
      </c>
      <c r="D23" s="218">
        <v>2037.6</v>
      </c>
      <c r="E23" s="218">
        <v>47.51</v>
      </c>
      <c r="F23" s="75">
        <f t="shared" si="2"/>
        <v>96806.375999999989</v>
      </c>
      <c r="G23" s="218">
        <v>12852.6</v>
      </c>
      <c r="H23" s="218">
        <v>1879.11</v>
      </c>
      <c r="I23" s="75">
        <f t="shared" si="3"/>
        <v>107779.86599999999</v>
      </c>
      <c r="J23" s="218">
        <v>106837.51</v>
      </c>
      <c r="K23" s="218">
        <v>37133.67</v>
      </c>
      <c r="L23" s="218">
        <v>1702.68</v>
      </c>
      <c r="M23" s="218">
        <v>5290.24</v>
      </c>
      <c r="N23" s="75">
        <f t="shared" si="0"/>
        <v>5288.985643564356</v>
      </c>
      <c r="O23" s="218">
        <v>20.2</v>
      </c>
      <c r="P23" s="218">
        <v>96806.38</v>
      </c>
      <c r="Q23" s="75">
        <f t="shared" si="1"/>
        <v>10973.49</v>
      </c>
    </row>
    <row r="24" spans="2:17" x14ac:dyDescent="0.25">
      <c r="B24" s="169">
        <v>8</v>
      </c>
      <c r="C24" s="169" t="s">
        <v>131</v>
      </c>
      <c r="D24" s="218">
        <v>173.45</v>
      </c>
      <c r="E24" s="218">
        <v>293.61</v>
      </c>
      <c r="F24" s="75">
        <f t="shared" si="2"/>
        <v>50926.654499999997</v>
      </c>
      <c r="G24" s="218">
        <v>34391.620000000003</v>
      </c>
      <c r="H24" s="218">
        <v>2186.7199999999998</v>
      </c>
      <c r="I24" s="75">
        <f t="shared" si="3"/>
        <v>83131.554499999998</v>
      </c>
      <c r="J24" s="218">
        <v>82914.960000000006</v>
      </c>
      <c r="K24" s="218">
        <v>45415.61</v>
      </c>
      <c r="L24" s="218">
        <v>2565.36</v>
      </c>
      <c r="M24" s="218">
        <v>7452.46</v>
      </c>
      <c r="N24" s="75">
        <f t="shared" si="0"/>
        <v>7449.6819407008088</v>
      </c>
      <c r="O24" s="218">
        <v>11.13</v>
      </c>
      <c r="P24" s="218">
        <v>50927.13</v>
      </c>
      <c r="Q24" s="75">
        <f t="shared" si="1"/>
        <v>32204.9</v>
      </c>
    </row>
    <row r="27" spans="2:17" x14ac:dyDescent="0.25"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</row>
    <row r="28" spans="2:17" x14ac:dyDescent="0.25"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</row>
    <row r="29" spans="2:17" x14ac:dyDescent="0.25"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</row>
    <row r="30" spans="2:17" x14ac:dyDescent="0.25"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</row>
    <row r="31" spans="2:17" x14ac:dyDescent="0.25">
      <c r="B31" s="169">
        <v>9</v>
      </c>
      <c r="C31" s="169" t="s">
        <v>357</v>
      </c>
      <c r="D31" s="218">
        <v>2807.25</v>
      </c>
      <c r="E31" s="218">
        <v>11.05</v>
      </c>
      <c r="F31" s="75">
        <f>E31*D31</f>
        <v>31020.112500000003</v>
      </c>
      <c r="G31" s="218">
        <v>53.32</v>
      </c>
      <c r="H31" s="218">
        <v>471.9</v>
      </c>
      <c r="I31" s="75">
        <f>F31+G31-H31</f>
        <v>30601.532500000001</v>
      </c>
      <c r="J31" s="218">
        <v>30425.19</v>
      </c>
      <c r="K31" s="218">
        <v>8970.57</v>
      </c>
      <c r="L31" s="218">
        <v>1013.65</v>
      </c>
      <c r="M31" s="218">
        <v>1520.45</v>
      </c>
      <c r="N31" s="75">
        <f t="shared" ref="N31:N41" si="4">J31/O31</f>
        <v>1520.4992503748124</v>
      </c>
      <c r="O31" s="218">
        <v>20.010000000000002</v>
      </c>
      <c r="P31" s="218">
        <v>31019.62</v>
      </c>
    </row>
    <row r="32" spans="2:17" x14ac:dyDescent="0.25">
      <c r="B32" s="169">
        <v>10</v>
      </c>
      <c r="C32" s="169" t="s">
        <v>358</v>
      </c>
      <c r="D32" s="218">
        <v>605</v>
      </c>
      <c r="E32" s="218">
        <v>50.85</v>
      </c>
      <c r="F32" s="75">
        <f>E32*D32</f>
        <v>30764.25</v>
      </c>
      <c r="G32" s="218">
        <v>121001.62</v>
      </c>
      <c r="H32" s="218">
        <v>46792.46</v>
      </c>
      <c r="I32" s="75">
        <f>F32+G32-H32</f>
        <v>104973.41</v>
      </c>
      <c r="J32" s="218">
        <v>104973.59</v>
      </c>
      <c r="K32" s="218">
        <v>249794.75</v>
      </c>
      <c r="L32" s="218">
        <v>-13395.1</v>
      </c>
      <c r="M32" s="218">
        <v>34932.620000000003</v>
      </c>
      <c r="N32" s="75">
        <f t="shared" si="4"/>
        <v>34874.946843853824</v>
      </c>
      <c r="O32" s="218">
        <v>3.01</v>
      </c>
      <c r="P32" s="218">
        <v>30764.43</v>
      </c>
    </row>
    <row r="33" spans="2:16" x14ac:dyDescent="0.25">
      <c r="B33" s="169">
        <v>11</v>
      </c>
      <c r="C33" s="169" t="s">
        <v>359</v>
      </c>
      <c r="D33" s="218">
        <v>1999.75</v>
      </c>
      <c r="E33" s="218">
        <v>8.2100000000000009</v>
      </c>
      <c r="F33" s="75">
        <f t="shared" si="2"/>
        <v>16417.947500000002</v>
      </c>
      <c r="G33" s="218">
        <v>130.94</v>
      </c>
      <c r="H33" s="218">
        <v>167.22</v>
      </c>
      <c r="I33" s="75">
        <f t="shared" si="3"/>
        <v>16381.667500000001</v>
      </c>
      <c r="J33" s="218">
        <v>16368.17</v>
      </c>
      <c r="K33" s="218">
        <v>1241.23</v>
      </c>
      <c r="L33" s="218">
        <v>91.28</v>
      </c>
      <c r="M33" s="218">
        <v>194.58</v>
      </c>
      <c r="N33" s="75">
        <f t="shared" si="4"/>
        <v>194.58119353304801</v>
      </c>
      <c r="O33" s="218">
        <v>84.12</v>
      </c>
      <c r="P33" s="218">
        <v>16414.099999999999</v>
      </c>
    </row>
    <row r="34" spans="2:16" x14ac:dyDescent="0.25">
      <c r="B34" s="169">
        <v>12</v>
      </c>
      <c r="C34" s="169" t="s">
        <v>360</v>
      </c>
      <c r="D34" s="218">
        <v>4138.1499999999996</v>
      </c>
      <c r="E34" s="218">
        <v>1.32</v>
      </c>
      <c r="F34" s="75">
        <f t="shared" si="2"/>
        <v>5462.3580000000002</v>
      </c>
      <c r="G34" s="218">
        <v>727.83</v>
      </c>
      <c r="H34" s="218">
        <v>141.34</v>
      </c>
      <c r="I34" s="75">
        <f t="shared" si="3"/>
        <v>6048.848</v>
      </c>
      <c r="J34" s="218">
        <v>5719.11</v>
      </c>
      <c r="K34" s="218">
        <v>6083.34</v>
      </c>
      <c r="L34" s="218">
        <v>293.52999999999997</v>
      </c>
      <c r="M34" s="218">
        <v>633.45000000000005</v>
      </c>
      <c r="N34" s="75">
        <f t="shared" si="4"/>
        <v>633.34551495016615</v>
      </c>
      <c r="O34" s="218">
        <v>9.0299999999999994</v>
      </c>
      <c r="P34" s="218">
        <v>5454.08</v>
      </c>
    </row>
    <row r="35" spans="2:16" x14ac:dyDescent="0.25">
      <c r="B35" s="169">
        <v>13</v>
      </c>
      <c r="C35" s="169" t="s">
        <v>361</v>
      </c>
      <c r="D35" s="218">
        <v>3102.3</v>
      </c>
      <c r="E35" s="218">
        <v>0.86</v>
      </c>
      <c r="F35" s="75">
        <f t="shared" si="2"/>
        <v>2667.9780000000001</v>
      </c>
      <c r="G35" s="218">
        <v>1.63</v>
      </c>
      <c r="H35" s="218">
        <v>28.14</v>
      </c>
      <c r="I35" s="75">
        <f t="shared" si="3"/>
        <v>2641.4680000000003</v>
      </c>
      <c r="J35" s="218">
        <v>2664.21</v>
      </c>
      <c r="K35" s="218">
        <v>1017.22</v>
      </c>
      <c r="L35" s="218">
        <v>126.54</v>
      </c>
      <c r="M35" s="218">
        <v>194.33</v>
      </c>
      <c r="N35" s="75">
        <f t="shared" si="4"/>
        <v>194.32603938730853</v>
      </c>
      <c r="O35" s="218">
        <v>13.71</v>
      </c>
      <c r="P35" s="218">
        <v>2680.24</v>
      </c>
    </row>
    <row r="36" spans="2:16" x14ac:dyDescent="0.25">
      <c r="B36" s="169">
        <v>14</v>
      </c>
      <c r="C36" s="169" t="s">
        <v>362</v>
      </c>
      <c r="D36" s="218">
        <v>1528.1</v>
      </c>
      <c r="E36" s="218">
        <v>1.45</v>
      </c>
      <c r="F36" s="75">
        <f t="shared" si="2"/>
        <v>2215.7449999999999</v>
      </c>
      <c r="G36" s="218">
        <v>255.07</v>
      </c>
      <c r="H36" s="218">
        <v>5.84</v>
      </c>
      <c r="I36" s="75">
        <f t="shared" si="3"/>
        <v>2464.9749999999999</v>
      </c>
      <c r="J36" s="218">
        <v>2459.54</v>
      </c>
      <c r="K36" s="218">
        <v>2099.5500000000002</v>
      </c>
      <c r="L36" s="218">
        <v>82.35</v>
      </c>
      <c r="M36" s="218">
        <v>155.99</v>
      </c>
      <c r="N36" s="75">
        <f t="shared" si="4"/>
        <v>155.96322130627775</v>
      </c>
      <c r="O36" s="218">
        <v>15.77</v>
      </c>
      <c r="P36" s="218">
        <v>2211.16</v>
      </c>
    </row>
    <row r="37" spans="2:16" x14ac:dyDescent="0.25">
      <c r="B37" s="169">
        <v>15</v>
      </c>
      <c r="C37" s="169" t="s">
        <v>363</v>
      </c>
      <c r="D37" s="218">
        <v>70.180000000000007</v>
      </c>
      <c r="E37" s="218">
        <v>26.07</v>
      </c>
      <c r="F37" s="75">
        <f t="shared" si="2"/>
        <v>1829.5926000000002</v>
      </c>
      <c r="G37" s="218">
        <v>48.72</v>
      </c>
      <c r="H37" s="218">
        <v>11.04</v>
      </c>
      <c r="I37" s="75">
        <f t="shared" si="3"/>
        <v>1867.2726000000002</v>
      </c>
      <c r="J37" s="218">
        <v>1861.91</v>
      </c>
      <c r="K37" s="218">
        <v>239.82</v>
      </c>
      <c r="L37" s="218">
        <v>11.32</v>
      </c>
      <c r="M37" s="218">
        <v>26.97</v>
      </c>
      <c r="N37" s="75">
        <f t="shared" si="4"/>
        <v>26.968568945538816</v>
      </c>
      <c r="O37" s="218">
        <v>69.040000000000006</v>
      </c>
      <c r="P37" s="218">
        <v>1829.54</v>
      </c>
    </row>
    <row r="38" spans="2:16" x14ac:dyDescent="0.25">
      <c r="B38" s="169">
        <v>16</v>
      </c>
      <c r="C38" s="169" t="s">
        <v>364</v>
      </c>
      <c r="D38" s="218">
        <v>96.77</v>
      </c>
      <c r="E38" s="218">
        <v>17.55</v>
      </c>
      <c r="F38" s="75">
        <f t="shared" si="2"/>
        <v>1698.3135</v>
      </c>
      <c r="G38" s="218">
        <v>32.83</v>
      </c>
      <c r="H38" s="218">
        <v>8.98</v>
      </c>
      <c r="I38" s="75">
        <f t="shared" si="3"/>
        <v>1722.1634999999999</v>
      </c>
      <c r="J38" s="218">
        <v>1727.49</v>
      </c>
      <c r="K38" s="218">
        <v>19.309999999999999</v>
      </c>
      <c r="L38" s="218">
        <v>2.2999999999999998</v>
      </c>
      <c r="M38" s="218">
        <v>3.12</v>
      </c>
      <c r="N38" s="75">
        <f t="shared" si="4"/>
        <v>3.1200151712180322</v>
      </c>
      <c r="O38" s="218">
        <v>553.67999999999995</v>
      </c>
      <c r="P38" s="218">
        <v>1698.77</v>
      </c>
    </row>
    <row r="39" spans="2:16" x14ac:dyDescent="0.25">
      <c r="B39" s="169">
        <v>17</v>
      </c>
      <c r="C39" s="169" t="s">
        <v>365</v>
      </c>
      <c r="D39" s="218">
        <v>563.4</v>
      </c>
      <c r="E39" s="218">
        <v>2.78</v>
      </c>
      <c r="F39" s="75">
        <f t="shared" si="2"/>
        <v>1566.2519999999997</v>
      </c>
      <c r="G39" s="218">
        <v>136.41</v>
      </c>
      <c r="H39" s="218">
        <v>5.57</v>
      </c>
      <c r="I39" s="75">
        <f t="shared" si="3"/>
        <v>1697.0919999999999</v>
      </c>
      <c r="J39" s="218">
        <v>1685.76</v>
      </c>
      <c r="K39" s="218">
        <v>517.41999999999996</v>
      </c>
      <c r="L39" s="218">
        <v>5.53</v>
      </c>
      <c r="M39" s="218">
        <v>42.2</v>
      </c>
      <c r="N39" s="75">
        <f t="shared" si="4"/>
        <v>42.196745932415517</v>
      </c>
      <c r="O39" s="218">
        <v>39.950000000000003</v>
      </c>
      <c r="P39" s="218">
        <v>1563.51</v>
      </c>
    </row>
    <row r="40" spans="2:16" x14ac:dyDescent="0.25">
      <c r="B40" s="169">
        <v>18</v>
      </c>
      <c r="C40" s="169" t="s">
        <v>366</v>
      </c>
      <c r="D40" s="169">
        <v>76.53</v>
      </c>
      <c r="E40" s="169">
        <v>8.73</v>
      </c>
      <c r="F40" s="75">
        <f t="shared" si="2"/>
        <v>668.1069</v>
      </c>
      <c r="G40" s="169">
        <v>57</v>
      </c>
      <c r="H40" s="169">
        <v>66.39</v>
      </c>
      <c r="I40" s="75">
        <f t="shared" si="3"/>
        <v>658.71690000000001</v>
      </c>
      <c r="J40" s="169">
        <v>670.99</v>
      </c>
      <c r="K40" s="169">
        <v>0</v>
      </c>
      <c r="L40" s="169">
        <v>-13.82</v>
      </c>
      <c r="M40" s="169">
        <v>-8.2799999999999994</v>
      </c>
      <c r="N40" s="75">
        <f t="shared" si="4"/>
        <v>-8.2797384007897321</v>
      </c>
      <c r="O40" s="169">
        <v>-81.040000000000006</v>
      </c>
      <c r="P40" s="169">
        <v>667.89</v>
      </c>
    </row>
    <row r="41" spans="2:16" x14ac:dyDescent="0.25">
      <c r="B41" s="169">
        <v>19</v>
      </c>
      <c r="C41" s="169" t="s">
        <v>367</v>
      </c>
      <c r="D41" s="169">
        <v>21.6</v>
      </c>
      <c r="E41" s="169">
        <v>20.87</v>
      </c>
      <c r="F41" s="75">
        <f t="shared" si="2"/>
        <v>450.79200000000003</v>
      </c>
      <c r="G41" s="169">
        <v>0</v>
      </c>
      <c r="H41" s="169">
        <v>7.25</v>
      </c>
      <c r="I41" s="75">
        <f t="shared" si="3"/>
        <v>443.54200000000003</v>
      </c>
      <c r="J41" s="169">
        <v>444.12</v>
      </c>
      <c r="K41" s="169">
        <v>1.37</v>
      </c>
      <c r="L41" s="169">
        <v>9.56</v>
      </c>
      <c r="M41" s="169">
        <v>9.94</v>
      </c>
      <c r="N41" s="75">
        <f t="shared" si="4"/>
        <v>9.9400179051029554</v>
      </c>
      <c r="O41" s="169">
        <v>44.68</v>
      </c>
      <c r="P41" s="169">
        <v>450.7</v>
      </c>
    </row>
  </sheetData>
  <mergeCells count="2">
    <mergeCell ref="B2:M2"/>
    <mergeCell ref="B14:M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063F-2E10-48A0-94A3-2797D416A2DD}">
  <dimension ref="B2:G29"/>
  <sheetViews>
    <sheetView showGridLines="0" workbookViewId="0">
      <selection activeCell="E14" sqref="E14"/>
    </sheetView>
  </sheetViews>
  <sheetFormatPr defaultRowHeight="15" x14ac:dyDescent="0.25"/>
  <cols>
    <col min="1" max="1" width="1.85546875" customWidth="1"/>
    <col min="5" max="5" width="19" bestFit="1" customWidth="1"/>
  </cols>
  <sheetData>
    <row r="2" spans="2:7" x14ac:dyDescent="0.25">
      <c r="B2" s="224" t="s">
        <v>260</v>
      </c>
      <c r="C2" s="224"/>
      <c r="D2" s="224"/>
      <c r="E2" s="224"/>
      <c r="F2" s="224"/>
      <c r="G2" s="224"/>
    </row>
    <row r="4" spans="2:7" x14ac:dyDescent="0.25">
      <c r="B4" s="219" t="s">
        <v>258</v>
      </c>
      <c r="C4" s="220" t="s">
        <v>259</v>
      </c>
    </row>
    <row r="5" spans="2:7" x14ac:dyDescent="0.25">
      <c r="B5" s="206">
        <v>2000</v>
      </c>
      <c r="C5" s="221">
        <v>-0.14649999999999999</v>
      </c>
    </row>
    <row r="6" spans="2:7" x14ac:dyDescent="0.25">
      <c r="B6" s="206">
        <v>2001</v>
      </c>
      <c r="C6" s="221">
        <v>-0.1618</v>
      </c>
      <c r="E6" s="169" t="s">
        <v>261</v>
      </c>
      <c r="F6" s="76">
        <f>AVERAGE(C5:C28)</f>
        <v>0.15609166666666666</v>
      </c>
    </row>
    <row r="7" spans="2:7" ht="17.25" x14ac:dyDescent="0.25">
      <c r="B7" s="206">
        <v>2002</v>
      </c>
      <c r="C7" s="221">
        <v>3.2500000000000001E-2</v>
      </c>
      <c r="E7" s="169" t="s">
        <v>262</v>
      </c>
      <c r="F7" s="184" t="s">
        <v>401</v>
      </c>
    </row>
    <row r="8" spans="2:7" x14ac:dyDescent="0.25">
      <c r="B8" s="206">
        <v>2003</v>
      </c>
      <c r="C8" s="221">
        <v>0.71900000000000008</v>
      </c>
      <c r="E8" s="174" t="s">
        <v>263</v>
      </c>
      <c r="F8" s="106">
        <f>SUM(F6:F7)</f>
        <v>0.15609166666666666</v>
      </c>
    </row>
    <row r="9" spans="2:7" x14ac:dyDescent="0.25">
      <c r="B9" s="206">
        <v>2004</v>
      </c>
      <c r="C9" s="221">
        <v>0.10679999999999999</v>
      </c>
    </row>
    <row r="10" spans="2:7" x14ac:dyDescent="0.25">
      <c r="B10" s="206">
        <v>2005</v>
      </c>
      <c r="C10" s="221">
        <v>0.36340000000000006</v>
      </c>
    </row>
    <row r="11" spans="2:7" x14ac:dyDescent="0.25">
      <c r="B11" s="206">
        <v>2006</v>
      </c>
      <c r="C11" s="221">
        <v>0.39829999999999999</v>
      </c>
    </row>
    <row r="12" spans="2:7" x14ac:dyDescent="0.25">
      <c r="B12" s="206">
        <v>2007</v>
      </c>
      <c r="C12" s="221">
        <v>0.54770000000000008</v>
      </c>
    </row>
    <row r="13" spans="2:7" x14ac:dyDescent="0.25">
      <c r="B13" s="206">
        <v>2008</v>
      </c>
      <c r="C13" s="221">
        <v>-0.51790000000000003</v>
      </c>
    </row>
    <row r="14" spans="2:7" x14ac:dyDescent="0.25">
      <c r="B14" s="206">
        <v>2009</v>
      </c>
      <c r="C14" s="221">
        <v>0.75760000000000005</v>
      </c>
    </row>
    <row r="15" spans="2:7" x14ac:dyDescent="0.25">
      <c r="B15" s="206">
        <v>2010</v>
      </c>
      <c r="C15" s="221">
        <v>0.17949999999999999</v>
      </c>
    </row>
    <row r="16" spans="2:7" x14ac:dyDescent="0.25">
      <c r="B16" s="206">
        <v>2011</v>
      </c>
      <c r="C16" s="221">
        <v>-0.2462</v>
      </c>
    </row>
    <row r="17" spans="2:3" x14ac:dyDescent="0.25">
      <c r="B17" s="206">
        <v>2012</v>
      </c>
      <c r="C17" s="221">
        <v>0.27699999999999997</v>
      </c>
    </row>
    <row r="18" spans="2:3" x14ac:dyDescent="0.25">
      <c r="B18" s="206">
        <v>2013</v>
      </c>
      <c r="C18" s="221">
        <v>6.7599999999999993E-2</v>
      </c>
    </row>
    <row r="19" spans="2:3" x14ac:dyDescent="0.25">
      <c r="B19" s="206">
        <v>2014</v>
      </c>
      <c r="C19" s="221">
        <v>0.31390000000000001</v>
      </c>
    </row>
    <row r="20" spans="2:3" x14ac:dyDescent="0.25">
      <c r="B20" s="206">
        <v>2015</v>
      </c>
      <c r="C20" s="221">
        <v>-4.0599999999999997E-2</v>
      </c>
    </row>
    <row r="21" spans="2:3" x14ac:dyDescent="0.25">
      <c r="B21" s="206">
        <v>2016</v>
      </c>
      <c r="C21" s="221">
        <v>3.0099999999999998E-2</v>
      </c>
    </row>
    <row r="22" spans="2:3" x14ac:dyDescent="0.25">
      <c r="B22" s="206">
        <v>2017</v>
      </c>
      <c r="C22" s="221">
        <v>0.28649999999999998</v>
      </c>
    </row>
    <row r="23" spans="2:3" x14ac:dyDescent="0.25">
      <c r="B23" s="206">
        <v>2018</v>
      </c>
      <c r="C23" s="221">
        <v>3.15E-2</v>
      </c>
    </row>
    <row r="24" spans="2:3" x14ac:dyDescent="0.25">
      <c r="B24" s="206">
        <v>2019</v>
      </c>
      <c r="C24" s="221">
        <v>0.1202</v>
      </c>
    </row>
    <row r="25" spans="2:3" x14ac:dyDescent="0.25">
      <c r="B25" s="206">
        <v>2020</v>
      </c>
      <c r="C25" s="221">
        <v>0.14899999999999999</v>
      </c>
    </row>
    <row r="26" spans="2:3" x14ac:dyDescent="0.25">
      <c r="B26" s="206">
        <v>2021</v>
      </c>
      <c r="C26" s="221">
        <v>0.2412</v>
      </c>
    </row>
    <row r="27" spans="2:3" x14ac:dyDescent="0.25">
      <c r="B27" s="206">
        <v>2022</v>
      </c>
      <c r="C27" s="221">
        <v>4.3200000000000002E-2</v>
      </c>
    </row>
    <row r="28" spans="2:3" x14ac:dyDescent="0.25">
      <c r="B28" s="206">
        <v>2023</v>
      </c>
      <c r="C28" s="221">
        <v>0.19420000000000001</v>
      </c>
    </row>
    <row r="29" spans="2:3" x14ac:dyDescent="0.25">
      <c r="B29" s="79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</vt:i4>
      </vt:variant>
    </vt:vector>
  </HeadingPairs>
  <TitlesOfParts>
    <vt:vector size="27" baseType="lpstr">
      <vt:lpstr>Financials&gt;</vt:lpstr>
      <vt:lpstr>Historical FS</vt:lpstr>
      <vt:lpstr>Ratio Analysis</vt:lpstr>
      <vt:lpstr>Common Size Statement</vt:lpstr>
      <vt:lpstr>P&amp;L Forecast</vt:lpstr>
      <vt:lpstr>BS Forecast</vt:lpstr>
      <vt:lpstr>Cash Flows Forecast</vt:lpstr>
      <vt:lpstr>DCF&gt;</vt:lpstr>
      <vt:lpstr>WACC</vt:lpstr>
      <vt:lpstr>Intrinsic Growth</vt:lpstr>
      <vt:lpstr>DCF</vt:lpstr>
      <vt:lpstr>Comparable Valuation&gt;</vt:lpstr>
      <vt:lpstr>Relative Valuation</vt:lpstr>
      <vt:lpstr>Football Field Analysis</vt:lpstr>
      <vt:lpstr>Data&gt;</vt:lpstr>
      <vt:lpstr>Data Sheet</vt:lpstr>
      <vt:lpstr>Cash Flow Data (Manual)</vt:lpstr>
      <vt:lpstr>Data Room&gt;</vt:lpstr>
      <vt:lpstr>Raw BS (Manual)</vt:lpstr>
      <vt:lpstr>Beta - Regression</vt:lpstr>
      <vt:lpstr>Beta - Comps</vt:lpstr>
      <vt:lpstr>Peers</vt:lpstr>
      <vt:lpstr>Rm</vt:lpstr>
      <vt:lpstr>'Historical FS'!Print_Area</vt:lpstr>
      <vt:lpstr>'Relative Valuation'!Print_Area</vt:lpstr>
      <vt:lpstr>WACC!Print_Area</vt:lpstr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 Prasad Kushwaha</dc:creator>
  <cp:keywords/>
  <dc:description/>
  <cp:lastModifiedBy>Neeraj Prasad Kushwaha</cp:lastModifiedBy>
  <cp:revision/>
  <cp:lastPrinted>2024-02-10T15:10:42Z</cp:lastPrinted>
  <dcterms:created xsi:type="dcterms:W3CDTF">2012-08-17T09:55:37Z</dcterms:created>
  <dcterms:modified xsi:type="dcterms:W3CDTF">2025-04-19T08:29:12Z</dcterms:modified>
  <cp:category/>
  <cp:contentStatus/>
</cp:coreProperties>
</file>